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10. 30 เม.ย. 66\"/>
    </mc:Choice>
  </mc:AlternateContent>
  <xr:revisionPtr revIDLastSave="0" documentId="13_ncr:1_{BF9E64B2-F0BF-433F-B92A-B5FE49F3833A}" xr6:coauthVersionLast="37" xr6:coauthVersionMax="45" xr10:uidLastSave="{00000000-0000-0000-0000-000000000000}"/>
  <bookViews>
    <workbookView xWindow="0" yWindow="0" windowWidth="12960" windowHeight="7695" xr2:uid="{00000000-000D-0000-FFFF-FFFF00000000}"/>
  </bookViews>
  <sheets>
    <sheet name="พัฒนาธุรกิจชุมชน" sheetId="1" r:id="rId1"/>
    <sheet name="เกษตรอินทรีย์" sheetId="2" r:id="rId2"/>
    <sheet name="วนเกษตร" sheetId="3" r:id="rId3"/>
    <sheet name="ยกระดับรายได้" sheetId="4" r:id="rId4"/>
    <sheet name="ตรวจสอบที่ดิน" sheetId="5" r:id="rId5"/>
    <sheet name="จัดที่ดินชุมชน" sheetId="6" r:id="rId6"/>
    <sheet name="จัดหาที่ดินเอกชน" sheetId="7" r:id="rId7"/>
    <sheet name="จัดที่ดินเอกชน 7 กิจกรรม" sheetId="8" r:id="rId8"/>
    <sheet name="RTK" sheetId="9" r:id="rId9"/>
  </sheets>
  <definedNames>
    <definedName name="_xlnm._FilterDatabase" localSheetId="4" hidden="1">ตรวจสอบที่ดิน!$A$7:$DC$116</definedName>
    <definedName name="_xlnm.Print_Titles" localSheetId="8">RTK!$1:$6</definedName>
    <definedName name="_xlnm.Print_Titles" localSheetId="1">เกษตรอินทรีย์!$A:$B,เกษตรอินทรีย์!$1:$6</definedName>
    <definedName name="_xlnm.Print_Titles" localSheetId="5">จัดที่ดินชุมชน!$A:$B,จัดที่ดินชุมชน!$1:$6</definedName>
    <definedName name="_xlnm.Print_Titles" localSheetId="7">'จัดที่ดินเอกชน 7 กิจกรรม'!$A:$B,'จัดที่ดินเอกชน 7 กิจกรรม'!$1:$6</definedName>
    <definedName name="_xlnm.Print_Titles" localSheetId="6">จัดหาที่ดินเอกชน!$A:$B,จัดหาที่ดินเอกชน!$1:$6</definedName>
    <definedName name="_xlnm.Print_Titles" localSheetId="4">ตรวจสอบที่ดิน!$A:$B,ตรวจสอบที่ดิน!$1:$6</definedName>
    <definedName name="_xlnm.Print_Titles" localSheetId="0">พัฒนาธุรกิจชุมชน!$A:$B,พัฒนาธุรกิจชุมชน!$1:$6</definedName>
    <definedName name="_xlnm.Print_Titles" localSheetId="3">ยกระดับรายได้!$A:$B,ยกระดับรายได้!$1:$6</definedName>
    <definedName name="_xlnm.Print_Titles" localSheetId="2">วนเกษตร!$A:$B,วนเกษตร!$1:$6</definedName>
  </definedNames>
  <calcPr calcId="179021"/>
</workbook>
</file>

<file path=xl/calcChain.xml><?xml version="1.0" encoding="utf-8"?>
<calcChain xmlns="http://schemas.openxmlformats.org/spreadsheetml/2006/main">
  <c r="O56" i="6" l="1"/>
  <c r="Q29" i="5"/>
  <c r="R116" i="9"/>
  <c r="J116" i="9"/>
  <c r="H116" i="9" s="1"/>
  <c r="I116" i="9"/>
  <c r="C116" i="9"/>
  <c r="R115" i="9"/>
  <c r="J115" i="9"/>
  <c r="I115" i="9"/>
  <c r="H115" i="9"/>
  <c r="C115" i="9"/>
  <c r="R114" i="9"/>
  <c r="J114" i="9"/>
  <c r="H114" i="9" s="1"/>
  <c r="I114" i="9"/>
  <c r="C114" i="9"/>
  <c r="R113" i="9"/>
  <c r="J113" i="9"/>
  <c r="H113" i="9" s="1"/>
  <c r="I113" i="9"/>
  <c r="C113" i="9"/>
  <c r="R112" i="9"/>
  <c r="J112" i="9"/>
  <c r="I112" i="9"/>
  <c r="H112" i="9"/>
  <c r="C112" i="9"/>
  <c r="R111" i="9"/>
  <c r="J111" i="9"/>
  <c r="H111" i="9" s="1"/>
  <c r="I111" i="9"/>
  <c r="C111" i="9"/>
  <c r="R110" i="9"/>
  <c r="J110" i="9"/>
  <c r="H110" i="9" s="1"/>
  <c r="I110" i="9"/>
  <c r="C110" i="9"/>
  <c r="R109" i="9"/>
  <c r="J109" i="9"/>
  <c r="I109" i="9"/>
  <c r="H109" i="9"/>
  <c r="C109" i="9"/>
  <c r="R108" i="9"/>
  <c r="J108" i="9"/>
  <c r="H108" i="9" s="1"/>
  <c r="I108" i="9"/>
  <c r="C108" i="9"/>
  <c r="R107" i="9"/>
  <c r="J107" i="9"/>
  <c r="H107" i="9" s="1"/>
  <c r="I107" i="9"/>
  <c r="C107" i="9"/>
  <c r="R106" i="9"/>
  <c r="J106" i="9"/>
  <c r="I106" i="9"/>
  <c r="H106" i="9"/>
  <c r="C106" i="9"/>
  <c r="R105" i="9"/>
  <c r="J105" i="9"/>
  <c r="I105" i="9"/>
  <c r="C105" i="9"/>
  <c r="R104" i="9"/>
  <c r="I104" i="9"/>
  <c r="R103" i="9"/>
  <c r="J103" i="9"/>
  <c r="H103" i="9" s="1"/>
  <c r="I103" i="9"/>
  <c r="C103" i="9"/>
  <c r="R102" i="9"/>
  <c r="J102" i="9"/>
  <c r="H102" i="9" s="1"/>
  <c r="I102" i="9"/>
  <c r="C102" i="9"/>
  <c r="R101" i="9"/>
  <c r="J101" i="9"/>
  <c r="H101" i="9" s="1"/>
  <c r="I101" i="9"/>
  <c r="C101" i="9"/>
  <c r="R100" i="9"/>
  <c r="J100" i="9"/>
  <c r="H100" i="9" s="1"/>
  <c r="I100" i="9"/>
  <c r="C100" i="9"/>
  <c r="R99" i="9"/>
  <c r="J99" i="9"/>
  <c r="H99" i="9" s="1"/>
  <c r="I99" i="9"/>
  <c r="C99" i="9"/>
  <c r="R98" i="9"/>
  <c r="J98" i="9"/>
  <c r="H98" i="9" s="1"/>
  <c r="I98" i="9"/>
  <c r="C98" i="9"/>
  <c r="R97" i="9"/>
  <c r="J97" i="9"/>
  <c r="H97" i="9" s="1"/>
  <c r="I97" i="9"/>
  <c r="C97" i="9"/>
  <c r="R96" i="9"/>
  <c r="J96" i="9"/>
  <c r="H96" i="9" s="1"/>
  <c r="I96" i="9"/>
  <c r="C96" i="9"/>
  <c r="R95" i="9"/>
  <c r="J95" i="9"/>
  <c r="H95" i="9" s="1"/>
  <c r="I95" i="9"/>
  <c r="C95" i="9"/>
  <c r="R94" i="9"/>
  <c r="J94" i="9"/>
  <c r="H94" i="9" s="1"/>
  <c r="I94" i="9"/>
  <c r="C94" i="9"/>
  <c r="R93" i="9"/>
  <c r="J93" i="9"/>
  <c r="H93" i="9" s="1"/>
  <c r="I93" i="9"/>
  <c r="C93" i="9"/>
  <c r="A93" i="9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R92" i="9"/>
  <c r="J92" i="9"/>
  <c r="H92" i="9" s="1"/>
  <c r="I92" i="9"/>
  <c r="C92" i="9"/>
  <c r="R91" i="9"/>
  <c r="J91" i="9"/>
  <c r="H91" i="9" s="1"/>
  <c r="I91" i="9"/>
  <c r="C91" i="9"/>
  <c r="R90" i="9"/>
  <c r="J90" i="9"/>
  <c r="I90" i="9"/>
  <c r="H90" i="9"/>
  <c r="C90" i="9"/>
  <c r="R89" i="9"/>
  <c r="I89" i="9"/>
  <c r="C89" i="9"/>
  <c r="Y88" i="9"/>
  <c r="X88" i="9"/>
  <c r="W88" i="9"/>
  <c r="V88" i="9"/>
  <c r="S88" i="9"/>
  <c r="U88" i="9" s="1"/>
  <c r="Q88" i="9"/>
  <c r="P88" i="9"/>
  <c r="O88" i="9"/>
  <c r="N88" i="9"/>
  <c r="M88" i="9"/>
  <c r="G88" i="9"/>
  <c r="F88" i="9"/>
  <c r="L88" i="9" s="1"/>
  <c r="E88" i="9"/>
  <c r="R88" i="9" s="1"/>
  <c r="D88" i="9"/>
  <c r="K88" i="9" s="1"/>
  <c r="Y87" i="9"/>
  <c r="X87" i="9"/>
  <c r="W87" i="9"/>
  <c r="V87" i="9"/>
  <c r="S87" i="9"/>
  <c r="U87" i="9" s="1"/>
  <c r="Q87" i="9"/>
  <c r="P87" i="9"/>
  <c r="O87" i="9"/>
  <c r="N87" i="9"/>
  <c r="M87" i="9"/>
  <c r="G87" i="9"/>
  <c r="F87" i="9"/>
  <c r="L87" i="9" s="1"/>
  <c r="E87" i="9"/>
  <c r="R87" i="9" s="1"/>
  <c r="D87" i="9"/>
  <c r="K87" i="9" s="1"/>
  <c r="Y86" i="9"/>
  <c r="X86" i="9"/>
  <c r="W86" i="9"/>
  <c r="V86" i="9"/>
  <c r="S86" i="9"/>
  <c r="U86" i="9" s="1"/>
  <c r="Q86" i="9"/>
  <c r="P86" i="9"/>
  <c r="O86" i="9"/>
  <c r="N86" i="9"/>
  <c r="M86" i="9"/>
  <c r="G86" i="9"/>
  <c r="F86" i="9"/>
  <c r="L86" i="9" s="1"/>
  <c r="E86" i="9"/>
  <c r="R86" i="9" s="1"/>
  <c r="D86" i="9"/>
  <c r="I86" i="9" s="1"/>
  <c r="Y85" i="9"/>
  <c r="X85" i="9"/>
  <c r="W85" i="9"/>
  <c r="V85" i="9"/>
  <c r="S85" i="9"/>
  <c r="U85" i="9" s="1"/>
  <c r="Q85" i="9"/>
  <c r="P85" i="9"/>
  <c r="O85" i="9"/>
  <c r="N85" i="9"/>
  <c r="M85" i="9"/>
  <c r="G85" i="9"/>
  <c r="F85" i="9"/>
  <c r="L85" i="9" s="1"/>
  <c r="E85" i="9"/>
  <c r="R85" i="9" s="1"/>
  <c r="D85" i="9"/>
  <c r="K85" i="9" s="1"/>
  <c r="Y84" i="9"/>
  <c r="X84" i="9"/>
  <c r="W84" i="9"/>
  <c r="V84" i="9"/>
  <c r="S84" i="9"/>
  <c r="U84" i="9" s="1"/>
  <c r="Q84" i="9"/>
  <c r="P84" i="9"/>
  <c r="O84" i="9"/>
  <c r="N84" i="9"/>
  <c r="M84" i="9"/>
  <c r="G84" i="9"/>
  <c r="F84" i="9"/>
  <c r="L84" i="9" s="1"/>
  <c r="E84" i="9"/>
  <c r="D84" i="9"/>
  <c r="K84" i="9" s="1"/>
  <c r="Y83" i="9"/>
  <c r="X83" i="9"/>
  <c r="W83" i="9"/>
  <c r="V83" i="9"/>
  <c r="S83" i="9"/>
  <c r="U83" i="9" s="1"/>
  <c r="Q83" i="9"/>
  <c r="P83" i="9"/>
  <c r="O83" i="9"/>
  <c r="N83" i="9"/>
  <c r="M83" i="9"/>
  <c r="G83" i="9"/>
  <c r="F83" i="9"/>
  <c r="L83" i="9" s="1"/>
  <c r="E83" i="9"/>
  <c r="R83" i="9" s="1"/>
  <c r="D83" i="9"/>
  <c r="Y82" i="9"/>
  <c r="X82" i="9"/>
  <c r="W82" i="9"/>
  <c r="V82" i="9"/>
  <c r="S82" i="9"/>
  <c r="U82" i="9" s="1"/>
  <c r="Q82" i="9"/>
  <c r="P82" i="9"/>
  <c r="O82" i="9"/>
  <c r="N82" i="9"/>
  <c r="M82" i="9"/>
  <c r="G82" i="9"/>
  <c r="F82" i="9"/>
  <c r="L82" i="9" s="1"/>
  <c r="E82" i="9"/>
  <c r="R82" i="9" s="1"/>
  <c r="D82" i="9"/>
  <c r="K82" i="9" s="1"/>
  <c r="Y81" i="9"/>
  <c r="X81" i="9"/>
  <c r="W81" i="9"/>
  <c r="V81" i="9"/>
  <c r="S81" i="9"/>
  <c r="U81" i="9" s="1"/>
  <c r="Q81" i="9"/>
  <c r="P81" i="9"/>
  <c r="O81" i="9"/>
  <c r="N81" i="9"/>
  <c r="M81" i="9"/>
  <c r="G81" i="9"/>
  <c r="F81" i="9"/>
  <c r="L81" i="9" s="1"/>
  <c r="E81" i="9"/>
  <c r="R81" i="9" s="1"/>
  <c r="D81" i="9"/>
  <c r="K81" i="9" s="1"/>
  <c r="Y80" i="9"/>
  <c r="X80" i="9"/>
  <c r="W80" i="9"/>
  <c r="V80" i="9"/>
  <c r="S80" i="9"/>
  <c r="Q80" i="9"/>
  <c r="P80" i="9"/>
  <c r="O80" i="9"/>
  <c r="N80" i="9"/>
  <c r="M80" i="9"/>
  <c r="G80" i="9"/>
  <c r="F80" i="9"/>
  <c r="L80" i="9" s="1"/>
  <c r="E80" i="9"/>
  <c r="R80" i="9" s="1"/>
  <c r="D80" i="9"/>
  <c r="K80" i="9" s="1"/>
  <c r="Y79" i="9"/>
  <c r="X79" i="9"/>
  <c r="W79" i="9"/>
  <c r="V79" i="9"/>
  <c r="S79" i="9"/>
  <c r="U79" i="9" s="1"/>
  <c r="Q79" i="9"/>
  <c r="P79" i="9"/>
  <c r="O79" i="9"/>
  <c r="N79" i="9"/>
  <c r="M79" i="9"/>
  <c r="G79" i="9"/>
  <c r="F79" i="9"/>
  <c r="L79" i="9" s="1"/>
  <c r="E79" i="9"/>
  <c r="R79" i="9" s="1"/>
  <c r="D79" i="9"/>
  <c r="K79" i="9" s="1"/>
  <c r="Y78" i="9"/>
  <c r="X78" i="9"/>
  <c r="W78" i="9"/>
  <c r="V78" i="9"/>
  <c r="S78" i="9"/>
  <c r="U78" i="9" s="1"/>
  <c r="Q78" i="9"/>
  <c r="P78" i="9"/>
  <c r="O78" i="9"/>
  <c r="N78" i="9"/>
  <c r="M78" i="9"/>
  <c r="G78" i="9"/>
  <c r="F78" i="9"/>
  <c r="L78" i="9" s="1"/>
  <c r="E78" i="9"/>
  <c r="D78" i="9"/>
  <c r="Y77" i="9"/>
  <c r="X77" i="9"/>
  <c r="W77" i="9"/>
  <c r="V77" i="9"/>
  <c r="S77" i="9"/>
  <c r="U77" i="9" s="1"/>
  <c r="Q77" i="9"/>
  <c r="P77" i="9"/>
  <c r="O77" i="9"/>
  <c r="N77" i="9"/>
  <c r="M77" i="9"/>
  <c r="G77" i="9"/>
  <c r="F77" i="9"/>
  <c r="L77" i="9" s="1"/>
  <c r="E77" i="9"/>
  <c r="R77" i="9" s="1"/>
  <c r="D77" i="9"/>
  <c r="Y76" i="9"/>
  <c r="X76" i="9"/>
  <c r="W76" i="9"/>
  <c r="V76" i="9"/>
  <c r="S76" i="9"/>
  <c r="U76" i="9" s="1"/>
  <c r="Q76" i="9"/>
  <c r="P76" i="9"/>
  <c r="O76" i="9"/>
  <c r="N76" i="9"/>
  <c r="M76" i="9"/>
  <c r="G76" i="9"/>
  <c r="F76" i="9"/>
  <c r="L76" i="9" s="1"/>
  <c r="E76" i="9"/>
  <c r="R76" i="9" s="1"/>
  <c r="D76" i="9"/>
  <c r="K76" i="9" s="1"/>
  <c r="Y75" i="9"/>
  <c r="X75" i="9"/>
  <c r="W75" i="9"/>
  <c r="V75" i="9"/>
  <c r="S75" i="9"/>
  <c r="U75" i="9" s="1"/>
  <c r="Q75" i="9"/>
  <c r="P75" i="9"/>
  <c r="O75" i="9"/>
  <c r="N75" i="9"/>
  <c r="M75" i="9"/>
  <c r="G75" i="9"/>
  <c r="F75" i="9"/>
  <c r="E75" i="9"/>
  <c r="R75" i="9" s="1"/>
  <c r="D75" i="9"/>
  <c r="K75" i="9" s="1"/>
  <c r="Y73" i="9"/>
  <c r="X73" i="9"/>
  <c r="W73" i="9"/>
  <c r="V73" i="9"/>
  <c r="S73" i="9"/>
  <c r="U73" i="9" s="1"/>
  <c r="Q73" i="9"/>
  <c r="P73" i="9"/>
  <c r="O73" i="9"/>
  <c r="N73" i="9"/>
  <c r="M73" i="9"/>
  <c r="G73" i="9"/>
  <c r="F73" i="9"/>
  <c r="L73" i="9" s="1"/>
  <c r="E73" i="9"/>
  <c r="R73" i="9" s="1"/>
  <c r="D73" i="9"/>
  <c r="K73" i="9" s="1"/>
  <c r="Y72" i="9"/>
  <c r="X72" i="9"/>
  <c r="W72" i="9"/>
  <c r="V72" i="9"/>
  <c r="S72" i="9"/>
  <c r="U72" i="9" s="1"/>
  <c r="Q72" i="9"/>
  <c r="P72" i="9"/>
  <c r="O72" i="9"/>
  <c r="N72" i="9"/>
  <c r="M72" i="9"/>
  <c r="G72" i="9"/>
  <c r="F72" i="9"/>
  <c r="L72" i="9" s="1"/>
  <c r="E72" i="9"/>
  <c r="D72" i="9"/>
  <c r="K72" i="9" s="1"/>
  <c r="Y71" i="9"/>
  <c r="X71" i="9"/>
  <c r="W71" i="9"/>
  <c r="V71" i="9"/>
  <c r="S71" i="9"/>
  <c r="U71" i="9" s="1"/>
  <c r="Q71" i="9"/>
  <c r="P71" i="9"/>
  <c r="O71" i="9"/>
  <c r="N71" i="9"/>
  <c r="M71" i="9"/>
  <c r="G71" i="9"/>
  <c r="F71" i="9"/>
  <c r="L71" i="9" s="1"/>
  <c r="E71" i="9"/>
  <c r="R71" i="9" s="1"/>
  <c r="D71" i="9"/>
  <c r="Y70" i="9"/>
  <c r="X70" i="9"/>
  <c r="W70" i="9"/>
  <c r="V70" i="9"/>
  <c r="S70" i="9"/>
  <c r="U70" i="9" s="1"/>
  <c r="Q70" i="9"/>
  <c r="P70" i="9"/>
  <c r="O70" i="9"/>
  <c r="N70" i="9"/>
  <c r="M70" i="9"/>
  <c r="G70" i="9"/>
  <c r="F70" i="9"/>
  <c r="L70" i="9" s="1"/>
  <c r="E70" i="9"/>
  <c r="R70" i="9" s="1"/>
  <c r="D70" i="9"/>
  <c r="K70" i="9" s="1"/>
  <c r="Y69" i="9"/>
  <c r="X69" i="9"/>
  <c r="W69" i="9"/>
  <c r="V69" i="9"/>
  <c r="S69" i="9"/>
  <c r="Q69" i="9"/>
  <c r="P69" i="9"/>
  <c r="O69" i="9"/>
  <c r="N69" i="9"/>
  <c r="M69" i="9"/>
  <c r="G69" i="9"/>
  <c r="F69" i="9"/>
  <c r="E69" i="9"/>
  <c r="R69" i="9" s="1"/>
  <c r="D69" i="9"/>
  <c r="Y68" i="9"/>
  <c r="X68" i="9"/>
  <c r="W68" i="9"/>
  <c r="V68" i="9"/>
  <c r="S68" i="9"/>
  <c r="U68" i="9" s="1"/>
  <c r="Q68" i="9"/>
  <c r="P68" i="9"/>
  <c r="O68" i="9"/>
  <c r="N68" i="9"/>
  <c r="M68" i="9"/>
  <c r="G68" i="9"/>
  <c r="F68" i="9"/>
  <c r="L68" i="9" s="1"/>
  <c r="E68" i="9"/>
  <c r="R68" i="9" s="1"/>
  <c r="D68" i="9"/>
  <c r="K68" i="9" s="1"/>
  <c r="Y67" i="9"/>
  <c r="X67" i="9"/>
  <c r="W67" i="9"/>
  <c r="V67" i="9"/>
  <c r="S67" i="9"/>
  <c r="U67" i="9" s="1"/>
  <c r="Q67" i="9"/>
  <c r="P67" i="9"/>
  <c r="O67" i="9"/>
  <c r="N67" i="9"/>
  <c r="M67" i="9"/>
  <c r="G67" i="9"/>
  <c r="F67" i="9"/>
  <c r="L67" i="9" s="1"/>
  <c r="E67" i="9"/>
  <c r="R67" i="9" s="1"/>
  <c r="D67" i="9"/>
  <c r="K67" i="9" s="1"/>
  <c r="Y66" i="9"/>
  <c r="X66" i="9"/>
  <c r="W66" i="9"/>
  <c r="V66" i="9"/>
  <c r="S66" i="9"/>
  <c r="U66" i="9" s="1"/>
  <c r="Q66" i="9"/>
  <c r="P66" i="9"/>
  <c r="O66" i="9"/>
  <c r="N66" i="9"/>
  <c r="M66" i="9"/>
  <c r="G66" i="9"/>
  <c r="F66" i="9"/>
  <c r="L66" i="9" s="1"/>
  <c r="E66" i="9"/>
  <c r="D66" i="9"/>
  <c r="K66" i="9" s="1"/>
  <c r="Y65" i="9"/>
  <c r="X65" i="9"/>
  <c r="W65" i="9"/>
  <c r="V65" i="9"/>
  <c r="S65" i="9"/>
  <c r="U65" i="9" s="1"/>
  <c r="Q65" i="9"/>
  <c r="P65" i="9"/>
  <c r="O65" i="9"/>
  <c r="N65" i="9"/>
  <c r="M65" i="9"/>
  <c r="G65" i="9"/>
  <c r="F65" i="9"/>
  <c r="L65" i="9" s="1"/>
  <c r="E65" i="9"/>
  <c r="R65" i="9" s="1"/>
  <c r="D65" i="9"/>
  <c r="Y64" i="9"/>
  <c r="X64" i="9"/>
  <c r="W64" i="9"/>
  <c r="V64" i="9"/>
  <c r="S64" i="9"/>
  <c r="U64" i="9" s="1"/>
  <c r="Q64" i="9"/>
  <c r="P64" i="9"/>
  <c r="O64" i="9"/>
  <c r="N64" i="9"/>
  <c r="M64" i="9"/>
  <c r="G64" i="9"/>
  <c r="F64" i="9"/>
  <c r="L64" i="9" s="1"/>
  <c r="E64" i="9"/>
  <c r="R64" i="9" s="1"/>
  <c r="D64" i="9"/>
  <c r="I64" i="9" s="1"/>
  <c r="Y63" i="9"/>
  <c r="X63" i="9"/>
  <c r="W63" i="9"/>
  <c r="V63" i="9"/>
  <c r="S63" i="9"/>
  <c r="U63" i="9" s="1"/>
  <c r="Q63" i="9"/>
  <c r="P63" i="9"/>
  <c r="O63" i="9"/>
  <c r="N63" i="9"/>
  <c r="M63" i="9"/>
  <c r="G63" i="9"/>
  <c r="F63" i="9"/>
  <c r="L63" i="9" s="1"/>
  <c r="E63" i="9"/>
  <c r="R63" i="9" s="1"/>
  <c r="D63" i="9"/>
  <c r="K63" i="9" s="1"/>
  <c r="Y62" i="9"/>
  <c r="X62" i="9"/>
  <c r="W62" i="9"/>
  <c r="V62" i="9"/>
  <c r="S62" i="9"/>
  <c r="U62" i="9" s="1"/>
  <c r="Q62" i="9"/>
  <c r="P62" i="9"/>
  <c r="O62" i="9"/>
  <c r="N62" i="9"/>
  <c r="M62" i="9"/>
  <c r="G62" i="9"/>
  <c r="F62" i="9"/>
  <c r="L62" i="9" s="1"/>
  <c r="E62" i="9"/>
  <c r="R62" i="9" s="1"/>
  <c r="D62" i="9"/>
  <c r="K62" i="9" s="1"/>
  <c r="Y61" i="9"/>
  <c r="X61" i="9"/>
  <c r="W61" i="9"/>
  <c r="V61" i="9"/>
  <c r="S61" i="9"/>
  <c r="U61" i="9" s="1"/>
  <c r="Q61" i="9"/>
  <c r="P61" i="9"/>
  <c r="O61" i="9"/>
  <c r="N61" i="9"/>
  <c r="M61" i="9"/>
  <c r="G61" i="9"/>
  <c r="F61" i="9"/>
  <c r="L61" i="9" s="1"/>
  <c r="E61" i="9"/>
  <c r="R61" i="9" s="1"/>
  <c r="D61" i="9"/>
  <c r="K61" i="9" s="1"/>
  <c r="Y60" i="9"/>
  <c r="X60" i="9"/>
  <c r="W60" i="9"/>
  <c r="V60" i="9"/>
  <c r="S60" i="9"/>
  <c r="U60" i="9" s="1"/>
  <c r="Q60" i="9"/>
  <c r="P60" i="9"/>
  <c r="O60" i="9"/>
  <c r="N60" i="9"/>
  <c r="M60" i="9"/>
  <c r="G60" i="9"/>
  <c r="F60" i="9"/>
  <c r="L60" i="9" s="1"/>
  <c r="E60" i="9"/>
  <c r="D60" i="9"/>
  <c r="K60" i="9" s="1"/>
  <c r="Y59" i="9"/>
  <c r="X59" i="9"/>
  <c r="W59" i="9"/>
  <c r="V59" i="9"/>
  <c r="S59" i="9"/>
  <c r="U59" i="9" s="1"/>
  <c r="Q59" i="9"/>
  <c r="P59" i="9"/>
  <c r="O59" i="9"/>
  <c r="N59" i="9"/>
  <c r="M59" i="9"/>
  <c r="G59" i="9"/>
  <c r="F59" i="9"/>
  <c r="L59" i="9" s="1"/>
  <c r="E59" i="9"/>
  <c r="R59" i="9" s="1"/>
  <c r="D59" i="9"/>
  <c r="Y58" i="9"/>
  <c r="X58" i="9"/>
  <c r="W58" i="9"/>
  <c r="V58" i="9"/>
  <c r="S58" i="9"/>
  <c r="U58" i="9" s="1"/>
  <c r="Q58" i="9"/>
  <c r="P58" i="9"/>
  <c r="O58" i="9"/>
  <c r="N58" i="9"/>
  <c r="M58" i="9"/>
  <c r="G58" i="9"/>
  <c r="F58" i="9"/>
  <c r="L58" i="9" s="1"/>
  <c r="E58" i="9"/>
  <c r="R58" i="9" s="1"/>
  <c r="D58" i="9"/>
  <c r="K58" i="9" s="1"/>
  <c r="Y57" i="9"/>
  <c r="X57" i="9"/>
  <c r="W57" i="9"/>
  <c r="V57" i="9"/>
  <c r="S57" i="9"/>
  <c r="U57" i="9" s="1"/>
  <c r="Q57" i="9"/>
  <c r="P57" i="9"/>
  <c r="O57" i="9"/>
  <c r="N57" i="9"/>
  <c r="M57" i="9"/>
  <c r="G57" i="9"/>
  <c r="F57" i="9"/>
  <c r="L57" i="9" s="1"/>
  <c r="E57" i="9"/>
  <c r="R57" i="9" s="1"/>
  <c r="D57" i="9"/>
  <c r="K57" i="9" s="1"/>
  <c r="Y56" i="9"/>
  <c r="X56" i="9"/>
  <c r="W56" i="9"/>
  <c r="V56" i="9"/>
  <c r="S56" i="9"/>
  <c r="Q56" i="9"/>
  <c r="P56" i="9"/>
  <c r="O56" i="9"/>
  <c r="N56" i="9"/>
  <c r="M56" i="9"/>
  <c r="G56" i="9"/>
  <c r="F56" i="9"/>
  <c r="L56" i="9" s="1"/>
  <c r="E56" i="9"/>
  <c r="R56" i="9" s="1"/>
  <c r="D56" i="9"/>
  <c r="K56" i="9" s="1"/>
  <c r="Y55" i="9"/>
  <c r="X55" i="9"/>
  <c r="W55" i="9"/>
  <c r="V55" i="9"/>
  <c r="S55" i="9"/>
  <c r="U55" i="9" s="1"/>
  <c r="Q55" i="9"/>
  <c r="P55" i="9"/>
  <c r="O55" i="9"/>
  <c r="N55" i="9"/>
  <c r="M55" i="9"/>
  <c r="G55" i="9"/>
  <c r="F55" i="9"/>
  <c r="L55" i="9" s="1"/>
  <c r="E55" i="9"/>
  <c r="R55" i="9" s="1"/>
  <c r="D55" i="9"/>
  <c r="K55" i="9" s="1"/>
  <c r="Y54" i="9"/>
  <c r="X54" i="9"/>
  <c r="W54" i="9"/>
  <c r="V54" i="9"/>
  <c r="S54" i="9"/>
  <c r="U54" i="9" s="1"/>
  <c r="Q54" i="9"/>
  <c r="P54" i="9"/>
  <c r="O54" i="9"/>
  <c r="N54" i="9"/>
  <c r="M54" i="9"/>
  <c r="G54" i="9"/>
  <c r="F54" i="9"/>
  <c r="L54" i="9" s="1"/>
  <c r="E54" i="9"/>
  <c r="D54" i="9"/>
  <c r="K54" i="9" s="1"/>
  <c r="Y53" i="9"/>
  <c r="X53" i="9"/>
  <c r="W53" i="9"/>
  <c r="V53" i="9"/>
  <c r="S53" i="9"/>
  <c r="U53" i="9" s="1"/>
  <c r="Q53" i="9"/>
  <c r="P53" i="9"/>
  <c r="O53" i="9"/>
  <c r="N53" i="9"/>
  <c r="M53" i="9"/>
  <c r="G53" i="9"/>
  <c r="F53" i="9"/>
  <c r="L53" i="9" s="1"/>
  <c r="E53" i="9"/>
  <c r="R53" i="9" s="1"/>
  <c r="D53" i="9"/>
  <c r="Y51" i="9"/>
  <c r="X51" i="9"/>
  <c r="W51" i="9"/>
  <c r="V51" i="9"/>
  <c r="S51" i="9"/>
  <c r="Q51" i="9"/>
  <c r="P51" i="9"/>
  <c r="O51" i="9"/>
  <c r="N51" i="9"/>
  <c r="M51" i="9"/>
  <c r="G51" i="9"/>
  <c r="F51" i="9"/>
  <c r="E51" i="9"/>
  <c r="R51" i="9" s="1"/>
  <c r="D51" i="9"/>
  <c r="Y50" i="9"/>
  <c r="X50" i="9"/>
  <c r="W50" i="9"/>
  <c r="V50" i="9"/>
  <c r="S50" i="9"/>
  <c r="U50" i="9" s="1"/>
  <c r="Q50" i="9"/>
  <c r="P50" i="9"/>
  <c r="O50" i="9"/>
  <c r="N50" i="9"/>
  <c r="M50" i="9"/>
  <c r="G50" i="9"/>
  <c r="F50" i="9"/>
  <c r="L50" i="9" s="1"/>
  <c r="E50" i="9"/>
  <c r="R50" i="9" s="1"/>
  <c r="D50" i="9"/>
  <c r="K50" i="9" s="1"/>
  <c r="Y49" i="9"/>
  <c r="X49" i="9"/>
  <c r="W49" i="9"/>
  <c r="V49" i="9"/>
  <c r="S49" i="9"/>
  <c r="U49" i="9" s="1"/>
  <c r="Q49" i="9"/>
  <c r="P49" i="9"/>
  <c r="O49" i="9"/>
  <c r="N49" i="9"/>
  <c r="M49" i="9"/>
  <c r="G49" i="9"/>
  <c r="F49" i="9"/>
  <c r="L49" i="9" s="1"/>
  <c r="E49" i="9"/>
  <c r="R49" i="9" s="1"/>
  <c r="D49" i="9"/>
  <c r="K49" i="9" s="1"/>
  <c r="Y48" i="9"/>
  <c r="X48" i="9"/>
  <c r="W48" i="9"/>
  <c r="V48" i="9"/>
  <c r="S48" i="9"/>
  <c r="Q48" i="9"/>
  <c r="P48" i="9"/>
  <c r="O48" i="9"/>
  <c r="N48" i="9"/>
  <c r="M48" i="9"/>
  <c r="G48" i="9"/>
  <c r="F48" i="9"/>
  <c r="E48" i="9"/>
  <c r="D48" i="9"/>
  <c r="Y47" i="9"/>
  <c r="X47" i="9"/>
  <c r="W47" i="9"/>
  <c r="V47" i="9"/>
  <c r="S47" i="9"/>
  <c r="U47" i="9" s="1"/>
  <c r="Q47" i="9"/>
  <c r="P47" i="9"/>
  <c r="O47" i="9"/>
  <c r="N47" i="9"/>
  <c r="M47" i="9"/>
  <c r="G47" i="9"/>
  <c r="F47" i="9"/>
  <c r="L47" i="9" s="1"/>
  <c r="E47" i="9"/>
  <c r="R47" i="9" s="1"/>
  <c r="D47" i="9"/>
  <c r="Y46" i="9"/>
  <c r="X46" i="9"/>
  <c r="W46" i="9"/>
  <c r="V46" i="9"/>
  <c r="S46" i="9"/>
  <c r="Q46" i="9"/>
  <c r="P46" i="9"/>
  <c r="O46" i="9"/>
  <c r="N46" i="9"/>
  <c r="M46" i="9"/>
  <c r="G46" i="9"/>
  <c r="F46" i="9"/>
  <c r="E46" i="9"/>
  <c r="R46" i="9" s="1"/>
  <c r="D46" i="9"/>
  <c r="Y45" i="9"/>
  <c r="X45" i="9"/>
  <c r="W45" i="9"/>
  <c r="V45" i="9"/>
  <c r="S45" i="9"/>
  <c r="Q45" i="9"/>
  <c r="P45" i="9"/>
  <c r="O45" i="9"/>
  <c r="N45" i="9"/>
  <c r="M45" i="9"/>
  <c r="G45" i="9"/>
  <c r="F45" i="9"/>
  <c r="E45" i="9"/>
  <c r="R45" i="9" s="1"/>
  <c r="D45" i="9"/>
  <c r="Y44" i="9"/>
  <c r="X44" i="9"/>
  <c r="W44" i="9"/>
  <c r="V44" i="9"/>
  <c r="S44" i="9"/>
  <c r="U44" i="9" s="1"/>
  <c r="Q44" i="9"/>
  <c r="P44" i="9"/>
  <c r="O44" i="9"/>
  <c r="N44" i="9"/>
  <c r="M44" i="9"/>
  <c r="G44" i="9"/>
  <c r="F44" i="9"/>
  <c r="L44" i="9" s="1"/>
  <c r="E44" i="9"/>
  <c r="R44" i="9" s="1"/>
  <c r="D44" i="9"/>
  <c r="K44" i="9" s="1"/>
  <c r="Y43" i="9"/>
  <c r="X43" i="9"/>
  <c r="W43" i="9"/>
  <c r="V43" i="9"/>
  <c r="S43" i="9"/>
  <c r="Q43" i="9"/>
  <c r="P43" i="9"/>
  <c r="O43" i="9"/>
  <c r="N43" i="9"/>
  <c r="M43" i="9"/>
  <c r="G43" i="9"/>
  <c r="F43" i="9"/>
  <c r="E43" i="9"/>
  <c r="D43" i="9"/>
  <c r="Y42" i="9"/>
  <c r="X42" i="9"/>
  <c r="W42" i="9"/>
  <c r="V42" i="9"/>
  <c r="S42" i="9"/>
  <c r="Q42" i="9"/>
  <c r="P42" i="9"/>
  <c r="O42" i="9"/>
  <c r="N42" i="9"/>
  <c r="M42" i="9"/>
  <c r="G42" i="9"/>
  <c r="F42" i="9"/>
  <c r="E42" i="9"/>
  <c r="R42" i="9" s="1"/>
  <c r="D42" i="9"/>
  <c r="Y41" i="9"/>
  <c r="X41" i="9"/>
  <c r="W41" i="9"/>
  <c r="V41" i="9"/>
  <c r="S41" i="9"/>
  <c r="U41" i="9" s="1"/>
  <c r="Q41" i="9"/>
  <c r="P41" i="9"/>
  <c r="O41" i="9"/>
  <c r="N41" i="9"/>
  <c r="M41" i="9"/>
  <c r="G41" i="9"/>
  <c r="F41" i="9"/>
  <c r="L41" i="9" s="1"/>
  <c r="E41" i="9"/>
  <c r="R41" i="9" s="1"/>
  <c r="D41" i="9"/>
  <c r="Y40" i="9"/>
  <c r="X40" i="9"/>
  <c r="W40" i="9"/>
  <c r="V40" i="9"/>
  <c r="S40" i="9"/>
  <c r="U40" i="9" s="1"/>
  <c r="Q40" i="9"/>
  <c r="P40" i="9"/>
  <c r="O40" i="9"/>
  <c r="N40" i="9"/>
  <c r="M40" i="9"/>
  <c r="G40" i="9"/>
  <c r="F40" i="9"/>
  <c r="L40" i="9" s="1"/>
  <c r="E40" i="9"/>
  <c r="R40" i="9" s="1"/>
  <c r="D40" i="9"/>
  <c r="I40" i="9" s="1"/>
  <c r="Y39" i="9"/>
  <c r="X39" i="9"/>
  <c r="W39" i="9"/>
  <c r="V39" i="9"/>
  <c r="S39" i="9"/>
  <c r="U39" i="9" s="1"/>
  <c r="Q39" i="9"/>
  <c r="P39" i="9"/>
  <c r="O39" i="9"/>
  <c r="N39" i="9"/>
  <c r="M39" i="9"/>
  <c r="G39" i="9"/>
  <c r="F39" i="9"/>
  <c r="L39" i="9" s="1"/>
  <c r="E39" i="9"/>
  <c r="R39" i="9" s="1"/>
  <c r="D39" i="9"/>
  <c r="Y38" i="9"/>
  <c r="X38" i="9"/>
  <c r="W38" i="9"/>
  <c r="V38" i="9"/>
  <c r="S38" i="9"/>
  <c r="U38" i="9" s="1"/>
  <c r="Q38" i="9"/>
  <c r="P38" i="9"/>
  <c r="O38" i="9"/>
  <c r="N38" i="9"/>
  <c r="M38" i="9"/>
  <c r="G38" i="9"/>
  <c r="F38" i="9"/>
  <c r="L38" i="9" s="1"/>
  <c r="E38" i="9"/>
  <c r="R38" i="9" s="1"/>
  <c r="D38" i="9"/>
  <c r="K38" i="9" s="1"/>
  <c r="Y37" i="9"/>
  <c r="X37" i="9"/>
  <c r="W37" i="9"/>
  <c r="V37" i="9"/>
  <c r="S37" i="9"/>
  <c r="Q37" i="9"/>
  <c r="P37" i="9"/>
  <c r="O37" i="9"/>
  <c r="N37" i="9"/>
  <c r="M37" i="9"/>
  <c r="G37" i="9"/>
  <c r="F37" i="9"/>
  <c r="E37" i="9"/>
  <c r="D37" i="9"/>
  <c r="Y36" i="9"/>
  <c r="X36" i="9"/>
  <c r="W36" i="9"/>
  <c r="V36" i="9"/>
  <c r="S36" i="9"/>
  <c r="Q36" i="9"/>
  <c r="P36" i="9"/>
  <c r="O36" i="9"/>
  <c r="N36" i="9"/>
  <c r="M36" i="9"/>
  <c r="G36" i="9"/>
  <c r="F36" i="9"/>
  <c r="E36" i="9"/>
  <c r="R36" i="9" s="1"/>
  <c r="D36" i="9"/>
  <c r="Y35" i="9"/>
  <c r="X35" i="9"/>
  <c r="W35" i="9"/>
  <c r="V35" i="9"/>
  <c r="S35" i="9"/>
  <c r="U35" i="9" s="1"/>
  <c r="Q35" i="9"/>
  <c r="P35" i="9"/>
  <c r="O35" i="9"/>
  <c r="N35" i="9"/>
  <c r="M35" i="9"/>
  <c r="G35" i="9"/>
  <c r="F35" i="9"/>
  <c r="L35" i="9" s="1"/>
  <c r="E35" i="9"/>
  <c r="D35" i="9"/>
  <c r="K35" i="9" s="1"/>
  <c r="Y34" i="9"/>
  <c r="X34" i="9"/>
  <c r="W34" i="9"/>
  <c r="V34" i="9"/>
  <c r="S34" i="9"/>
  <c r="U34" i="9" s="1"/>
  <c r="Q34" i="9"/>
  <c r="P34" i="9"/>
  <c r="O34" i="9"/>
  <c r="N34" i="9"/>
  <c r="M34" i="9"/>
  <c r="G34" i="9"/>
  <c r="F34" i="9"/>
  <c r="L34" i="9" s="1"/>
  <c r="E34" i="9"/>
  <c r="D34" i="9"/>
  <c r="K34" i="9" s="1"/>
  <c r="Y33" i="9"/>
  <c r="X33" i="9"/>
  <c r="W33" i="9"/>
  <c r="V33" i="9"/>
  <c r="S33" i="9"/>
  <c r="U33" i="9" s="1"/>
  <c r="Q33" i="9"/>
  <c r="P33" i="9"/>
  <c r="O33" i="9"/>
  <c r="N33" i="9"/>
  <c r="M33" i="9"/>
  <c r="G33" i="9"/>
  <c r="F33" i="9"/>
  <c r="L33" i="9" s="1"/>
  <c r="E33" i="9"/>
  <c r="R33" i="9" s="1"/>
  <c r="D33" i="9"/>
  <c r="Y32" i="9"/>
  <c r="X32" i="9"/>
  <c r="W32" i="9"/>
  <c r="V32" i="9"/>
  <c r="S32" i="9"/>
  <c r="U32" i="9" s="1"/>
  <c r="Q32" i="9"/>
  <c r="P32" i="9"/>
  <c r="O32" i="9"/>
  <c r="N32" i="9"/>
  <c r="M32" i="9"/>
  <c r="G32" i="9"/>
  <c r="F32" i="9"/>
  <c r="L32" i="9" s="1"/>
  <c r="E32" i="9"/>
  <c r="D32" i="9"/>
  <c r="K32" i="9" s="1"/>
  <c r="Y30" i="9"/>
  <c r="X30" i="9"/>
  <c r="W30" i="9"/>
  <c r="V30" i="9"/>
  <c r="S30" i="9"/>
  <c r="U30" i="9" s="1"/>
  <c r="Q30" i="9"/>
  <c r="P30" i="9"/>
  <c r="O30" i="9"/>
  <c r="N30" i="9"/>
  <c r="M30" i="9"/>
  <c r="G30" i="9"/>
  <c r="F30" i="9"/>
  <c r="L30" i="9" s="1"/>
  <c r="E30" i="9"/>
  <c r="R30" i="9" s="1"/>
  <c r="D30" i="9"/>
  <c r="Y29" i="9"/>
  <c r="X29" i="9"/>
  <c r="W29" i="9"/>
  <c r="V29" i="9"/>
  <c r="S29" i="9"/>
  <c r="Q29" i="9"/>
  <c r="P29" i="9"/>
  <c r="O29" i="9"/>
  <c r="N29" i="9"/>
  <c r="M29" i="9"/>
  <c r="G29" i="9"/>
  <c r="F29" i="9"/>
  <c r="E29" i="9"/>
  <c r="R29" i="9" s="1"/>
  <c r="D29" i="9"/>
  <c r="Y28" i="9"/>
  <c r="X28" i="9"/>
  <c r="W28" i="9"/>
  <c r="V28" i="9"/>
  <c r="S28" i="9"/>
  <c r="U28" i="9" s="1"/>
  <c r="Q28" i="9"/>
  <c r="P28" i="9"/>
  <c r="O28" i="9"/>
  <c r="N28" i="9"/>
  <c r="M28" i="9"/>
  <c r="G28" i="9"/>
  <c r="F28" i="9"/>
  <c r="L28" i="9" s="1"/>
  <c r="E28" i="9"/>
  <c r="D28" i="9"/>
  <c r="K28" i="9" s="1"/>
  <c r="Y27" i="9"/>
  <c r="X27" i="9"/>
  <c r="W27" i="9"/>
  <c r="V27" i="9"/>
  <c r="S27" i="9"/>
  <c r="U27" i="9" s="1"/>
  <c r="Q27" i="9"/>
  <c r="P27" i="9"/>
  <c r="O27" i="9"/>
  <c r="N27" i="9"/>
  <c r="M27" i="9"/>
  <c r="G27" i="9"/>
  <c r="F27" i="9"/>
  <c r="L27" i="9" s="1"/>
  <c r="E27" i="9"/>
  <c r="R27" i="9" s="1"/>
  <c r="D27" i="9"/>
  <c r="Y26" i="9"/>
  <c r="X26" i="9"/>
  <c r="W26" i="9"/>
  <c r="V26" i="9"/>
  <c r="S26" i="9"/>
  <c r="Q26" i="9"/>
  <c r="P26" i="9"/>
  <c r="O26" i="9"/>
  <c r="N26" i="9"/>
  <c r="M26" i="9"/>
  <c r="G26" i="9"/>
  <c r="F26" i="9"/>
  <c r="E26" i="9"/>
  <c r="R26" i="9" s="1"/>
  <c r="D26" i="9"/>
  <c r="Y25" i="9"/>
  <c r="X25" i="9"/>
  <c r="W25" i="9"/>
  <c r="V25" i="9"/>
  <c r="S25" i="9"/>
  <c r="U25" i="9" s="1"/>
  <c r="Q25" i="9"/>
  <c r="P25" i="9"/>
  <c r="O25" i="9"/>
  <c r="N25" i="9"/>
  <c r="M25" i="9"/>
  <c r="G25" i="9"/>
  <c r="F25" i="9"/>
  <c r="L25" i="9" s="1"/>
  <c r="E25" i="9"/>
  <c r="D25" i="9"/>
  <c r="K25" i="9" s="1"/>
  <c r="Y24" i="9"/>
  <c r="X24" i="9"/>
  <c r="W24" i="9"/>
  <c r="V24" i="9"/>
  <c r="S24" i="9"/>
  <c r="U24" i="9" s="1"/>
  <c r="Q24" i="9"/>
  <c r="P24" i="9"/>
  <c r="O24" i="9"/>
  <c r="N24" i="9"/>
  <c r="M24" i="9"/>
  <c r="G24" i="9"/>
  <c r="F24" i="9"/>
  <c r="L24" i="9" s="1"/>
  <c r="E24" i="9"/>
  <c r="R24" i="9" s="1"/>
  <c r="D24" i="9"/>
  <c r="Y23" i="9"/>
  <c r="X23" i="9"/>
  <c r="W23" i="9"/>
  <c r="V23" i="9"/>
  <c r="S23" i="9"/>
  <c r="Q23" i="9"/>
  <c r="P23" i="9"/>
  <c r="O23" i="9"/>
  <c r="N23" i="9"/>
  <c r="M23" i="9"/>
  <c r="G23" i="9"/>
  <c r="F23" i="9"/>
  <c r="E23" i="9"/>
  <c r="R23" i="9" s="1"/>
  <c r="D23" i="9"/>
  <c r="Y22" i="9"/>
  <c r="X22" i="9"/>
  <c r="W22" i="9"/>
  <c r="V22" i="9"/>
  <c r="S22" i="9"/>
  <c r="Q22" i="9"/>
  <c r="P22" i="9"/>
  <c r="O22" i="9"/>
  <c r="N22" i="9"/>
  <c r="M22" i="9"/>
  <c r="G22" i="9"/>
  <c r="F22" i="9"/>
  <c r="E22" i="9"/>
  <c r="D22" i="9"/>
  <c r="Y21" i="9"/>
  <c r="X21" i="9"/>
  <c r="W21" i="9"/>
  <c r="V21" i="9"/>
  <c r="S21" i="9"/>
  <c r="Q21" i="9"/>
  <c r="P21" i="9"/>
  <c r="O21" i="9"/>
  <c r="N21" i="9"/>
  <c r="M21" i="9"/>
  <c r="G21" i="9"/>
  <c r="F21" i="9"/>
  <c r="E21" i="9"/>
  <c r="R21" i="9" s="1"/>
  <c r="D21" i="9"/>
  <c r="Y20" i="9"/>
  <c r="X20" i="9"/>
  <c r="W20" i="9"/>
  <c r="V20" i="9"/>
  <c r="S20" i="9"/>
  <c r="U20" i="9" s="1"/>
  <c r="Q20" i="9"/>
  <c r="P20" i="9"/>
  <c r="O20" i="9"/>
  <c r="N20" i="9"/>
  <c r="M20" i="9"/>
  <c r="G20" i="9"/>
  <c r="F20" i="9"/>
  <c r="L20" i="9" s="1"/>
  <c r="E20" i="9"/>
  <c r="R20" i="9" s="1"/>
  <c r="D20" i="9"/>
  <c r="Y19" i="9"/>
  <c r="X19" i="9"/>
  <c r="W19" i="9"/>
  <c r="V19" i="9"/>
  <c r="S19" i="9"/>
  <c r="U19" i="9" s="1"/>
  <c r="Q19" i="9"/>
  <c r="P19" i="9"/>
  <c r="O19" i="9"/>
  <c r="N19" i="9"/>
  <c r="M19" i="9"/>
  <c r="G19" i="9"/>
  <c r="F19" i="9"/>
  <c r="L19" i="9" s="1"/>
  <c r="E19" i="9"/>
  <c r="D19" i="9"/>
  <c r="I19" i="9" s="1"/>
  <c r="Y18" i="9"/>
  <c r="X18" i="9"/>
  <c r="W18" i="9"/>
  <c r="V18" i="9"/>
  <c r="S18" i="9"/>
  <c r="Q18" i="9"/>
  <c r="P18" i="9"/>
  <c r="O18" i="9"/>
  <c r="N18" i="9"/>
  <c r="M18" i="9"/>
  <c r="G18" i="9"/>
  <c r="F18" i="9"/>
  <c r="L18" i="9" s="1"/>
  <c r="E18" i="9"/>
  <c r="R18" i="9" s="1"/>
  <c r="D18" i="9"/>
  <c r="Y17" i="9"/>
  <c r="X17" i="9"/>
  <c r="W17" i="9"/>
  <c r="V17" i="9"/>
  <c r="S17" i="9"/>
  <c r="U17" i="9" s="1"/>
  <c r="Q17" i="9"/>
  <c r="P17" i="9"/>
  <c r="O17" i="9"/>
  <c r="N17" i="9"/>
  <c r="M17" i="9"/>
  <c r="G17" i="9"/>
  <c r="F17" i="9"/>
  <c r="L17" i="9" s="1"/>
  <c r="E17" i="9"/>
  <c r="R17" i="9" s="1"/>
  <c r="D17" i="9"/>
  <c r="Y16" i="9"/>
  <c r="X16" i="9"/>
  <c r="W16" i="9"/>
  <c r="V16" i="9"/>
  <c r="S16" i="9"/>
  <c r="Q16" i="9"/>
  <c r="P16" i="9"/>
  <c r="O16" i="9"/>
  <c r="N16" i="9"/>
  <c r="M16" i="9"/>
  <c r="G16" i="9"/>
  <c r="F16" i="9"/>
  <c r="E16" i="9"/>
  <c r="R16" i="9" s="1"/>
  <c r="D16" i="9"/>
  <c r="Y15" i="9"/>
  <c r="X15" i="9"/>
  <c r="W15" i="9"/>
  <c r="V15" i="9"/>
  <c r="S15" i="9"/>
  <c r="U15" i="9" s="1"/>
  <c r="Q15" i="9"/>
  <c r="P15" i="9"/>
  <c r="O15" i="9"/>
  <c r="N15" i="9"/>
  <c r="M15" i="9"/>
  <c r="G15" i="9"/>
  <c r="F15" i="9"/>
  <c r="L15" i="9" s="1"/>
  <c r="E15" i="9"/>
  <c r="R15" i="9" s="1"/>
  <c r="D15" i="9"/>
  <c r="Y14" i="9"/>
  <c r="X14" i="9"/>
  <c r="W14" i="9"/>
  <c r="V14" i="9"/>
  <c r="S14" i="9"/>
  <c r="Q14" i="9"/>
  <c r="P14" i="9"/>
  <c r="O14" i="9"/>
  <c r="N14" i="9"/>
  <c r="M14" i="9"/>
  <c r="G14" i="9"/>
  <c r="F14" i="9"/>
  <c r="E14" i="9"/>
  <c r="D14" i="9"/>
  <c r="U12" i="9"/>
  <c r="I12" i="9"/>
  <c r="H12" i="9"/>
  <c r="R11" i="9"/>
  <c r="H11" i="9"/>
  <c r="D11" i="9"/>
  <c r="Q10" i="9"/>
  <c r="Q9" i="9" s="1"/>
  <c r="P10" i="9"/>
  <c r="J10" i="9" s="1"/>
  <c r="J9" i="9" s="1"/>
  <c r="G10" i="9"/>
  <c r="F10" i="9"/>
  <c r="F9" i="9" s="1"/>
  <c r="E10" i="9"/>
  <c r="D10" i="9"/>
  <c r="R116" i="8"/>
  <c r="J116" i="8"/>
  <c r="H116" i="8" s="1"/>
  <c r="I116" i="8"/>
  <c r="C116" i="8"/>
  <c r="R115" i="8"/>
  <c r="J115" i="8"/>
  <c r="H115" i="8" s="1"/>
  <c r="I115" i="8"/>
  <c r="C115" i="8"/>
  <c r="R114" i="8"/>
  <c r="J114" i="8"/>
  <c r="I114" i="8"/>
  <c r="H114" i="8"/>
  <c r="C114" i="8"/>
  <c r="R113" i="8"/>
  <c r="J113" i="8"/>
  <c r="H113" i="8" s="1"/>
  <c r="I113" i="8"/>
  <c r="C113" i="8"/>
  <c r="R112" i="8"/>
  <c r="J112" i="8"/>
  <c r="I112" i="8"/>
  <c r="H112" i="8"/>
  <c r="C112" i="8"/>
  <c r="R111" i="8"/>
  <c r="J111" i="8"/>
  <c r="I111" i="8"/>
  <c r="H111" i="8"/>
  <c r="C111" i="8"/>
  <c r="R110" i="8"/>
  <c r="J110" i="8"/>
  <c r="I110" i="8"/>
  <c r="C110" i="8"/>
  <c r="R109" i="8"/>
  <c r="J109" i="8"/>
  <c r="H109" i="8" s="1"/>
  <c r="I109" i="8"/>
  <c r="C109" i="8"/>
  <c r="R108" i="8"/>
  <c r="J108" i="8"/>
  <c r="I108" i="8"/>
  <c r="H108" i="8"/>
  <c r="C108" i="8"/>
  <c r="R107" i="8"/>
  <c r="J107" i="8"/>
  <c r="I107" i="8"/>
  <c r="H107" i="8"/>
  <c r="C107" i="8"/>
  <c r="R106" i="8"/>
  <c r="J106" i="8"/>
  <c r="I106" i="8"/>
  <c r="H106" i="8"/>
  <c r="C106" i="8"/>
  <c r="R105" i="8"/>
  <c r="J105" i="8"/>
  <c r="I105" i="8"/>
  <c r="H105" i="8"/>
  <c r="C105" i="8"/>
  <c r="R104" i="8"/>
  <c r="I104" i="8"/>
  <c r="C104" i="8"/>
  <c r="R103" i="8"/>
  <c r="J103" i="8"/>
  <c r="H103" i="8" s="1"/>
  <c r="I103" i="8"/>
  <c r="C103" i="8"/>
  <c r="R102" i="8"/>
  <c r="J102" i="8"/>
  <c r="H102" i="8" s="1"/>
  <c r="I102" i="8"/>
  <c r="C102" i="8"/>
  <c r="R101" i="8"/>
  <c r="J101" i="8"/>
  <c r="H101" i="8" s="1"/>
  <c r="I101" i="8"/>
  <c r="C101" i="8"/>
  <c r="R100" i="8"/>
  <c r="J100" i="8"/>
  <c r="H100" i="8" s="1"/>
  <c r="I100" i="8"/>
  <c r="C100" i="8"/>
  <c r="R99" i="8"/>
  <c r="J99" i="8"/>
  <c r="H99" i="8" s="1"/>
  <c r="I99" i="8"/>
  <c r="C99" i="8"/>
  <c r="R98" i="8"/>
  <c r="J98" i="8"/>
  <c r="H98" i="8" s="1"/>
  <c r="I98" i="8"/>
  <c r="C98" i="8"/>
  <c r="R97" i="8"/>
  <c r="J97" i="8"/>
  <c r="H97" i="8" s="1"/>
  <c r="I97" i="8"/>
  <c r="C97" i="8"/>
  <c r="R96" i="8"/>
  <c r="J96" i="8"/>
  <c r="H96" i="8" s="1"/>
  <c r="I96" i="8"/>
  <c r="C96" i="8"/>
  <c r="R95" i="8"/>
  <c r="J95" i="8"/>
  <c r="H95" i="8" s="1"/>
  <c r="I95" i="8"/>
  <c r="C95" i="8"/>
  <c r="A95" i="8"/>
  <c r="A96" i="8" s="1"/>
  <c r="A97" i="8" s="1"/>
  <c r="A98" i="8" s="1"/>
  <c r="A99" i="8" s="1"/>
  <c r="A100" i="8" s="1"/>
  <c r="A101" i="8" s="1"/>
  <c r="A102" i="8" s="1"/>
  <c r="A103" i="8" s="1"/>
  <c r="R94" i="8"/>
  <c r="J94" i="8"/>
  <c r="H94" i="8" s="1"/>
  <c r="I94" i="8"/>
  <c r="C94" i="8"/>
  <c r="A94" i="8"/>
  <c r="R93" i="8"/>
  <c r="J93" i="8"/>
  <c r="H93" i="8" s="1"/>
  <c r="I93" i="8"/>
  <c r="C93" i="8"/>
  <c r="A93" i="8"/>
  <c r="R92" i="8"/>
  <c r="J92" i="8"/>
  <c r="H92" i="8" s="1"/>
  <c r="I92" i="8"/>
  <c r="C92" i="8"/>
  <c r="R91" i="8"/>
  <c r="J91" i="8"/>
  <c r="I91" i="8"/>
  <c r="H91" i="8"/>
  <c r="C91" i="8"/>
  <c r="R90" i="8"/>
  <c r="J90" i="8"/>
  <c r="I90" i="8"/>
  <c r="C90" i="8"/>
  <c r="C89" i="8" s="1"/>
  <c r="R89" i="8"/>
  <c r="I89" i="8"/>
  <c r="BV88" i="8"/>
  <c r="BU88" i="8"/>
  <c r="BT88" i="8"/>
  <c r="BS88" i="8"/>
  <c r="BR88" i="8"/>
  <c r="BQ88" i="8"/>
  <c r="BO88" i="8"/>
  <c r="BN88" i="8"/>
  <c r="BP88" i="8" s="1"/>
  <c r="BM88" i="8"/>
  <c r="BL88" i="8"/>
  <c r="BK88" i="8"/>
  <c r="BJ88" i="8"/>
  <c r="BI88" i="8"/>
  <c r="BH88" i="8"/>
  <c r="BG88" i="8"/>
  <c r="BF88" i="8"/>
  <c r="BE88" i="8"/>
  <c r="BD88" i="8"/>
  <c r="BB88" i="8"/>
  <c r="AZ88" i="8"/>
  <c r="AY88" i="8"/>
  <c r="BC88" i="8" s="1"/>
  <c r="AX88" i="8"/>
  <c r="BA88" i="8" s="1"/>
  <c r="AV88" i="8"/>
  <c r="AU88" i="8"/>
  <c r="AT88" i="8"/>
  <c r="AS88" i="8"/>
  <c r="AW88" i="8" s="1"/>
  <c r="AR88" i="8"/>
  <c r="AQ88" i="8"/>
  <c r="AP88" i="8"/>
  <c r="AO88" i="8"/>
  <c r="AN88" i="8"/>
  <c r="AM88" i="8"/>
  <c r="AL88" i="8"/>
  <c r="AK88" i="8"/>
  <c r="AI88" i="8"/>
  <c r="AH88" i="8"/>
  <c r="AJ88" i="8" s="1"/>
  <c r="AG88" i="8"/>
  <c r="AF88" i="8"/>
  <c r="AE88" i="8"/>
  <c r="AD88" i="8"/>
  <c r="AC88" i="8"/>
  <c r="AB88" i="8"/>
  <c r="Z88" i="8"/>
  <c r="Y88" i="8"/>
  <c r="AA88" i="8" s="1"/>
  <c r="W88" i="8"/>
  <c r="V88" i="8"/>
  <c r="X88" i="8" s="1"/>
  <c r="T88" i="8"/>
  <c r="S88" i="8"/>
  <c r="U88" i="8" s="1"/>
  <c r="Q88" i="8"/>
  <c r="P88" i="8"/>
  <c r="O88" i="8"/>
  <c r="N88" i="8"/>
  <c r="M88" i="8"/>
  <c r="G88" i="8"/>
  <c r="F88" i="8"/>
  <c r="L88" i="8" s="1"/>
  <c r="E88" i="8"/>
  <c r="D88" i="8"/>
  <c r="K88" i="8" s="1"/>
  <c r="BV87" i="8"/>
  <c r="BU87" i="8"/>
  <c r="BT87" i="8"/>
  <c r="BS87" i="8"/>
  <c r="BR87" i="8"/>
  <c r="BQ87" i="8"/>
  <c r="BO87" i="8"/>
  <c r="BN87" i="8"/>
  <c r="BP87" i="8" s="1"/>
  <c r="BM87" i="8"/>
  <c r="BL87" i="8"/>
  <c r="BK87" i="8"/>
  <c r="BJ87" i="8"/>
  <c r="BI87" i="8"/>
  <c r="BH87" i="8"/>
  <c r="BG87" i="8"/>
  <c r="BF87" i="8"/>
  <c r="BE87" i="8"/>
  <c r="BD87" i="8"/>
  <c r="BB87" i="8"/>
  <c r="AZ87" i="8"/>
  <c r="AY87" i="8"/>
  <c r="BC87" i="8" s="1"/>
  <c r="AX87" i="8"/>
  <c r="BA87" i="8" s="1"/>
  <c r="AV87" i="8"/>
  <c r="AU87" i="8"/>
  <c r="AT87" i="8"/>
  <c r="AS87" i="8"/>
  <c r="AW87" i="8" s="1"/>
  <c r="AR87" i="8"/>
  <c r="AQ87" i="8"/>
  <c r="AP87" i="8"/>
  <c r="AO87" i="8"/>
  <c r="AN87" i="8"/>
  <c r="AM87" i="8"/>
  <c r="AL87" i="8"/>
  <c r="AK87" i="8"/>
  <c r="AI87" i="8"/>
  <c r="AH87" i="8"/>
  <c r="AJ87" i="8" s="1"/>
  <c r="AG87" i="8"/>
  <c r="AF87" i="8"/>
  <c r="AE87" i="8"/>
  <c r="AD87" i="8"/>
  <c r="AC87" i="8"/>
  <c r="AB87" i="8"/>
  <c r="Z87" i="8"/>
  <c r="Y87" i="8"/>
  <c r="AA87" i="8" s="1"/>
  <c r="W87" i="8"/>
  <c r="V87" i="8"/>
  <c r="X87" i="8" s="1"/>
  <c r="T87" i="8"/>
  <c r="S87" i="8"/>
  <c r="U87" i="8" s="1"/>
  <c r="Q87" i="8"/>
  <c r="P87" i="8"/>
  <c r="O87" i="8"/>
  <c r="N87" i="8"/>
  <c r="M87" i="8"/>
  <c r="G87" i="8"/>
  <c r="F87" i="8"/>
  <c r="L87" i="8" s="1"/>
  <c r="E87" i="8"/>
  <c r="R87" i="8" s="1"/>
  <c r="D87" i="8"/>
  <c r="BV86" i="8"/>
  <c r="BU86" i="8"/>
  <c r="BT86" i="8"/>
  <c r="BS86" i="8"/>
  <c r="BR86" i="8"/>
  <c r="BQ86" i="8"/>
  <c r="BO86" i="8"/>
  <c r="BN86" i="8"/>
  <c r="BP86" i="8" s="1"/>
  <c r="BM86" i="8"/>
  <c r="BL86" i="8"/>
  <c r="BK86" i="8"/>
  <c r="BJ86" i="8"/>
  <c r="BI86" i="8"/>
  <c r="BH86" i="8"/>
  <c r="BG86" i="8"/>
  <c r="BF86" i="8"/>
  <c r="BE86" i="8"/>
  <c r="BD86" i="8"/>
  <c r="BB86" i="8"/>
  <c r="AZ86" i="8"/>
  <c r="AY86" i="8"/>
  <c r="BC86" i="8" s="1"/>
  <c r="AX86" i="8"/>
  <c r="BA86" i="8" s="1"/>
  <c r="AV86" i="8"/>
  <c r="AU86" i="8"/>
  <c r="AT86" i="8"/>
  <c r="AS86" i="8"/>
  <c r="AW86" i="8" s="1"/>
  <c r="AR86" i="8"/>
  <c r="AQ86" i="8"/>
  <c r="AP86" i="8"/>
  <c r="AO86" i="8"/>
  <c r="AN86" i="8"/>
  <c r="AM86" i="8"/>
  <c r="AL86" i="8"/>
  <c r="AK86" i="8"/>
  <c r="AI86" i="8"/>
  <c r="AH86" i="8"/>
  <c r="AJ86" i="8" s="1"/>
  <c r="AG86" i="8"/>
  <c r="AF86" i="8"/>
  <c r="AE86" i="8"/>
  <c r="AD86" i="8"/>
  <c r="AC86" i="8"/>
  <c r="AB86" i="8"/>
  <c r="Z86" i="8"/>
  <c r="Y86" i="8"/>
  <c r="AA86" i="8" s="1"/>
  <c r="W86" i="8"/>
  <c r="V86" i="8"/>
  <c r="X86" i="8" s="1"/>
  <c r="T86" i="8"/>
  <c r="S86" i="8"/>
  <c r="U86" i="8" s="1"/>
  <c r="Q86" i="8"/>
  <c r="P86" i="8"/>
  <c r="O86" i="8"/>
  <c r="N86" i="8"/>
  <c r="M86" i="8"/>
  <c r="G86" i="8"/>
  <c r="F86" i="8"/>
  <c r="L86" i="8" s="1"/>
  <c r="E86" i="8"/>
  <c r="R86" i="8" s="1"/>
  <c r="D86" i="8"/>
  <c r="BV85" i="8"/>
  <c r="BU85" i="8"/>
  <c r="BT85" i="8"/>
  <c r="BS85" i="8"/>
  <c r="BR85" i="8"/>
  <c r="BQ85" i="8"/>
  <c r="BO85" i="8"/>
  <c r="BN85" i="8"/>
  <c r="BP85" i="8" s="1"/>
  <c r="BM85" i="8"/>
  <c r="BL85" i="8"/>
  <c r="BK85" i="8"/>
  <c r="BJ85" i="8"/>
  <c r="BI85" i="8"/>
  <c r="BH85" i="8"/>
  <c r="BG85" i="8"/>
  <c r="BF85" i="8"/>
  <c r="BE85" i="8"/>
  <c r="BD85" i="8"/>
  <c r="BB85" i="8"/>
  <c r="AZ85" i="8"/>
  <c r="AY85" i="8"/>
  <c r="BC85" i="8" s="1"/>
  <c r="AX85" i="8"/>
  <c r="BA85" i="8" s="1"/>
  <c r="AV85" i="8"/>
  <c r="AU85" i="8"/>
  <c r="AT85" i="8"/>
  <c r="AS85" i="8"/>
  <c r="AW85" i="8" s="1"/>
  <c r="AR85" i="8"/>
  <c r="AQ85" i="8"/>
  <c r="AP85" i="8"/>
  <c r="AO85" i="8"/>
  <c r="AN85" i="8"/>
  <c r="AM85" i="8"/>
  <c r="AL85" i="8"/>
  <c r="AK85" i="8"/>
  <c r="AI85" i="8"/>
  <c r="AH85" i="8"/>
  <c r="AJ85" i="8" s="1"/>
  <c r="AG85" i="8"/>
  <c r="AF85" i="8"/>
  <c r="AE85" i="8"/>
  <c r="AD85" i="8"/>
  <c r="AC85" i="8"/>
  <c r="AB85" i="8"/>
  <c r="Z85" i="8"/>
  <c r="Y85" i="8"/>
  <c r="AA85" i="8" s="1"/>
  <c r="W85" i="8"/>
  <c r="V85" i="8"/>
  <c r="X85" i="8" s="1"/>
  <c r="T85" i="8"/>
  <c r="S85" i="8"/>
  <c r="U85" i="8" s="1"/>
  <c r="Q85" i="8"/>
  <c r="P85" i="8"/>
  <c r="O85" i="8"/>
  <c r="N85" i="8"/>
  <c r="M85" i="8"/>
  <c r="G85" i="8"/>
  <c r="F85" i="8"/>
  <c r="L85" i="8" s="1"/>
  <c r="E85" i="8"/>
  <c r="D85" i="8"/>
  <c r="K85" i="8" s="1"/>
  <c r="BV84" i="8"/>
  <c r="BU84" i="8"/>
  <c r="BT84" i="8"/>
  <c r="BS84" i="8"/>
  <c r="BR84" i="8"/>
  <c r="BQ84" i="8"/>
  <c r="BO84" i="8"/>
  <c r="BN84" i="8"/>
  <c r="BP84" i="8" s="1"/>
  <c r="BM84" i="8"/>
  <c r="BL84" i="8"/>
  <c r="BK84" i="8"/>
  <c r="BJ84" i="8"/>
  <c r="BI84" i="8"/>
  <c r="BH84" i="8"/>
  <c r="BG84" i="8"/>
  <c r="BF84" i="8"/>
  <c r="BE84" i="8"/>
  <c r="BD84" i="8"/>
  <c r="BB84" i="8"/>
  <c r="AZ84" i="8"/>
  <c r="AY84" i="8"/>
  <c r="BC84" i="8" s="1"/>
  <c r="AX84" i="8"/>
  <c r="BA84" i="8" s="1"/>
  <c r="AV84" i="8"/>
  <c r="AU84" i="8"/>
  <c r="AT84" i="8"/>
  <c r="AS84" i="8"/>
  <c r="AW84" i="8" s="1"/>
  <c r="AR84" i="8"/>
  <c r="AQ84" i="8"/>
  <c r="AP84" i="8"/>
  <c r="AO84" i="8"/>
  <c r="AN84" i="8"/>
  <c r="AM84" i="8"/>
  <c r="AL84" i="8"/>
  <c r="AK84" i="8"/>
  <c r="AI84" i="8"/>
  <c r="AH84" i="8"/>
  <c r="AJ84" i="8" s="1"/>
  <c r="AG84" i="8"/>
  <c r="AF84" i="8"/>
  <c r="AE84" i="8"/>
  <c r="AD84" i="8"/>
  <c r="AC84" i="8"/>
  <c r="AB84" i="8"/>
  <c r="Z84" i="8"/>
  <c r="Y84" i="8"/>
  <c r="AA84" i="8" s="1"/>
  <c r="W84" i="8"/>
  <c r="V84" i="8"/>
  <c r="X84" i="8" s="1"/>
  <c r="T84" i="8"/>
  <c r="S84" i="8"/>
  <c r="U84" i="8" s="1"/>
  <c r="Q84" i="8"/>
  <c r="P84" i="8"/>
  <c r="O84" i="8"/>
  <c r="N84" i="8"/>
  <c r="M84" i="8"/>
  <c r="G84" i="8"/>
  <c r="F84" i="8"/>
  <c r="L84" i="8" s="1"/>
  <c r="E84" i="8"/>
  <c r="R84" i="8" s="1"/>
  <c r="D84" i="8"/>
  <c r="K84" i="8" s="1"/>
  <c r="BV83" i="8"/>
  <c r="BU83" i="8"/>
  <c r="BT83" i="8"/>
  <c r="BS83" i="8"/>
  <c r="BR83" i="8"/>
  <c r="BQ83" i="8"/>
  <c r="BO83" i="8"/>
  <c r="BN83" i="8"/>
  <c r="BP83" i="8" s="1"/>
  <c r="BM83" i="8"/>
  <c r="BL83" i="8"/>
  <c r="BK83" i="8"/>
  <c r="BJ83" i="8"/>
  <c r="BI83" i="8"/>
  <c r="BH83" i="8"/>
  <c r="BG83" i="8"/>
  <c r="BF83" i="8"/>
  <c r="BE83" i="8"/>
  <c r="BD83" i="8"/>
  <c r="BB83" i="8"/>
  <c r="AZ83" i="8"/>
  <c r="AY83" i="8"/>
  <c r="BC83" i="8" s="1"/>
  <c r="AX83" i="8"/>
  <c r="BA83" i="8" s="1"/>
  <c r="AV83" i="8"/>
  <c r="AU83" i="8"/>
  <c r="AT83" i="8"/>
  <c r="AS83" i="8"/>
  <c r="AW83" i="8" s="1"/>
  <c r="AR83" i="8"/>
  <c r="AQ83" i="8"/>
  <c r="AP83" i="8"/>
  <c r="AO83" i="8"/>
  <c r="AN83" i="8"/>
  <c r="AM83" i="8"/>
  <c r="AL83" i="8"/>
  <c r="AK83" i="8"/>
  <c r="AI83" i="8"/>
  <c r="AH83" i="8"/>
  <c r="AJ83" i="8" s="1"/>
  <c r="AG83" i="8"/>
  <c r="AF83" i="8"/>
  <c r="AE83" i="8"/>
  <c r="AD83" i="8"/>
  <c r="AC83" i="8"/>
  <c r="AB83" i="8"/>
  <c r="Z83" i="8"/>
  <c r="Y83" i="8"/>
  <c r="AA83" i="8" s="1"/>
  <c r="W83" i="8"/>
  <c r="V83" i="8"/>
  <c r="X83" i="8" s="1"/>
  <c r="T83" i="8"/>
  <c r="S83" i="8"/>
  <c r="U83" i="8" s="1"/>
  <c r="Q83" i="8"/>
  <c r="P83" i="8"/>
  <c r="O83" i="8"/>
  <c r="N83" i="8"/>
  <c r="M83" i="8"/>
  <c r="G83" i="8"/>
  <c r="F83" i="8"/>
  <c r="L83" i="8" s="1"/>
  <c r="E83" i="8"/>
  <c r="R83" i="8" s="1"/>
  <c r="D83" i="8"/>
  <c r="K83" i="8" s="1"/>
  <c r="BV82" i="8"/>
  <c r="BU82" i="8"/>
  <c r="BT82" i="8"/>
  <c r="BS82" i="8"/>
  <c r="BR82" i="8"/>
  <c r="BQ82" i="8"/>
  <c r="BO82" i="8"/>
  <c r="BN82" i="8"/>
  <c r="BP82" i="8" s="1"/>
  <c r="BM82" i="8"/>
  <c r="BL82" i="8"/>
  <c r="BK82" i="8"/>
  <c r="BJ82" i="8"/>
  <c r="BI82" i="8"/>
  <c r="BH82" i="8"/>
  <c r="BG82" i="8"/>
  <c r="BF82" i="8"/>
  <c r="BE82" i="8"/>
  <c r="BD82" i="8"/>
  <c r="BB82" i="8"/>
  <c r="AZ82" i="8"/>
  <c r="AY82" i="8"/>
  <c r="BC82" i="8" s="1"/>
  <c r="AX82" i="8"/>
  <c r="BA82" i="8" s="1"/>
  <c r="AV82" i="8"/>
  <c r="AU82" i="8"/>
  <c r="AT82" i="8"/>
  <c r="AS82" i="8"/>
  <c r="AW82" i="8" s="1"/>
  <c r="AR82" i="8"/>
  <c r="AQ82" i="8"/>
  <c r="AP82" i="8"/>
  <c r="AO82" i="8"/>
  <c r="AN82" i="8"/>
  <c r="AM82" i="8"/>
  <c r="AL82" i="8"/>
  <c r="AK82" i="8"/>
  <c r="AI82" i="8"/>
  <c r="AH82" i="8"/>
  <c r="AJ82" i="8" s="1"/>
  <c r="AG82" i="8"/>
  <c r="AF82" i="8"/>
  <c r="AE82" i="8"/>
  <c r="AD82" i="8"/>
  <c r="AC82" i="8"/>
  <c r="AB82" i="8"/>
  <c r="Z82" i="8"/>
  <c r="Y82" i="8"/>
  <c r="AA82" i="8" s="1"/>
  <c r="W82" i="8"/>
  <c r="V82" i="8"/>
  <c r="X82" i="8" s="1"/>
  <c r="T82" i="8"/>
  <c r="S82" i="8"/>
  <c r="U82" i="8" s="1"/>
  <c r="Q82" i="8"/>
  <c r="P82" i="8"/>
  <c r="O82" i="8"/>
  <c r="N82" i="8"/>
  <c r="M82" i="8"/>
  <c r="G82" i="8"/>
  <c r="F82" i="8"/>
  <c r="L82" i="8" s="1"/>
  <c r="E82" i="8"/>
  <c r="D82" i="8"/>
  <c r="K82" i="8" s="1"/>
  <c r="BV81" i="8"/>
  <c r="BU81" i="8"/>
  <c r="BT81" i="8"/>
  <c r="BS81" i="8"/>
  <c r="BR81" i="8"/>
  <c r="BQ81" i="8"/>
  <c r="BO81" i="8"/>
  <c r="BN81" i="8"/>
  <c r="BP81" i="8" s="1"/>
  <c r="BM81" i="8"/>
  <c r="BL81" i="8"/>
  <c r="BK81" i="8"/>
  <c r="BJ81" i="8"/>
  <c r="BI81" i="8"/>
  <c r="BH81" i="8"/>
  <c r="BG81" i="8"/>
  <c r="BF81" i="8"/>
  <c r="BE81" i="8"/>
  <c r="BD81" i="8"/>
  <c r="BB81" i="8"/>
  <c r="AZ81" i="8"/>
  <c r="AY81" i="8"/>
  <c r="BC81" i="8" s="1"/>
  <c r="AX81" i="8"/>
  <c r="BA81" i="8" s="1"/>
  <c r="AV81" i="8"/>
  <c r="AU81" i="8"/>
  <c r="AT81" i="8"/>
  <c r="AS81" i="8"/>
  <c r="AW81" i="8" s="1"/>
  <c r="AR81" i="8"/>
  <c r="AQ81" i="8"/>
  <c r="AP81" i="8"/>
  <c r="AO81" i="8"/>
  <c r="AN81" i="8"/>
  <c r="AM81" i="8"/>
  <c r="AL81" i="8"/>
  <c r="AK81" i="8"/>
  <c r="AI81" i="8"/>
  <c r="AH81" i="8"/>
  <c r="AJ81" i="8" s="1"/>
  <c r="AG81" i="8"/>
  <c r="AF81" i="8"/>
  <c r="AE81" i="8"/>
  <c r="AD81" i="8"/>
  <c r="AC81" i="8"/>
  <c r="AB81" i="8"/>
  <c r="Z81" i="8"/>
  <c r="Y81" i="8"/>
  <c r="W81" i="8"/>
  <c r="V81" i="8"/>
  <c r="X81" i="8" s="1"/>
  <c r="T81" i="8"/>
  <c r="S81" i="8"/>
  <c r="U81" i="8" s="1"/>
  <c r="Q81" i="8"/>
  <c r="P81" i="8"/>
  <c r="O81" i="8"/>
  <c r="N81" i="8"/>
  <c r="M81" i="8"/>
  <c r="G81" i="8"/>
  <c r="F81" i="8"/>
  <c r="E81" i="8"/>
  <c r="R81" i="8" s="1"/>
  <c r="D81" i="8"/>
  <c r="BV80" i="8"/>
  <c r="BU80" i="8"/>
  <c r="BT80" i="8"/>
  <c r="BS80" i="8"/>
  <c r="BR80" i="8"/>
  <c r="BQ80" i="8"/>
  <c r="BO80" i="8"/>
  <c r="BN80" i="8"/>
  <c r="BP80" i="8" s="1"/>
  <c r="BM80" i="8"/>
  <c r="BL80" i="8"/>
  <c r="BK80" i="8"/>
  <c r="BJ80" i="8"/>
  <c r="BI80" i="8"/>
  <c r="BH80" i="8"/>
  <c r="BG80" i="8"/>
  <c r="BF80" i="8"/>
  <c r="BE80" i="8"/>
  <c r="BD80" i="8"/>
  <c r="BB80" i="8"/>
  <c r="AZ80" i="8"/>
  <c r="AY80" i="8"/>
  <c r="AX80" i="8"/>
  <c r="AV80" i="8"/>
  <c r="AU80" i="8"/>
  <c r="AT80" i="8"/>
  <c r="AS80" i="8"/>
  <c r="AW80" i="8" s="1"/>
  <c r="AR80" i="8"/>
  <c r="AQ80" i="8"/>
  <c r="AP80" i="8"/>
  <c r="AO80" i="8"/>
  <c r="AN80" i="8"/>
  <c r="AM80" i="8"/>
  <c r="AL80" i="8"/>
  <c r="AK80" i="8"/>
  <c r="AI80" i="8"/>
  <c r="AH80" i="8"/>
  <c r="AJ80" i="8" s="1"/>
  <c r="AG80" i="8"/>
  <c r="AF80" i="8"/>
  <c r="AE80" i="8"/>
  <c r="AD80" i="8"/>
  <c r="AC80" i="8"/>
  <c r="AB80" i="8"/>
  <c r="Z80" i="8"/>
  <c r="Y80" i="8"/>
  <c r="AA80" i="8" s="1"/>
  <c r="W80" i="8"/>
  <c r="V80" i="8"/>
  <c r="T80" i="8"/>
  <c r="S80" i="8"/>
  <c r="U80" i="8" s="1"/>
  <c r="Q80" i="8"/>
  <c r="P80" i="8"/>
  <c r="O80" i="8"/>
  <c r="N80" i="8"/>
  <c r="M80" i="8"/>
  <c r="G80" i="8"/>
  <c r="F80" i="8"/>
  <c r="E80" i="8"/>
  <c r="R80" i="8" s="1"/>
  <c r="D80" i="8"/>
  <c r="BV79" i="8"/>
  <c r="BU79" i="8"/>
  <c r="BT79" i="8"/>
  <c r="BS79" i="8"/>
  <c r="BR79" i="8"/>
  <c r="BQ79" i="8"/>
  <c r="BO79" i="8"/>
  <c r="BN79" i="8"/>
  <c r="BP79" i="8" s="1"/>
  <c r="BM79" i="8"/>
  <c r="BL79" i="8"/>
  <c r="BK79" i="8"/>
  <c r="BJ79" i="8"/>
  <c r="BI79" i="8"/>
  <c r="BH79" i="8"/>
  <c r="BG79" i="8"/>
  <c r="BF79" i="8"/>
  <c r="BE79" i="8"/>
  <c r="BD79" i="8"/>
  <c r="BB79" i="8"/>
  <c r="AZ79" i="8"/>
  <c r="AY79" i="8"/>
  <c r="BC79" i="8" s="1"/>
  <c r="AX79" i="8"/>
  <c r="BA79" i="8" s="1"/>
  <c r="AV79" i="8"/>
  <c r="AU79" i="8"/>
  <c r="AT79" i="8"/>
  <c r="AS79" i="8"/>
  <c r="AW79" i="8" s="1"/>
  <c r="AR79" i="8"/>
  <c r="AQ79" i="8"/>
  <c r="AP79" i="8"/>
  <c r="AO79" i="8"/>
  <c r="AN79" i="8"/>
  <c r="AM79" i="8"/>
  <c r="AL79" i="8"/>
  <c r="AK79" i="8"/>
  <c r="AI79" i="8"/>
  <c r="AH79" i="8"/>
  <c r="AJ79" i="8" s="1"/>
  <c r="AG79" i="8"/>
  <c r="AF79" i="8"/>
  <c r="AE79" i="8"/>
  <c r="AD79" i="8"/>
  <c r="AC79" i="8"/>
  <c r="AB79" i="8"/>
  <c r="Z79" i="8"/>
  <c r="Y79" i="8"/>
  <c r="AA79" i="8" s="1"/>
  <c r="W79" i="8"/>
  <c r="V79" i="8"/>
  <c r="T79" i="8"/>
  <c r="S79" i="8"/>
  <c r="Q79" i="8"/>
  <c r="P79" i="8"/>
  <c r="O79" i="8"/>
  <c r="N79" i="8"/>
  <c r="M79" i="8"/>
  <c r="G79" i="8"/>
  <c r="F79" i="8"/>
  <c r="E79" i="8"/>
  <c r="D79" i="8"/>
  <c r="BV78" i="8"/>
  <c r="BU78" i="8"/>
  <c r="BT78" i="8"/>
  <c r="BS78" i="8"/>
  <c r="BR78" i="8"/>
  <c r="BQ78" i="8"/>
  <c r="BO78" i="8"/>
  <c r="BN78" i="8"/>
  <c r="BP78" i="8" s="1"/>
  <c r="BM78" i="8"/>
  <c r="BL78" i="8"/>
  <c r="BK78" i="8"/>
  <c r="BJ78" i="8"/>
  <c r="BI78" i="8"/>
  <c r="BH78" i="8"/>
  <c r="BG78" i="8"/>
  <c r="BF78" i="8"/>
  <c r="BE78" i="8"/>
  <c r="BD78" i="8"/>
  <c r="BB78" i="8"/>
  <c r="AZ78" i="8"/>
  <c r="AY78" i="8"/>
  <c r="BC78" i="8" s="1"/>
  <c r="AX78" i="8"/>
  <c r="BA78" i="8" s="1"/>
  <c r="AV78" i="8"/>
  <c r="AU78" i="8"/>
  <c r="AT78" i="8"/>
  <c r="AS78" i="8"/>
  <c r="AW78" i="8" s="1"/>
  <c r="AR78" i="8"/>
  <c r="AQ78" i="8"/>
  <c r="AP78" i="8"/>
  <c r="AO78" i="8"/>
  <c r="AN78" i="8"/>
  <c r="AM78" i="8"/>
  <c r="AL78" i="8"/>
  <c r="AK78" i="8"/>
  <c r="AI78" i="8"/>
  <c r="AH78" i="8"/>
  <c r="AJ78" i="8" s="1"/>
  <c r="AG78" i="8"/>
  <c r="AF78" i="8"/>
  <c r="AE78" i="8"/>
  <c r="AD78" i="8"/>
  <c r="AC78" i="8"/>
  <c r="AB78" i="8"/>
  <c r="Z78" i="8"/>
  <c r="Y78" i="8"/>
  <c r="AA78" i="8" s="1"/>
  <c r="W78" i="8"/>
  <c r="V78" i="8"/>
  <c r="X78" i="8" s="1"/>
  <c r="T78" i="8"/>
  <c r="S78" i="8"/>
  <c r="U78" i="8" s="1"/>
  <c r="Q78" i="8"/>
  <c r="P78" i="8"/>
  <c r="O78" i="8"/>
  <c r="N78" i="8"/>
  <c r="M78" i="8"/>
  <c r="G78" i="8"/>
  <c r="F78" i="8"/>
  <c r="L78" i="8" s="1"/>
  <c r="E78" i="8"/>
  <c r="D78" i="8"/>
  <c r="K78" i="8" s="1"/>
  <c r="BV77" i="8"/>
  <c r="BU77" i="8"/>
  <c r="BT77" i="8"/>
  <c r="BS77" i="8"/>
  <c r="BR77" i="8"/>
  <c r="BQ77" i="8"/>
  <c r="BO77" i="8"/>
  <c r="BN77" i="8"/>
  <c r="BP77" i="8" s="1"/>
  <c r="BM77" i="8"/>
  <c r="BL77" i="8"/>
  <c r="BK77" i="8"/>
  <c r="BJ77" i="8"/>
  <c r="BI77" i="8"/>
  <c r="BH77" i="8"/>
  <c r="BG77" i="8"/>
  <c r="BF77" i="8"/>
  <c r="BE77" i="8"/>
  <c r="BD77" i="8"/>
  <c r="BB77" i="8"/>
  <c r="AZ77" i="8"/>
  <c r="AY77" i="8"/>
  <c r="BC77" i="8" s="1"/>
  <c r="AX77" i="8"/>
  <c r="BA77" i="8" s="1"/>
  <c r="AV77" i="8"/>
  <c r="AU77" i="8"/>
  <c r="AT77" i="8"/>
  <c r="AS77" i="8"/>
  <c r="AW77" i="8" s="1"/>
  <c r="AR77" i="8"/>
  <c r="AQ77" i="8"/>
  <c r="AP77" i="8"/>
  <c r="AO77" i="8"/>
  <c r="AN77" i="8"/>
  <c r="AM77" i="8"/>
  <c r="AL77" i="8"/>
  <c r="AK77" i="8"/>
  <c r="AI77" i="8"/>
  <c r="AH77" i="8"/>
  <c r="AJ77" i="8" s="1"/>
  <c r="AG77" i="8"/>
  <c r="AF77" i="8"/>
  <c r="AE77" i="8"/>
  <c r="AD77" i="8"/>
  <c r="AC77" i="8"/>
  <c r="AB77" i="8"/>
  <c r="Z77" i="8"/>
  <c r="Y77" i="8"/>
  <c r="AA77" i="8" s="1"/>
  <c r="W77" i="8"/>
  <c r="V77" i="8"/>
  <c r="T77" i="8"/>
  <c r="S77" i="8"/>
  <c r="U77" i="8" s="1"/>
  <c r="Q77" i="8"/>
  <c r="P77" i="8"/>
  <c r="O77" i="8"/>
  <c r="N77" i="8"/>
  <c r="M77" i="8"/>
  <c r="G77" i="8"/>
  <c r="F77" i="8"/>
  <c r="L77" i="8" s="1"/>
  <c r="E77" i="8"/>
  <c r="D77" i="8"/>
  <c r="BV76" i="8"/>
  <c r="BU76" i="8"/>
  <c r="BT76" i="8"/>
  <c r="BS76" i="8"/>
  <c r="BR76" i="8"/>
  <c r="BQ76" i="8"/>
  <c r="BO76" i="8"/>
  <c r="BN76" i="8"/>
  <c r="BP76" i="8" s="1"/>
  <c r="BM76" i="8"/>
  <c r="BL76" i="8"/>
  <c r="BK76" i="8"/>
  <c r="BJ76" i="8"/>
  <c r="BI76" i="8"/>
  <c r="BH76" i="8"/>
  <c r="BG76" i="8"/>
  <c r="BF76" i="8"/>
  <c r="BE76" i="8"/>
  <c r="BD76" i="8"/>
  <c r="BB76" i="8"/>
  <c r="AZ76" i="8"/>
  <c r="AY76" i="8"/>
  <c r="BC76" i="8" s="1"/>
  <c r="AX76" i="8"/>
  <c r="BA76" i="8" s="1"/>
  <c r="AV76" i="8"/>
  <c r="AU76" i="8"/>
  <c r="AT76" i="8"/>
  <c r="AS76" i="8"/>
  <c r="AW76" i="8" s="1"/>
  <c r="AR76" i="8"/>
  <c r="AQ76" i="8"/>
  <c r="AP76" i="8"/>
  <c r="AO76" i="8"/>
  <c r="AN76" i="8"/>
  <c r="AM76" i="8"/>
  <c r="AL76" i="8"/>
  <c r="AK76" i="8"/>
  <c r="AI76" i="8"/>
  <c r="AH76" i="8"/>
  <c r="AJ76" i="8" s="1"/>
  <c r="AG76" i="8"/>
  <c r="AF76" i="8"/>
  <c r="AE76" i="8"/>
  <c r="AD76" i="8"/>
  <c r="AC76" i="8"/>
  <c r="AB76" i="8"/>
  <c r="Z76" i="8"/>
  <c r="Y76" i="8"/>
  <c r="W76" i="8"/>
  <c r="V76" i="8"/>
  <c r="X76" i="8" s="1"/>
  <c r="T76" i="8"/>
  <c r="S76" i="8"/>
  <c r="U76" i="8" s="1"/>
  <c r="Q76" i="8"/>
  <c r="P76" i="8"/>
  <c r="O76" i="8"/>
  <c r="N76" i="8"/>
  <c r="M76" i="8"/>
  <c r="G76" i="8"/>
  <c r="F76" i="8"/>
  <c r="L76" i="8" s="1"/>
  <c r="E76" i="8"/>
  <c r="D76" i="8"/>
  <c r="K76" i="8" s="1"/>
  <c r="BV75" i="8"/>
  <c r="BU75" i="8"/>
  <c r="BT75" i="8"/>
  <c r="BS75" i="8"/>
  <c r="BR75" i="8"/>
  <c r="BQ75" i="8"/>
  <c r="BO75" i="8"/>
  <c r="BN75" i="8"/>
  <c r="BM75" i="8"/>
  <c r="BL75" i="8"/>
  <c r="BK75" i="8"/>
  <c r="BJ75" i="8"/>
  <c r="BI75" i="8"/>
  <c r="BH75" i="8"/>
  <c r="BG75" i="8"/>
  <c r="BF75" i="8"/>
  <c r="BE75" i="8"/>
  <c r="BD75" i="8"/>
  <c r="BB75" i="8"/>
  <c r="AZ75" i="8"/>
  <c r="AY75" i="8"/>
  <c r="BC75" i="8" s="1"/>
  <c r="AX75" i="8"/>
  <c r="BA75" i="8" s="1"/>
  <c r="AV75" i="8"/>
  <c r="AU75" i="8"/>
  <c r="AT75" i="8"/>
  <c r="AS75" i="8"/>
  <c r="AW75" i="8" s="1"/>
  <c r="AR75" i="8"/>
  <c r="AQ75" i="8"/>
  <c r="AP75" i="8"/>
  <c r="AO75" i="8"/>
  <c r="AN75" i="8"/>
  <c r="AM75" i="8"/>
  <c r="AL75" i="8"/>
  <c r="AK75" i="8"/>
  <c r="AI75" i="8"/>
  <c r="AH75" i="8"/>
  <c r="AJ75" i="8" s="1"/>
  <c r="AG75" i="8"/>
  <c r="AF75" i="8"/>
  <c r="AE75" i="8"/>
  <c r="AD75" i="8"/>
  <c r="AC75" i="8"/>
  <c r="AB75" i="8"/>
  <c r="Z75" i="8"/>
  <c r="Y75" i="8"/>
  <c r="AA75" i="8" s="1"/>
  <c r="W75" i="8"/>
  <c r="V75" i="8"/>
  <c r="X75" i="8" s="1"/>
  <c r="T75" i="8"/>
  <c r="S75" i="8"/>
  <c r="U75" i="8" s="1"/>
  <c r="Q75" i="8"/>
  <c r="P75" i="8"/>
  <c r="O75" i="8"/>
  <c r="N75" i="8"/>
  <c r="M75" i="8"/>
  <c r="G75" i="8"/>
  <c r="F75" i="8"/>
  <c r="L75" i="8" s="1"/>
  <c r="E75" i="8"/>
  <c r="D75" i="8"/>
  <c r="K75" i="8" s="1"/>
  <c r="BV73" i="8"/>
  <c r="BU73" i="8"/>
  <c r="BT73" i="8"/>
  <c r="BS73" i="8"/>
  <c r="BR73" i="8"/>
  <c r="BQ73" i="8"/>
  <c r="BO73" i="8"/>
  <c r="BN73" i="8"/>
  <c r="BP73" i="8" s="1"/>
  <c r="BM73" i="8"/>
  <c r="BL73" i="8"/>
  <c r="BK73" i="8"/>
  <c r="BJ73" i="8"/>
  <c r="BI73" i="8"/>
  <c r="BH73" i="8"/>
  <c r="BG73" i="8"/>
  <c r="BF73" i="8"/>
  <c r="BE73" i="8"/>
  <c r="BD73" i="8"/>
  <c r="BB73" i="8"/>
  <c r="AZ73" i="8"/>
  <c r="AY73" i="8"/>
  <c r="AX73" i="8"/>
  <c r="AV73" i="8"/>
  <c r="AU73" i="8"/>
  <c r="AT73" i="8"/>
  <c r="AS73" i="8"/>
  <c r="AW73" i="8" s="1"/>
  <c r="AR73" i="8"/>
  <c r="AQ73" i="8"/>
  <c r="AP73" i="8"/>
  <c r="AO73" i="8"/>
  <c r="AN73" i="8"/>
  <c r="AM73" i="8"/>
  <c r="AL73" i="8"/>
  <c r="AK73" i="8"/>
  <c r="AI73" i="8"/>
  <c r="AH73" i="8"/>
  <c r="AG73" i="8"/>
  <c r="AF73" i="8"/>
  <c r="AE73" i="8"/>
  <c r="AD73" i="8"/>
  <c r="AC73" i="8"/>
  <c r="AB73" i="8"/>
  <c r="Z73" i="8"/>
  <c r="Y73" i="8"/>
  <c r="W73" i="8"/>
  <c r="V73" i="8"/>
  <c r="T73" i="8"/>
  <c r="S73" i="8"/>
  <c r="Q73" i="8"/>
  <c r="P73" i="8"/>
  <c r="O73" i="8"/>
  <c r="N73" i="8"/>
  <c r="M73" i="8"/>
  <c r="G73" i="8"/>
  <c r="F73" i="8"/>
  <c r="E73" i="8"/>
  <c r="D73" i="8"/>
  <c r="BV72" i="8"/>
  <c r="BU72" i="8"/>
  <c r="BT72" i="8"/>
  <c r="BS72" i="8"/>
  <c r="BR72" i="8"/>
  <c r="BQ72" i="8"/>
  <c r="BO72" i="8"/>
  <c r="BN72" i="8"/>
  <c r="BM72" i="8"/>
  <c r="BL72" i="8"/>
  <c r="BK72" i="8"/>
  <c r="BJ72" i="8"/>
  <c r="BI72" i="8"/>
  <c r="BH72" i="8"/>
  <c r="BG72" i="8"/>
  <c r="BF72" i="8"/>
  <c r="BE72" i="8"/>
  <c r="BD72" i="8"/>
  <c r="BB72" i="8"/>
  <c r="AZ72" i="8"/>
  <c r="AY72" i="8"/>
  <c r="AX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I72" i="8"/>
  <c r="AH72" i="8"/>
  <c r="AG72" i="8"/>
  <c r="AF72" i="8"/>
  <c r="AE72" i="8"/>
  <c r="AD72" i="8"/>
  <c r="AC72" i="8"/>
  <c r="AB72" i="8"/>
  <c r="Z72" i="8"/>
  <c r="Y72" i="8"/>
  <c r="W72" i="8"/>
  <c r="V72" i="8"/>
  <c r="X72" i="8" s="1"/>
  <c r="T72" i="8"/>
  <c r="S72" i="8"/>
  <c r="U72" i="8" s="1"/>
  <c r="Q72" i="8"/>
  <c r="P72" i="8"/>
  <c r="O72" i="8"/>
  <c r="N72" i="8"/>
  <c r="M72" i="8"/>
  <c r="G72" i="8"/>
  <c r="F72" i="8"/>
  <c r="E72" i="8"/>
  <c r="D72" i="8"/>
  <c r="BV71" i="8"/>
  <c r="BU71" i="8"/>
  <c r="BT71" i="8"/>
  <c r="BS71" i="8"/>
  <c r="BR71" i="8"/>
  <c r="BQ71" i="8"/>
  <c r="BO71" i="8"/>
  <c r="BN71" i="8"/>
  <c r="BP71" i="8" s="1"/>
  <c r="BM71" i="8"/>
  <c r="BL71" i="8"/>
  <c r="BK71" i="8"/>
  <c r="BJ71" i="8"/>
  <c r="BI71" i="8"/>
  <c r="BH71" i="8"/>
  <c r="BG71" i="8"/>
  <c r="BF71" i="8"/>
  <c r="BE71" i="8"/>
  <c r="BD71" i="8"/>
  <c r="BB71" i="8"/>
  <c r="AZ71" i="8"/>
  <c r="AY71" i="8"/>
  <c r="AX71" i="8"/>
  <c r="AV71" i="8"/>
  <c r="AU71" i="8"/>
  <c r="AT71" i="8"/>
  <c r="AS71" i="8"/>
  <c r="AW71" i="8" s="1"/>
  <c r="AR71" i="8"/>
  <c r="AQ71" i="8"/>
  <c r="AP71" i="8"/>
  <c r="AO71" i="8"/>
  <c r="AN71" i="8"/>
  <c r="AM71" i="8"/>
  <c r="AL71" i="8"/>
  <c r="AK71" i="8"/>
  <c r="AI71" i="8"/>
  <c r="AH71" i="8"/>
  <c r="AJ71" i="8" s="1"/>
  <c r="AG71" i="8"/>
  <c r="AF71" i="8"/>
  <c r="AE71" i="8"/>
  <c r="AD71" i="8"/>
  <c r="AC71" i="8"/>
  <c r="AB71" i="8"/>
  <c r="Z71" i="8"/>
  <c r="Y71" i="8"/>
  <c r="AA71" i="8" s="1"/>
  <c r="W71" i="8"/>
  <c r="V71" i="8"/>
  <c r="T71" i="8"/>
  <c r="S71" i="8"/>
  <c r="U71" i="8" s="1"/>
  <c r="Q71" i="8"/>
  <c r="P71" i="8"/>
  <c r="O71" i="8"/>
  <c r="N71" i="8"/>
  <c r="M71" i="8"/>
  <c r="G71" i="8"/>
  <c r="F71" i="8"/>
  <c r="E71" i="8"/>
  <c r="D71" i="8"/>
  <c r="BV70" i="8"/>
  <c r="BU70" i="8"/>
  <c r="BT70" i="8"/>
  <c r="BS70" i="8"/>
  <c r="BR70" i="8"/>
  <c r="BQ70" i="8"/>
  <c r="BO70" i="8"/>
  <c r="BN70" i="8"/>
  <c r="BP70" i="8" s="1"/>
  <c r="BM70" i="8"/>
  <c r="BL70" i="8"/>
  <c r="BK70" i="8"/>
  <c r="BJ70" i="8"/>
  <c r="BI70" i="8"/>
  <c r="BH70" i="8"/>
  <c r="BG70" i="8"/>
  <c r="BF70" i="8"/>
  <c r="BE70" i="8"/>
  <c r="BD70" i="8"/>
  <c r="BB70" i="8"/>
  <c r="AZ70" i="8"/>
  <c r="AY70" i="8"/>
  <c r="AX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I70" i="8"/>
  <c r="AH70" i="8"/>
  <c r="AJ70" i="8" s="1"/>
  <c r="AG70" i="8"/>
  <c r="AF70" i="8"/>
  <c r="AE70" i="8"/>
  <c r="AD70" i="8"/>
  <c r="AC70" i="8"/>
  <c r="AB70" i="8"/>
  <c r="Z70" i="8"/>
  <c r="Y70" i="8"/>
  <c r="W70" i="8"/>
  <c r="V70" i="8"/>
  <c r="X70" i="8" s="1"/>
  <c r="T70" i="8"/>
  <c r="S70" i="8"/>
  <c r="U70" i="8" s="1"/>
  <c r="Q70" i="8"/>
  <c r="P70" i="8"/>
  <c r="O70" i="8"/>
  <c r="N70" i="8"/>
  <c r="M70" i="8"/>
  <c r="G70" i="8"/>
  <c r="F70" i="8"/>
  <c r="E70" i="8"/>
  <c r="D70" i="8"/>
  <c r="BV69" i="8"/>
  <c r="BU69" i="8"/>
  <c r="BT69" i="8"/>
  <c r="BS69" i="8"/>
  <c r="BR69" i="8"/>
  <c r="BQ69" i="8"/>
  <c r="BO69" i="8"/>
  <c r="BN69" i="8"/>
  <c r="BP69" i="8" s="1"/>
  <c r="BM69" i="8"/>
  <c r="BL69" i="8"/>
  <c r="BK69" i="8"/>
  <c r="BJ69" i="8"/>
  <c r="BI69" i="8"/>
  <c r="BH69" i="8"/>
  <c r="BG69" i="8"/>
  <c r="BF69" i="8"/>
  <c r="BE69" i="8"/>
  <c r="BD69" i="8"/>
  <c r="BB69" i="8"/>
  <c r="AZ69" i="8"/>
  <c r="AY69" i="8"/>
  <c r="BC69" i="8" s="1"/>
  <c r="AX69" i="8"/>
  <c r="BA69" i="8" s="1"/>
  <c r="AV69" i="8"/>
  <c r="AU69" i="8"/>
  <c r="AT69" i="8"/>
  <c r="AS69" i="8"/>
  <c r="AW69" i="8" s="1"/>
  <c r="AR69" i="8"/>
  <c r="AQ69" i="8"/>
  <c r="AP69" i="8"/>
  <c r="AO69" i="8"/>
  <c r="AN69" i="8"/>
  <c r="AM69" i="8"/>
  <c r="AL69" i="8"/>
  <c r="AK69" i="8"/>
  <c r="AI69" i="8"/>
  <c r="AH69" i="8"/>
  <c r="AJ69" i="8" s="1"/>
  <c r="AG69" i="8"/>
  <c r="AF69" i="8"/>
  <c r="AE69" i="8"/>
  <c r="AD69" i="8"/>
  <c r="AC69" i="8"/>
  <c r="AB69" i="8"/>
  <c r="Z69" i="8"/>
  <c r="Y69" i="8"/>
  <c r="AA69" i="8" s="1"/>
  <c r="W69" i="8"/>
  <c r="V69" i="8"/>
  <c r="X69" i="8" s="1"/>
  <c r="T69" i="8"/>
  <c r="S69" i="8"/>
  <c r="U69" i="8" s="1"/>
  <c r="Q69" i="8"/>
  <c r="P69" i="8"/>
  <c r="O69" i="8"/>
  <c r="N69" i="8"/>
  <c r="M69" i="8"/>
  <c r="G69" i="8"/>
  <c r="F69" i="8"/>
  <c r="L69" i="8" s="1"/>
  <c r="E69" i="8"/>
  <c r="D69" i="8"/>
  <c r="K69" i="8" s="1"/>
  <c r="BV68" i="8"/>
  <c r="BU68" i="8"/>
  <c r="BT68" i="8"/>
  <c r="BS68" i="8"/>
  <c r="BR68" i="8"/>
  <c r="BQ68" i="8"/>
  <c r="BO68" i="8"/>
  <c r="BN68" i="8"/>
  <c r="BM68" i="8"/>
  <c r="BL68" i="8"/>
  <c r="BK68" i="8"/>
  <c r="BJ68" i="8"/>
  <c r="BI68" i="8"/>
  <c r="BH68" i="8"/>
  <c r="BG68" i="8"/>
  <c r="BF68" i="8"/>
  <c r="BE68" i="8"/>
  <c r="BD68" i="8"/>
  <c r="BB68" i="8"/>
  <c r="AZ68" i="8"/>
  <c r="AY68" i="8"/>
  <c r="AX68" i="8"/>
  <c r="AV68" i="8"/>
  <c r="AU68" i="8"/>
  <c r="AT68" i="8"/>
  <c r="AS68" i="8"/>
  <c r="AR68" i="8"/>
  <c r="AQ68" i="8"/>
  <c r="AP68" i="8"/>
  <c r="AO68" i="8"/>
  <c r="AN68" i="8"/>
  <c r="AM68" i="8"/>
  <c r="AL68" i="8"/>
  <c r="AK68" i="8"/>
  <c r="AI68" i="8"/>
  <c r="AH68" i="8"/>
  <c r="AG68" i="8"/>
  <c r="AF68" i="8"/>
  <c r="AE68" i="8"/>
  <c r="AD68" i="8"/>
  <c r="AC68" i="8"/>
  <c r="AB68" i="8"/>
  <c r="Z68" i="8"/>
  <c r="Y68" i="8"/>
  <c r="W68" i="8"/>
  <c r="V68" i="8"/>
  <c r="T68" i="8"/>
  <c r="S68" i="8"/>
  <c r="Q68" i="8"/>
  <c r="P68" i="8"/>
  <c r="O68" i="8"/>
  <c r="N68" i="8"/>
  <c r="M68" i="8"/>
  <c r="G68" i="8"/>
  <c r="F68" i="8"/>
  <c r="E68" i="8"/>
  <c r="D68" i="8"/>
  <c r="BV67" i="8"/>
  <c r="BU67" i="8"/>
  <c r="BT67" i="8"/>
  <c r="BS67" i="8"/>
  <c r="BR67" i="8"/>
  <c r="BQ67" i="8"/>
  <c r="BO67" i="8"/>
  <c r="BN67" i="8"/>
  <c r="BP67" i="8" s="1"/>
  <c r="BM67" i="8"/>
  <c r="BL67" i="8"/>
  <c r="BK67" i="8"/>
  <c r="BJ67" i="8"/>
  <c r="BI67" i="8"/>
  <c r="BH67" i="8"/>
  <c r="BG67" i="8"/>
  <c r="BF67" i="8"/>
  <c r="BE67" i="8"/>
  <c r="BD67" i="8"/>
  <c r="BB67" i="8"/>
  <c r="AZ67" i="8"/>
  <c r="AY67" i="8"/>
  <c r="AX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I67" i="8"/>
  <c r="AH67" i="8"/>
  <c r="AJ67" i="8" s="1"/>
  <c r="AG67" i="8"/>
  <c r="AF67" i="8"/>
  <c r="AE67" i="8"/>
  <c r="AD67" i="8"/>
  <c r="AC67" i="8"/>
  <c r="AB67" i="8"/>
  <c r="Z67" i="8"/>
  <c r="Y67" i="8"/>
  <c r="W67" i="8"/>
  <c r="V67" i="8"/>
  <c r="T67" i="8"/>
  <c r="S67" i="8"/>
  <c r="Q67" i="8"/>
  <c r="P67" i="8"/>
  <c r="O67" i="8"/>
  <c r="N67" i="8"/>
  <c r="M67" i="8"/>
  <c r="G67" i="8"/>
  <c r="F67" i="8"/>
  <c r="E67" i="8"/>
  <c r="D67" i="8"/>
  <c r="BV66" i="8"/>
  <c r="BU66" i="8"/>
  <c r="BT66" i="8"/>
  <c r="BS66" i="8"/>
  <c r="BR66" i="8"/>
  <c r="BQ66" i="8"/>
  <c r="BO66" i="8"/>
  <c r="BN66" i="8"/>
  <c r="BP66" i="8" s="1"/>
  <c r="BM66" i="8"/>
  <c r="BL66" i="8"/>
  <c r="BK66" i="8"/>
  <c r="BJ66" i="8"/>
  <c r="BI66" i="8"/>
  <c r="BH66" i="8"/>
  <c r="BG66" i="8"/>
  <c r="BF66" i="8"/>
  <c r="BE66" i="8"/>
  <c r="BD66" i="8"/>
  <c r="BB66" i="8"/>
  <c r="AZ66" i="8"/>
  <c r="AY66" i="8"/>
  <c r="BC66" i="8" s="1"/>
  <c r="AX66" i="8"/>
  <c r="BA66" i="8" s="1"/>
  <c r="AV66" i="8"/>
  <c r="AU66" i="8"/>
  <c r="AT66" i="8"/>
  <c r="AS66" i="8"/>
  <c r="AW66" i="8" s="1"/>
  <c r="AR66" i="8"/>
  <c r="AQ66" i="8"/>
  <c r="AP66" i="8"/>
  <c r="AO66" i="8"/>
  <c r="AN66" i="8"/>
  <c r="AM66" i="8"/>
  <c r="AL66" i="8"/>
  <c r="AK66" i="8"/>
  <c r="AI66" i="8"/>
  <c r="AH66" i="8"/>
  <c r="AJ66" i="8" s="1"/>
  <c r="AG66" i="8"/>
  <c r="AF66" i="8"/>
  <c r="AE66" i="8"/>
  <c r="AD66" i="8"/>
  <c r="AC66" i="8"/>
  <c r="AB66" i="8"/>
  <c r="Z66" i="8"/>
  <c r="Y66" i="8"/>
  <c r="AA66" i="8" s="1"/>
  <c r="W66" i="8"/>
  <c r="V66" i="8"/>
  <c r="X66" i="8" s="1"/>
  <c r="T66" i="8"/>
  <c r="S66" i="8"/>
  <c r="U66" i="8" s="1"/>
  <c r="Q66" i="8"/>
  <c r="P66" i="8"/>
  <c r="O66" i="8"/>
  <c r="N66" i="8"/>
  <c r="M66" i="8"/>
  <c r="G66" i="8"/>
  <c r="F66" i="8"/>
  <c r="L66" i="8" s="1"/>
  <c r="E66" i="8"/>
  <c r="R66" i="8" s="1"/>
  <c r="D66" i="8"/>
  <c r="K66" i="8" s="1"/>
  <c r="BV65" i="8"/>
  <c r="BU65" i="8"/>
  <c r="BT65" i="8"/>
  <c r="BS65" i="8"/>
  <c r="BR65" i="8"/>
  <c r="BQ65" i="8"/>
  <c r="BO65" i="8"/>
  <c r="BN65" i="8"/>
  <c r="BP65" i="8" s="1"/>
  <c r="BM65" i="8"/>
  <c r="BL65" i="8"/>
  <c r="BK65" i="8"/>
  <c r="BJ65" i="8"/>
  <c r="BI65" i="8"/>
  <c r="BH65" i="8"/>
  <c r="BG65" i="8"/>
  <c r="BF65" i="8"/>
  <c r="BE65" i="8"/>
  <c r="BD65" i="8"/>
  <c r="BB65" i="8"/>
  <c r="AZ65" i="8"/>
  <c r="AY65" i="8"/>
  <c r="AX65" i="8"/>
  <c r="AV65" i="8"/>
  <c r="AU65" i="8"/>
  <c r="AT65" i="8"/>
  <c r="AS65" i="8"/>
  <c r="AW65" i="8" s="1"/>
  <c r="AR65" i="8"/>
  <c r="AQ65" i="8"/>
  <c r="AP65" i="8"/>
  <c r="AO65" i="8"/>
  <c r="AN65" i="8"/>
  <c r="AM65" i="8"/>
  <c r="AL65" i="8"/>
  <c r="AK65" i="8"/>
  <c r="AI65" i="8"/>
  <c r="AH65" i="8"/>
  <c r="AJ65" i="8" s="1"/>
  <c r="AG65" i="8"/>
  <c r="AF65" i="8"/>
  <c r="AE65" i="8"/>
  <c r="AD65" i="8"/>
  <c r="AC65" i="8"/>
  <c r="AB65" i="8"/>
  <c r="Z65" i="8"/>
  <c r="Y65" i="8"/>
  <c r="AA65" i="8" s="1"/>
  <c r="W65" i="8"/>
  <c r="V65" i="8"/>
  <c r="T65" i="8"/>
  <c r="S65" i="8"/>
  <c r="U65" i="8" s="1"/>
  <c r="Q65" i="8"/>
  <c r="P65" i="8"/>
  <c r="O65" i="8"/>
  <c r="N65" i="8"/>
  <c r="M65" i="8"/>
  <c r="G65" i="8"/>
  <c r="F65" i="8"/>
  <c r="E65" i="8"/>
  <c r="R65" i="8" s="1"/>
  <c r="D65" i="8"/>
  <c r="BV64" i="8"/>
  <c r="BU64" i="8"/>
  <c r="BT64" i="8"/>
  <c r="BS64" i="8"/>
  <c r="BR64" i="8"/>
  <c r="BQ64" i="8"/>
  <c r="BO64" i="8"/>
  <c r="BN64" i="8"/>
  <c r="BM64" i="8"/>
  <c r="BL64" i="8"/>
  <c r="BK64" i="8"/>
  <c r="BJ64" i="8"/>
  <c r="BI64" i="8"/>
  <c r="BH64" i="8"/>
  <c r="BG64" i="8"/>
  <c r="BF64" i="8"/>
  <c r="BE64" i="8"/>
  <c r="BD64" i="8"/>
  <c r="BB64" i="8"/>
  <c r="AZ64" i="8"/>
  <c r="AY64" i="8"/>
  <c r="AX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I64" i="8"/>
  <c r="AH64" i="8"/>
  <c r="AG64" i="8"/>
  <c r="AF64" i="8"/>
  <c r="AE64" i="8"/>
  <c r="AD64" i="8"/>
  <c r="AC64" i="8"/>
  <c r="AB64" i="8"/>
  <c r="Z64" i="8"/>
  <c r="Y64" i="8"/>
  <c r="AA64" i="8" s="1"/>
  <c r="W64" i="8"/>
  <c r="V64" i="8"/>
  <c r="T64" i="8"/>
  <c r="S64" i="8"/>
  <c r="U64" i="8" s="1"/>
  <c r="Q64" i="8"/>
  <c r="P64" i="8"/>
  <c r="O64" i="8"/>
  <c r="N64" i="8"/>
  <c r="M64" i="8"/>
  <c r="G64" i="8"/>
  <c r="F64" i="8"/>
  <c r="E64" i="8"/>
  <c r="D64" i="8"/>
  <c r="BV63" i="8"/>
  <c r="BU63" i="8"/>
  <c r="BT63" i="8"/>
  <c r="BS63" i="8"/>
  <c r="BR63" i="8"/>
  <c r="BQ63" i="8"/>
  <c r="BO63" i="8"/>
  <c r="BN63" i="8"/>
  <c r="BP63" i="8" s="1"/>
  <c r="BM63" i="8"/>
  <c r="BL63" i="8"/>
  <c r="BK63" i="8"/>
  <c r="BJ63" i="8"/>
  <c r="BI63" i="8"/>
  <c r="BH63" i="8"/>
  <c r="BG63" i="8"/>
  <c r="BF63" i="8"/>
  <c r="BE63" i="8"/>
  <c r="BD63" i="8"/>
  <c r="BB63" i="8"/>
  <c r="AZ63" i="8"/>
  <c r="AY63" i="8"/>
  <c r="AX63" i="8"/>
  <c r="AV63" i="8"/>
  <c r="AU63" i="8"/>
  <c r="AT63" i="8"/>
  <c r="AS63" i="8"/>
  <c r="AW63" i="8" s="1"/>
  <c r="AR63" i="8"/>
  <c r="AQ63" i="8"/>
  <c r="AP63" i="8"/>
  <c r="AO63" i="8"/>
  <c r="AN63" i="8"/>
  <c r="AM63" i="8"/>
  <c r="AL63" i="8"/>
  <c r="AK63" i="8"/>
  <c r="AI63" i="8"/>
  <c r="AH63" i="8"/>
  <c r="AJ63" i="8" s="1"/>
  <c r="AG63" i="8"/>
  <c r="AF63" i="8"/>
  <c r="AE63" i="8"/>
  <c r="AD63" i="8"/>
  <c r="AC63" i="8"/>
  <c r="AB63" i="8"/>
  <c r="Z63" i="8"/>
  <c r="Y63" i="8"/>
  <c r="AA63" i="8" s="1"/>
  <c r="W63" i="8"/>
  <c r="V63" i="8"/>
  <c r="T63" i="8"/>
  <c r="S63" i="8"/>
  <c r="U63" i="8" s="1"/>
  <c r="Q63" i="8"/>
  <c r="P63" i="8"/>
  <c r="O63" i="8"/>
  <c r="N63" i="8"/>
  <c r="M63" i="8"/>
  <c r="G63" i="8"/>
  <c r="F63" i="8"/>
  <c r="E63" i="8"/>
  <c r="R63" i="8" s="1"/>
  <c r="D63" i="8"/>
  <c r="BV62" i="8"/>
  <c r="BU62" i="8"/>
  <c r="BT62" i="8"/>
  <c r="BS62" i="8"/>
  <c r="BR62" i="8"/>
  <c r="BQ62" i="8"/>
  <c r="BO62" i="8"/>
  <c r="BN62" i="8"/>
  <c r="BP62" i="8" s="1"/>
  <c r="BM62" i="8"/>
  <c r="BL62" i="8"/>
  <c r="BK62" i="8"/>
  <c r="BJ62" i="8"/>
  <c r="BI62" i="8"/>
  <c r="BH62" i="8"/>
  <c r="BG62" i="8"/>
  <c r="BF62" i="8"/>
  <c r="BE62" i="8"/>
  <c r="BD62" i="8"/>
  <c r="BB62" i="8"/>
  <c r="AZ62" i="8"/>
  <c r="AY62" i="8"/>
  <c r="BC62" i="8" s="1"/>
  <c r="AX62" i="8"/>
  <c r="BA62" i="8" s="1"/>
  <c r="AV62" i="8"/>
  <c r="AU62" i="8"/>
  <c r="AT62" i="8"/>
  <c r="AS62" i="8"/>
  <c r="AW62" i="8" s="1"/>
  <c r="AR62" i="8"/>
  <c r="AQ62" i="8"/>
  <c r="AP62" i="8"/>
  <c r="AO62" i="8"/>
  <c r="AN62" i="8"/>
  <c r="AM62" i="8"/>
  <c r="AL62" i="8"/>
  <c r="AK62" i="8"/>
  <c r="AI62" i="8"/>
  <c r="AH62" i="8"/>
  <c r="AJ62" i="8" s="1"/>
  <c r="AG62" i="8"/>
  <c r="AF62" i="8"/>
  <c r="AE62" i="8"/>
  <c r="AD62" i="8"/>
  <c r="AC62" i="8"/>
  <c r="AB62" i="8"/>
  <c r="Z62" i="8"/>
  <c r="Y62" i="8"/>
  <c r="AA62" i="8" s="1"/>
  <c r="W62" i="8"/>
  <c r="V62" i="8"/>
  <c r="X62" i="8" s="1"/>
  <c r="T62" i="8"/>
  <c r="S62" i="8"/>
  <c r="U62" i="8" s="1"/>
  <c r="Q62" i="8"/>
  <c r="P62" i="8"/>
  <c r="O62" i="8"/>
  <c r="N62" i="8"/>
  <c r="M62" i="8"/>
  <c r="G62" i="8"/>
  <c r="F62" i="8"/>
  <c r="L62" i="8" s="1"/>
  <c r="E62" i="8"/>
  <c r="R62" i="8" s="1"/>
  <c r="D62" i="8"/>
  <c r="K62" i="8" s="1"/>
  <c r="BV61" i="8"/>
  <c r="BU61" i="8"/>
  <c r="BT61" i="8"/>
  <c r="BS61" i="8"/>
  <c r="BR61" i="8"/>
  <c r="BQ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BB61" i="8"/>
  <c r="AZ61" i="8"/>
  <c r="AY61" i="8"/>
  <c r="AX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I61" i="8"/>
  <c r="AH61" i="8"/>
  <c r="AG61" i="8"/>
  <c r="AF61" i="8"/>
  <c r="AE61" i="8"/>
  <c r="AD61" i="8"/>
  <c r="AC61" i="8"/>
  <c r="AB61" i="8"/>
  <c r="Z61" i="8"/>
  <c r="Y61" i="8"/>
  <c r="W61" i="8"/>
  <c r="V61" i="8"/>
  <c r="X61" i="8" s="1"/>
  <c r="T61" i="8"/>
  <c r="S61" i="8"/>
  <c r="U61" i="8" s="1"/>
  <c r="Q61" i="8"/>
  <c r="P61" i="8"/>
  <c r="O61" i="8"/>
  <c r="N61" i="8"/>
  <c r="M61" i="8"/>
  <c r="G61" i="8"/>
  <c r="F61" i="8"/>
  <c r="E61" i="8"/>
  <c r="R61" i="8" s="1"/>
  <c r="D61" i="8"/>
  <c r="BV60" i="8"/>
  <c r="BU60" i="8"/>
  <c r="BT60" i="8"/>
  <c r="BS60" i="8"/>
  <c r="BR60" i="8"/>
  <c r="BQ60" i="8"/>
  <c r="BO60" i="8"/>
  <c r="BN60" i="8"/>
  <c r="BP60" i="8" s="1"/>
  <c r="BM60" i="8"/>
  <c r="BL60" i="8"/>
  <c r="BK60" i="8"/>
  <c r="BJ60" i="8"/>
  <c r="BI60" i="8"/>
  <c r="BH60" i="8"/>
  <c r="BG60" i="8"/>
  <c r="BF60" i="8"/>
  <c r="BE60" i="8"/>
  <c r="BD60" i="8"/>
  <c r="BB60" i="8"/>
  <c r="AZ60" i="8"/>
  <c r="AY60" i="8"/>
  <c r="AX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I60" i="8"/>
  <c r="AH60" i="8"/>
  <c r="AJ60" i="8" s="1"/>
  <c r="AG60" i="8"/>
  <c r="AF60" i="8"/>
  <c r="AE60" i="8"/>
  <c r="AD60" i="8"/>
  <c r="AC60" i="8"/>
  <c r="AB60" i="8"/>
  <c r="Z60" i="8"/>
  <c r="Y60" i="8"/>
  <c r="AA60" i="8" s="1"/>
  <c r="W60" i="8"/>
  <c r="V60" i="8"/>
  <c r="X60" i="8" s="1"/>
  <c r="T60" i="8"/>
  <c r="S60" i="8"/>
  <c r="U60" i="8" s="1"/>
  <c r="Q60" i="8"/>
  <c r="P60" i="8"/>
  <c r="O60" i="8"/>
  <c r="N60" i="8"/>
  <c r="M60" i="8"/>
  <c r="G60" i="8"/>
  <c r="F60" i="8"/>
  <c r="E60" i="8"/>
  <c r="R60" i="8" s="1"/>
  <c r="D60" i="8"/>
  <c r="BV59" i="8"/>
  <c r="BU59" i="8"/>
  <c r="BT59" i="8"/>
  <c r="BS59" i="8"/>
  <c r="BR59" i="8"/>
  <c r="BQ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B59" i="8"/>
  <c r="AZ59" i="8"/>
  <c r="AY59" i="8"/>
  <c r="AX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I59" i="8"/>
  <c r="AH59" i="8"/>
  <c r="AG59" i="8"/>
  <c r="AF59" i="8"/>
  <c r="AE59" i="8"/>
  <c r="AD59" i="8"/>
  <c r="AC59" i="8"/>
  <c r="AB59" i="8"/>
  <c r="Z59" i="8"/>
  <c r="Y59" i="8"/>
  <c r="W59" i="8"/>
  <c r="V59" i="8"/>
  <c r="X59" i="8" s="1"/>
  <c r="T59" i="8"/>
  <c r="S59" i="8"/>
  <c r="U59" i="8" s="1"/>
  <c r="Q59" i="8"/>
  <c r="P59" i="8"/>
  <c r="O59" i="8"/>
  <c r="N59" i="8"/>
  <c r="M59" i="8"/>
  <c r="G59" i="8"/>
  <c r="F59" i="8"/>
  <c r="E59" i="8"/>
  <c r="R59" i="8" s="1"/>
  <c r="D59" i="8"/>
  <c r="BV58" i="8"/>
  <c r="BU58" i="8"/>
  <c r="BT58" i="8"/>
  <c r="BS58" i="8"/>
  <c r="BR58" i="8"/>
  <c r="BQ58" i="8"/>
  <c r="BO58" i="8"/>
  <c r="BN58" i="8"/>
  <c r="BP58" i="8" s="1"/>
  <c r="BM58" i="8"/>
  <c r="BL58" i="8"/>
  <c r="BK58" i="8"/>
  <c r="BJ58" i="8"/>
  <c r="BI58" i="8"/>
  <c r="BH58" i="8"/>
  <c r="BG58" i="8"/>
  <c r="BF58" i="8"/>
  <c r="BE58" i="8"/>
  <c r="BD58" i="8"/>
  <c r="BB58" i="8"/>
  <c r="AZ58" i="8"/>
  <c r="AY58" i="8"/>
  <c r="BC58" i="8" s="1"/>
  <c r="AX58" i="8"/>
  <c r="BA58" i="8" s="1"/>
  <c r="AV58" i="8"/>
  <c r="AU58" i="8"/>
  <c r="AT58" i="8"/>
  <c r="AS58" i="8"/>
  <c r="AW58" i="8" s="1"/>
  <c r="AR58" i="8"/>
  <c r="AQ58" i="8"/>
  <c r="AP58" i="8"/>
  <c r="AO58" i="8"/>
  <c r="AN58" i="8"/>
  <c r="AM58" i="8"/>
  <c r="AL58" i="8"/>
  <c r="AK58" i="8"/>
  <c r="AI58" i="8"/>
  <c r="AH58" i="8"/>
  <c r="AJ58" i="8" s="1"/>
  <c r="AG58" i="8"/>
  <c r="AF58" i="8"/>
  <c r="AE58" i="8"/>
  <c r="AD58" i="8"/>
  <c r="AC58" i="8"/>
  <c r="AB58" i="8"/>
  <c r="Z58" i="8"/>
  <c r="Y58" i="8"/>
  <c r="AA58" i="8" s="1"/>
  <c r="W58" i="8"/>
  <c r="V58" i="8"/>
  <c r="X58" i="8" s="1"/>
  <c r="T58" i="8"/>
  <c r="S58" i="8"/>
  <c r="U58" i="8" s="1"/>
  <c r="Q58" i="8"/>
  <c r="P58" i="8"/>
  <c r="O58" i="8"/>
  <c r="N58" i="8"/>
  <c r="M58" i="8"/>
  <c r="G58" i="8"/>
  <c r="F58" i="8"/>
  <c r="L58" i="8" s="1"/>
  <c r="E58" i="8"/>
  <c r="R58" i="8" s="1"/>
  <c r="D58" i="8"/>
  <c r="K58" i="8" s="1"/>
  <c r="BV57" i="8"/>
  <c r="BU57" i="8"/>
  <c r="BT57" i="8"/>
  <c r="BS57" i="8"/>
  <c r="BR57" i="8"/>
  <c r="BQ57" i="8"/>
  <c r="BO57" i="8"/>
  <c r="BN57" i="8"/>
  <c r="BP57" i="8" s="1"/>
  <c r="BM57" i="8"/>
  <c r="BL57" i="8"/>
  <c r="BK57" i="8"/>
  <c r="BJ57" i="8"/>
  <c r="BI57" i="8"/>
  <c r="BH57" i="8"/>
  <c r="BG57" i="8"/>
  <c r="BF57" i="8"/>
  <c r="BE57" i="8"/>
  <c r="BD57" i="8"/>
  <c r="BB57" i="8"/>
  <c r="AZ57" i="8"/>
  <c r="AY57" i="8"/>
  <c r="AX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I57" i="8"/>
  <c r="AH57" i="8"/>
  <c r="AG57" i="8"/>
  <c r="AF57" i="8"/>
  <c r="AE57" i="8"/>
  <c r="AD57" i="8"/>
  <c r="AC57" i="8"/>
  <c r="AB57" i="8"/>
  <c r="Z57" i="8"/>
  <c r="Y57" i="8"/>
  <c r="W57" i="8"/>
  <c r="V57" i="8"/>
  <c r="T57" i="8"/>
  <c r="S57" i="8"/>
  <c r="Q57" i="8"/>
  <c r="P57" i="8"/>
  <c r="O57" i="8"/>
  <c r="N57" i="8"/>
  <c r="M57" i="8"/>
  <c r="G57" i="8"/>
  <c r="F57" i="8"/>
  <c r="E57" i="8"/>
  <c r="R57" i="8" s="1"/>
  <c r="D57" i="8"/>
  <c r="BV56" i="8"/>
  <c r="BU56" i="8"/>
  <c r="BT56" i="8"/>
  <c r="BS56" i="8"/>
  <c r="BR56" i="8"/>
  <c r="BQ56" i="8"/>
  <c r="BO56" i="8"/>
  <c r="BN56" i="8"/>
  <c r="BP56" i="8" s="1"/>
  <c r="BM56" i="8"/>
  <c r="BL56" i="8"/>
  <c r="BK56" i="8"/>
  <c r="BJ56" i="8"/>
  <c r="BI56" i="8"/>
  <c r="BH56" i="8"/>
  <c r="BG56" i="8"/>
  <c r="BF56" i="8"/>
  <c r="BE56" i="8"/>
  <c r="BD56" i="8"/>
  <c r="BB56" i="8"/>
  <c r="AZ56" i="8"/>
  <c r="AY56" i="8"/>
  <c r="BC56" i="8" s="1"/>
  <c r="AX56" i="8"/>
  <c r="BA56" i="8" s="1"/>
  <c r="AV56" i="8"/>
  <c r="AU56" i="8"/>
  <c r="AT56" i="8"/>
  <c r="AS56" i="8"/>
  <c r="AW56" i="8" s="1"/>
  <c r="AR56" i="8"/>
  <c r="AQ56" i="8"/>
  <c r="AP56" i="8"/>
  <c r="AO56" i="8"/>
  <c r="AN56" i="8"/>
  <c r="AM56" i="8"/>
  <c r="AL56" i="8"/>
  <c r="AK56" i="8"/>
  <c r="AI56" i="8"/>
  <c r="AH56" i="8"/>
  <c r="AJ56" i="8" s="1"/>
  <c r="AG56" i="8"/>
  <c r="AF56" i="8"/>
  <c r="AE56" i="8"/>
  <c r="AD56" i="8"/>
  <c r="AC56" i="8"/>
  <c r="AB56" i="8"/>
  <c r="Z56" i="8"/>
  <c r="Y56" i="8"/>
  <c r="AA56" i="8" s="1"/>
  <c r="W56" i="8"/>
  <c r="V56" i="8"/>
  <c r="X56" i="8" s="1"/>
  <c r="T56" i="8"/>
  <c r="S56" i="8"/>
  <c r="U56" i="8" s="1"/>
  <c r="Q56" i="8"/>
  <c r="P56" i="8"/>
  <c r="O56" i="8"/>
  <c r="N56" i="8"/>
  <c r="M56" i="8"/>
  <c r="G56" i="8"/>
  <c r="F56" i="8"/>
  <c r="L56" i="8" s="1"/>
  <c r="E56" i="8"/>
  <c r="R56" i="8" s="1"/>
  <c r="D56" i="8"/>
  <c r="BV55" i="8"/>
  <c r="BU55" i="8"/>
  <c r="BT55" i="8"/>
  <c r="BS55" i="8"/>
  <c r="BR55" i="8"/>
  <c r="BQ55" i="8"/>
  <c r="BO55" i="8"/>
  <c r="BN55" i="8"/>
  <c r="BM55" i="8"/>
  <c r="BL55" i="8"/>
  <c r="BK55" i="8"/>
  <c r="BJ55" i="8"/>
  <c r="BI55" i="8"/>
  <c r="BH55" i="8"/>
  <c r="BG55" i="8"/>
  <c r="BF55" i="8"/>
  <c r="BE55" i="8"/>
  <c r="BD55" i="8"/>
  <c r="BB55" i="8"/>
  <c r="AZ55" i="8"/>
  <c r="AY55" i="8"/>
  <c r="AX55" i="8"/>
  <c r="AV55" i="8"/>
  <c r="AU55" i="8"/>
  <c r="AT55" i="8"/>
  <c r="AS55" i="8"/>
  <c r="AR55" i="8"/>
  <c r="AQ55" i="8"/>
  <c r="AP55" i="8"/>
  <c r="AO55" i="8"/>
  <c r="AN55" i="8"/>
  <c r="AM55" i="8"/>
  <c r="AL55" i="8"/>
  <c r="AK55" i="8"/>
  <c r="AI55" i="8"/>
  <c r="AH55" i="8"/>
  <c r="AG55" i="8"/>
  <c r="AF55" i="8"/>
  <c r="AE55" i="8"/>
  <c r="AD55" i="8"/>
  <c r="AC55" i="8"/>
  <c r="AB55" i="8"/>
  <c r="Z55" i="8"/>
  <c r="Y55" i="8"/>
  <c r="W55" i="8"/>
  <c r="V55" i="8"/>
  <c r="X55" i="8" s="1"/>
  <c r="T55" i="8"/>
  <c r="S55" i="8"/>
  <c r="U55" i="8" s="1"/>
  <c r="Q55" i="8"/>
  <c r="P55" i="8"/>
  <c r="O55" i="8"/>
  <c r="N55" i="8"/>
  <c r="M55" i="8"/>
  <c r="G55" i="8"/>
  <c r="F55" i="8"/>
  <c r="E55" i="8"/>
  <c r="D55" i="8"/>
  <c r="BV54" i="8"/>
  <c r="BU54" i="8"/>
  <c r="BT54" i="8"/>
  <c r="BS54" i="8"/>
  <c r="BR54" i="8"/>
  <c r="BQ54" i="8"/>
  <c r="BO54" i="8"/>
  <c r="BN54" i="8"/>
  <c r="BM54" i="8"/>
  <c r="BL54" i="8"/>
  <c r="BK54" i="8"/>
  <c r="BJ54" i="8"/>
  <c r="BI54" i="8"/>
  <c r="BH54" i="8"/>
  <c r="BG54" i="8"/>
  <c r="BF54" i="8"/>
  <c r="BE54" i="8"/>
  <c r="BD54" i="8"/>
  <c r="BB54" i="8"/>
  <c r="AZ54" i="8"/>
  <c r="AY54" i="8"/>
  <c r="AX54" i="8"/>
  <c r="AV54" i="8"/>
  <c r="AU54" i="8"/>
  <c r="AT54" i="8"/>
  <c r="AS54" i="8"/>
  <c r="AW54" i="8" s="1"/>
  <c r="AR54" i="8"/>
  <c r="AQ54" i="8"/>
  <c r="AP54" i="8"/>
  <c r="AO54" i="8"/>
  <c r="AN54" i="8"/>
  <c r="AM54" i="8"/>
  <c r="AL54" i="8"/>
  <c r="AK54" i="8"/>
  <c r="AI54" i="8"/>
  <c r="AH54" i="8"/>
  <c r="AG54" i="8"/>
  <c r="AF54" i="8"/>
  <c r="AE54" i="8"/>
  <c r="AD54" i="8"/>
  <c r="AC54" i="8"/>
  <c r="AB54" i="8"/>
  <c r="Z54" i="8"/>
  <c r="Y54" i="8"/>
  <c r="W54" i="8"/>
  <c r="V54" i="8"/>
  <c r="T54" i="8"/>
  <c r="S54" i="8"/>
  <c r="Q54" i="8"/>
  <c r="P54" i="8"/>
  <c r="O54" i="8"/>
  <c r="N54" i="8"/>
  <c r="M54" i="8"/>
  <c r="G54" i="8"/>
  <c r="F54" i="8"/>
  <c r="E54" i="8"/>
  <c r="R54" i="8" s="1"/>
  <c r="D54" i="8"/>
  <c r="BV53" i="8"/>
  <c r="BU53" i="8"/>
  <c r="BT53" i="8"/>
  <c r="BS53" i="8"/>
  <c r="BR53" i="8"/>
  <c r="BQ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B53" i="8"/>
  <c r="AZ53" i="8"/>
  <c r="AY53" i="8"/>
  <c r="AX53" i="8"/>
  <c r="AV53" i="8"/>
  <c r="AU53" i="8"/>
  <c r="AT53" i="8"/>
  <c r="AS53" i="8"/>
  <c r="AR53" i="8"/>
  <c r="AQ53" i="8"/>
  <c r="AP53" i="8"/>
  <c r="AO53" i="8"/>
  <c r="AN53" i="8"/>
  <c r="AM53" i="8"/>
  <c r="AL53" i="8"/>
  <c r="AK53" i="8"/>
  <c r="AI53" i="8"/>
  <c r="AH53" i="8"/>
  <c r="AJ53" i="8" s="1"/>
  <c r="AG53" i="8"/>
  <c r="AF53" i="8"/>
  <c r="AE53" i="8"/>
  <c r="AD53" i="8"/>
  <c r="AC53" i="8"/>
  <c r="AB53" i="8"/>
  <c r="Z53" i="8"/>
  <c r="Y53" i="8"/>
  <c r="AA53" i="8" s="1"/>
  <c r="W53" i="8"/>
  <c r="V53" i="8"/>
  <c r="X53" i="8" s="1"/>
  <c r="T53" i="8"/>
  <c r="S53" i="8"/>
  <c r="U53" i="8" s="1"/>
  <c r="Q53" i="8"/>
  <c r="P53" i="8"/>
  <c r="O53" i="8"/>
  <c r="N53" i="8"/>
  <c r="M53" i="8"/>
  <c r="G53" i="8"/>
  <c r="F53" i="8"/>
  <c r="E53" i="8"/>
  <c r="D53" i="8"/>
  <c r="BV51" i="8"/>
  <c r="BU51" i="8"/>
  <c r="BT51" i="8"/>
  <c r="BS51" i="8"/>
  <c r="BR51" i="8"/>
  <c r="BQ51" i="8"/>
  <c r="BO51" i="8"/>
  <c r="BN51" i="8"/>
  <c r="BP51" i="8" s="1"/>
  <c r="BM51" i="8"/>
  <c r="BL51" i="8"/>
  <c r="BK51" i="8"/>
  <c r="BJ51" i="8"/>
  <c r="BI51" i="8"/>
  <c r="BH51" i="8"/>
  <c r="BG51" i="8"/>
  <c r="BF51" i="8"/>
  <c r="BE51" i="8"/>
  <c r="BD51" i="8"/>
  <c r="BB51" i="8"/>
  <c r="AZ51" i="8"/>
  <c r="AY51" i="8"/>
  <c r="BC51" i="8" s="1"/>
  <c r="AX51" i="8"/>
  <c r="BA51" i="8" s="1"/>
  <c r="AV51" i="8"/>
  <c r="AU51" i="8"/>
  <c r="AT51" i="8"/>
  <c r="AS51" i="8"/>
  <c r="AW51" i="8" s="1"/>
  <c r="AR51" i="8"/>
  <c r="AQ51" i="8"/>
  <c r="AP51" i="8"/>
  <c r="AO51" i="8"/>
  <c r="AN51" i="8"/>
  <c r="AM51" i="8"/>
  <c r="AL51" i="8"/>
  <c r="AK51" i="8"/>
  <c r="AI51" i="8"/>
  <c r="AH51" i="8"/>
  <c r="AJ51" i="8" s="1"/>
  <c r="AG51" i="8"/>
  <c r="AF51" i="8"/>
  <c r="AE51" i="8"/>
  <c r="AD51" i="8"/>
  <c r="AC51" i="8"/>
  <c r="AB51" i="8"/>
  <c r="Z51" i="8"/>
  <c r="Y51" i="8"/>
  <c r="AA51" i="8" s="1"/>
  <c r="W51" i="8"/>
  <c r="V51" i="8"/>
  <c r="T51" i="8"/>
  <c r="S51" i="8"/>
  <c r="Q51" i="8"/>
  <c r="P51" i="8"/>
  <c r="O51" i="8"/>
  <c r="N51" i="8"/>
  <c r="M51" i="8"/>
  <c r="G51" i="8"/>
  <c r="F51" i="8"/>
  <c r="E51" i="8"/>
  <c r="R51" i="8" s="1"/>
  <c r="D51" i="8"/>
  <c r="BV50" i="8"/>
  <c r="BU50" i="8"/>
  <c r="BT50" i="8"/>
  <c r="BS50" i="8"/>
  <c r="BR50" i="8"/>
  <c r="BQ50" i="8"/>
  <c r="BO50" i="8"/>
  <c r="BN50" i="8"/>
  <c r="BM50" i="8"/>
  <c r="BL50" i="8"/>
  <c r="BK50" i="8"/>
  <c r="BJ50" i="8"/>
  <c r="BI50" i="8"/>
  <c r="BH50" i="8"/>
  <c r="BG50" i="8"/>
  <c r="BF50" i="8"/>
  <c r="BE50" i="8"/>
  <c r="BD50" i="8"/>
  <c r="BB50" i="8"/>
  <c r="AZ50" i="8"/>
  <c r="AY50" i="8"/>
  <c r="AX50" i="8"/>
  <c r="AV50" i="8"/>
  <c r="AU50" i="8"/>
  <c r="AT50" i="8"/>
  <c r="AS50" i="8"/>
  <c r="AR50" i="8"/>
  <c r="AQ50" i="8"/>
  <c r="AP50" i="8"/>
  <c r="AO50" i="8"/>
  <c r="AN50" i="8"/>
  <c r="AM50" i="8"/>
  <c r="AL50" i="8"/>
  <c r="AK50" i="8"/>
  <c r="AI50" i="8"/>
  <c r="AH50" i="8"/>
  <c r="AJ50" i="8" s="1"/>
  <c r="AG50" i="8"/>
  <c r="AF50" i="8"/>
  <c r="AE50" i="8"/>
  <c r="AD50" i="8"/>
  <c r="AC50" i="8"/>
  <c r="AB50" i="8"/>
  <c r="Z50" i="8"/>
  <c r="Y50" i="8"/>
  <c r="W50" i="8"/>
  <c r="V50" i="8"/>
  <c r="T50" i="8"/>
  <c r="S50" i="8"/>
  <c r="Q50" i="8"/>
  <c r="P50" i="8"/>
  <c r="O50" i="8"/>
  <c r="N50" i="8"/>
  <c r="M50" i="8"/>
  <c r="G50" i="8"/>
  <c r="F50" i="8"/>
  <c r="E50" i="8"/>
  <c r="R50" i="8" s="1"/>
  <c r="D50" i="8"/>
  <c r="BV49" i="8"/>
  <c r="BU49" i="8"/>
  <c r="BT49" i="8"/>
  <c r="BS49" i="8"/>
  <c r="BR49" i="8"/>
  <c r="BQ49" i="8"/>
  <c r="BO49" i="8"/>
  <c r="BN49" i="8"/>
  <c r="BP49" i="8" s="1"/>
  <c r="BM49" i="8"/>
  <c r="BL49" i="8"/>
  <c r="BK49" i="8"/>
  <c r="BJ49" i="8"/>
  <c r="BI49" i="8"/>
  <c r="BH49" i="8"/>
  <c r="BG49" i="8"/>
  <c r="BF49" i="8"/>
  <c r="BE49" i="8"/>
  <c r="BD49" i="8"/>
  <c r="BB49" i="8"/>
  <c r="AZ49" i="8"/>
  <c r="AY49" i="8"/>
  <c r="BC49" i="8" s="1"/>
  <c r="AX49" i="8"/>
  <c r="BA49" i="8" s="1"/>
  <c r="AV49" i="8"/>
  <c r="AU49" i="8"/>
  <c r="AT49" i="8"/>
  <c r="AS49" i="8"/>
  <c r="AW49" i="8" s="1"/>
  <c r="AR49" i="8"/>
  <c r="AQ49" i="8"/>
  <c r="AP49" i="8"/>
  <c r="AO49" i="8"/>
  <c r="AN49" i="8"/>
  <c r="AM49" i="8"/>
  <c r="AL49" i="8"/>
  <c r="AK49" i="8"/>
  <c r="AI49" i="8"/>
  <c r="AH49" i="8"/>
  <c r="AG49" i="8"/>
  <c r="AF49" i="8"/>
  <c r="AE49" i="8"/>
  <c r="AD49" i="8"/>
  <c r="AC49" i="8"/>
  <c r="AB49" i="8"/>
  <c r="Z49" i="8"/>
  <c r="Y49" i="8"/>
  <c r="AA49" i="8" s="1"/>
  <c r="W49" i="8"/>
  <c r="V49" i="8"/>
  <c r="X49" i="8" s="1"/>
  <c r="T49" i="8"/>
  <c r="S49" i="8"/>
  <c r="Q49" i="8"/>
  <c r="P49" i="8"/>
  <c r="O49" i="8"/>
  <c r="N49" i="8"/>
  <c r="M49" i="8"/>
  <c r="G49" i="8"/>
  <c r="F49" i="8"/>
  <c r="E49" i="8"/>
  <c r="R49" i="8" s="1"/>
  <c r="D49" i="8"/>
  <c r="BV48" i="8"/>
  <c r="BU48" i="8"/>
  <c r="BT48" i="8"/>
  <c r="BS48" i="8"/>
  <c r="BR48" i="8"/>
  <c r="BQ48" i="8"/>
  <c r="BO48" i="8"/>
  <c r="BN48" i="8"/>
  <c r="BM48" i="8"/>
  <c r="BL48" i="8"/>
  <c r="BK48" i="8"/>
  <c r="BJ48" i="8"/>
  <c r="BI48" i="8"/>
  <c r="BH48" i="8"/>
  <c r="BG48" i="8"/>
  <c r="BF48" i="8"/>
  <c r="BE48" i="8"/>
  <c r="BD48" i="8"/>
  <c r="BB48" i="8"/>
  <c r="AZ48" i="8"/>
  <c r="AY48" i="8"/>
  <c r="BC48" i="8" s="1"/>
  <c r="AX48" i="8"/>
  <c r="BA48" i="8" s="1"/>
  <c r="AV48" i="8"/>
  <c r="AU48" i="8"/>
  <c r="AT48" i="8"/>
  <c r="AS48" i="8"/>
  <c r="AW48" i="8" s="1"/>
  <c r="AR48" i="8"/>
  <c r="AQ48" i="8"/>
  <c r="AP48" i="8"/>
  <c r="AO48" i="8"/>
  <c r="AN48" i="8"/>
  <c r="AM48" i="8"/>
  <c r="AL48" i="8"/>
  <c r="AK48" i="8"/>
  <c r="AI48" i="8"/>
  <c r="AH48" i="8"/>
  <c r="AJ48" i="8" s="1"/>
  <c r="AG48" i="8"/>
  <c r="AF48" i="8"/>
  <c r="AE48" i="8"/>
  <c r="AD48" i="8"/>
  <c r="AC48" i="8"/>
  <c r="AB48" i="8"/>
  <c r="Z48" i="8"/>
  <c r="Y48" i="8"/>
  <c r="AA48" i="8" s="1"/>
  <c r="W48" i="8"/>
  <c r="V48" i="8"/>
  <c r="T48" i="8"/>
  <c r="S48" i="8"/>
  <c r="U48" i="8" s="1"/>
  <c r="Q48" i="8"/>
  <c r="P48" i="8"/>
  <c r="O48" i="8"/>
  <c r="N48" i="8"/>
  <c r="M48" i="8"/>
  <c r="G48" i="8"/>
  <c r="F48" i="8"/>
  <c r="E48" i="8"/>
  <c r="R48" i="8" s="1"/>
  <c r="D48" i="8"/>
  <c r="BV47" i="8"/>
  <c r="BU47" i="8"/>
  <c r="BT47" i="8"/>
  <c r="BS47" i="8"/>
  <c r="BR47" i="8"/>
  <c r="BQ47" i="8"/>
  <c r="BO47" i="8"/>
  <c r="BN47" i="8"/>
  <c r="BP47" i="8" s="1"/>
  <c r="BM47" i="8"/>
  <c r="BL47" i="8"/>
  <c r="BK47" i="8"/>
  <c r="BJ47" i="8"/>
  <c r="BI47" i="8"/>
  <c r="BH47" i="8"/>
  <c r="BG47" i="8"/>
  <c r="BF47" i="8"/>
  <c r="BE47" i="8"/>
  <c r="BD47" i="8"/>
  <c r="BB47" i="8"/>
  <c r="AZ47" i="8"/>
  <c r="AY47" i="8"/>
  <c r="AX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I47" i="8"/>
  <c r="AH47" i="8"/>
  <c r="AJ47" i="8" s="1"/>
  <c r="AG47" i="8"/>
  <c r="AF47" i="8"/>
  <c r="AE47" i="8"/>
  <c r="AD47" i="8"/>
  <c r="AC47" i="8"/>
  <c r="AB47" i="8"/>
  <c r="Z47" i="8"/>
  <c r="Y47" i="8"/>
  <c r="W47" i="8"/>
  <c r="V47" i="8"/>
  <c r="X47" i="8" s="1"/>
  <c r="T47" i="8"/>
  <c r="S47" i="8"/>
  <c r="U47" i="8" s="1"/>
  <c r="Q47" i="8"/>
  <c r="P47" i="8"/>
  <c r="O47" i="8"/>
  <c r="N47" i="8"/>
  <c r="M47" i="8"/>
  <c r="G47" i="8"/>
  <c r="F47" i="8"/>
  <c r="E47" i="8"/>
  <c r="R47" i="8" s="1"/>
  <c r="D47" i="8"/>
  <c r="BV46" i="8"/>
  <c r="BU46" i="8"/>
  <c r="BT46" i="8"/>
  <c r="BS46" i="8"/>
  <c r="BR46" i="8"/>
  <c r="BQ46" i="8"/>
  <c r="BO46" i="8"/>
  <c r="BN46" i="8"/>
  <c r="BP46" i="8" s="1"/>
  <c r="BM46" i="8"/>
  <c r="BL46" i="8"/>
  <c r="BK46" i="8"/>
  <c r="BJ46" i="8"/>
  <c r="BI46" i="8"/>
  <c r="BH46" i="8"/>
  <c r="BG46" i="8"/>
  <c r="BF46" i="8"/>
  <c r="BE46" i="8"/>
  <c r="BD46" i="8"/>
  <c r="BB46" i="8"/>
  <c r="AZ46" i="8"/>
  <c r="AY46" i="8"/>
  <c r="BC46" i="8" s="1"/>
  <c r="AX46" i="8"/>
  <c r="BA46" i="8" s="1"/>
  <c r="AV46" i="8"/>
  <c r="AU46" i="8"/>
  <c r="AT46" i="8"/>
  <c r="AS46" i="8"/>
  <c r="AR46" i="8"/>
  <c r="AQ46" i="8"/>
  <c r="AP46" i="8"/>
  <c r="AO46" i="8"/>
  <c r="AN46" i="8"/>
  <c r="AM46" i="8"/>
  <c r="AL46" i="8"/>
  <c r="AK46" i="8"/>
  <c r="AI46" i="8"/>
  <c r="AH46" i="8"/>
  <c r="AG46" i="8"/>
  <c r="AF46" i="8"/>
  <c r="AE46" i="8"/>
  <c r="AD46" i="8"/>
  <c r="AC46" i="8"/>
  <c r="AB46" i="8"/>
  <c r="Z46" i="8"/>
  <c r="Y46" i="8"/>
  <c r="AA46" i="8" s="1"/>
  <c r="W46" i="8"/>
  <c r="V46" i="8"/>
  <c r="T46" i="8"/>
  <c r="S46" i="8"/>
  <c r="U46" i="8" s="1"/>
  <c r="Q46" i="8"/>
  <c r="P46" i="8"/>
  <c r="O46" i="8"/>
  <c r="N46" i="8"/>
  <c r="M46" i="8"/>
  <c r="G46" i="8"/>
  <c r="F46" i="8"/>
  <c r="E46" i="8"/>
  <c r="R46" i="8" s="1"/>
  <c r="D46" i="8"/>
  <c r="BV45" i="8"/>
  <c r="BU45" i="8"/>
  <c r="BT45" i="8"/>
  <c r="BS45" i="8"/>
  <c r="BR45" i="8"/>
  <c r="BQ45" i="8"/>
  <c r="BO45" i="8"/>
  <c r="BN45" i="8"/>
  <c r="BP45" i="8" s="1"/>
  <c r="BM45" i="8"/>
  <c r="BL45" i="8"/>
  <c r="BK45" i="8"/>
  <c r="BJ45" i="8"/>
  <c r="BI45" i="8"/>
  <c r="BH45" i="8"/>
  <c r="BG45" i="8"/>
  <c r="BF45" i="8"/>
  <c r="BE45" i="8"/>
  <c r="BD45" i="8"/>
  <c r="BB45" i="8"/>
  <c r="AZ45" i="8"/>
  <c r="AY45" i="8"/>
  <c r="BC45" i="8" s="1"/>
  <c r="AX45" i="8"/>
  <c r="BA45" i="8" s="1"/>
  <c r="AV45" i="8"/>
  <c r="AU45" i="8"/>
  <c r="AT45" i="8"/>
  <c r="AS45" i="8"/>
  <c r="AW45" i="8" s="1"/>
  <c r="AR45" i="8"/>
  <c r="AQ45" i="8"/>
  <c r="AP45" i="8"/>
  <c r="AO45" i="8"/>
  <c r="AN45" i="8"/>
  <c r="AM45" i="8"/>
  <c r="AL45" i="8"/>
  <c r="AK45" i="8"/>
  <c r="AI45" i="8"/>
  <c r="AH45" i="8"/>
  <c r="AJ45" i="8" s="1"/>
  <c r="AG45" i="8"/>
  <c r="AF45" i="8"/>
  <c r="AE45" i="8"/>
  <c r="AD45" i="8"/>
  <c r="AC45" i="8"/>
  <c r="AB45" i="8"/>
  <c r="Z45" i="8"/>
  <c r="Y45" i="8"/>
  <c r="W45" i="8"/>
  <c r="V45" i="8"/>
  <c r="X45" i="8" s="1"/>
  <c r="T45" i="8"/>
  <c r="S45" i="8"/>
  <c r="U45" i="8" s="1"/>
  <c r="Q45" i="8"/>
  <c r="P45" i="8"/>
  <c r="O45" i="8"/>
  <c r="N45" i="8"/>
  <c r="M45" i="8"/>
  <c r="G45" i="8"/>
  <c r="F45" i="8"/>
  <c r="E45" i="8"/>
  <c r="R45" i="8" s="1"/>
  <c r="D45" i="8"/>
  <c r="BV44" i="8"/>
  <c r="BU44" i="8"/>
  <c r="BT44" i="8"/>
  <c r="BS44" i="8"/>
  <c r="BR44" i="8"/>
  <c r="BQ44" i="8"/>
  <c r="BO44" i="8"/>
  <c r="BN44" i="8"/>
  <c r="BP44" i="8" s="1"/>
  <c r="BM44" i="8"/>
  <c r="BL44" i="8"/>
  <c r="BK44" i="8"/>
  <c r="BJ44" i="8"/>
  <c r="BI44" i="8"/>
  <c r="BH44" i="8"/>
  <c r="BG44" i="8"/>
  <c r="BF44" i="8"/>
  <c r="BE44" i="8"/>
  <c r="BD44" i="8"/>
  <c r="BB44" i="8"/>
  <c r="AZ44" i="8"/>
  <c r="AY44" i="8"/>
  <c r="BC44" i="8" s="1"/>
  <c r="AX44" i="8"/>
  <c r="BA44" i="8" s="1"/>
  <c r="AV44" i="8"/>
  <c r="AU44" i="8"/>
  <c r="AT44" i="8"/>
  <c r="AS44" i="8"/>
  <c r="AW44" i="8" s="1"/>
  <c r="AR44" i="8"/>
  <c r="AQ44" i="8"/>
  <c r="AP44" i="8"/>
  <c r="AO44" i="8"/>
  <c r="AN44" i="8"/>
  <c r="AM44" i="8"/>
  <c r="AL44" i="8"/>
  <c r="AK44" i="8"/>
  <c r="AI44" i="8"/>
  <c r="AH44" i="8"/>
  <c r="AJ44" i="8" s="1"/>
  <c r="AG44" i="8"/>
  <c r="AF44" i="8"/>
  <c r="AE44" i="8"/>
  <c r="AD44" i="8"/>
  <c r="AC44" i="8"/>
  <c r="AB44" i="8"/>
  <c r="Z44" i="8"/>
  <c r="Y44" i="8"/>
  <c r="AA44" i="8" s="1"/>
  <c r="W44" i="8"/>
  <c r="V44" i="8"/>
  <c r="X44" i="8" s="1"/>
  <c r="T44" i="8"/>
  <c r="S44" i="8"/>
  <c r="U44" i="8" s="1"/>
  <c r="Q44" i="8"/>
  <c r="P44" i="8"/>
  <c r="O44" i="8"/>
  <c r="N44" i="8"/>
  <c r="M44" i="8"/>
  <c r="G44" i="8"/>
  <c r="F44" i="8"/>
  <c r="L44" i="8" s="1"/>
  <c r="E44" i="8"/>
  <c r="R44" i="8" s="1"/>
  <c r="D44" i="8"/>
  <c r="K44" i="8" s="1"/>
  <c r="BV43" i="8"/>
  <c r="BU43" i="8"/>
  <c r="BT43" i="8"/>
  <c r="BS43" i="8"/>
  <c r="BR43" i="8"/>
  <c r="BQ43" i="8"/>
  <c r="BO43" i="8"/>
  <c r="BN43" i="8"/>
  <c r="BP43" i="8" s="1"/>
  <c r="BM43" i="8"/>
  <c r="BL43" i="8"/>
  <c r="BK43" i="8"/>
  <c r="BJ43" i="8"/>
  <c r="BI43" i="8"/>
  <c r="BH43" i="8"/>
  <c r="BG43" i="8"/>
  <c r="BF43" i="8"/>
  <c r="BE43" i="8"/>
  <c r="BD43" i="8"/>
  <c r="BB43" i="8"/>
  <c r="AZ43" i="8"/>
  <c r="AY43" i="8"/>
  <c r="AX43" i="8"/>
  <c r="AV43" i="8"/>
  <c r="AU43" i="8"/>
  <c r="AT43" i="8"/>
  <c r="AS43" i="8"/>
  <c r="AW43" i="8" s="1"/>
  <c r="AR43" i="8"/>
  <c r="AQ43" i="8"/>
  <c r="AP43" i="8"/>
  <c r="AO43" i="8"/>
  <c r="AN43" i="8"/>
  <c r="AM43" i="8"/>
  <c r="AL43" i="8"/>
  <c r="AK43" i="8"/>
  <c r="AI43" i="8"/>
  <c r="AH43" i="8"/>
  <c r="AG43" i="8"/>
  <c r="AF43" i="8"/>
  <c r="AE43" i="8"/>
  <c r="AD43" i="8"/>
  <c r="AC43" i="8"/>
  <c r="AB43" i="8"/>
  <c r="Z43" i="8"/>
  <c r="Y43" i="8"/>
  <c r="AA43" i="8" s="1"/>
  <c r="W43" i="8"/>
  <c r="V43" i="8"/>
  <c r="X43" i="8" s="1"/>
  <c r="T43" i="8"/>
  <c r="S43" i="8"/>
  <c r="U43" i="8" s="1"/>
  <c r="Q43" i="8"/>
  <c r="P43" i="8"/>
  <c r="O43" i="8"/>
  <c r="N43" i="8"/>
  <c r="M43" i="8"/>
  <c r="G43" i="8"/>
  <c r="F43" i="8"/>
  <c r="E43" i="8"/>
  <c r="R43" i="8" s="1"/>
  <c r="D43" i="8"/>
  <c r="BV42" i="8"/>
  <c r="BU42" i="8"/>
  <c r="BT42" i="8"/>
  <c r="BS42" i="8"/>
  <c r="BR42" i="8"/>
  <c r="BQ42" i="8"/>
  <c r="BO42" i="8"/>
  <c r="BN42" i="8"/>
  <c r="BP42" i="8" s="1"/>
  <c r="BM42" i="8"/>
  <c r="BL42" i="8"/>
  <c r="BK42" i="8"/>
  <c r="BJ42" i="8"/>
  <c r="BI42" i="8"/>
  <c r="BH42" i="8"/>
  <c r="BG42" i="8"/>
  <c r="BF42" i="8"/>
  <c r="BE42" i="8"/>
  <c r="BD42" i="8"/>
  <c r="BB42" i="8"/>
  <c r="AZ42" i="8"/>
  <c r="AY42" i="8"/>
  <c r="BC42" i="8" s="1"/>
  <c r="AX42" i="8"/>
  <c r="BA42" i="8" s="1"/>
  <c r="AV42" i="8"/>
  <c r="AU42" i="8"/>
  <c r="AT42" i="8"/>
  <c r="AS42" i="8"/>
  <c r="AR42" i="8"/>
  <c r="AQ42" i="8"/>
  <c r="AP42" i="8"/>
  <c r="AO42" i="8"/>
  <c r="AN42" i="8"/>
  <c r="AM42" i="8"/>
  <c r="AL42" i="8"/>
  <c r="AK42" i="8"/>
  <c r="AI42" i="8"/>
  <c r="AH42" i="8"/>
  <c r="AG42" i="8"/>
  <c r="AF42" i="8"/>
  <c r="AE42" i="8"/>
  <c r="AD42" i="8"/>
  <c r="AC42" i="8"/>
  <c r="AB42" i="8"/>
  <c r="Z42" i="8"/>
  <c r="Y42" i="8"/>
  <c r="W42" i="8"/>
  <c r="V42" i="8"/>
  <c r="X42" i="8" s="1"/>
  <c r="T42" i="8"/>
  <c r="S42" i="8"/>
  <c r="U42" i="8" s="1"/>
  <c r="Q42" i="8"/>
  <c r="P42" i="8"/>
  <c r="O42" i="8"/>
  <c r="N42" i="8"/>
  <c r="M42" i="8"/>
  <c r="G42" i="8"/>
  <c r="F42" i="8"/>
  <c r="E42" i="8"/>
  <c r="R42" i="8" s="1"/>
  <c r="D42" i="8"/>
  <c r="BV41" i="8"/>
  <c r="BU41" i="8"/>
  <c r="BT41" i="8"/>
  <c r="BS41" i="8"/>
  <c r="BR41" i="8"/>
  <c r="BQ41" i="8"/>
  <c r="BO41" i="8"/>
  <c r="BN41" i="8"/>
  <c r="BP41" i="8" s="1"/>
  <c r="BM41" i="8"/>
  <c r="BL41" i="8"/>
  <c r="BK41" i="8"/>
  <c r="BJ41" i="8"/>
  <c r="BI41" i="8"/>
  <c r="BH41" i="8"/>
  <c r="BG41" i="8"/>
  <c r="BF41" i="8"/>
  <c r="BE41" i="8"/>
  <c r="BD41" i="8"/>
  <c r="BB41" i="8"/>
  <c r="AZ41" i="8"/>
  <c r="AY41" i="8"/>
  <c r="BC41" i="8" s="1"/>
  <c r="AX41" i="8"/>
  <c r="BA41" i="8" s="1"/>
  <c r="AV41" i="8"/>
  <c r="AU41" i="8"/>
  <c r="AT41" i="8"/>
  <c r="AS41" i="8"/>
  <c r="AW41" i="8" s="1"/>
  <c r="AR41" i="8"/>
  <c r="AQ41" i="8"/>
  <c r="AP41" i="8"/>
  <c r="AO41" i="8"/>
  <c r="AN41" i="8"/>
  <c r="AM41" i="8"/>
  <c r="AL41" i="8"/>
  <c r="AK41" i="8"/>
  <c r="AI41" i="8"/>
  <c r="AH41" i="8"/>
  <c r="AJ41" i="8" s="1"/>
  <c r="AG41" i="8"/>
  <c r="AF41" i="8"/>
  <c r="AE41" i="8"/>
  <c r="AD41" i="8"/>
  <c r="AC41" i="8"/>
  <c r="AB41" i="8"/>
  <c r="Z41" i="8"/>
  <c r="Y41" i="8"/>
  <c r="AA41" i="8" s="1"/>
  <c r="W41" i="8"/>
  <c r="V41" i="8"/>
  <c r="X41" i="8" s="1"/>
  <c r="T41" i="8"/>
  <c r="S41" i="8"/>
  <c r="U41" i="8" s="1"/>
  <c r="Q41" i="8"/>
  <c r="P41" i="8"/>
  <c r="O41" i="8"/>
  <c r="N41" i="8"/>
  <c r="M41" i="8"/>
  <c r="G41" i="8"/>
  <c r="F41" i="8"/>
  <c r="L41" i="8" s="1"/>
  <c r="E41" i="8"/>
  <c r="R41" i="8" s="1"/>
  <c r="D41" i="8"/>
  <c r="I41" i="8" s="1"/>
  <c r="BV40" i="8"/>
  <c r="BU40" i="8"/>
  <c r="BT40" i="8"/>
  <c r="BS40" i="8"/>
  <c r="BR40" i="8"/>
  <c r="BQ40" i="8"/>
  <c r="BO40" i="8"/>
  <c r="BN40" i="8"/>
  <c r="BP40" i="8" s="1"/>
  <c r="BM40" i="8"/>
  <c r="BL40" i="8"/>
  <c r="BK40" i="8"/>
  <c r="BJ40" i="8"/>
  <c r="BI40" i="8"/>
  <c r="BH40" i="8"/>
  <c r="BG40" i="8"/>
  <c r="BF40" i="8"/>
  <c r="BE40" i="8"/>
  <c r="BD40" i="8"/>
  <c r="BB40" i="8"/>
  <c r="AZ40" i="8"/>
  <c r="AY40" i="8"/>
  <c r="BC40" i="8" s="1"/>
  <c r="AX40" i="8"/>
  <c r="BA40" i="8" s="1"/>
  <c r="AV40" i="8"/>
  <c r="AU40" i="8"/>
  <c r="AT40" i="8"/>
  <c r="AS40" i="8"/>
  <c r="AW40" i="8" s="1"/>
  <c r="AR40" i="8"/>
  <c r="AQ40" i="8"/>
  <c r="AP40" i="8"/>
  <c r="AO40" i="8"/>
  <c r="AN40" i="8"/>
  <c r="AM40" i="8"/>
  <c r="AL40" i="8"/>
  <c r="AK40" i="8"/>
  <c r="AI40" i="8"/>
  <c r="AH40" i="8"/>
  <c r="AJ40" i="8" s="1"/>
  <c r="AG40" i="8"/>
  <c r="AF40" i="8"/>
  <c r="AE40" i="8"/>
  <c r="AD40" i="8"/>
  <c r="AC40" i="8"/>
  <c r="AB40" i="8"/>
  <c r="Z40" i="8"/>
  <c r="Y40" i="8"/>
  <c r="AA40" i="8" s="1"/>
  <c r="W40" i="8"/>
  <c r="V40" i="8"/>
  <c r="X40" i="8" s="1"/>
  <c r="T40" i="8"/>
  <c r="S40" i="8"/>
  <c r="U40" i="8" s="1"/>
  <c r="Q40" i="8"/>
  <c r="P40" i="8"/>
  <c r="O40" i="8"/>
  <c r="N40" i="8"/>
  <c r="M40" i="8"/>
  <c r="G40" i="8"/>
  <c r="F40" i="8"/>
  <c r="L40" i="8" s="1"/>
  <c r="E40" i="8"/>
  <c r="R40" i="8" s="1"/>
  <c r="D40" i="8"/>
  <c r="BV39" i="8"/>
  <c r="BU39" i="8"/>
  <c r="BT39" i="8"/>
  <c r="BS39" i="8"/>
  <c r="BR39" i="8"/>
  <c r="BQ39" i="8"/>
  <c r="BO39" i="8"/>
  <c r="BN39" i="8"/>
  <c r="BP39" i="8" s="1"/>
  <c r="BM39" i="8"/>
  <c r="BL39" i="8"/>
  <c r="BK39" i="8"/>
  <c r="BJ39" i="8"/>
  <c r="BI39" i="8"/>
  <c r="BH39" i="8"/>
  <c r="BG39" i="8"/>
  <c r="BF39" i="8"/>
  <c r="BE39" i="8"/>
  <c r="BD39" i="8"/>
  <c r="BB39" i="8"/>
  <c r="AZ39" i="8"/>
  <c r="AY39" i="8"/>
  <c r="BC39" i="8" s="1"/>
  <c r="AX39" i="8"/>
  <c r="AV39" i="8"/>
  <c r="AU39" i="8"/>
  <c r="AT39" i="8"/>
  <c r="AS39" i="8"/>
  <c r="AW39" i="8" s="1"/>
  <c r="AR39" i="8"/>
  <c r="AQ39" i="8"/>
  <c r="AP39" i="8"/>
  <c r="AO39" i="8"/>
  <c r="AN39" i="8"/>
  <c r="AM39" i="8"/>
  <c r="AL39" i="8"/>
  <c r="AK39" i="8"/>
  <c r="AI39" i="8"/>
  <c r="AH39" i="8"/>
  <c r="AJ39" i="8" s="1"/>
  <c r="AG39" i="8"/>
  <c r="AF39" i="8"/>
  <c r="AE39" i="8"/>
  <c r="AD39" i="8"/>
  <c r="AC39" i="8"/>
  <c r="AB39" i="8"/>
  <c r="Z39" i="8"/>
  <c r="Y39" i="8"/>
  <c r="AA39" i="8" s="1"/>
  <c r="W39" i="8"/>
  <c r="V39" i="8"/>
  <c r="X39" i="8" s="1"/>
  <c r="T39" i="8"/>
  <c r="S39" i="8"/>
  <c r="U39" i="8" s="1"/>
  <c r="Q39" i="8"/>
  <c r="P39" i="8"/>
  <c r="O39" i="8"/>
  <c r="N39" i="8"/>
  <c r="M39" i="8"/>
  <c r="G39" i="8"/>
  <c r="F39" i="8"/>
  <c r="L39" i="8" s="1"/>
  <c r="E39" i="8"/>
  <c r="R39" i="8" s="1"/>
  <c r="D39" i="8"/>
  <c r="BV38" i="8"/>
  <c r="BU38" i="8"/>
  <c r="BT38" i="8"/>
  <c r="BS38" i="8"/>
  <c r="BR38" i="8"/>
  <c r="BQ38" i="8"/>
  <c r="BO38" i="8"/>
  <c r="BN38" i="8"/>
  <c r="BM38" i="8"/>
  <c r="BL38" i="8"/>
  <c r="BK38" i="8"/>
  <c r="BJ38" i="8"/>
  <c r="BI38" i="8"/>
  <c r="BH38" i="8"/>
  <c r="BG38" i="8"/>
  <c r="BF38" i="8"/>
  <c r="BE38" i="8"/>
  <c r="BD38" i="8"/>
  <c r="BB38" i="8"/>
  <c r="AZ38" i="8"/>
  <c r="AY38" i="8"/>
  <c r="AX38" i="8"/>
  <c r="AV38" i="8"/>
  <c r="AU38" i="8"/>
  <c r="AT38" i="8"/>
  <c r="AS38" i="8"/>
  <c r="AR38" i="8"/>
  <c r="AQ38" i="8"/>
  <c r="AP38" i="8"/>
  <c r="AO38" i="8"/>
  <c r="AN38" i="8"/>
  <c r="AM38" i="8"/>
  <c r="AL38" i="8"/>
  <c r="AK38" i="8"/>
  <c r="AI38" i="8"/>
  <c r="AH38" i="8"/>
  <c r="AJ38" i="8" s="1"/>
  <c r="AG38" i="8"/>
  <c r="AF38" i="8"/>
  <c r="AE38" i="8"/>
  <c r="AD38" i="8"/>
  <c r="AC38" i="8"/>
  <c r="AB38" i="8"/>
  <c r="Z38" i="8"/>
  <c r="Y38" i="8"/>
  <c r="W38" i="8"/>
  <c r="V38" i="8"/>
  <c r="X38" i="8" s="1"/>
  <c r="T38" i="8"/>
  <c r="S38" i="8"/>
  <c r="U38" i="8" s="1"/>
  <c r="Q38" i="8"/>
  <c r="P38" i="8"/>
  <c r="O38" i="8"/>
  <c r="N38" i="8"/>
  <c r="M38" i="8"/>
  <c r="G38" i="8"/>
  <c r="F38" i="8"/>
  <c r="E38" i="8"/>
  <c r="D38" i="8"/>
  <c r="BV37" i="8"/>
  <c r="BU37" i="8"/>
  <c r="BT37" i="8"/>
  <c r="BS37" i="8"/>
  <c r="BR37" i="8"/>
  <c r="BQ37" i="8"/>
  <c r="BO37" i="8"/>
  <c r="BN37" i="8"/>
  <c r="BP37" i="8" s="1"/>
  <c r="BM37" i="8"/>
  <c r="BL37" i="8"/>
  <c r="BK37" i="8"/>
  <c r="BJ37" i="8"/>
  <c r="BI37" i="8"/>
  <c r="BH37" i="8"/>
  <c r="BG37" i="8"/>
  <c r="BF37" i="8"/>
  <c r="BE37" i="8"/>
  <c r="BD37" i="8"/>
  <c r="BB37" i="8"/>
  <c r="AZ37" i="8"/>
  <c r="AY37" i="8"/>
  <c r="BC37" i="8" s="1"/>
  <c r="AX37" i="8"/>
  <c r="BA37" i="8" s="1"/>
  <c r="AV37" i="8"/>
  <c r="AU37" i="8"/>
  <c r="AT37" i="8"/>
  <c r="AS37" i="8"/>
  <c r="AW37" i="8" s="1"/>
  <c r="AR37" i="8"/>
  <c r="AQ37" i="8"/>
  <c r="AP37" i="8"/>
  <c r="AO37" i="8"/>
  <c r="AN37" i="8"/>
  <c r="AM37" i="8"/>
  <c r="AL37" i="8"/>
  <c r="AK37" i="8"/>
  <c r="AI37" i="8"/>
  <c r="AH37" i="8"/>
  <c r="AJ37" i="8" s="1"/>
  <c r="AG37" i="8"/>
  <c r="AF37" i="8"/>
  <c r="AE37" i="8"/>
  <c r="AD37" i="8"/>
  <c r="AC37" i="8"/>
  <c r="AB37" i="8"/>
  <c r="Z37" i="8"/>
  <c r="Y37" i="8"/>
  <c r="AA37" i="8" s="1"/>
  <c r="W37" i="8"/>
  <c r="V37" i="8"/>
  <c r="X37" i="8" s="1"/>
  <c r="T37" i="8"/>
  <c r="S37" i="8"/>
  <c r="U37" i="8" s="1"/>
  <c r="Q37" i="8"/>
  <c r="P37" i="8"/>
  <c r="O37" i="8"/>
  <c r="N37" i="8"/>
  <c r="M37" i="8"/>
  <c r="G37" i="8"/>
  <c r="F37" i="8"/>
  <c r="L37" i="8" s="1"/>
  <c r="E37" i="8"/>
  <c r="R37" i="8" s="1"/>
  <c r="D37" i="8"/>
  <c r="BV36" i="8"/>
  <c r="BU36" i="8"/>
  <c r="BT36" i="8"/>
  <c r="BS36" i="8"/>
  <c r="BR36" i="8"/>
  <c r="BQ36" i="8"/>
  <c r="BO36" i="8"/>
  <c r="BN36" i="8"/>
  <c r="BP36" i="8" s="1"/>
  <c r="BM36" i="8"/>
  <c r="BL36" i="8"/>
  <c r="BK36" i="8"/>
  <c r="BJ36" i="8"/>
  <c r="BI36" i="8"/>
  <c r="BH36" i="8"/>
  <c r="BG36" i="8"/>
  <c r="BF36" i="8"/>
  <c r="BE36" i="8"/>
  <c r="BD36" i="8"/>
  <c r="BB36" i="8"/>
  <c r="AZ36" i="8"/>
  <c r="AY36" i="8"/>
  <c r="BC36" i="8" s="1"/>
  <c r="AX36" i="8"/>
  <c r="BA36" i="8" s="1"/>
  <c r="AV36" i="8"/>
  <c r="AU36" i="8"/>
  <c r="AT36" i="8"/>
  <c r="AS36" i="8"/>
  <c r="AW36" i="8" s="1"/>
  <c r="AR36" i="8"/>
  <c r="AQ36" i="8"/>
  <c r="AP36" i="8"/>
  <c r="AO36" i="8"/>
  <c r="AN36" i="8"/>
  <c r="AM36" i="8"/>
  <c r="AL36" i="8"/>
  <c r="AK36" i="8"/>
  <c r="AI36" i="8"/>
  <c r="AH36" i="8"/>
  <c r="AJ36" i="8" s="1"/>
  <c r="AG36" i="8"/>
  <c r="AF36" i="8"/>
  <c r="AE36" i="8"/>
  <c r="AD36" i="8"/>
  <c r="AC36" i="8"/>
  <c r="AB36" i="8"/>
  <c r="Z36" i="8"/>
  <c r="Y36" i="8"/>
  <c r="AA36" i="8" s="1"/>
  <c r="W36" i="8"/>
  <c r="V36" i="8"/>
  <c r="T36" i="8"/>
  <c r="S36" i="8"/>
  <c r="Q36" i="8"/>
  <c r="P36" i="8"/>
  <c r="O36" i="8"/>
  <c r="N36" i="8"/>
  <c r="M36" i="8"/>
  <c r="G36" i="8"/>
  <c r="F36" i="8"/>
  <c r="E36" i="8"/>
  <c r="R36" i="8" s="1"/>
  <c r="D36" i="8"/>
  <c r="BV35" i="8"/>
  <c r="BU35" i="8"/>
  <c r="BT35" i="8"/>
  <c r="BS35" i="8"/>
  <c r="BR35" i="8"/>
  <c r="BQ35" i="8"/>
  <c r="BO35" i="8"/>
  <c r="BN35" i="8"/>
  <c r="BP35" i="8" s="1"/>
  <c r="BM35" i="8"/>
  <c r="BL35" i="8"/>
  <c r="BK35" i="8"/>
  <c r="BJ35" i="8"/>
  <c r="BI35" i="8"/>
  <c r="BH35" i="8"/>
  <c r="BG35" i="8"/>
  <c r="BF35" i="8"/>
  <c r="BE35" i="8"/>
  <c r="BD35" i="8"/>
  <c r="BB35" i="8"/>
  <c r="AZ35" i="8"/>
  <c r="AY35" i="8"/>
  <c r="BC35" i="8" s="1"/>
  <c r="AX35" i="8"/>
  <c r="BA35" i="8" s="1"/>
  <c r="AV35" i="8"/>
  <c r="AU35" i="8"/>
  <c r="AT35" i="8"/>
  <c r="AS35" i="8"/>
  <c r="AW35" i="8" s="1"/>
  <c r="AR35" i="8"/>
  <c r="AQ35" i="8"/>
  <c r="AP35" i="8"/>
  <c r="AO35" i="8"/>
  <c r="AN35" i="8"/>
  <c r="AM35" i="8"/>
  <c r="AL35" i="8"/>
  <c r="AK35" i="8"/>
  <c r="AI35" i="8"/>
  <c r="AH35" i="8"/>
  <c r="AJ35" i="8" s="1"/>
  <c r="AG35" i="8"/>
  <c r="AF35" i="8"/>
  <c r="AE35" i="8"/>
  <c r="AD35" i="8"/>
  <c r="AC35" i="8"/>
  <c r="AB35" i="8"/>
  <c r="Z35" i="8"/>
  <c r="Y35" i="8"/>
  <c r="AA35" i="8" s="1"/>
  <c r="W35" i="8"/>
  <c r="V35" i="8"/>
  <c r="X35" i="8" s="1"/>
  <c r="T35" i="8"/>
  <c r="S35" i="8"/>
  <c r="Q35" i="8"/>
  <c r="P35" i="8"/>
  <c r="O35" i="8"/>
  <c r="N35" i="8"/>
  <c r="M35" i="8"/>
  <c r="G35" i="8"/>
  <c r="F35" i="8"/>
  <c r="E35" i="8"/>
  <c r="R35" i="8" s="1"/>
  <c r="D35" i="8"/>
  <c r="BV34" i="8"/>
  <c r="BU34" i="8"/>
  <c r="BT34" i="8"/>
  <c r="BS34" i="8"/>
  <c r="BR34" i="8"/>
  <c r="BQ34" i="8"/>
  <c r="BO34" i="8"/>
  <c r="BN34" i="8"/>
  <c r="BM34" i="8"/>
  <c r="BL34" i="8"/>
  <c r="BK34" i="8"/>
  <c r="BJ34" i="8"/>
  <c r="BI34" i="8"/>
  <c r="BH34" i="8"/>
  <c r="BG34" i="8"/>
  <c r="BF34" i="8"/>
  <c r="BE34" i="8"/>
  <c r="BD34" i="8"/>
  <c r="BB34" i="8"/>
  <c r="AZ34" i="8"/>
  <c r="AY34" i="8"/>
  <c r="AX34" i="8"/>
  <c r="AV34" i="8"/>
  <c r="AU34" i="8"/>
  <c r="AT34" i="8"/>
  <c r="AS34" i="8"/>
  <c r="AR34" i="8"/>
  <c r="AQ34" i="8"/>
  <c r="AP34" i="8"/>
  <c r="AO34" i="8"/>
  <c r="AN34" i="8"/>
  <c r="AM34" i="8"/>
  <c r="AL34" i="8"/>
  <c r="AK34" i="8"/>
  <c r="AI34" i="8"/>
  <c r="AH34" i="8"/>
  <c r="AG34" i="8"/>
  <c r="AF34" i="8"/>
  <c r="AE34" i="8"/>
  <c r="AD34" i="8"/>
  <c r="AC34" i="8"/>
  <c r="AB34" i="8"/>
  <c r="Z34" i="8"/>
  <c r="Y34" i="8"/>
  <c r="W34" i="8"/>
  <c r="V34" i="8"/>
  <c r="T34" i="8"/>
  <c r="S34" i="8"/>
  <c r="U34" i="8" s="1"/>
  <c r="Q34" i="8"/>
  <c r="P34" i="8"/>
  <c r="O34" i="8"/>
  <c r="N34" i="8"/>
  <c r="M34" i="8"/>
  <c r="G34" i="8"/>
  <c r="F34" i="8"/>
  <c r="E34" i="8"/>
  <c r="R34" i="8" s="1"/>
  <c r="D34" i="8"/>
  <c r="BV33" i="8"/>
  <c r="BU33" i="8"/>
  <c r="BT33" i="8"/>
  <c r="BS33" i="8"/>
  <c r="BR33" i="8"/>
  <c r="BQ33" i="8"/>
  <c r="BO33" i="8"/>
  <c r="BN33" i="8"/>
  <c r="BP33" i="8" s="1"/>
  <c r="BM33" i="8"/>
  <c r="BL33" i="8"/>
  <c r="BK33" i="8"/>
  <c r="BJ33" i="8"/>
  <c r="BI33" i="8"/>
  <c r="BH33" i="8"/>
  <c r="BG33" i="8"/>
  <c r="BF33" i="8"/>
  <c r="BE33" i="8"/>
  <c r="BD33" i="8"/>
  <c r="BB33" i="8"/>
  <c r="AZ33" i="8"/>
  <c r="AY33" i="8"/>
  <c r="AX33" i="8"/>
  <c r="AV33" i="8"/>
  <c r="AU33" i="8"/>
  <c r="AT33" i="8"/>
  <c r="AS33" i="8"/>
  <c r="AW33" i="8" s="1"/>
  <c r="AR33" i="8"/>
  <c r="AQ33" i="8"/>
  <c r="AP33" i="8"/>
  <c r="AO33" i="8"/>
  <c r="AN33" i="8"/>
  <c r="AM33" i="8"/>
  <c r="AL33" i="8"/>
  <c r="AK33" i="8"/>
  <c r="AI33" i="8"/>
  <c r="AH33" i="8"/>
  <c r="AJ33" i="8" s="1"/>
  <c r="AG33" i="8"/>
  <c r="AF33" i="8"/>
  <c r="AE33" i="8"/>
  <c r="AD33" i="8"/>
  <c r="AC33" i="8"/>
  <c r="AB33" i="8"/>
  <c r="Z33" i="8"/>
  <c r="Y33" i="8"/>
  <c r="W33" i="8"/>
  <c r="V33" i="8"/>
  <c r="X33" i="8" s="1"/>
  <c r="T33" i="8"/>
  <c r="S33" i="8"/>
  <c r="U33" i="8" s="1"/>
  <c r="Q33" i="8"/>
  <c r="P33" i="8"/>
  <c r="O33" i="8"/>
  <c r="N33" i="8"/>
  <c r="M33" i="8"/>
  <c r="G33" i="8"/>
  <c r="F33" i="8"/>
  <c r="E33" i="8"/>
  <c r="R33" i="8" s="1"/>
  <c r="D33" i="8"/>
  <c r="BV32" i="8"/>
  <c r="BU32" i="8"/>
  <c r="BT32" i="8"/>
  <c r="BS32" i="8"/>
  <c r="BR32" i="8"/>
  <c r="BQ32" i="8"/>
  <c r="BO32" i="8"/>
  <c r="BN32" i="8"/>
  <c r="BP32" i="8" s="1"/>
  <c r="BM32" i="8"/>
  <c r="BL32" i="8"/>
  <c r="BK32" i="8"/>
  <c r="BJ32" i="8"/>
  <c r="BI32" i="8"/>
  <c r="BH32" i="8"/>
  <c r="BG32" i="8"/>
  <c r="BF32" i="8"/>
  <c r="BE32" i="8"/>
  <c r="BD32" i="8"/>
  <c r="BB32" i="8"/>
  <c r="AZ32" i="8"/>
  <c r="AY32" i="8"/>
  <c r="AX32" i="8"/>
  <c r="AV32" i="8"/>
  <c r="AU32" i="8"/>
  <c r="AT32" i="8"/>
  <c r="AS32" i="8"/>
  <c r="AW32" i="8" s="1"/>
  <c r="AR32" i="8"/>
  <c r="AQ32" i="8"/>
  <c r="AP32" i="8"/>
  <c r="AO32" i="8"/>
  <c r="AN32" i="8"/>
  <c r="AM32" i="8"/>
  <c r="AL32" i="8"/>
  <c r="AK32" i="8"/>
  <c r="AI32" i="8"/>
  <c r="AH32" i="8"/>
  <c r="AJ32" i="8" s="1"/>
  <c r="AG32" i="8"/>
  <c r="AF32" i="8"/>
  <c r="AE32" i="8"/>
  <c r="AD32" i="8"/>
  <c r="AC32" i="8"/>
  <c r="AB32" i="8"/>
  <c r="Z32" i="8"/>
  <c r="Y32" i="8"/>
  <c r="W32" i="8"/>
  <c r="V32" i="8"/>
  <c r="T32" i="8"/>
  <c r="S32" i="8"/>
  <c r="U32" i="8" s="1"/>
  <c r="Q32" i="8"/>
  <c r="P32" i="8"/>
  <c r="O32" i="8"/>
  <c r="N32" i="8"/>
  <c r="M32" i="8"/>
  <c r="G32" i="8"/>
  <c r="F32" i="8"/>
  <c r="E32" i="8"/>
  <c r="R32" i="8" s="1"/>
  <c r="D32" i="8"/>
  <c r="BV30" i="8"/>
  <c r="BU30" i="8"/>
  <c r="BT30" i="8"/>
  <c r="BS30" i="8"/>
  <c r="BR30" i="8"/>
  <c r="BQ30" i="8"/>
  <c r="BO30" i="8"/>
  <c r="BN30" i="8"/>
  <c r="BM30" i="8"/>
  <c r="BL30" i="8"/>
  <c r="BK30" i="8"/>
  <c r="BJ30" i="8"/>
  <c r="BI30" i="8"/>
  <c r="BH30" i="8"/>
  <c r="BG30" i="8"/>
  <c r="BF30" i="8"/>
  <c r="BE30" i="8"/>
  <c r="BD30" i="8"/>
  <c r="BB30" i="8"/>
  <c r="AZ30" i="8"/>
  <c r="AY30" i="8"/>
  <c r="AX30" i="8"/>
  <c r="AV30" i="8"/>
  <c r="AU30" i="8"/>
  <c r="AT30" i="8"/>
  <c r="AS30" i="8"/>
  <c r="AR30" i="8"/>
  <c r="AQ30" i="8"/>
  <c r="AP30" i="8"/>
  <c r="AO30" i="8"/>
  <c r="AN30" i="8"/>
  <c r="AM30" i="8"/>
  <c r="AL30" i="8"/>
  <c r="AK30" i="8"/>
  <c r="AI30" i="8"/>
  <c r="AH30" i="8"/>
  <c r="AG30" i="8"/>
  <c r="AF30" i="8"/>
  <c r="AE30" i="8"/>
  <c r="AD30" i="8"/>
  <c r="AC30" i="8"/>
  <c r="AB30" i="8"/>
  <c r="Z30" i="8"/>
  <c r="Y30" i="8"/>
  <c r="W30" i="8"/>
  <c r="V30" i="8"/>
  <c r="T30" i="8"/>
  <c r="S30" i="8"/>
  <c r="Q30" i="8"/>
  <c r="P30" i="8"/>
  <c r="O30" i="8"/>
  <c r="N30" i="8"/>
  <c r="M30" i="8"/>
  <c r="G30" i="8"/>
  <c r="F30" i="8"/>
  <c r="E30" i="8"/>
  <c r="R30" i="8" s="1"/>
  <c r="D30" i="8"/>
  <c r="BV29" i="8"/>
  <c r="BU29" i="8"/>
  <c r="BT29" i="8"/>
  <c r="BS29" i="8"/>
  <c r="BR29" i="8"/>
  <c r="BQ29" i="8"/>
  <c r="BO29" i="8"/>
  <c r="BN29" i="8"/>
  <c r="BP29" i="8" s="1"/>
  <c r="BM29" i="8"/>
  <c r="BL29" i="8"/>
  <c r="BK29" i="8"/>
  <c r="BJ29" i="8"/>
  <c r="BI29" i="8"/>
  <c r="BH29" i="8"/>
  <c r="BG29" i="8"/>
  <c r="BF29" i="8"/>
  <c r="BE29" i="8"/>
  <c r="BD29" i="8"/>
  <c r="BB29" i="8"/>
  <c r="AZ29" i="8"/>
  <c r="AY29" i="8"/>
  <c r="BC29" i="8" s="1"/>
  <c r="AX29" i="8"/>
  <c r="BA29" i="8" s="1"/>
  <c r="AV29" i="8"/>
  <c r="AU29" i="8"/>
  <c r="AT29" i="8"/>
  <c r="AS29" i="8"/>
  <c r="AW29" i="8" s="1"/>
  <c r="AR29" i="8"/>
  <c r="AQ29" i="8"/>
  <c r="AP29" i="8"/>
  <c r="AO29" i="8"/>
  <c r="AN29" i="8"/>
  <c r="AM29" i="8"/>
  <c r="AL29" i="8"/>
  <c r="AK29" i="8"/>
  <c r="AI29" i="8"/>
  <c r="AH29" i="8"/>
  <c r="AJ29" i="8" s="1"/>
  <c r="AG29" i="8"/>
  <c r="AF29" i="8"/>
  <c r="AE29" i="8"/>
  <c r="AD29" i="8"/>
  <c r="AC29" i="8"/>
  <c r="AB29" i="8"/>
  <c r="Z29" i="8"/>
  <c r="Y29" i="8"/>
  <c r="AA29" i="8" s="1"/>
  <c r="W29" i="8"/>
  <c r="V29" i="8"/>
  <c r="X29" i="8" s="1"/>
  <c r="T29" i="8"/>
  <c r="S29" i="8"/>
  <c r="U29" i="8" s="1"/>
  <c r="Q29" i="8"/>
  <c r="P29" i="8"/>
  <c r="O29" i="8"/>
  <c r="N29" i="8"/>
  <c r="M29" i="8"/>
  <c r="G29" i="8"/>
  <c r="F29" i="8"/>
  <c r="L29" i="8" s="1"/>
  <c r="E29" i="8"/>
  <c r="R29" i="8" s="1"/>
  <c r="D29" i="8"/>
  <c r="BV28" i="8"/>
  <c r="BU28" i="8"/>
  <c r="BT28" i="8"/>
  <c r="BS28" i="8"/>
  <c r="BR28" i="8"/>
  <c r="BQ28" i="8"/>
  <c r="BO28" i="8"/>
  <c r="BN28" i="8"/>
  <c r="BP28" i="8" s="1"/>
  <c r="BM28" i="8"/>
  <c r="BL28" i="8"/>
  <c r="BK28" i="8"/>
  <c r="BJ28" i="8"/>
  <c r="BI28" i="8"/>
  <c r="BH28" i="8"/>
  <c r="BG28" i="8"/>
  <c r="BF28" i="8"/>
  <c r="BE28" i="8"/>
  <c r="BD28" i="8"/>
  <c r="BB28" i="8"/>
  <c r="AZ28" i="8"/>
  <c r="AY28" i="8"/>
  <c r="AX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I28" i="8"/>
  <c r="AH28" i="8"/>
  <c r="AJ28" i="8" s="1"/>
  <c r="AG28" i="8"/>
  <c r="AF28" i="8"/>
  <c r="AE28" i="8"/>
  <c r="AD28" i="8"/>
  <c r="AC28" i="8"/>
  <c r="AB28" i="8"/>
  <c r="Z28" i="8"/>
  <c r="Y28" i="8"/>
  <c r="W28" i="8"/>
  <c r="V28" i="8"/>
  <c r="X28" i="8" s="1"/>
  <c r="T28" i="8"/>
  <c r="S28" i="8"/>
  <c r="U28" i="8" s="1"/>
  <c r="Q28" i="8"/>
  <c r="P28" i="8"/>
  <c r="O28" i="8"/>
  <c r="N28" i="8"/>
  <c r="M28" i="8"/>
  <c r="G28" i="8"/>
  <c r="F28" i="8"/>
  <c r="E28" i="8"/>
  <c r="R28" i="8" s="1"/>
  <c r="D28" i="8"/>
  <c r="BV27" i="8"/>
  <c r="BU27" i="8"/>
  <c r="BT27" i="8"/>
  <c r="BS27" i="8"/>
  <c r="BR27" i="8"/>
  <c r="BQ27" i="8"/>
  <c r="BO27" i="8"/>
  <c r="BN27" i="8"/>
  <c r="BM27" i="8"/>
  <c r="BL27" i="8"/>
  <c r="BK27" i="8"/>
  <c r="BJ27" i="8"/>
  <c r="BI27" i="8"/>
  <c r="BH27" i="8"/>
  <c r="BG27" i="8"/>
  <c r="BF27" i="8"/>
  <c r="BE27" i="8"/>
  <c r="BD27" i="8"/>
  <c r="BB27" i="8"/>
  <c r="AZ27" i="8"/>
  <c r="AY27" i="8"/>
  <c r="AX27" i="8"/>
  <c r="AV27" i="8"/>
  <c r="AU27" i="8"/>
  <c r="AT27" i="8"/>
  <c r="AS27" i="8"/>
  <c r="AR27" i="8"/>
  <c r="AQ27" i="8"/>
  <c r="AP27" i="8"/>
  <c r="AO27" i="8"/>
  <c r="AN27" i="8"/>
  <c r="AM27" i="8"/>
  <c r="AL27" i="8"/>
  <c r="AK27" i="8"/>
  <c r="AI27" i="8"/>
  <c r="AH27" i="8"/>
  <c r="AG27" i="8"/>
  <c r="AF27" i="8"/>
  <c r="AE27" i="8"/>
  <c r="AD27" i="8"/>
  <c r="AC27" i="8"/>
  <c r="AB27" i="8"/>
  <c r="Z27" i="8"/>
  <c r="Y27" i="8"/>
  <c r="W27" i="8"/>
  <c r="V27" i="8"/>
  <c r="T27" i="8"/>
  <c r="S27" i="8"/>
  <c r="U27" i="8" s="1"/>
  <c r="Q27" i="8"/>
  <c r="P27" i="8"/>
  <c r="O27" i="8"/>
  <c r="N27" i="8"/>
  <c r="M27" i="8"/>
  <c r="G27" i="8"/>
  <c r="F27" i="8"/>
  <c r="E27" i="8"/>
  <c r="R27" i="8" s="1"/>
  <c r="D27" i="8"/>
  <c r="BV26" i="8"/>
  <c r="BU26" i="8"/>
  <c r="BT26" i="8"/>
  <c r="BS26" i="8"/>
  <c r="BR26" i="8"/>
  <c r="BQ26" i="8"/>
  <c r="BO26" i="8"/>
  <c r="BN26" i="8"/>
  <c r="BP26" i="8" s="1"/>
  <c r="BM26" i="8"/>
  <c r="BL26" i="8"/>
  <c r="BK26" i="8"/>
  <c r="BJ26" i="8"/>
  <c r="BI26" i="8"/>
  <c r="BH26" i="8"/>
  <c r="BG26" i="8"/>
  <c r="BF26" i="8"/>
  <c r="BE26" i="8"/>
  <c r="BD26" i="8"/>
  <c r="BB26" i="8"/>
  <c r="AZ26" i="8"/>
  <c r="AY26" i="8"/>
  <c r="BC26" i="8" s="1"/>
  <c r="AX26" i="8"/>
  <c r="BA26" i="8" s="1"/>
  <c r="AV26" i="8"/>
  <c r="AU26" i="8"/>
  <c r="AT26" i="8"/>
  <c r="AS26" i="8"/>
  <c r="AW26" i="8" s="1"/>
  <c r="AR26" i="8"/>
  <c r="AQ26" i="8"/>
  <c r="AP26" i="8"/>
  <c r="AO26" i="8"/>
  <c r="AN26" i="8"/>
  <c r="AM26" i="8"/>
  <c r="AL26" i="8"/>
  <c r="AK26" i="8"/>
  <c r="AI26" i="8"/>
  <c r="AH26" i="8"/>
  <c r="AJ26" i="8" s="1"/>
  <c r="AG26" i="8"/>
  <c r="AF26" i="8"/>
  <c r="AE26" i="8"/>
  <c r="AD26" i="8"/>
  <c r="AC26" i="8"/>
  <c r="AB26" i="8"/>
  <c r="Z26" i="8"/>
  <c r="Y26" i="8"/>
  <c r="AA26" i="8" s="1"/>
  <c r="W26" i="8"/>
  <c r="V26" i="8"/>
  <c r="X26" i="8" s="1"/>
  <c r="T26" i="8"/>
  <c r="S26" i="8"/>
  <c r="U26" i="8" s="1"/>
  <c r="Q26" i="8"/>
  <c r="P26" i="8"/>
  <c r="O26" i="8"/>
  <c r="N26" i="8"/>
  <c r="M26" i="8"/>
  <c r="G26" i="8"/>
  <c r="F26" i="8"/>
  <c r="L26" i="8" s="1"/>
  <c r="E26" i="8"/>
  <c r="R26" i="8" s="1"/>
  <c r="D26" i="8"/>
  <c r="BV25" i="8"/>
  <c r="BU25" i="8"/>
  <c r="BT25" i="8"/>
  <c r="BS25" i="8"/>
  <c r="BR25" i="8"/>
  <c r="BQ25" i="8"/>
  <c r="BO25" i="8"/>
  <c r="BN25" i="8"/>
  <c r="BP25" i="8" s="1"/>
  <c r="BM25" i="8"/>
  <c r="BL25" i="8"/>
  <c r="BK25" i="8"/>
  <c r="BJ25" i="8"/>
  <c r="BI25" i="8"/>
  <c r="BH25" i="8"/>
  <c r="BG25" i="8"/>
  <c r="BF25" i="8"/>
  <c r="BE25" i="8"/>
  <c r="BD25" i="8"/>
  <c r="BB25" i="8"/>
  <c r="AZ25" i="8"/>
  <c r="AY25" i="8"/>
  <c r="BC25" i="8" s="1"/>
  <c r="AX25" i="8"/>
  <c r="BA25" i="8" s="1"/>
  <c r="AV25" i="8"/>
  <c r="AU25" i="8"/>
  <c r="AT25" i="8"/>
  <c r="AS25" i="8"/>
  <c r="AW25" i="8" s="1"/>
  <c r="AR25" i="8"/>
  <c r="AQ25" i="8"/>
  <c r="AP25" i="8"/>
  <c r="AO25" i="8"/>
  <c r="AN25" i="8"/>
  <c r="AM25" i="8"/>
  <c r="AL25" i="8"/>
  <c r="AK25" i="8"/>
  <c r="AI25" i="8"/>
  <c r="AH25" i="8"/>
  <c r="AJ25" i="8" s="1"/>
  <c r="AG25" i="8"/>
  <c r="AF25" i="8"/>
  <c r="AE25" i="8"/>
  <c r="AD25" i="8"/>
  <c r="AC25" i="8"/>
  <c r="AB25" i="8"/>
  <c r="Z25" i="8"/>
  <c r="Y25" i="8"/>
  <c r="AA25" i="8" s="1"/>
  <c r="W25" i="8"/>
  <c r="V25" i="8"/>
  <c r="X25" i="8" s="1"/>
  <c r="T25" i="8"/>
  <c r="S25" i="8"/>
  <c r="U25" i="8" s="1"/>
  <c r="Q25" i="8"/>
  <c r="P25" i="8"/>
  <c r="O25" i="8"/>
  <c r="N25" i="8"/>
  <c r="M25" i="8"/>
  <c r="G25" i="8"/>
  <c r="F25" i="8"/>
  <c r="L25" i="8" s="1"/>
  <c r="E25" i="8"/>
  <c r="R25" i="8" s="1"/>
  <c r="D25" i="8"/>
  <c r="I25" i="8" s="1"/>
  <c r="BV24" i="8"/>
  <c r="BU24" i="8"/>
  <c r="BT24" i="8"/>
  <c r="BS24" i="8"/>
  <c r="BR24" i="8"/>
  <c r="BQ24" i="8"/>
  <c r="BO24" i="8"/>
  <c r="BN24" i="8"/>
  <c r="BP24" i="8" s="1"/>
  <c r="BM24" i="8"/>
  <c r="BL24" i="8"/>
  <c r="BK24" i="8"/>
  <c r="BJ24" i="8"/>
  <c r="BI24" i="8"/>
  <c r="BH24" i="8"/>
  <c r="BG24" i="8"/>
  <c r="BF24" i="8"/>
  <c r="BE24" i="8"/>
  <c r="BD24" i="8"/>
  <c r="BB24" i="8"/>
  <c r="AZ24" i="8"/>
  <c r="AY24" i="8"/>
  <c r="BC24" i="8" s="1"/>
  <c r="AX24" i="8"/>
  <c r="BA24" i="8" s="1"/>
  <c r="AV24" i="8"/>
  <c r="AU24" i="8"/>
  <c r="AT24" i="8"/>
  <c r="AS24" i="8"/>
  <c r="AW24" i="8" s="1"/>
  <c r="AR24" i="8"/>
  <c r="AQ24" i="8"/>
  <c r="AP24" i="8"/>
  <c r="AO24" i="8"/>
  <c r="AN24" i="8"/>
  <c r="AM24" i="8"/>
  <c r="AL24" i="8"/>
  <c r="AK24" i="8"/>
  <c r="AI24" i="8"/>
  <c r="AH24" i="8"/>
  <c r="AJ24" i="8" s="1"/>
  <c r="AG24" i="8"/>
  <c r="AF24" i="8"/>
  <c r="AE24" i="8"/>
  <c r="AD24" i="8"/>
  <c r="AC24" i="8"/>
  <c r="AB24" i="8"/>
  <c r="Z24" i="8"/>
  <c r="Y24" i="8"/>
  <c r="AA24" i="8" s="1"/>
  <c r="W24" i="8"/>
  <c r="V24" i="8"/>
  <c r="X24" i="8" s="1"/>
  <c r="T24" i="8"/>
  <c r="S24" i="8"/>
  <c r="U24" i="8" s="1"/>
  <c r="Q24" i="8"/>
  <c r="P24" i="8"/>
  <c r="O24" i="8"/>
  <c r="N24" i="8"/>
  <c r="M24" i="8"/>
  <c r="G24" i="8"/>
  <c r="F24" i="8"/>
  <c r="L24" i="8" s="1"/>
  <c r="E24" i="8"/>
  <c r="R24" i="8" s="1"/>
  <c r="D24" i="8"/>
  <c r="I24" i="8" s="1"/>
  <c r="BV23" i="8"/>
  <c r="BU23" i="8"/>
  <c r="BT23" i="8"/>
  <c r="BS23" i="8"/>
  <c r="BR23" i="8"/>
  <c r="BQ23" i="8"/>
  <c r="BO23" i="8"/>
  <c r="BN23" i="8"/>
  <c r="BP23" i="8" s="1"/>
  <c r="BM23" i="8"/>
  <c r="BL23" i="8"/>
  <c r="BK23" i="8"/>
  <c r="BJ23" i="8"/>
  <c r="BI23" i="8"/>
  <c r="BH23" i="8"/>
  <c r="BG23" i="8"/>
  <c r="BF23" i="8"/>
  <c r="BE23" i="8"/>
  <c r="BD23" i="8"/>
  <c r="BB23" i="8"/>
  <c r="AZ23" i="8"/>
  <c r="AY23" i="8"/>
  <c r="AX23" i="8"/>
  <c r="AV23" i="8"/>
  <c r="AU23" i="8"/>
  <c r="AT23" i="8"/>
  <c r="AS23" i="8"/>
  <c r="AW23" i="8" s="1"/>
  <c r="AR23" i="8"/>
  <c r="AQ23" i="8"/>
  <c r="AP23" i="8"/>
  <c r="AO23" i="8"/>
  <c r="AN23" i="8"/>
  <c r="AM23" i="8"/>
  <c r="AL23" i="8"/>
  <c r="AK23" i="8"/>
  <c r="AI23" i="8"/>
  <c r="AH23" i="8"/>
  <c r="AJ23" i="8" s="1"/>
  <c r="AG23" i="8"/>
  <c r="AF23" i="8"/>
  <c r="AE23" i="8"/>
  <c r="AD23" i="8"/>
  <c r="AC23" i="8"/>
  <c r="AB23" i="8"/>
  <c r="Z23" i="8"/>
  <c r="Y23" i="8"/>
  <c r="W23" i="8"/>
  <c r="V23" i="8"/>
  <c r="T23" i="8"/>
  <c r="S23" i="8"/>
  <c r="Q23" i="8"/>
  <c r="P23" i="8"/>
  <c r="O23" i="8"/>
  <c r="N23" i="8"/>
  <c r="M23" i="8"/>
  <c r="G23" i="8"/>
  <c r="F23" i="8"/>
  <c r="E23" i="8"/>
  <c r="R23" i="8" s="1"/>
  <c r="D23" i="8"/>
  <c r="BV22" i="8"/>
  <c r="BU22" i="8"/>
  <c r="BT22" i="8"/>
  <c r="BS22" i="8"/>
  <c r="BR22" i="8"/>
  <c r="BQ22" i="8"/>
  <c r="BO22" i="8"/>
  <c r="BN22" i="8"/>
  <c r="BP22" i="8" s="1"/>
  <c r="BM22" i="8"/>
  <c r="BL22" i="8"/>
  <c r="BK22" i="8"/>
  <c r="BJ22" i="8"/>
  <c r="BI22" i="8"/>
  <c r="BH22" i="8"/>
  <c r="BG22" i="8"/>
  <c r="BF22" i="8"/>
  <c r="BE22" i="8"/>
  <c r="BD22" i="8"/>
  <c r="BB22" i="8"/>
  <c r="AZ22" i="8"/>
  <c r="AY22" i="8"/>
  <c r="BC22" i="8" s="1"/>
  <c r="AX22" i="8"/>
  <c r="BA22" i="8" s="1"/>
  <c r="AV22" i="8"/>
  <c r="AU22" i="8"/>
  <c r="AT22" i="8"/>
  <c r="AS22" i="8"/>
  <c r="AW22" i="8" s="1"/>
  <c r="AR22" i="8"/>
  <c r="AQ22" i="8"/>
  <c r="AP22" i="8"/>
  <c r="AO22" i="8"/>
  <c r="AN22" i="8"/>
  <c r="AM22" i="8"/>
  <c r="AL22" i="8"/>
  <c r="AK22" i="8"/>
  <c r="AI22" i="8"/>
  <c r="AH22" i="8"/>
  <c r="AJ22" i="8" s="1"/>
  <c r="AG22" i="8"/>
  <c r="AF22" i="8"/>
  <c r="AE22" i="8"/>
  <c r="AD22" i="8"/>
  <c r="AC22" i="8"/>
  <c r="AB22" i="8"/>
  <c r="Z22" i="8"/>
  <c r="Y22" i="8"/>
  <c r="AA22" i="8" s="1"/>
  <c r="W22" i="8"/>
  <c r="V22" i="8"/>
  <c r="X22" i="8" s="1"/>
  <c r="T22" i="8"/>
  <c r="S22" i="8"/>
  <c r="U22" i="8" s="1"/>
  <c r="Q22" i="8"/>
  <c r="P22" i="8"/>
  <c r="O22" i="8"/>
  <c r="N22" i="8"/>
  <c r="M22" i="8"/>
  <c r="G22" i="8"/>
  <c r="F22" i="8"/>
  <c r="L22" i="8" s="1"/>
  <c r="E22" i="8"/>
  <c r="R22" i="8" s="1"/>
  <c r="D22" i="8"/>
  <c r="BV21" i="8"/>
  <c r="BU21" i="8"/>
  <c r="BT21" i="8"/>
  <c r="BS21" i="8"/>
  <c r="BR21" i="8"/>
  <c r="BQ21" i="8"/>
  <c r="BO21" i="8"/>
  <c r="BN21" i="8"/>
  <c r="BP21" i="8" s="1"/>
  <c r="BM21" i="8"/>
  <c r="BL21" i="8"/>
  <c r="BK21" i="8"/>
  <c r="BJ21" i="8"/>
  <c r="BI21" i="8"/>
  <c r="BH21" i="8"/>
  <c r="BG21" i="8"/>
  <c r="BF21" i="8"/>
  <c r="BE21" i="8"/>
  <c r="BD21" i="8"/>
  <c r="BB21" i="8"/>
  <c r="AZ21" i="8"/>
  <c r="AY21" i="8"/>
  <c r="AX21" i="8"/>
  <c r="AV21" i="8"/>
  <c r="AU21" i="8"/>
  <c r="AT21" i="8"/>
  <c r="AS21" i="8"/>
  <c r="AR21" i="8"/>
  <c r="AQ21" i="8"/>
  <c r="AP21" i="8"/>
  <c r="AO21" i="8"/>
  <c r="AN21" i="8"/>
  <c r="AM21" i="8"/>
  <c r="AL21" i="8"/>
  <c r="AK21" i="8"/>
  <c r="AI21" i="8"/>
  <c r="AH21" i="8"/>
  <c r="AJ21" i="8" s="1"/>
  <c r="AG21" i="8"/>
  <c r="AF21" i="8"/>
  <c r="AE21" i="8"/>
  <c r="AD21" i="8"/>
  <c r="AC21" i="8"/>
  <c r="AB21" i="8"/>
  <c r="Z21" i="8"/>
  <c r="Y21" i="8"/>
  <c r="W21" i="8"/>
  <c r="V21" i="8"/>
  <c r="X21" i="8" s="1"/>
  <c r="T21" i="8"/>
  <c r="S21" i="8"/>
  <c r="Q21" i="8"/>
  <c r="P21" i="8"/>
  <c r="O21" i="8"/>
  <c r="N21" i="8"/>
  <c r="M21" i="8"/>
  <c r="G21" i="8"/>
  <c r="F21" i="8"/>
  <c r="E21" i="8"/>
  <c r="R21" i="8" s="1"/>
  <c r="D21" i="8"/>
  <c r="BV20" i="8"/>
  <c r="BU20" i="8"/>
  <c r="BT20" i="8"/>
  <c r="BS20" i="8"/>
  <c r="BR20" i="8"/>
  <c r="BQ20" i="8"/>
  <c r="BO20" i="8"/>
  <c r="BN20" i="8"/>
  <c r="BP20" i="8" s="1"/>
  <c r="BM20" i="8"/>
  <c r="BL20" i="8"/>
  <c r="BK20" i="8"/>
  <c r="BJ20" i="8"/>
  <c r="BI20" i="8"/>
  <c r="BH20" i="8"/>
  <c r="BG20" i="8"/>
  <c r="BF20" i="8"/>
  <c r="BE20" i="8"/>
  <c r="BD20" i="8"/>
  <c r="BB20" i="8"/>
  <c r="AZ20" i="8"/>
  <c r="AY20" i="8"/>
  <c r="BC20" i="8" s="1"/>
  <c r="AX20" i="8"/>
  <c r="BA20" i="8" s="1"/>
  <c r="AV20" i="8"/>
  <c r="AU20" i="8"/>
  <c r="AT20" i="8"/>
  <c r="AS20" i="8"/>
  <c r="AW20" i="8" s="1"/>
  <c r="AR20" i="8"/>
  <c r="AQ20" i="8"/>
  <c r="AP20" i="8"/>
  <c r="AO20" i="8"/>
  <c r="AN20" i="8"/>
  <c r="AM20" i="8"/>
  <c r="AL20" i="8"/>
  <c r="AK20" i="8"/>
  <c r="AI20" i="8"/>
  <c r="AH20" i="8"/>
  <c r="AG20" i="8"/>
  <c r="AF20" i="8"/>
  <c r="AE20" i="8"/>
  <c r="AD20" i="8"/>
  <c r="AC20" i="8"/>
  <c r="AB20" i="8"/>
  <c r="Z20" i="8"/>
  <c r="Y20" i="8"/>
  <c r="AA20" i="8" s="1"/>
  <c r="W20" i="8"/>
  <c r="V20" i="8"/>
  <c r="T20" i="8"/>
  <c r="S20" i="8"/>
  <c r="U20" i="8" s="1"/>
  <c r="Q20" i="8"/>
  <c r="P20" i="8"/>
  <c r="O20" i="8"/>
  <c r="N20" i="8"/>
  <c r="M20" i="8"/>
  <c r="G20" i="8"/>
  <c r="F20" i="8"/>
  <c r="E20" i="8"/>
  <c r="R20" i="8" s="1"/>
  <c r="D20" i="8"/>
  <c r="BV19" i="8"/>
  <c r="BU19" i="8"/>
  <c r="BT19" i="8"/>
  <c r="BS19" i="8"/>
  <c r="BR19" i="8"/>
  <c r="BQ19" i="8"/>
  <c r="BO19" i="8"/>
  <c r="BN19" i="8"/>
  <c r="BP19" i="8" s="1"/>
  <c r="BM19" i="8"/>
  <c r="BL19" i="8"/>
  <c r="BK19" i="8"/>
  <c r="BJ19" i="8"/>
  <c r="BI19" i="8"/>
  <c r="BH19" i="8"/>
  <c r="BG19" i="8"/>
  <c r="BF19" i="8"/>
  <c r="BE19" i="8"/>
  <c r="BD19" i="8"/>
  <c r="BB19" i="8"/>
  <c r="AZ19" i="8"/>
  <c r="AY19" i="8"/>
  <c r="BC19" i="8" s="1"/>
  <c r="AX19" i="8"/>
  <c r="BA19" i="8" s="1"/>
  <c r="AV19" i="8"/>
  <c r="AU19" i="8"/>
  <c r="AT19" i="8"/>
  <c r="AS19" i="8"/>
  <c r="AW19" i="8" s="1"/>
  <c r="AR19" i="8"/>
  <c r="AQ19" i="8"/>
  <c r="AP19" i="8"/>
  <c r="AO19" i="8"/>
  <c r="AN19" i="8"/>
  <c r="AM19" i="8"/>
  <c r="AL19" i="8"/>
  <c r="AK19" i="8"/>
  <c r="AI19" i="8"/>
  <c r="AH19" i="8"/>
  <c r="AJ19" i="8" s="1"/>
  <c r="AG19" i="8"/>
  <c r="AF19" i="8"/>
  <c r="AE19" i="8"/>
  <c r="AD19" i="8"/>
  <c r="AC19" i="8"/>
  <c r="AB19" i="8"/>
  <c r="Z19" i="8"/>
  <c r="Y19" i="8"/>
  <c r="AA19" i="8" s="1"/>
  <c r="W19" i="8"/>
  <c r="V19" i="8"/>
  <c r="X19" i="8" s="1"/>
  <c r="T19" i="8"/>
  <c r="S19" i="8"/>
  <c r="U19" i="8" s="1"/>
  <c r="Q19" i="8"/>
  <c r="P19" i="8"/>
  <c r="O19" i="8"/>
  <c r="N19" i="8"/>
  <c r="M19" i="8"/>
  <c r="G19" i="8"/>
  <c r="F19" i="8"/>
  <c r="L19" i="8" s="1"/>
  <c r="E19" i="8"/>
  <c r="R19" i="8" s="1"/>
  <c r="D19" i="8"/>
  <c r="BV18" i="8"/>
  <c r="BU18" i="8"/>
  <c r="BT18" i="8"/>
  <c r="BS18" i="8"/>
  <c r="BR18" i="8"/>
  <c r="BQ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B18" i="8"/>
  <c r="AZ18" i="8"/>
  <c r="AY18" i="8"/>
  <c r="AX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I18" i="8"/>
  <c r="AH18" i="8"/>
  <c r="AG18" i="8"/>
  <c r="AF18" i="8"/>
  <c r="AE18" i="8"/>
  <c r="AD18" i="8"/>
  <c r="AC18" i="8"/>
  <c r="AB18" i="8"/>
  <c r="Z18" i="8"/>
  <c r="Y18" i="8"/>
  <c r="W18" i="8"/>
  <c r="V18" i="8"/>
  <c r="T18" i="8"/>
  <c r="S18" i="8"/>
  <c r="U18" i="8" s="1"/>
  <c r="Q18" i="8"/>
  <c r="P18" i="8"/>
  <c r="O18" i="8"/>
  <c r="N18" i="8"/>
  <c r="M18" i="8"/>
  <c r="G18" i="8"/>
  <c r="F18" i="8"/>
  <c r="E18" i="8"/>
  <c r="D18" i="8"/>
  <c r="BV17" i="8"/>
  <c r="BU17" i="8"/>
  <c r="BT17" i="8"/>
  <c r="BS17" i="8"/>
  <c r="BR17" i="8"/>
  <c r="BQ17" i="8"/>
  <c r="BO17" i="8"/>
  <c r="BN17" i="8"/>
  <c r="BP17" i="8" s="1"/>
  <c r="BM17" i="8"/>
  <c r="BL17" i="8"/>
  <c r="BK17" i="8"/>
  <c r="BJ17" i="8"/>
  <c r="BI17" i="8"/>
  <c r="BH17" i="8"/>
  <c r="BG17" i="8"/>
  <c r="BF17" i="8"/>
  <c r="BE17" i="8"/>
  <c r="BD17" i="8"/>
  <c r="BB17" i="8"/>
  <c r="AZ17" i="8"/>
  <c r="AY17" i="8"/>
  <c r="BC17" i="8" s="1"/>
  <c r="AX17" i="8"/>
  <c r="BA17" i="8" s="1"/>
  <c r="AV17" i="8"/>
  <c r="AU17" i="8"/>
  <c r="AT17" i="8"/>
  <c r="AS17" i="8"/>
  <c r="AW17" i="8" s="1"/>
  <c r="AR17" i="8"/>
  <c r="AQ17" i="8"/>
  <c r="AP17" i="8"/>
  <c r="AO17" i="8"/>
  <c r="AN17" i="8"/>
  <c r="AM17" i="8"/>
  <c r="AL17" i="8"/>
  <c r="AK17" i="8"/>
  <c r="AI17" i="8"/>
  <c r="AH17" i="8"/>
  <c r="AJ17" i="8" s="1"/>
  <c r="AG17" i="8"/>
  <c r="AF17" i="8"/>
  <c r="AE17" i="8"/>
  <c r="AD17" i="8"/>
  <c r="AC17" i="8"/>
  <c r="AB17" i="8"/>
  <c r="Z17" i="8"/>
  <c r="Y17" i="8"/>
  <c r="W17" i="8"/>
  <c r="V17" i="8"/>
  <c r="X17" i="8" s="1"/>
  <c r="T17" i="8"/>
  <c r="S17" i="8"/>
  <c r="U17" i="8" s="1"/>
  <c r="Q17" i="8"/>
  <c r="P17" i="8"/>
  <c r="O17" i="8"/>
  <c r="N17" i="8"/>
  <c r="M17" i="8"/>
  <c r="G17" i="8"/>
  <c r="F17" i="8"/>
  <c r="L17" i="8" s="1"/>
  <c r="E17" i="8"/>
  <c r="D17" i="8"/>
  <c r="I17" i="8" s="1"/>
  <c r="BV16" i="8"/>
  <c r="BU16" i="8"/>
  <c r="BT16" i="8"/>
  <c r="BS16" i="8"/>
  <c r="BR16" i="8"/>
  <c r="BQ16" i="8"/>
  <c r="BO16" i="8"/>
  <c r="BN16" i="8"/>
  <c r="BP16" i="8" s="1"/>
  <c r="BM16" i="8"/>
  <c r="BL16" i="8"/>
  <c r="BK16" i="8"/>
  <c r="BJ16" i="8"/>
  <c r="BI16" i="8"/>
  <c r="BH16" i="8"/>
  <c r="BG16" i="8"/>
  <c r="BF16" i="8"/>
  <c r="BE16" i="8"/>
  <c r="BD16" i="8"/>
  <c r="BB16" i="8"/>
  <c r="AZ16" i="8"/>
  <c r="AY16" i="8"/>
  <c r="BC16" i="8" s="1"/>
  <c r="AX16" i="8"/>
  <c r="BA16" i="8" s="1"/>
  <c r="AV16" i="8"/>
  <c r="AU16" i="8"/>
  <c r="AT16" i="8"/>
  <c r="AS16" i="8"/>
  <c r="AR16" i="8"/>
  <c r="AQ16" i="8"/>
  <c r="AP16" i="8"/>
  <c r="AO16" i="8"/>
  <c r="AN16" i="8"/>
  <c r="AM16" i="8"/>
  <c r="AL16" i="8"/>
  <c r="AK16" i="8"/>
  <c r="AI16" i="8"/>
  <c r="AH16" i="8"/>
  <c r="AJ16" i="8" s="1"/>
  <c r="AG16" i="8"/>
  <c r="AF16" i="8"/>
  <c r="AE16" i="8"/>
  <c r="AD16" i="8"/>
  <c r="AC16" i="8"/>
  <c r="AB16" i="8"/>
  <c r="Z16" i="8"/>
  <c r="Y16" i="8"/>
  <c r="AA16" i="8" s="1"/>
  <c r="W16" i="8"/>
  <c r="V16" i="8"/>
  <c r="T16" i="8"/>
  <c r="S16" i="8"/>
  <c r="U16" i="8" s="1"/>
  <c r="Q16" i="8"/>
  <c r="P16" i="8"/>
  <c r="O16" i="8"/>
  <c r="N16" i="8"/>
  <c r="M16" i="8"/>
  <c r="G16" i="8"/>
  <c r="F16" i="8"/>
  <c r="E16" i="8"/>
  <c r="D16" i="8"/>
  <c r="BV15" i="8"/>
  <c r="BU15" i="8"/>
  <c r="BT15" i="8"/>
  <c r="BS15" i="8"/>
  <c r="BR15" i="8"/>
  <c r="BQ15" i="8"/>
  <c r="BO15" i="8"/>
  <c r="BN15" i="8"/>
  <c r="BP15" i="8" s="1"/>
  <c r="BM15" i="8"/>
  <c r="BL15" i="8"/>
  <c r="BK15" i="8"/>
  <c r="BJ15" i="8"/>
  <c r="BI15" i="8"/>
  <c r="BH15" i="8"/>
  <c r="BG15" i="8"/>
  <c r="BF15" i="8"/>
  <c r="BE15" i="8"/>
  <c r="BD15" i="8"/>
  <c r="BB15" i="8"/>
  <c r="AZ15" i="8"/>
  <c r="AY15" i="8"/>
  <c r="BC15" i="8" s="1"/>
  <c r="AX15" i="8"/>
  <c r="BA15" i="8" s="1"/>
  <c r="AV15" i="8"/>
  <c r="AU15" i="8"/>
  <c r="AT15" i="8"/>
  <c r="AS15" i="8"/>
  <c r="AW15" i="8" s="1"/>
  <c r="AR15" i="8"/>
  <c r="AQ15" i="8"/>
  <c r="AP15" i="8"/>
  <c r="AO15" i="8"/>
  <c r="AN15" i="8"/>
  <c r="AM15" i="8"/>
  <c r="AL15" i="8"/>
  <c r="AK15" i="8"/>
  <c r="AI15" i="8"/>
  <c r="AH15" i="8"/>
  <c r="AJ15" i="8" s="1"/>
  <c r="AG15" i="8"/>
  <c r="AF15" i="8"/>
  <c r="AE15" i="8"/>
  <c r="AD15" i="8"/>
  <c r="AC15" i="8"/>
  <c r="AB15" i="8"/>
  <c r="Z15" i="8"/>
  <c r="Y15" i="8"/>
  <c r="AA15" i="8" s="1"/>
  <c r="W15" i="8"/>
  <c r="V15" i="8"/>
  <c r="X15" i="8" s="1"/>
  <c r="T15" i="8"/>
  <c r="S15" i="8"/>
  <c r="U15" i="8" s="1"/>
  <c r="Q15" i="8"/>
  <c r="P15" i="8"/>
  <c r="O15" i="8"/>
  <c r="N15" i="8"/>
  <c r="M15" i="8"/>
  <c r="G15" i="8"/>
  <c r="F15" i="8"/>
  <c r="E15" i="8"/>
  <c r="D15" i="8"/>
  <c r="K15" i="8" s="1"/>
  <c r="BV14" i="8"/>
  <c r="BU14" i="8"/>
  <c r="BT14" i="8"/>
  <c r="BS14" i="8"/>
  <c r="BR14" i="8"/>
  <c r="BQ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B14" i="8"/>
  <c r="AZ14" i="8"/>
  <c r="AY14" i="8"/>
  <c r="AX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I14" i="8"/>
  <c r="AH14" i="8"/>
  <c r="AG14" i="8"/>
  <c r="AF14" i="8"/>
  <c r="AE14" i="8"/>
  <c r="AD14" i="8"/>
  <c r="AC14" i="8"/>
  <c r="AB14" i="8"/>
  <c r="Z14" i="8"/>
  <c r="Y14" i="8"/>
  <c r="W14" i="8"/>
  <c r="V14" i="8"/>
  <c r="X14" i="8" s="1"/>
  <c r="T14" i="8"/>
  <c r="S14" i="8"/>
  <c r="Q14" i="8"/>
  <c r="P14" i="8"/>
  <c r="O14" i="8"/>
  <c r="N14" i="8"/>
  <c r="M14" i="8"/>
  <c r="G14" i="8"/>
  <c r="F14" i="8"/>
  <c r="E14" i="8"/>
  <c r="D14" i="8"/>
  <c r="BP12" i="8"/>
  <c r="BC12" i="8"/>
  <c r="BA12" i="8"/>
  <c r="AW12" i="8"/>
  <c r="AJ12" i="8"/>
  <c r="AA12" i="8"/>
  <c r="X12" i="8"/>
  <c r="U12" i="8"/>
  <c r="I12" i="8"/>
  <c r="H12" i="8"/>
  <c r="BP11" i="8"/>
  <c r="BC11" i="8"/>
  <c r="BA11" i="8"/>
  <c r="AW11" i="8"/>
  <c r="R11" i="8"/>
  <c r="H11" i="8"/>
  <c r="D11" i="8"/>
  <c r="C11" i="8" s="1"/>
  <c r="BP10" i="8"/>
  <c r="BC10" i="8"/>
  <c r="BA10" i="8"/>
  <c r="AW10" i="8"/>
  <c r="R10" i="8"/>
  <c r="P10" i="8"/>
  <c r="F10" i="8"/>
  <c r="D10" i="8"/>
  <c r="C10" i="8" s="1"/>
  <c r="BP9" i="8"/>
  <c r="BC9" i="8"/>
  <c r="BA9" i="8"/>
  <c r="AW9" i="8"/>
  <c r="E9" i="8"/>
  <c r="R9" i="8" s="1"/>
  <c r="R116" i="7"/>
  <c r="J116" i="7"/>
  <c r="H116" i="7" s="1"/>
  <c r="I116" i="7"/>
  <c r="C116" i="7"/>
  <c r="R115" i="7"/>
  <c r="J115" i="7"/>
  <c r="H115" i="7" s="1"/>
  <c r="I115" i="7"/>
  <c r="C115" i="7"/>
  <c r="R114" i="7"/>
  <c r="J114" i="7"/>
  <c r="I114" i="7"/>
  <c r="H114" i="7"/>
  <c r="C114" i="7"/>
  <c r="R113" i="7"/>
  <c r="J113" i="7"/>
  <c r="I113" i="7"/>
  <c r="H113" i="7"/>
  <c r="C113" i="7"/>
  <c r="R112" i="7"/>
  <c r="J112" i="7"/>
  <c r="H112" i="7" s="1"/>
  <c r="I112" i="7"/>
  <c r="C112" i="7"/>
  <c r="R111" i="7"/>
  <c r="J111" i="7"/>
  <c r="H111" i="7" s="1"/>
  <c r="I111" i="7"/>
  <c r="C111" i="7"/>
  <c r="R110" i="7"/>
  <c r="J110" i="7"/>
  <c r="I110" i="7"/>
  <c r="H110" i="7"/>
  <c r="C110" i="7"/>
  <c r="R109" i="7"/>
  <c r="J109" i="7"/>
  <c r="H109" i="7" s="1"/>
  <c r="I109" i="7"/>
  <c r="C109" i="7"/>
  <c r="R108" i="7"/>
  <c r="J108" i="7"/>
  <c r="I108" i="7"/>
  <c r="H108" i="7"/>
  <c r="C108" i="7"/>
  <c r="R107" i="7"/>
  <c r="J107" i="7"/>
  <c r="I107" i="7"/>
  <c r="H107" i="7"/>
  <c r="C107" i="7"/>
  <c r="R106" i="7"/>
  <c r="J106" i="7"/>
  <c r="I106" i="7"/>
  <c r="C106" i="7"/>
  <c r="R105" i="7"/>
  <c r="J105" i="7"/>
  <c r="H105" i="7" s="1"/>
  <c r="I105" i="7"/>
  <c r="C105" i="7"/>
  <c r="C104" i="7" s="1"/>
  <c r="R104" i="7"/>
  <c r="I104" i="7"/>
  <c r="R103" i="7"/>
  <c r="J103" i="7"/>
  <c r="H103" i="7" s="1"/>
  <c r="I103" i="7"/>
  <c r="C103" i="7"/>
  <c r="R102" i="7"/>
  <c r="J102" i="7"/>
  <c r="H102" i="7" s="1"/>
  <c r="I102" i="7"/>
  <c r="C102" i="7"/>
  <c r="R101" i="7"/>
  <c r="J101" i="7"/>
  <c r="I101" i="7"/>
  <c r="H101" i="7"/>
  <c r="C101" i="7"/>
  <c r="R100" i="7"/>
  <c r="J100" i="7"/>
  <c r="H100" i="7" s="1"/>
  <c r="I100" i="7"/>
  <c r="C100" i="7"/>
  <c r="R99" i="7"/>
  <c r="J99" i="7"/>
  <c r="H99" i="7" s="1"/>
  <c r="I99" i="7"/>
  <c r="C99" i="7"/>
  <c r="R98" i="7"/>
  <c r="J98" i="7"/>
  <c r="I98" i="7"/>
  <c r="H98" i="7"/>
  <c r="C98" i="7"/>
  <c r="R97" i="7"/>
  <c r="J97" i="7"/>
  <c r="H97" i="7" s="1"/>
  <c r="I97" i="7"/>
  <c r="C97" i="7"/>
  <c r="R96" i="7"/>
  <c r="J96" i="7"/>
  <c r="H96" i="7" s="1"/>
  <c r="I96" i="7"/>
  <c r="C96" i="7"/>
  <c r="R95" i="7"/>
  <c r="J95" i="7"/>
  <c r="I95" i="7"/>
  <c r="H95" i="7"/>
  <c r="C95" i="7"/>
  <c r="R94" i="7"/>
  <c r="J94" i="7"/>
  <c r="H94" i="7" s="1"/>
  <c r="I94" i="7"/>
  <c r="C94" i="7"/>
  <c r="R93" i="7"/>
  <c r="J93" i="7"/>
  <c r="H93" i="7" s="1"/>
  <c r="I93" i="7"/>
  <c r="C93" i="7"/>
  <c r="A93" i="7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R92" i="7"/>
  <c r="J92" i="7"/>
  <c r="H92" i="7" s="1"/>
  <c r="I92" i="7"/>
  <c r="C92" i="7"/>
  <c r="R91" i="7"/>
  <c r="J91" i="7"/>
  <c r="I91" i="7"/>
  <c r="H91" i="7"/>
  <c r="C91" i="7"/>
  <c r="R90" i="7"/>
  <c r="J90" i="7"/>
  <c r="I90" i="7"/>
  <c r="H90" i="7"/>
  <c r="C90" i="7"/>
  <c r="R89" i="7"/>
  <c r="J89" i="7"/>
  <c r="H89" i="7" s="1"/>
  <c r="I89" i="7"/>
  <c r="AS88" i="7"/>
  <c r="AR88" i="7"/>
  <c r="AQ88" i="7"/>
  <c r="AP88" i="7"/>
  <c r="AO88" i="7"/>
  <c r="AM88" i="7"/>
  <c r="AL88" i="7"/>
  <c r="AN88" i="7" s="1"/>
  <c r="AK88" i="7"/>
  <c r="AJ88" i="7"/>
  <c r="AH88" i="7"/>
  <c r="AF88" i="7"/>
  <c r="AD88" i="7"/>
  <c r="AB88" i="7"/>
  <c r="Z88" i="7"/>
  <c r="Y88" i="7"/>
  <c r="AA88" i="7" s="1"/>
  <c r="W88" i="7"/>
  <c r="V88" i="7"/>
  <c r="X88" i="7" s="1"/>
  <c r="T88" i="7"/>
  <c r="S88" i="7"/>
  <c r="AC88" i="7" s="1"/>
  <c r="Q88" i="7"/>
  <c r="P88" i="7"/>
  <c r="O88" i="7"/>
  <c r="N88" i="7"/>
  <c r="M88" i="7"/>
  <c r="G88" i="7"/>
  <c r="F88" i="7"/>
  <c r="L88" i="7" s="1"/>
  <c r="E88" i="7"/>
  <c r="R88" i="7" s="1"/>
  <c r="D88" i="7"/>
  <c r="AS87" i="7"/>
  <c r="AR87" i="7"/>
  <c r="AQ87" i="7"/>
  <c r="AP87" i="7"/>
  <c r="AO87" i="7"/>
  <c r="AM87" i="7"/>
  <c r="AL87" i="7"/>
  <c r="AN87" i="7" s="1"/>
  <c r="AK87" i="7"/>
  <c r="AJ87" i="7"/>
  <c r="AH87" i="7"/>
  <c r="AF87" i="7"/>
  <c r="AD87" i="7"/>
  <c r="AB87" i="7"/>
  <c r="Z87" i="7"/>
  <c r="Y87" i="7"/>
  <c r="AA87" i="7" s="1"/>
  <c r="W87" i="7"/>
  <c r="V87" i="7"/>
  <c r="X87" i="7" s="1"/>
  <c r="T87" i="7"/>
  <c r="S87" i="7"/>
  <c r="AG87" i="7" s="1"/>
  <c r="Q87" i="7"/>
  <c r="P87" i="7"/>
  <c r="O87" i="7"/>
  <c r="N87" i="7"/>
  <c r="M87" i="7"/>
  <c r="G87" i="7"/>
  <c r="F87" i="7"/>
  <c r="L87" i="7" s="1"/>
  <c r="E87" i="7"/>
  <c r="D87" i="7"/>
  <c r="I87" i="7" s="1"/>
  <c r="AS86" i="7"/>
  <c r="AR86" i="7"/>
  <c r="AQ86" i="7"/>
  <c r="AP86" i="7"/>
  <c r="AO86" i="7"/>
  <c r="AM86" i="7"/>
  <c r="AL86" i="7"/>
  <c r="AN86" i="7" s="1"/>
  <c r="AK86" i="7"/>
  <c r="AJ86" i="7"/>
  <c r="AH86" i="7"/>
  <c r="AF86" i="7"/>
  <c r="AD86" i="7"/>
  <c r="AB86" i="7"/>
  <c r="Z86" i="7"/>
  <c r="Y86" i="7"/>
  <c r="W86" i="7"/>
  <c r="V86" i="7"/>
  <c r="T86" i="7"/>
  <c r="S86" i="7"/>
  <c r="Q86" i="7"/>
  <c r="P86" i="7"/>
  <c r="O86" i="7"/>
  <c r="N86" i="7"/>
  <c r="M86" i="7"/>
  <c r="G86" i="7"/>
  <c r="F86" i="7"/>
  <c r="E86" i="7"/>
  <c r="R86" i="7" s="1"/>
  <c r="D86" i="7"/>
  <c r="AS85" i="7"/>
  <c r="AR85" i="7"/>
  <c r="AQ85" i="7"/>
  <c r="AP85" i="7"/>
  <c r="AO85" i="7"/>
  <c r="AM85" i="7"/>
  <c r="AL85" i="7"/>
  <c r="AN85" i="7" s="1"/>
  <c r="AK85" i="7"/>
  <c r="AJ85" i="7"/>
  <c r="AH85" i="7"/>
  <c r="AF85" i="7"/>
  <c r="AD85" i="7"/>
  <c r="AB85" i="7"/>
  <c r="Z85" i="7"/>
  <c r="Y85" i="7"/>
  <c r="AA85" i="7" s="1"/>
  <c r="W85" i="7"/>
  <c r="V85" i="7"/>
  <c r="X85" i="7" s="1"/>
  <c r="T85" i="7"/>
  <c r="S85" i="7"/>
  <c r="Q85" i="7"/>
  <c r="P85" i="7"/>
  <c r="O85" i="7"/>
  <c r="N85" i="7"/>
  <c r="M85" i="7"/>
  <c r="G85" i="7"/>
  <c r="F85" i="7"/>
  <c r="L85" i="7" s="1"/>
  <c r="E85" i="7"/>
  <c r="R85" i="7" s="1"/>
  <c r="D85" i="7"/>
  <c r="K85" i="7" s="1"/>
  <c r="AS84" i="7"/>
  <c r="AR84" i="7"/>
  <c r="AQ84" i="7"/>
  <c r="AP84" i="7"/>
  <c r="AO84" i="7"/>
  <c r="AM84" i="7"/>
  <c r="AL84" i="7"/>
  <c r="AN84" i="7" s="1"/>
  <c r="AK84" i="7"/>
  <c r="AJ84" i="7"/>
  <c r="AH84" i="7"/>
  <c r="AF84" i="7"/>
  <c r="AD84" i="7"/>
  <c r="AB84" i="7"/>
  <c r="Z84" i="7"/>
  <c r="Y84" i="7"/>
  <c r="W84" i="7"/>
  <c r="V84" i="7"/>
  <c r="T84" i="7"/>
  <c r="S84" i="7"/>
  <c r="Q84" i="7"/>
  <c r="P84" i="7"/>
  <c r="O84" i="7"/>
  <c r="N84" i="7"/>
  <c r="M84" i="7"/>
  <c r="G84" i="7"/>
  <c r="F84" i="7"/>
  <c r="E84" i="7"/>
  <c r="R84" i="7" s="1"/>
  <c r="D84" i="7"/>
  <c r="AS83" i="7"/>
  <c r="AR83" i="7"/>
  <c r="AQ83" i="7"/>
  <c r="AP83" i="7"/>
  <c r="AO83" i="7"/>
  <c r="AM83" i="7"/>
  <c r="AL83" i="7"/>
  <c r="AN83" i="7" s="1"/>
  <c r="AK83" i="7"/>
  <c r="AJ83" i="7"/>
  <c r="AH83" i="7"/>
  <c r="AF83" i="7"/>
  <c r="AD83" i="7"/>
  <c r="AB83" i="7"/>
  <c r="Z83" i="7"/>
  <c r="Y83" i="7"/>
  <c r="AA83" i="7" s="1"/>
  <c r="W83" i="7"/>
  <c r="V83" i="7"/>
  <c r="X83" i="7" s="1"/>
  <c r="T83" i="7"/>
  <c r="S83" i="7"/>
  <c r="AE83" i="7" s="1"/>
  <c r="Q83" i="7"/>
  <c r="P83" i="7"/>
  <c r="O83" i="7"/>
  <c r="N83" i="7"/>
  <c r="M83" i="7"/>
  <c r="G83" i="7"/>
  <c r="F83" i="7"/>
  <c r="L83" i="7" s="1"/>
  <c r="E83" i="7"/>
  <c r="R83" i="7" s="1"/>
  <c r="D83" i="7"/>
  <c r="K83" i="7" s="1"/>
  <c r="AS82" i="7"/>
  <c r="AR82" i="7"/>
  <c r="AQ82" i="7"/>
  <c r="AP82" i="7"/>
  <c r="AO82" i="7"/>
  <c r="AM82" i="7"/>
  <c r="AL82" i="7"/>
  <c r="AN82" i="7" s="1"/>
  <c r="AK82" i="7"/>
  <c r="AJ82" i="7"/>
  <c r="AH82" i="7"/>
  <c r="AF82" i="7"/>
  <c r="AD82" i="7"/>
  <c r="AB82" i="7"/>
  <c r="Z82" i="7"/>
  <c r="Y82" i="7"/>
  <c r="W82" i="7"/>
  <c r="V82" i="7"/>
  <c r="T82" i="7"/>
  <c r="S82" i="7"/>
  <c r="Q82" i="7"/>
  <c r="P82" i="7"/>
  <c r="O82" i="7"/>
  <c r="N82" i="7"/>
  <c r="M82" i="7"/>
  <c r="G82" i="7"/>
  <c r="F82" i="7"/>
  <c r="E82" i="7"/>
  <c r="R82" i="7" s="1"/>
  <c r="D82" i="7"/>
  <c r="AS81" i="7"/>
  <c r="AR81" i="7"/>
  <c r="AQ81" i="7"/>
  <c r="AP81" i="7"/>
  <c r="AO81" i="7"/>
  <c r="AM81" i="7"/>
  <c r="AL81" i="7"/>
  <c r="AN81" i="7" s="1"/>
  <c r="AK81" i="7"/>
  <c r="AJ81" i="7"/>
  <c r="AH81" i="7"/>
  <c r="AF81" i="7"/>
  <c r="AD81" i="7"/>
  <c r="AB81" i="7"/>
  <c r="Z81" i="7"/>
  <c r="Y81" i="7"/>
  <c r="AA81" i="7" s="1"/>
  <c r="W81" i="7"/>
  <c r="V81" i="7"/>
  <c r="X81" i="7" s="1"/>
  <c r="T81" i="7"/>
  <c r="S81" i="7"/>
  <c r="AE81" i="7" s="1"/>
  <c r="Q81" i="7"/>
  <c r="P81" i="7"/>
  <c r="O81" i="7"/>
  <c r="N81" i="7"/>
  <c r="M81" i="7"/>
  <c r="G81" i="7"/>
  <c r="F81" i="7"/>
  <c r="L81" i="7" s="1"/>
  <c r="E81" i="7"/>
  <c r="D81" i="7"/>
  <c r="K81" i="7" s="1"/>
  <c r="AS80" i="7"/>
  <c r="AR80" i="7"/>
  <c r="AQ80" i="7"/>
  <c r="AP80" i="7"/>
  <c r="AO80" i="7"/>
  <c r="AM80" i="7"/>
  <c r="AL80" i="7"/>
  <c r="AN80" i="7" s="1"/>
  <c r="AK80" i="7"/>
  <c r="AJ80" i="7"/>
  <c r="AH80" i="7"/>
  <c r="AF80" i="7"/>
  <c r="AD80" i="7"/>
  <c r="AB80" i="7"/>
  <c r="Z80" i="7"/>
  <c r="Y80" i="7"/>
  <c r="W80" i="7"/>
  <c r="V80" i="7"/>
  <c r="T80" i="7"/>
  <c r="S80" i="7"/>
  <c r="Q80" i="7"/>
  <c r="P80" i="7"/>
  <c r="O80" i="7"/>
  <c r="N80" i="7"/>
  <c r="M80" i="7"/>
  <c r="G80" i="7"/>
  <c r="F80" i="7"/>
  <c r="E80" i="7"/>
  <c r="R80" i="7" s="1"/>
  <c r="D80" i="7"/>
  <c r="AS79" i="7"/>
  <c r="AR79" i="7"/>
  <c r="AQ79" i="7"/>
  <c r="AP79" i="7"/>
  <c r="AO79" i="7"/>
  <c r="AM79" i="7"/>
  <c r="AL79" i="7"/>
  <c r="AN79" i="7" s="1"/>
  <c r="AK79" i="7"/>
  <c r="AJ79" i="7"/>
  <c r="AH79" i="7"/>
  <c r="AF79" i="7"/>
  <c r="AD79" i="7"/>
  <c r="AB79" i="7"/>
  <c r="Z79" i="7"/>
  <c r="Y79" i="7"/>
  <c r="W79" i="7"/>
  <c r="V79" i="7"/>
  <c r="T79" i="7"/>
  <c r="S79" i="7"/>
  <c r="Q79" i="7"/>
  <c r="P79" i="7"/>
  <c r="O79" i="7"/>
  <c r="N79" i="7"/>
  <c r="M79" i="7"/>
  <c r="G79" i="7"/>
  <c r="F79" i="7"/>
  <c r="E79" i="7"/>
  <c r="R79" i="7" s="1"/>
  <c r="D79" i="7"/>
  <c r="AS78" i="7"/>
  <c r="AR78" i="7"/>
  <c r="AQ78" i="7"/>
  <c r="AP78" i="7"/>
  <c r="AO78" i="7"/>
  <c r="AM78" i="7"/>
  <c r="AL78" i="7"/>
  <c r="AN78" i="7" s="1"/>
  <c r="AK78" i="7"/>
  <c r="AJ78" i="7"/>
  <c r="AH78" i="7"/>
  <c r="AF78" i="7"/>
  <c r="AD78" i="7"/>
  <c r="AB78" i="7"/>
  <c r="Z78" i="7"/>
  <c r="Y78" i="7"/>
  <c r="AA78" i="7" s="1"/>
  <c r="W78" i="7"/>
  <c r="V78" i="7"/>
  <c r="X78" i="7" s="1"/>
  <c r="T78" i="7"/>
  <c r="S78" i="7"/>
  <c r="AE78" i="7" s="1"/>
  <c r="Q78" i="7"/>
  <c r="P78" i="7"/>
  <c r="O78" i="7"/>
  <c r="N78" i="7"/>
  <c r="M78" i="7"/>
  <c r="G78" i="7"/>
  <c r="F78" i="7"/>
  <c r="L78" i="7" s="1"/>
  <c r="E78" i="7"/>
  <c r="R78" i="7" s="1"/>
  <c r="D78" i="7"/>
  <c r="I78" i="7" s="1"/>
  <c r="AS77" i="7"/>
  <c r="AR77" i="7"/>
  <c r="AQ77" i="7"/>
  <c r="AP77" i="7"/>
  <c r="AO77" i="7"/>
  <c r="AM77" i="7"/>
  <c r="AL77" i="7"/>
  <c r="AN77" i="7" s="1"/>
  <c r="AK77" i="7"/>
  <c r="AJ77" i="7"/>
  <c r="AH77" i="7"/>
  <c r="AF77" i="7"/>
  <c r="AD77" i="7"/>
  <c r="AB77" i="7"/>
  <c r="Z77" i="7"/>
  <c r="Y77" i="7"/>
  <c r="AA77" i="7" s="1"/>
  <c r="W77" i="7"/>
  <c r="V77" i="7"/>
  <c r="X77" i="7" s="1"/>
  <c r="T77" i="7"/>
  <c r="S77" i="7"/>
  <c r="Q77" i="7"/>
  <c r="P77" i="7"/>
  <c r="O77" i="7"/>
  <c r="N77" i="7"/>
  <c r="M77" i="7"/>
  <c r="G77" i="7"/>
  <c r="F77" i="7"/>
  <c r="L77" i="7" s="1"/>
  <c r="E77" i="7"/>
  <c r="R77" i="7" s="1"/>
  <c r="D77" i="7"/>
  <c r="I77" i="7" s="1"/>
  <c r="AS76" i="7"/>
  <c r="AR76" i="7"/>
  <c r="AQ76" i="7"/>
  <c r="AP76" i="7"/>
  <c r="AO76" i="7"/>
  <c r="AM76" i="7"/>
  <c r="AL76" i="7"/>
  <c r="AN76" i="7" s="1"/>
  <c r="AK76" i="7"/>
  <c r="AJ76" i="7"/>
  <c r="AH76" i="7"/>
  <c r="AF76" i="7"/>
  <c r="AD76" i="7"/>
  <c r="AB76" i="7"/>
  <c r="Z76" i="7"/>
  <c r="Y76" i="7"/>
  <c r="AA76" i="7" s="1"/>
  <c r="W76" i="7"/>
  <c r="V76" i="7"/>
  <c r="X76" i="7" s="1"/>
  <c r="T76" i="7"/>
  <c r="S76" i="7"/>
  <c r="AE76" i="7" s="1"/>
  <c r="Q76" i="7"/>
  <c r="P76" i="7"/>
  <c r="O76" i="7"/>
  <c r="N76" i="7"/>
  <c r="M76" i="7"/>
  <c r="G76" i="7"/>
  <c r="F76" i="7"/>
  <c r="L76" i="7" s="1"/>
  <c r="E76" i="7"/>
  <c r="R76" i="7" s="1"/>
  <c r="D76" i="7"/>
  <c r="K76" i="7" s="1"/>
  <c r="AS75" i="7"/>
  <c r="AR75" i="7"/>
  <c r="AQ75" i="7"/>
  <c r="AP75" i="7"/>
  <c r="AO75" i="7"/>
  <c r="AM75" i="7"/>
  <c r="AL75" i="7"/>
  <c r="AN75" i="7" s="1"/>
  <c r="AK75" i="7"/>
  <c r="AJ75" i="7"/>
  <c r="AH75" i="7"/>
  <c r="AF75" i="7"/>
  <c r="AD75" i="7"/>
  <c r="AB75" i="7"/>
  <c r="Z75" i="7"/>
  <c r="Y75" i="7"/>
  <c r="AA75" i="7" s="1"/>
  <c r="W75" i="7"/>
  <c r="V75" i="7"/>
  <c r="X75" i="7" s="1"/>
  <c r="T75" i="7"/>
  <c r="S75" i="7"/>
  <c r="AG75" i="7" s="1"/>
  <c r="Q75" i="7"/>
  <c r="P75" i="7"/>
  <c r="O75" i="7"/>
  <c r="N75" i="7"/>
  <c r="M75" i="7"/>
  <c r="G75" i="7"/>
  <c r="F75" i="7"/>
  <c r="L75" i="7" s="1"/>
  <c r="E75" i="7"/>
  <c r="D75" i="7"/>
  <c r="AS73" i="7"/>
  <c r="AR73" i="7"/>
  <c r="AQ73" i="7"/>
  <c r="AP73" i="7"/>
  <c r="AO73" i="7"/>
  <c r="AM73" i="7"/>
  <c r="AL73" i="7"/>
  <c r="AN73" i="7" s="1"/>
  <c r="AK73" i="7"/>
  <c r="AJ73" i="7"/>
  <c r="AH73" i="7"/>
  <c r="AF73" i="7"/>
  <c r="AD73" i="7"/>
  <c r="AB73" i="7"/>
  <c r="Z73" i="7"/>
  <c r="Y73" i="7"/>
  <c r="W73" i="7"/>
  <c r="V73" i="7"/>
  <c r="T73" i="7"/>
  <c r="S73" i="7"/>
  <c r="Q73" i="7"/>
  <c r="P73" i="7"/>
  <c r="O73" i="7"/>
  <c r="N73" i="7"/>
  <c r="M73" i="7"/>
  <c r="G73" i="7"/>
  <c r="F73" i="7"/>
  <c r="E73" i="7"/>
  <c r="R73" i="7" s="1"/>
  <c r="D73" i="7"/>
  <c r="AS72" i="7"/>
  <c r="AR72" i="7"/>
  <c r="AQ72" i="7"/>
  <c r="AP72" i="7"/>
  <c r="AO72" i="7"/>
  <c r="AM72" i="7"/>
  <c r="AL72" i="7"/>
  <c r="AN72" i="7" s="1"/>
  <c r="AK72" i="7"/>
  <c r="AJ72" i="7"/>
  <c r="AH72" i="7"/>
  <c r="AF72" i="7"/>
  <c r="AD72" i="7"/>
  <c r="AB72" i="7"/>
  <c r="Z72" i="7"/>
  <c r="Y72" i="7"/>
  <c r="W72" i="7"/>
  <c r="V72" i="7"/>
  <c r="T72" i="7"/>
  <c r="S72" i="7"/>
  <c r="AC72" i="7" s="1"/>
  <c r="Q72" i="7"/>
  <c r="P72" i="7"/>
  <c r="O72" i="7"/>
  <c r="N72" i="7"/>
  <c r="M72" i="7"/>
  <c r="G72" i="7"/>
  <c r="F72" i="7"/>
  <c r="E72" i="7"/>
  <c r="R72" i="7" s="1"/>
  <c r="D72" i="7"/>
  <c r="AS71" i="7"/>
  <c r="AR71" i="7"/>
  <c r="AQ71" i="7"/>
  <c r="AP71" i="7"/>
  <c r="AO71" i="7"/>
  <c r="AM71" i="7"/>
  <c r="AL71" i="7"/>
  <c r="AN71" i="7" s="1"/>
  <c r="AK71" i="7"/>
  <c r="AJ71" i="7"/>
  <c r="AH71" i="7"/>
  <c r="AF71" i="7"/>
  <c r="AD71" i="7"/>
  <c r="AB71" i="7"/>
  <c r="Z71" i="7"/>
  <c r="Y71" i="7"/>
  <c r="W71" i="7"/>
  <c r="V71" i="7"/>
  <c r="T71" i="7"/>
  <c r="S71" i="7"/>
  <c r="Q71" i="7"/>
  <c r="P71" i="7"/>
  <c r="O71" i="7"/>
  <c r="N71" i="7"/>
  <c r="M71" i="7"/>
  <c r="G71" i="7"/>
  <c r="F71" i="7"/>
  <c r="E71" i="7"/>
  <c r="R71" i="7" s="1"/>
  <c r="D71" i="7"/>
  <c r="AS70" i="7"/>
  <c r="AR70" i="7"/>
  <c r="AQ70" i="7"/>
  <c r="AP70" i="7"/>
  <c r="AO70" i="7"/>
  <c r="AM70" i="7"/>
  <c r="AL70" i="7"/>
  <c r="AN70" i="7" s="1"/>
  <c r="AK70" i="7"/>
  <c r="AJ70" i="7"/>
  <c r="AH70" i="7"/>
  <c r="AF70" i="7"/>
  <c r="AD70" i="7"/>
  <c r="AB70" i="7"/>
  <c r="Z70" i="7"/>
  <c r="Y70" i="7"/>
  <c r="W70" i="7"/>
  <c r="V70" i="7"/>
  <c r="T70" i="7"/>
  <c r="S70" i="7"/>
  <c r="Q70" i="7"/>
  <c r="P70" i="7"/>
  <c r="O70" i="7"/>
  <c r="N70" i="7"/>
  <c r="M70" i="7"/>
  <c r="G70" i="7"/>
  <c r="F70" i="7"/>
  <c r="E70" i="7"/>
  <c r="D70" i="7"/>
  <c r="AS69" i="7"/>
  <c r="AR69" i="7"/>
  <c r="AQ69" i="7"/>
  <c r="AP69" i="7"/>
  <c r="AO69" i="7"/>
  <c r="AM69" i="7"/>
  <c r="AL69" i="7"/>
  <c r="AN69" i="7" s="1"/>
  <c r="AK69" i="7"/>
  <c r="AJ69" i="7"/>
  <c r="AH69" i="7"/>
  <c r="AF69" i="7"/>
  <c r="AD69" i="7"/>
  <c r="AB69" i="7"/>
  <c r="Z69" i="7"/>
  <c r="Y69" i="7"/>
  <c r="W69" i="7"/>
  <c r="V69" i="7"/>
  <c r="T69" i="7"/>
  <c r="S69" i="7"/>
  <c r="Q69" i="7"/>
  <c r="P69" i="7"/>
  <c r="O69" i="7"/>
  <c r="N69" i="7"/>
  <c r="M69" i="7"/>
  <c r="G69" i="7"/>
  <c r="F69" i="7"/>
  <c r="E69" i="7"/>
  <c r="R69" i="7" s="1"/>
  <c r="D69" i="7"/>
  <c r="AS68" i="7"/>
  <c r="AR68" i="7"/>
  <c r="AQ68" i="7"/>
  <c r="AP68" i="7"/>
  <c r="AO68" i="7"/>
  <c r="AM68" i="7"/>
  <c r="AL68" i="7"/>
  <c r="AN68" i="7" s="1"/>
  <c r="AK68" i="7"/>
  <c r="AJ68" i="7"/>
  <c r="AH68" i="7"/>
  <c r="AF68" i="7"/>
  <c r="AD68" i="7"/>
  <c r="AB68" i="7"/>
  <c r="Z68" i="7"/>
  <c r="Y68" i="7"/>
  <c r="W68" i="7"/>
  <c r="V68" i="7"/>
  <c r="T68" i="7"/>
  <c r="S68" i="7"/>
  <c r="AC68" i="7" s="1"/>
  <c r="Q68" i="7"/>
  <c r="P68" i="7"/>
  <c r="O68" i="7"/>
  <c r="N68" i="7"/>
  <c r="M68" i="7"/>
  <c r="G68" i="7"/>
  <c r="F68" i="7"/>
  <c r="E68" i="7"/>
  <c r="R68" i="7" s="1"/>
  <c r="D68" i="7"/>
  <c r="AS67" i="7"/>
  <c r="AR67" i="7"/>
  <c r="AQ67" i="7"/>
  <c r="AP67" i="7"/>
  <c r="AO67" i="7"/>
  <c r="AM67" i="7"/>
  <c r="AL67" i="7"/>
  <c r="AN67" i="7" s="1"/>
  <c r="AK67" i="7"/>
  <c r="AJ67" i="7"/>
  <c r="AH67" i="7"/>
  <c r="AF67" i="7"/>
  <c r="AD67" i="7"/>
  <c r="AB67" i="7"/>
  <c r="Z67" i="7"/>
  <c r="Y67" i="7"/>
  <c r="AA67" i="7" s="1"/>
  <c r="W67" i="7"/>
  <c r="V67" i="7"/>
  <c r="X67" i="7" s="1"/>
  <c r="T67" i="7"/>
  <c r="S67" i="7"/>
  <c r="AE67" i="7" s="1"/>
  <c r="Q67" i="7"/>
  <c r="P67" i="7"/>
  <c r="O67" i="7"/>
  <c r="N67" i="7"/>
  <c r="M67" i="7"/>
  <c r="G67" i="7"/>
  <c r="F67" i="7"/>
  <c r="L67" i="7" s="1"/>
  <c r="E67" i="7"/>
  <c r="R67" i="7" s="1"/>
  <c r="D67" i="7"/>
  <c r="K67" i="7" s="1"/>
  <c r="AS66" i="7"/>
  <c r="AR66" i="7"/>
  <c r="AQ66" i="7"/>
  <c r="AP66" i="7"/>
  <c r="AO66" i="7"/>
  <c r="AM66" i="7"/>
  <c r="AL66" i="7"/>
  <c r="AN66" i="7" s="1"/>
  <c r="AK66" i="7"/>
  <c r="AJ66" i="7"/>
  <c r="AH66" i="7"/>
  <c r="AF66" i="7"/>
  <c r="AD66" i="7"/>
  <c r="AB66" i="7"/>
  <c r="Z66" i="7"/>
  <c r="Y66" i="7"/>
  <c r="AA66" i="7" s="1"/>
  <c r="W66" i="7"/>
  <c r="V66" i="7"/>
  <c r="X66" i="7" s="1"/>
  <c r="T66" i="7"/>
  <c r="S66" i="7"/>
  <c r="AE66" i="7" s="1"/>
  <c r="Q66" i="7"/>
  <c r="P66" i="7"/>
  <c r="O66" i="7"/>
  <c r="N66" i="7"/>
  <c r="M66" i="7"/>
  <c r="G66" i="7"/>
  <c r="F66" i="7"/>
  <c r="L66" i="7" s="1"/>
  <c r="E66" i="7"/>
  <c r="R66" i="7" s="1"/>
  <c r="D66" i="7"/>
  <c r="K66" i="7" s="1"/>
  <c r="AS65" i="7"/>
  <c r="AR65" i="7"/>
  <c r="AQ65" i="7"/>
  <c r="AP65" i="7"/>
  <c r="AO65" i="7"/>
  <c r="AM65" i="7"/>
  <c r="AL65" i="7"/>
  <c r="AN65" i="7" s="1"/>
  <c r="AK65" i="7"/>
  <c r="AJ65" i="7"/>
  <c r="AH65" i="7"/>
  <c r="AF65" i="7"/>
  <c r="AD65" i="7"/>
  <c r="AB65" i="7"/>
  <c r="Z65" i="7"/>
  <c r="Y65" i="7"/>
  <c r="W65" i="7"/>
  <c r="V65" i="7"/>
  <c r="T65" i="7"/>
  <c r="S65" i="7"/>
  <c r="Q65" i="7"/>
  <c r="P65" i="7"/>
  <c r="O65" i="7"/>
  <c r="N65" i="7"/>
  <c r="M65" i="7"/>
  <c r="G65" i="7"/>
  <c r="F65" i="7"/>
  <c r="E65" i="7"/>
  <c r="R65" i="7" s="1"/>
  <c r="D65" i="7"/>
  <c r="AS64" i="7"/>
  <c r="AR64" i="7"/>
  <c r="AQ64" i="7"/>
  <c r="AP64" i="7"/>
  <c r="AO64" i="7"/>
  <c r="AM64" i="7"/>
  <c r="AL64" i="7"/>
  <c r="AN64" i="7" s="1"/>
  <c r="AK64" i="7"/>
  <c r="AJ64" i="7"/>
  <c r="AH64" i="7"/>
  <c r="AF64" i="7"/>
  <c r="AD64" i="7"/>
  <c r="AB64" i="7"/>
  <c r="Z64" i="7"/>
  <c r="Y64" i="7"/>
  <c r="W64" i="7"/>
  <c r="V64" i="7"/>
  <c r="T64" i="7"/>
  <c r="S64" i="7"/>
  <c r="Q64" i="7"/>
  <c r="P64" i="7"/>
  <c r="O64" i="7"/>
  <c r="N64" i="7"/>
  <c r="M64" i="7"/>
  <c r="G64" i="7"/>
  <c r="F64" i="7"/>
  <c r="E64" i="7"/>
  <c r="R64" i="7" s="1"/>
  <c r="D64" i="7"/>
  <c r="AS63" i="7"/>
  <c r="AR63" i="7"/>
  <c r="AQ63" i="7"/>
  <c r="AP63" i="7"/>
  <c r="AO63" i="7"/>
  <c r="AM63" i="7"/>
  <c r="AL63" i="7"/>
  <c r="AN63" i="7" s="1"/>
  <c r="AK63" i="7"/>
  <c r="AJ63" i="7"/>
  <c r="AH63" i="7"/>
  <c r="AF63" i="7"/>
  <c r="AD63" i="7"/>
  <c r="AB63" i="7"/>
  <c r="Z63" i="7"/>
  <c r="Y63" i="7"/>
  <c r="W63" i="7"/>
  <c r="V63" i="7"/>
  <c r="T63" i="7"/>
  <c r="S63" i="7"/>
  <c r="AC63" i="7" s="1"/>
  <c r="Q63" i="7"/>
  <c r="P63" i="7"/>
  <c r="O63" i="7"/>
  <c r="N63" i="7"/>
  <c r="M63" i="7"/>
  <c r="G63" i="7"/>
  <c r="F63" i="7"/>
  <c r="E63" i="7"/>
  <c r="R63" i="7" s="1"/>
  <c r="D63" i="7"/>
  <c r="AS62" i="7"/>
  <c r="AR62" i="7"/>
  <c r="AQ62" i="7"/>
  <c r="AP62" i="7"/>
  <c r="AO62" i="7"/>
  <c r="AM62" i="7"/>
  <c r="AL62" i="7"/>
  <c r="AN62" i="7" s="1"/>
  <c r="AK62" i="7"/>
  <c r="AJ62" i="7"/>
  <c r="AH62" i="7"/>
  <c r="AF62" i="7"/>
  <c r="AD62" i="7"/>
  <c r="AB62" i="7"/>
  <c r="Z62" i="7"/>
  <c r="Y62" i="7"/>
  <c r="AA62" i="7" s="1"/>
  <c r="W62" i="7"/>
  <c r="V62" i="7"/>
  <c r="X62" i="7" s="1"/>
  <c r="T62" i="7"/>
  <c r="S62" i="7"/>
  <c r="AE62" i="7" s="1"/>
  <c r="Q62" i="7"/>
  <c r="P62" i="7"/>
  <c r="O62" i="7"/>
  <c r="N62" i="7"/>
  <c r="M62" i="7"/>
  <c r="G62" i="7"/>
  <c r="F62" i="7"/>
  <c r="L62" i="7" s="1"/>
  <c r="E62" i="7"/>
  <c r="R62" i="7" s="1"/>
  <c r="D62" i="7"/>
  <c r="AS61" i="7"/>
  <c r="AR61" i="7"/>
  <c r="AQ61" i="7"/>
  <c r="AP61" i="7"/>
  <c r="AO61" i="7"/>
  <c r="AM61" i="7"/>
  <c r="AL61" i="7"/>
  <c r="AN61" i="7" s="1"/>
  <c r="AK61" i="7"/>
  <c r="AJ61" i="7"/>
  <c r="AH61" i="7"/>
  <c r="AF61" i="7"/>
  <c r="AD61" i="7"/>
  <c r="AB61" i="7"/>
  <c r="Z61" i="7"/>
  <c r="Y61" i="7"/>
  <c r="AA61" i="7" s="1"/>
  <c r="W61" i="7"/>
  <c r="V61" i="7"/>
  <c r="X61" i="7" s="1"/>
  <c r="T61" i="7"/>
  <c r="S61" i="7"/>
  <c r="AC61" i="7" s="1"/>
  <c r="Q61" i="7"/>
  <c r="P61" i="7"/>
  <c r="O61" i="7"/>
  <c r="N61" i="7"/>
  <c r="M61" i="7"/>
  <c r="G61" i="7"/>
  <c r="F61" i="7"/>
  <c r="L61" i="7" s="1"/>
  <c r="E61" i="7"/>
  <c r="R61" i="7" s="1"/>
  <c r="D61" i="7"/>
  <c r="K61" i="7" s="1"/>
  <c r="AS60" i="7"/>
  <c r="AR60" i="7"/>
  <c r="AQ60" i="7"/>
  <c r="AP60" i="7"/>
  <c r="AO60" i="7"/>
  <c r="AM60" i="7"/>
  <c r="AL60" i="7"/>
  <c r="AN60" i="7" s="1"/>
  <c r="AK60" i="7"/>
  <c r="AJ60" i="7"/>
  <c r="AH60" i="7"/>
  <c r="AF60" i="7"/>
  <c r="AD60" i="7"/>
  <c r="AB60" i="7"/>
  <c r="Z60" i="7"/>
  <c r="Y60" i="7"/>
  <c r="AA60" i="7" s="1"/>
  <c r="W60" i="7"/>
  <c r="V60" i="7"/>
  <c r="X60" i="7" s="1"/>
  <c r="T60" i="7"/>
  <c r="S60" i="7"/>
  <c r="Q60" i="7"/>
  <c r="P60" i="7"/>
  <c r="O60" i="7"/>
  <c r="N60" i="7"/>
  <c r="M60" i="7"/>
  <c r="G60" i="7"/>
  <c r="F60" i="7"/>
  <c r="L60" i="7" s="1"/>
  <c r="E60" i="7"/>
  <c r="R60" i="7" s="1"/>
  <c r="D60" i="7"/>
  <c r="AS59" i="7"/>
  <c r="AR59" i="7"/>
  <c r="AQ59" i="7"/>
  <c r="AP59" i="7"/>
  <c r="AO59" i="7"/>
  <c r="AM59" i="7"/>
  <c r="AL59" i="7"/>
  <c r="AN59" i="7" s="1"/>
  <c r="AK59" i="7"/>
  <c r="AJ59" i="7"/>
  <c r="AH59" i="7"/>
  <c r="AF59" i="7"/>
  <c r="AD59" i="7"/>
  <c r="AB59" i="7"/>
  <c r="Z59" i="7"/>
  <c r="Y59" i="7"/>
  <c r="W59" i="7"/>
  <c r="V59" i="7"/>
  <c r="T59" i="7"/>
  <c r="S59" i="7"/>
  <c r="Q59" i="7"/>
  <c r="P59" i="7"/>
  <c r="O59" i="7"/>
  <c r="N59" i="7"/>
  <c r="M59" i="7"/>
  <c r="G59" i="7"/>
  <c r="F59" i="7"/>
  <c r="E59" i="7"/>
  <c r="D59" i="7"/>
  <c r="AS58" i="7"/>
  <c r="AR58" i="7"/>
  <c r="AQ58" i="7"/>
  <c r="AP58" i="7"/>
  <c r="AO58" i="7"/>
  <c r="AM58" i="7"/>
  <c r="AL58" i="7"/>
  <c r="AN58" i="7" s="1"/>
  <c r="AK58" i="7"/>
  <c r="AJ58" i="7"/>
  <c r="AH58" i="7"/>
  <c r="AF58" i="7"/>
  <c r="AD58" i="7"/>
  <c r="AB58" i="7"/>
  <c r="Z58" i="7"/>
  <c r="Y58" i="7"/>
  <c r="AA58" i="7" s="1"/>
  <c r="W58" i="7"/>
  <c r="V58" i="7"/>
  <c r="X58" i="7" s="1"/>
  <c r="T58" i="7"/>
  <c r="S58" i="7"/>
  <c r="AE58" i="7" s="1"/>
  <c r="Q58" i="7"/>
  <c r="P58" i="7"/>
  <c r="O58" i="7"/>
  <c r="N58" i="7"/>
  <c r="M58" i="7"/>
  <c r="G58" i="7"/>
  <c r="F58" i="7"/>
  <c r="L58" i="7" s="1"/>
  <c r="E58" i="7"/>
  <c r="R58" i="7" s="1"/>
  <c r="D58" i="7"/>
  <c r="AS57" i="7"/>
  <c r="AR57" i="7"/>
  <c r="AQ57" i="7"/>
  <c r="AP57" i="7"/>
  <c r="AO57" i="7"/>
  <c r="AM57" i="7"/>
  <c r="AL57" i="7"/>
  <c r="AN57" i="7" s="1"/>
  <c r="AK57" i="7"/>
  <c r="AJ57" i="7"/>
  <c r="AH57" i="7"/>
  <c r="AF57" i="7"/>
  <c r="AD57" i="7"/>
  <c r="AB57" i="7"/>
  <c r="Z57" i="7"/>
  <c r="Y57" i="7"/>
  <c r="W57" i="7"/>
  <c r="V57" i="7"/>
  <c r="T57" i="7"/>
  <c r="S57" i="7"/>
  <c r="AC57" i="7" s="1"/>
  <c r="Q57" i="7"/>
  <c r="P57" i="7"/>
  <c r="O57" i="7"/>
  <c r="N57" i="7"/>
  <c r="M57" i="7"/>
  <c r="G57" i="7"/>
  <c r="F57" i="7"/>
  <c r="E57" i="7"/>
  <c r="R57" i="7" s="1"/>
  <c r="D57" i="7"/>
  <c r="AS56" i="7"/>
  <c r="AR56" i="7"/>
  <c r="AQ56" i="7"/>
  <c r="AP56" i="7"/>
  <c r="AO56" i="7"/>
  <c r="AM56" i="7"/>
  <c r="AL56" i="7"/>
  <c r="AN56" i="7" s="1"/>
  <c r="AK56" i="7"/>
  <c r="AJ56" i="7"/>
  <c r="AH56" i="7"/>
  <c r="AF56" i="7"/>
  <c r="AD56" i="7"/>
  <c r="AB56" i="7"/>
  <c r="Z56" i="7"/>
  <c r="Y56" i="7"/>
  <c r="AA56" i="7" s="1"/>
  <c r="W56" i="7"/>
  <c r="V56" i="7"/>
  <c r="X56" i="7" s="1"/>
  <c r="T56" i="7"/>
  <c r="S56" i="7"/>
  <c r="AE56" i="7" s="1"/>
  <c r="Q56" i="7"/>
  <c r="P56" i="7"/>
  <c r="O56" i="7"/>
  <c r="N56" i="7"/>
  <c r="M56" i="7"/>
  <c r="G56" i="7"/>
  <c r="F56" i="7"/>
  <c r="L56" i="7" s="1"/>
  <c r="E56" i="7"/>
  <c r="R56" i="7" s="1"/>
  <c r="D56" i="7"/>
  <c r="K56" i="7" s="1"/>
  <c r="AS55" i="7"/>
  <c r="AR55" i="7"/>
  <c r="AQ55" i="7"/>
  <c r="AP55" i="7"/>
  <c r="AO55" i="7"/>
  <c r="AM55" i="7"/>
  <c r="AL55" i="7"/>
  <c r="AN55" i="7" s="1"/>
  <c r="AK55" i="7"/>
  <c r="AJ55" i="7"/>
  <c r="AH55" i="7"/>
  <c r="AF55" i="7"/>
  <c r="AD55" i="7"/>
  <c r="AB55" i="7"/>
  <c r="Z55" i="7"/>
  <c r="Y55" i="7"/>
  <c r="W55" i="7"/>
  <c r="V55" i="7"/>
  <c r="T55" i="7"/>
  <c r="S55" i="7"/>
  <c r="Q55" i="7"/>
  <c r="P55" i="7"/>
  <c r="O55" i="7"/>
  <c r="N55" i="7"/>
  <c r="M55" i="7"/>
  <c r="G55" i="7"/>
  <c r="F55" i="7"/>
  <c r="E55" i="7"/>
  <c r="R55" i="7" s="1"/>
  <c r="D55" i="7"/>
  <c r="AS54" i="7"/>
  <c r="AR54" i="7"/>
  <c r="AQ54" i="7"/>
  <c r="AP54" i="7"/>
  <c r="AO54" i="7"/>
  <c r="AM54" i="7"/>
  <c r="AL54" i="7"/>
  <c r="AN54" i="7" s="1"/>
  <c r="AK54" i="7"/>
  <c r="AJ54" i="7"/>
  <c r="AH54" i="7"/>
  <c r="AF54" i="7"/>
  <c r="AD54" i="7"/>
  <c r="AB54" i="7"/>
  <c r="Z54" i="7"/>
  <c r="Y54" i="7"/>
  <c r="W54" i="7"/>
  <c r="V54" i="7"/>
  <c r="T54" i="7"/>
  <c r="S54" i="7"/>
  <c r="AC54" i="7" s="1"/>
  <c r="Q54" i="7"/>
  <c r="P54" i="7"/>
  <c r="O54" i="7"/>
  <c r="N54" i="7"/>
  <c r="M54" i="7"/>
  <c r="G54" i="7"/>
  <c r="F54" i="7"/>
  <c r="E54" i="7"/>
  <c r="R54" i="7" s="1"/>
  <c r="D54" i="7"/>
  <c r="AS53" i="7"/>
  <c r="AR53" i="7"/>
  <c r="AQ53" i="7"/>
  <c r="AP53" i="7"/>
  <c r="AO53" i="7"/>
  <c r="AM53" i="7"/>
  <c r="AL53" i="7"/>
  <c r="AK53" i="7"/>
  <c r="AJ53" i="7"/>
  <c r="AH53" i="7"/>
  <c r="AF53" i="7"/>
  <c r="AD53" i="7"/>
  <c r="AB53" i="7"/>
  <c r="Z53" i="7"/>
  <c r="Y53" i="7"/>
  <c r="W53" i="7"/>
  <c r="V53" i="7"/>
  <c r="T53" i="7"/>
  <c r="S53" i="7"/>
  <c r="Q53" i="7"/>
  <c r="P53" i="7"/>
  <c r="O53" i="7"/>
  <c r="N53" i="7"/>
  <c r="M53" i="7"/>
  <c r="G53" i="7"/>
  <c r="F53" i="7"/>
  <c r="E53" i="7"/>
  <c r="R53" i="7" s="1"/>
  <c r="D53" i="7"/>
  <c r="AS51" i="7"/>
  <c r="AR51" i="7"/>
  <c r="AQ51" i="7"/>
  <c r="AP51" i="7"/>
  <c r="AO51" i="7"/>
  <c r="AM51" i="7"/>
  <c r="AL51" i="7"/>
  <c r="AN51" i="7" s="1"/>
  <c r="AK51" i="7"/>
  <c r="AJ51" i="7"/>
  <c r="AH51" i="7"/>
  <c r="AF51" i="7"/>
  <c r="AD51" i="7"/>
  <c r="AB51" i="7"/>
  <c r="Z51" i="7"/>
  <c r="Y51" i="7"/>
  <c r="W51" i="7"/>
  <c r="V51" i="7"/>
  <c r="T51" i="7"/>
  <c r="S51" i="7"/>
  <c r="Q51" i="7"/>
  <c r="P51" i="7"/>
  <c r="O51" i="7"/>
  <c r="N51" i="7"/>
  <c r="M51" i="7"/>
  <c r="G51" i="7"/>
  <c r="F51" i="7"/>
  <c r="E51" i="7"/>
  <c r="R51" i="7" s="1"/>
  <c r="D51" i="7"/>
  <c r="AS50" i="7"/>
  <c r="AR50" i="7"/>
  <c r="AQ50" i="7"/>
  <c r="AP50" i="7"/>
  <c r="AO50" i="7"/>
  <c r="AM50" i="7"/>
  <c r="AL50" i="7"/>
  <c r="AN50" i="7" s="1"/>
  <c r="AK50" i="7"/>
  <c r="AJ50" i="7"/>
  <c r="AH50" i="7"/>
  <c r="AF50" i="7"/>
  <c r="AD50" i="7"/>
  <c r="AB50" i="7"/>
  <c r="Z50" i="7"/>
  <c r="Y50" i="7"/>
  <c r="AA50" i="7" s="1"/>
  <c r="W50" i="7"/>
  <c r="V50" i="7"/>
  <c r="X50" i="7" s="1"/>
  <c r="T50" i="7"/>
  <c r="S50" i="7"/>
  <c r="AE50" i="7" s="1"/>
  <c r="Q50" i="7"/>
  <c r="P50" i="7"/>
  <c r="O50" i="7"/>
  <c r="N50" i="7"/>
  <c r="M50" i="7"/>
  <c r="G50" i="7"/>
  <c r="F50" i="7"/>
  <c r="L50" i="7" s="1"/>
  <c r="E50" i="7"/>
  <c r="R50" i="7" s="1"/>
  <c r="D50" i="7"/>
  <c r="AS49" i="7"/>
  <c r="AR49" i="7"/>
  <c r="AQ49" i="7"/>
  <c r="AP49" i="7"/>
  <c r="AO49" i="7"/>
  <c r="AM49" i="7"/>
  <c r="AL49" i="7"/>
  <c r="AN49" i="7" s="1"/>
  <c r="AK49" i="7"/>
  <c r="AJ49" i="7"/>
  <c r="AH49" i="7"/>
  <c r="AF49" i="7"/>
  <c r="AD49" i="7"/>
  <c r="AB49" i="7"/>
  <c r="Z49" i="7"/>
  <c r="Y49" i="7"/>
  <c r="W49" i="7"/>
  <c r="V49" i="7"/>
  <c r="T49" i="7"/>
  <c r="S49" i="7"/>
  <c r="AC49" i="7" s="1"/>
  <c r="Q49" i="7"/>
  <c r="P49" i="7"/>
  <c r="O49" i="7"/>
  <c r="N49" i="7"/>
  <c r="M49" i="7"/>
  <c r="G49" i="7"/>
  <c r="F49" i="7"/>
  <c r="E49" i="7"/>
  <c r="R49" i="7" s="1"/>
  <c r="D49" i="7"/>
  <c r="AS48" i="7"/>
  <c r="AR48" i="7"/>
  <c r="AQ48" i="7"/>
  <c r="AP48" i="7"/>
  <c r="AO48" i="7"/>
  <c r="AM48" i="7"/>
  <c r="AL48" i="7"/>
  <c r="AN48" i="7" s="1"/>
  <c r="AK48" i="7"/>
  <c r="AJ48" i="7"/>
  <c r="AH48" i="7"/>
  <c r="AF48" i="7"/>
  <c r="AD48" i="7"/>
  <c r="AB48" i="7"/>
  <c r="Z48" i="7"/>
  <c r="Y48" i="7"/>
  <c r="W48" i="7"/>
  <c r="V48" i="7"/>
  <c r="T48" i="7"/>
  <c r="S48" i="7"/>
  <c r="AC48" i="7" s="1"/>
  <c r="Q48" i="7"/>
  <c r="P48" i="7"/>
  <c r="O48" i="7"/>
  <c r="N48" i="7"/>
  <c r="M48" i="7"/>
  <c r="G48" i="7"/>
  <c r="F48" i="7"/>
  <c r="E48" i="7"/>
  <c r="R48" i="7" s="1"/>
  <c r="D48" i="7"/>
  <c r="AS47" i="7"/>
  <c r="AR47" i="7"/>
  <c r="AQ47" i="7"/>
  <c r="AP47" i="7"/>
  <c r="AO47" i="7"/>
  <c r="AM47" i="7"/>
  <c r="AL47" i="7"/>
  <c r="AN47" i="7" s="1"/>
  <c r="AK47" i="7"/>
  <c r="AJ47" i="7"/>
  <c r="AH47" i="7"/>
  <c r="AF47" i="7"/>
  <c r="AD47" i="7"/>
  <c r="AB47" i="7"/>
  <c r="Z47" i="7"/>
  <c r="Y47" i="7"/>
  <c r="W47" i="7"/>
  <c r="V47" i="7"/>
  <c r="T47" i="7"/>
  <c r="S47" i="7"/>
  <c r="Q47" i="7"/>
  <c r="P47" i="7"/>
  <c r="O47" i="7"/>
  <c r="N47" i="7"/>
  <c r="M47" i="7"/>
  <c r="G47" i="7"/>
  <c r="F47" i="7"/>
  <c r="E47" i="7"/>
  <c r="R47" i="7" s="1"/>
  <c r="D47" i="7"/>
  <c r="AS46" i="7"/>
  <c r="AR46" i="7"/>
  <c r="AQ46" i="7"/>
  <c r="AP46" i="7"/>
  <c r="AO46" i="7"/>
  <c r="AM46" i="7"/>
  <c r="AL46" i="7"/>
  <c r="AN46" i="7" s="1"/>
  <c r="AK46" i="7"/>
  <c r="AJ46" i="7"/>
  <c r="AH46" i="7"/>
  <c r="AF46" i="7"/>
  <c r="AD46" i="7"/>
  <c r="AB46" i="7"/>
  <c r="Z46" i="7"/>
  <c r="Y46" i="7"/>
  <c r="W46" i="7"/>
  <c r="V46" i="7"/>
  <c r="T46" i="7"/>
  <c r="S46" i="7"/>
  <c r="Q46" i="7"/>
  <c r="P46" i="7"/>
  <c r="O46" i="7"/>
  <c r="N46" i="7"/>
  <c r="M46" i="7"/>
  <c r="G46" i="7"/>
  <c r="F46" i="7"/>
  <c r="E46" i="7"/>
  <c r="R46" i="7" s="1"/>
  <c r="D46" i="7"/>
  <c r="AS45" i="7"/>
  <c r="AR45" i="7"/>
  <c r="AQ45" i="7"/>
  <c r="AP45" i="7"/>
  <c r="AO45" i="7"/>
  <c r="AM45" i="7"/>
  <c r="AL45" i="7"/>
  <c r="AN45" i="7" s="1"/>
  <c r="AK45" i="7"/>
  <c r="AJ45" i="7"/>
  <c r="AH45" i="7"/>
  <c r="AF45" i="7"/>
  <c r="AD45" i="7"/>
  <c r="AB45" i="7"/>
  <c r="Z45" i="7"/>
  <c r="Y45" i="7"/>
  <c r="AA45" i="7" s="1"/>
  <c r="W45" i="7"/>
  <c r="V45" i="7"/>
  <c r="X45" i="7" s="1"/>
  <c r="T45" i="7"/>
  <c r="S45" i="7"/>
  <c r="AC45" i="7" s="1"/>
  <c r="Q45" i="7"/>
  <c r="P45" i="7"/>
  <c r="O45" i="7"/>
  <c r="N45" i="7"/>
  <c r="M45" i="7"/>
  <c r="G45" i="7"/>
  <c r="F45" i="7"/>
  <c r="L45" i="7" s="1"/>
  <c r="E45" i="7"/>
  <c r="R45" i="7" s="1"/>
  <c r="D45" i="7"/>
  <c r="AS44" i="7"/>
  <c r="AR44" i="7"/>
  <c r="AQ44" i="7"/>
  <c r="AP44" i="7"/>
  <c r="AO44" i="7"/>
  <c r="AM44" i="7"/>
  <c r="AL44" i="7"/>
  <c r="AN44" i="7" s="1"/>
  <c r="AK44" i="7"/>
  <c r="AJ44" i="7"/>
  <c r="AH44" i="7"/>
  <c r="AF44" i="7"/>
  <c r="AD44" i="7"/>
  <c r="AB44" i="7"/>
  <c r="Z44" i="7"/>
  <c r="Y44" i="7"/>
  <c r="W44" i="7"/>
  <c r="V44" i="7"/>
  <c r="T44" i="7"/>
  <c r="S44" i="7"/>
  <c r="Q44" i="7"/>
  <c r="P44" i="7"/>
  <c r="O44" i="7"/>
  <c r="N44" i="7"/>
  <c r="M44" i="7"/>
  <c r="G44" i="7"/>
  <c r="F44" i="7"/>
  <c r="E44" i="7"/>
  <c r="R44" i="7" s="1"/>
  <c r="D44" i="7"/>
  <c r="AS43" i="7"/>
  <c r="AR43" i="7"/>
  <c r="AQ43" i="7"/>
  <c r="AP43" i="7"/>
  <c r="AO43" i="7"/>
  <c r="AM43" i="7"/>
  <c r="AL43" i="7"/>
  <c r="AN43" i="7" s="1"/>
  <c r="AK43" i="7"/>
  <c r="AJ43" i="7"/>
  <c r="AH43" i="7"/>
  <c r="AF43" i="7"/>
  <c r="AD43" i="7"/>
  <c r="AB43" i="7"/>
  <c r="Z43" i="7"/>
  <c r="Y43" i="7"/>
  <c r="W43" i="7"/>
  <c r="V43" i="7"/>
  <c r="T43" i="7"/>
  <c r="S43" i="7"/>
  <c r="Q43" i="7"/>
  <c r="P43" i="7"/>
  <c r="O43" i="7"/>
  <c r="N43" i="7"/>
  <c r="M43" i="7"/>
  <c r="G43" i="7"/>
  <c r="F43" i="7"/>
  <c r="E43" i="7"/>
  <c r="R43" i="7" s="1"/>
  <c r="D43" i="7"/>
  <c r="AS42" i="7"/>
  <c r="AR42" i="7"/>
  <c r="AQ42" i="7"/>
  <c r="AP42" i="7"/>
  <c r="AO42" i="7"/>
  <c r="AM42" i="7"/>
  <c r="AL42" i="7"/>
  <c r="AN42" i="7" s="1"/>
  <c r="AK42" i="7"/>
  <c r="AJ42" i="7"/>
  <c r="AH42" i="7"/>
  <c r="AF42" i="7"/>
  <c r="AD42" i="7"/>
  <c r="AB42" i="7"/>
  <c r="Z42" i="7"/>
  <c r="Y42" i="7"/>
  <c r="W42" i="7"/>
  <c r="V42" i="7"/>
  <c r="T42" i="7"/>
  <c r="S42" i="7"/>
  <c r="Q42" i="7"/>
  <c r="P42" i="7"/>
  <c r="O42" i="7"/>
  <c r="N42" i="7"/>
  <c r="M42" i="7"/>
  <c r="G42" i="7"/>
  <c r="F42" i="7"/>
  <c r="E42" i="7"/>
  <c r="R42" i="7" s="1"/>
  <c r="D42" i="7"/>
  <c r="AS41" i="7"/>
  <c r="AR41" i="7"/>
  <c r="AQ41" i="7"/>
  <c r="AP41" i="7"/>
  <c r="AO41" i="7"/>
  <c r="AM41" i="7"/>
  <c r="AL41" i="7"/>
  <c r="AN41" i="7" s="1"/>
  <c r="AK41" i="7"/>
  <c r="AJ41" i="7"/>
  <c r="AH41" i="7"/>
  <c r="AF41" i="7"/>
  <c r="AD41" i="7"/>
  <c r="AB41" i="7"/>
  <c r="Z41" i="7"/>
  <c r="Y41" i="7"/>
  <c r="AA41" i="7" s="1"/>
  <c r="W41" i="7"/>
  <c r="V41" i="7"/>
  <c r="X41" i="7" s="1"/>
  <c r="T41" i="7"/>
  <c r="S41" i="7"/>
  <c r="Q41" i="7"/>
  <c r="P41" i="7"/>
  <c r="O41" i="7"/>
  <c r="N41" i="7"/>
  <c r="M41" i="7"/>
  <c r="G41" i="7"/>
  <c r="F41" i="7"/>
  <c r="L41" i="7" s="1"/>
  <c r="E41" i="7"/>
  <c r="R41" i="7" s="1"/>
  <c r="D41" i="7"/>
  <c r="K41" i="7" s="1"/>
  <c r="AS40" i="7"/>
  <c r="AR40" i="7"/>
  <c r="AQ40" i="7"/>
  <c r="AP40" i="7"/>
  <c r="AO40" i="7"/>
  <c r="AM40" i="7"/>
  <c r="AL40" i="7"/>
  <c r="AN40" i="7" s="1"/>
  <c r="AK40" i="7"/>
  <c r="AJ40" i="7"/>
  <c r="AH40" i="7"/>
  <c r="AF40" i="7"/>
  <c r="AD40" i="7"/>
  <c r="AB40" i="7"/>
  <c r="Z40" i="7"/>
  <c r="Y40" i="7"/>
  <c r="AA40" i="7" s="1"/>
  <c r="W40" i="7"/>
  <c r="V40" i="7"/>
  <c r="X40" i="7" s="1"/>
  <c r="T40" i="7"/>
  <c r="S40" i="7"/>
  <c r="AE40" i="7" s="1"/>
  <c r="Q40" i="7"/>
  <c r="P40" i="7"/>
  <c r="O40" i="7"/>
  <c r="N40" i="7"/>
  <c r="M40" i="7"/>
  <c r="G40" i="7"/>
  <c r="F40" i="7"/>
  <c r="L40" i="7" s="1"/>
  <c r="E40" i="7"/>
  <c r="D40" i="7"/>
  <c r="I40" i="7" s="1"/>
  <c r="AS39" i="7"/>
  <c r="AR39" i="7"/>
  <c r="AQ39" i="7"/>
  <c r="AP39" i="7"/>
  <c r="AO39" i="7"/>
  <c r="AM39" i="7"/>
  <c r="AL39" i="7"/>
  <c r="AN39" i="7" s="1"/>
  <c r="AK39" i="7"/>
  <c r="AJ39" i="7"/>
  <c r="AH39" i="7"/>
  <c r="AF39" i="7"/>
  <c r="AD39" i="7"/>
  <c r="AB39" i="7"/>
  <c r="Z39" i="7"/>
  <c r="Y39" i="7"/>
  <c r="AA39" i="7" s="1"/>
  <c r="W39" i="7"/>
  <c r="V39" i="7"/>
  <c r="X39" i="7" s="1"/>
  <c r="T39" i="7"/>
  <c r="S39" i="7"/>
  <c r="Q39" i="7"/>
  <c r="P39" i="7"/>
  <c r="O39" i="7"/>
  <c r="N39" i="7"/>
  <c r="M39" i="7"/>
  <c r="G39" i="7"/>
  <c r="F39" i="7"/>
  <c r="L39" i="7" s="1"/>
  <c r="E39" i="7"/>
  <c r="R39" i="7" s="1"/>
  <c r="D39" i="7"/>
  <c r="K39" i="7" s="1"/>
  <c r="AS38" i="7"/>
  <c r="AR38" i="7"/>
  <c r="AQ38" i="7"/>
  <c r="AP38" i="7"/>
  <c r="AO38" i="7"/>
  <c r="AM38" i="7"/>
  <c r="AL38" i="7"/>
  <c r="AN38" i="7" s="1"/>
  <c r="AK38" i="7"/>
  <c r="AJ38" i="7"/>
  <c r="AH38" i="7"/>
  <c r="AF38" i="7"/>
  <c r="AD38" i="7"/>
  <c r="AB38" i="7"/>
  <c r="Z38" i="7"/>
  <c r="Y38" i="7"/>
  <c r="W38" i="7"/>
  <c r="V38" i="7"/>
  <c r="T38" i="7"/>
  <c r="S38" i="7"/>
  <c r="Q38" i="7"/>
  <c r="P38" i="7"/>
  <c r="O38" i="7"/>
  <c r="N38" i="7"/>
  <c r="M38" i="7"/>
  <c r="G38" i="7"/>
  <c r="F38" i="7"/>
  <c r="E38" i="7"/>
  <c r="D38" i="7"/>
  <c r="AS37" i="7"/>
  <c r="AR37" i="7"/>
  <c r="AQ37" i="7"/>
  <c r="AP37" i="7"/>
  <c r="AO37" i="7"/>
  <c r="AM37" i="7"/>
  <c r="AL37" i="7"/>
  <c r="AN37" i="7" s="1"/>
  <c r="AK37" i="7"/>
  <c r="AJ37" i="7"/>
  <c r="AH37" i="7"/>
  <c r="AF37" i="7"/>
  <c r="AD37" i="7"/>
  <c r="AB37" i="7"/>
  <c r="Z37" i="7"/>
  <c r="Y37" i="7"/>
  <c r="AA37" i="7" s="1"/>
  <c r="W37" i="7"/>
  <c r="V37" i="7"/>
  <c r="X37" i="7" s="1"/>
  <c r="T37" i="7"/>
  <c r="S37" i="7"/>
  <c r="Q37" i="7"/>
  <c r="P37" i="7"/>
  <c r="O37" i="7"/>
  <c r="N37" i="7"/>
  <c r="M37" i="7"/>
  <c r="G37" i="7"/>
  <c r="F37" i="7"/>
  <c r="L37" i="7" s="1"/>
  <c r="E37" i="7"/>
  <c r="R37" i="7" s="1"/>
  <c r="D37" i="7"/>
  <c r="AS36" i="7"/>
  <c r="AR36" i="7"/>
  <c r="AQ36" i="7"/>
  <c r="AP36" i="7"/>
  <c r="AO36" i="7"/>
  <c r="AM36" i="7"/>
  <c r="AL36" i="7"/>
  <c r="AN36" i="7" s="1"/>
  <c r="AK36" i="7"/>
  <c r="AJ36" i="7"/>
  <c r="AH36" i="7"/>
  <c r="AF36" i="7"/>
  <c r="AD36" i="7"/>
  <c r="AB36" i="7"/>
  <c r="Z36" i="7"/>
  <c r="Y36" i="7"/>
  <c r="W36" i="7"/>
  <c r="V36" i="7"/>
  <c r="T36" i="7"/>
  <c r="S36" i="7"/>
  <c r="Q36" i="7"/>
  <c r="P36" i="7"/>
  <c r="O36" i="7"/>
  <c r="N36" i="7"/>
  <c r="M36" i="7"/>
  <c r="G36" i="7"/>
  <c r="F36" i="7"/>
  <c r="E36" i="7"/>
  <c r="R36" i="7" s="1"/>
  <c r="D36" i="7"/>
  <c r="AS35" i="7"/>
  <c r="AR35" i="7"/>
  <c r="AQ35" i="7"/>
  <c r="AP35" i="7"/>
  <c r="AO35" i="7"/>
  <c r="AM35" i="7"/>
  <c r="AL35" i="7"/>
  <c r="AN35" i="7" s="1"/>
  <c r="AK35" i="7"/>
  <c r="AJ35" i="7"/>
  <c r="AH35" i="7"/>
  <c r="AF35" i="7"/>
  <c r="AD35" i="7"/>
  <c r="AB35" i="7"/>
  <c r="Z35" i="7"/>
  <c r="Y35" i="7"/>
  <c r="W35" i="7"/>
  <c r="V35" i="7"/>
  <c r="T35" i="7"/>
  <c r="S35" i="7"/>
  <c r="Q35" i="7"/>
  <c r="P35" i="7"/>
  <c r="O35" i="7"/>
  <c r="N35" i="7"/>
  <c r="M35" i="7"/>
  <c r="G35" i="7"/>
  <c r="F35" i="7"/>
  <c r="E35" i="7"/>
  <c r="D35" i="7"/>
  <c r="AS34" i="7"/>
  <c r="AR34" i="7"/>
  <c r="AQ34" i="7"/>
  <c r="AP34" i="7"/>
  <c r="AO34" i="7"/>
  <c r="AM34" i="7"/>
  <c r="AL34" i="7"/>
  <c r="AN34" i="7" s="1"/>
  <c r="AK34" i="7"/>
  <c r="AJ34" i="7"/>
  <c r="AH34" i="7"/>
  <c r="AF34" i="7"/>
  <c r="AD34" i="7"/>
  <c r="AB34" i="7"/>
  <c r="Z34" i="7"/>
  <c r="Y34" i="7"/>
  <c r="W34" i="7"/>
  <c r="V34" i="7"/>
  <c r="T34" i="7"/>
  <c r="S34" i="7"/>
  <c r="Q34" i="7"/>
  <c r="P34" i="7"/>
  <c r="O34" i="7"/>
  <c r="N34" i="7"/>
  <c r="M34" i="7"/>
  <c r="G34" i="7"/>
  <c r="F34" i="7"/>
  <c r="E34" i="7"/>
  <c r="R34" i="7" s="1"/>
  <c r="D34" i="7"/>
  <c r="AS33" i="7"/>
  <c r="AR33" i="7"/>
  <c r="AQ33" i="7"/>
  <c r="AP33" i="7"/>
  <c r="AO33" i="7"/>
  <c r="AM33" i="7"/>
  <c r="AL33" i="7"/>
  <c r="AN33" i="7" s="1"/>
  <c r="AK33" i="7"/>
  <c r="AJ33" i="7"/>
  <c r="AH33" i="7"/>
  <c r="AF33" i="7"/>
  <c r="AD33" i="7"/>
  <c r="AB33" i="7"/>
  <c r="Z33" i="7"/>
  <c r="Y33" i="7"/>
  <c r="AA33" i="7" s="1"/>
  <c r="W33" i="7"/>
  <c r="V33" i="7"/>
  <c r="X33" i="7" s="1"/>
  <c r="T33" i="7"/>
  <c r="S33" i="7"/>
  <c r="U33" i="7" s="1"/>
  <c r="AI33" i="7" s="1"/>
  <c r="Q33" i="7"/>
  <c r="P33" i="7"/>
  <c r="O33" i="7"/>
  <c r="N33" i="7"/>
  <c r="M33" i="7"/>
  <c r="G33" i="7"/>
  <c r="F33" i="7"/>
  <c r="L33" i="7" s="1"/>
  <c r="E33" i="7"/>
  <c r="R33" i="7" s="1"/>
  <c r="D33" i="7"/>
  <c r="K33" i="7" s="1"/>
  <c r="AS32" i="7"/>
  <c r="AR32" i="7"/>
  <c r="AQ32" i="7"/>
  <c r="AP32" i="7"/>
  <c r="AO32" i="7"/>
  <c r="AM32" i="7"/>
  <c r="AL32" i="7"/>
  <c r="AN32" i="7" s="1"/>
  <c r="AK32" i="7"/>
  <c r="AJ32" i="7"/>
  <c r="AH32" i="7"/>
  <c r="AF32" i="7"/>
  <c r="AD32" i="7"/>
  <c r="AB32" i="7"/>
  <c r="Z32" i="7"/>
  <c r="Y32" i="7"/>
  <c r="W32" i="7"/>
  <c r="V32" i="7"/>
  <c r="T32" i="7"/>
  <c r="S32" i="7"/>
  <c r="Q32" i="7"/>
  <c r="P32" i="7"/>
  <c r="O32" i="7"/>
  <c r="N32" i="7"/>
  <c r="M32" i="7"/>
  <c r="G32" i="7"/>
  <c r="F32" i="7"/>
  <c r="E32" i="7"/>
  <c r="R32" i="7" s="1"/>
  <c r="D32" i="7"/>
  <c r="AS30" i="7"/>
  <c r="AR30" i="7"/>
  <c r="AQ30" i="7"/>
  <c r="AP30" i="7"/>
  <c r="AO30" i="7"/>
  <c r="AM30" i="7"/>
  <c r="AL30" i="7"/>
  <c r="AN30" i="7" s="1"/>
  <c r="AK30" i="7"/>
  <c r="AJ30" i="7"/>
  <c r="AH30" i="7"/>
  <c r="AF30" i="7"/>
  <c r="AD30" i="7"/>
  <c r="AB30" i="7"/>
  <c r="Z30" i="7"/>
  <c r="Y30" i="7"/>
  <c r="W30" i="7"/>
  <c r="V30" i="7"/>
  <c r="T30" i="7"/>
  <c r="S30" i="7"/>
  <c r="Q30" i="7"/>
  <c r="P30" i="7"/>
  <c r="O30" i="7"/>
  <c r="N30" i="7"/>
  <c r="M30" i="7"/>
  <c r="G30" i="7"/>
  <c r="F30" i="7"/>
  <c r="E30" i="7"/>
  <c r="R30" i="7" s="1"/>
  <c r="D30" i="7"/>
  <c r="AS29" i="7"/>
  <c r="AR29" i="7"/>
  <c r="AQ29" i="7"/>
  <c r="AP29" i="7"/>
  <c r="AO29" i="7"/>
  <c r="AM29" i="7"/>
  <c r="AL29" i="7"/>
  <c r="AN29" i="7" s="1"/>
  <c r="AK29" i="7"/>
  <c r="AJ29" i="7"/>
  <c r="AH29" i="7"/>
  <c r="AF29" i="7"/>
  <c r="AD29" i="7"/>
  <c r="AB29" i="7"/>
  <c r="Z29" i="7"/>
  <c r="Y29" i="7"/>
  <c r="W29" i="7"/>
  <c r="V29" i="7"/>
  <c r="T29" i="7"/>
  <c r="S29" i="7"/>
  <c r="Q29" i="7"/>
  <c r="P29" i="7"/>
  <c r="O29" i="7"/>
  <c r="N29" i="7"/>
  <c r="M29" i="7"/>
  <c r="G29" i="7"/>
  <c r="F29" i="7"/>
  <c r="E29" i="7"/>
  <c r="R29" i="7" s="1"/>
  <c r="D29" i="7"/>
  <c r="AS28" i="7"/>
  <c r="AR28" i="7"/>
  <c r="AQ28" i="7"/>
  <c r="AP28" i="7"/>
  <c r="AO28" i="7"/>
  <c r="AM28" i="7"/>
  <c r="AL28" i="7"/>
  <c r="AN28" i="7" s="1"/>
  <c r="AK28" i="7"/>
  <c r="AJ28" i="7"/>
  <c r="AH28" i="7"/>
  <c r="AF28" i="7"/>
  <c r="AD28" i="7"/>
  <c r="AB28" i="7"/>
  <c r="Z28" i="7"/>
  <c r="Y28" i="7"/>
  <c r="W28" i="7"/>
  <c r="V28" i="7"/>
  <c r="T28" i="7"/>
  <c r="S28" i="7"/>
  <c r="Q28" i="7"/>
  <c r="P28" i="7"/>
  <c r="O28" i="7"/>
  <c r="N28" i="7"/>
  <c r="M28" i="7"/>
  <c r="G28" i="7"/>
  <c r="F28" i="7"/>
  <c r="E28" i="7"/>
  <c r="R28" i="7" s="1"/>
  <c r="D28" i="7"/>
  <c r="AS27" i="7"/>
  <c r="AR27" i="7"/>
  <c r="AQ27" i="7"/>
  <c r="AP27" i="7"/>
  <c r="AO27" i="7"/>
  <c r="AM27" i="7"/>
  <c r="AL27" i="7"/>
  <c r="AN27" i="7" s="1"/>
  <c r="AK27" i="7"/>
  <c r="AJ27" i="7"/>
  <c r="AH27" i="7"/>
  <c r="AF27" i="7"/>
  <c r="AD27" i="7"/>
  <c r="AB27" i="7"/>
  <c r="Z27" i="7"/>
  <c r="Y27" i="7"/>
  <c r="W27" i="7"/>
  <c r="V27" i="7"/>
  <c r="T27" i="7"/>
  <c r="S27" i="7"/>
  <c r="Q27" i="7"/>
  <c r="P27" i="7"/>
  <c r="O27" i="7"/>
  <c r="N27" i="7"/>
  <c r="M27" i="7"/>
  <c r="G27" i="7"/>
  <c r="F27" i="7"/>
  <c r="E27" i="7"/>
  <c r="R27" i="7" s="1"/>
  <c r="D27" i="7"/>
  <c r="AS26" i="7"/>
  <c r="AR26" i="7"/>
  <c r="AQ26" i="7"/>
  <c r="AP26" i="7"/>
  <c r="AO26" i="7"/>
  <c r="AM26" i="7"/>
  <c r="AL26" i="7"/>
  <c r="AN26" i="7" s="1"/>
  <c r="AK26" i="7"/>
  <c r="AJ26" i="7"/>
  <c r="AH26" i="7"/>
  <c r="AF26" i="7"/>
  <c r="AD26" i="7"/>
  <c r="AB26" i="7"/>
  <c r="Z26" i="7"/>
  <c r="Y26" i="7"/>
  <c r="W26" i="7"/>
  <c r="V26" i="7"/>
  <c r="T26" i="7"/>
  <c r="S26" i="7"/>
  <c r="Q26" i="7"/>
  <c r="P26" i="7"/>
  <c r="O26" i="7"/>
  <c r="N26" i="7"/>
  <c r="M26" i="7"/>
  <c r="G26" i="7"/>
  <c r="F26" i="7"/>
  <c r="E26" i="7"/>
  <c r="R26" i="7" s="1"/>
  <c r="D26" i="7"/>
  <c r="AS25" i="7"/>
  <c r="AR25" i="7"/>
  <c r="AQ25" i="7"/>
  <c r="AP25" i="7"/>
  <c r="AO25" i="7"/>
  <c r="AM25" i="7"/>
  <c r="AL25" i="7"/>
  <c r="AN25" i="7" s="1"/>
  <c r="AK25" i="7"/>
  <c r="AJ25" i="7"/>
  <c r="AH25" i="7"/>
  <c r="AF25" i="7"/>
  <c r="AD25" i="7"/>
  <c r="AB25" i="7"/>
  <c r="Z25" i="7"/>
  <c r="Y25" i="7"/>
  <c r="AA25" i="7" s="1"/>
  <c r="W25" i="7"/>
  <c r="V25" i="7"/>
  <c r="X25" i="7" s="1"/>
  <c r="T25" i="7"/>
  <c r="S25" i="7"/>
  <c r="AC25" i="7" s="1"/>
  <c r="Q25" i="7"/>
  <c r="P25" i="7"/>
  <c r="O25" i="7"/>
  <c r="N25" i="7"/>
  <c r="M25" i="7"/>
  <c r="G25" i="7"/>
  <c r="F25" i="7"/>
  <c r="L25" i="7" s="1"/>
  <c r="E25" i="7"/>
  <c r="R25" i="7" s="1"/>
  <c r="D25" i="7"/>
  <c r="K25" i="7" s="1"/>
  <c r="AS24" i="7"/>
  <c r="AR24" i="7"/>
  <c r="AQ24" i="7"/>
  <c r="AP24" i="7"/>
  <c r="AO24" i="7"/>
  <c r="AM24" i="7"/>
  <c r="AL24" i="7"/>
  <c r="AN24" i="7" s="1"/>
  <c r="AK24" i="7"/>
  <c r="AJ24" i="7"/>
  <c r="AH24" i="7"/>
  <c r="AF24" i="7"/>
  <c r="AD24" i="7"/>
  <c r="AB24" i="7"/>
  <c r="Z24" i="7"/>
  <c r="Y24" i="7"/>
  <c r="AA24" i="7" s="1"/>
  <c r="W24" i="7"/>
  <c r="V24" i="7"/>
  <c r="X24" i="7" s="1"/>
  <c r="T24" i="7"/>
  <c r="S24" i="7"/>
  <c r="AE24" i="7" s="1"/>
  <c r="Q24" i="7"/>
  <c r="P24" i="7"/>
  <c r="O24" i="7"/>
  <c r="N24" i="7"/>
  <c r="M24" i="7"/>
  <c r="G24" i="7"/>
  <c r="F24" i="7"/>
  <c r="L24" i="7" s="1"/>
  <c r="E24" i="7"/>
  <c r="R24" i="7" s="1"/>
  <c r="D24" i="7"/>
  <c r="K24" i="7" s="1"/>
  <c r="AS23" i="7"/>
  <c r="AR23" i="7"/>
  <c r="AQ23" i="7"/>
  <c r="AP23" i="7"/>
  <c r="AO23" i="7"/>
  <c r="AM23" i="7"/>
  <c r="AL23" i="7"/>
  <c r="AN23" i="7" s="1"/>
  <c r="AK23" i="7"/>
  <c r="AJ23" i="7"/>
  <c r="AH23" i="7"/>
  <c r="AF23" i="7"/>
  <c r="AD23" i="7"/>
  <c r="AB23" i="7"/>
  <c r="Z23" i="7"/>
  <c r="Y23" i="7"/>
  <c r="AA23" i="7" s="1"/>
  <c r="W23" i="7"/>
  <c r="V23" i="7"/>
  <c r="X23" i="7" s="1"/>
  <c r="T23" i="7"/>
  <c r="S23" i="7"/>
  <c r="Q23" i="7"/>
  <c r="P23" i="7"/>
  <c r="O23" i="7"/>
  <c r="N23" i="7"/>
  <c r="M23" i="7"/>
  <c r="G23" i="7"/>
  <c r="F23" i="7"/>
  <c r="L23" i="7" s="1"/>
  <c r="E23" i="7"/>
  <c r="D23" i="7"/>
  <c r="I23" i="7" s="1"/>
  <c r="AS22" i="7"/>
  <c r="AR22" i="7"/>
  <c r="AQ22" i="7"/>
  <c r="AP22" i="7"/>
  <c r="AO22" i="7"/>
  <c r="AM22" i="7"/>
  <c r="AL22" i="7"/>
  <c r="AN22" i="7" s="1"/>
  <c r="AK22" i="7"/>
  <c r="AJ22" i="7"/>
  <c r="AH22" i="7"/>
  <c r="AF22" i="7"/>
  <c r="AD22" i="7"/>
  <c r="AB22" i="7"/>
  <c r="Z22" i="7"/>
  <c r="Y22" i="7"/>
  <c r="W22" i="7"/>
  <c r="V22" i="7"/>
  <c r="T22" i="7"/>
  <c r="S22" i="7"/>
  <c r="Q22" i="7"/>
  <c r="P22" i="7"/>
  <c r="O22" i="7"/>
  <c r="N22" i="7"/>
  <c r="M22" i="7"/>
  <c r="G22" i="7"/>
  <c r="F22" i="7"/>
  <c r="E22" i="7"/>
  <c r="R22" i="7" s="1"/>
  <c r="D22" i="7"/>
  <c r="AS21" i="7"/>
  <c r="AR21" i="7"/>
  <c r="AQ21" i="7"/>
  <c r="AP21" i="7"/>
  <c r="AO21" i="7"/>
  <c r="AM21" i="7"/>
  <c r="AL21" i="7"/>
  <c r="AN21" i="7" s="1"/>
  <c r="AK21" i="7"/>
  <c r="AJ21" i="7"/>
  <c r="AH21" i="7"/>
  <c r="AF21" i="7"/>
  <c r="AD21" i="7"/>
  <c r="AB21" i="7"/>
  <c r="Z21" i="7"/>
  <c r="Y21" i="7"/>
  <c r="W21" i="7"/>
  <c r="V21" i="7"/>
  <c r="T21" i="7"/>
  <c r="S21" i="7"/>
  <c r="Q21" i="7"/>
  <c r="P21" i="7"/>
  <c r="O21" i="7"/>
  <c r="N21" i="7"/>
  <c r="M21" i="7"/>
  <c r="G21" i="7"/>
  <c r="F21" i="7"/>
  <c r="E21" i="7"/>
  <c r="R21" i="7" s="1"/>
  <c r="D21" i="7"/>
  <c r="AS20" i="7"/>
  <c r="AR20" i="7"/>
  <c r="AQ20" i="7"/>
  <c r="AP20" i="7"/>
  <c r="AO20" i="7"/>
  <c r="AM20" i="7"/>
  <c r="AL20" i="7"/>
  <c r="AN20" i="7" s="1"/>
  <c r="AK20" i="7"/>
  <c r="AJ20" i="7"/>
  <c r="AH20" i="7"/>
  <c r="AF20" i="7"/>
  <c r="AD20" i="7"/>
  <c r="AB20" i="7"/>
  <c r="Z20" i="7"/>
  <c r="Y20" i="7"/>
  <c r="W20" i="7"/>
  <c r="V20" i="7"/>
  <c r="T20" i="7"/>
  <c r="S20" i="7"/>
  <c r="Q20" i="7"/>
  <c r="P20" i="7"/>
  <c r="O20" i="7"/>
  <c r="N20" i="7"/>
  <c r="M20" i="7"/>
  <c r="G20" i="7"/>
  <c r="F20" i="7"/>
  <c r="E20" i="7"/>
  <c r="D20" i="7"/>
  <c r="AS19" i="7"/>
  <c r="AR19" i="7"/>
  <c r="AQ19" i="7"/>
  <c r="AP19" i="7"/>
  <c r="AO19" i="7"/>
  <c r="AM19" i="7"/>
  <c r="AL19" i="7"/>
  <c r="AN19" i="7" s="1"/>
  <c r="AK19" i="7"/>
  <c r="AJ19" i="7"/>
  <c r="AH19" i="7"/>
  <c r="AF19" i="7"/>
  <c r="AD19" i="7"/>
  <c r="AB19" i="7"/>
  <c r="Z19" i="7"/>
  <c r="Y19" i="7"/>
  <c r="AA19" i="7" s="1"/>
  <c r="W19" i="7"/>
  <c r="V19" i="7"/>
  <c r="X19" i="7" s="1"/>
  <c r="T19" i="7"/>
  <c r="S19" i="7"/>
  <c r="AE19" i="7" s="1"/>
  <c r="Q19" i="7"/>
  <c r="P19" i="7"/>
  <c r="O19" i="7"/>
  <c r="N19" i="7"/>
  <c r="M19" i="7"/>
  <c r="G19" i="7"/>
  <c r="F19" i="7"/>
  <c r="L19" i="7" s="1"/>
  <c r="E19" i="7"/>
  <c r="R19" i="7" s="1"/>
  <c r="D19" i="7"/>
  <c r="K19" i="7" s="1"/>
  <c r="AS18" i="7"/>
  <c r="AR18" i="7"/>
  <c r="AQ18" i="7"/>
  <c r="AP18" i="7"/>
  <c r="AO18" i="7"/>
  <c r="AM18" i="7"/>
  <c r="AL18" i="7"/>
  <c r="AN18" i="7" s="1"/>
  <c r="AK18" i="7"/>
  <c r="AJ18" i="7"/>
  <c r="AH18" i="7"/>
  <c r="AF18" i="7"/>
  <c r="AD18" i="7"/>
  <c r="AB18" i="7"/>
  <c r="Z18" i="7"/>
  <c r="Y18" i="7"/>
  <c r="AA18" i="7" s="1"/>
  <c r="W18" i="7"/>
  <c r="V18" i="7"/>
  <c r="X18" i="7" s="1"/>
  <c r="T18" i="7"/>
  <c r="S18" i="7"/>
  <c r="AE18" i="7" s="1"/>
  <c r="Q18" i="7"/>
  <c r="P18" i="7"/>
  <c r="O18" i="7"/>
  <c r="N18" i="7"/>
  <c r="M18" i="7"/>
  <c r="G18" i="7"/>
  <c r="F18" i="7"/>
  <c r="L18" i="7" s="1"/>
  <c r="E18" i="7"/>
  <c r="R18" i="7" s="1"/>
  <c r="D18" i="7"/>
  <c r="AS17" i="7"/>
  <c r="AR17" i="7"/>
  <c r="AQ17" i="7"/>
  <c r="AP17" i="7"/>
  <c r="AO17" i="7"/>
  <c r="AM17" i="7"/>
  <c r="AL17" i="7"/>
  <c r="AN17" i="7" s="1"/>
  <c r="AK17" i="7"/>
  <c r="AJ17" i="7"/>
  <c r="AH17" i="7"/>
  <c r="AF17" i="7"/>
  <c r="AD17" i="7"/>
  <c r="AB17" i="7"/>
  <c r="Z17" i="7"/>
  <c r="Y17" i="7"/>
  <c r="AA17" i="7" s="1"/>
  <c r="W17" i="7"/>
  <c r="V17" i="7"/>
  <c r="X17" i="7" s="1"/>
  <c r="T17" i="7"/>
  <c r="S17" i="7"/>
  <c r="AE17" i="7" s="1"/>
  <c r="Q17" i="7"/>
  <c r="P17" i="7"/>
  <c r="O17" i="7"/>
  <c r="N17" i="7"/>
  <c r="M17" i="7"/>
  <c r="G17" i="7"/>
  <c r="F17" i="7"/>
  <c r="L17" i="7" s="1"/>
  <c r="E17" i="7"/>
  <c r="D17" i="7"/>
  <c r="AS16" i="7"/>
  <c r="AR16" i="7"/>
  <c r="AQ16" i="7"/>
  <c r="AP16" i="7"/>
  <c r="AO16" i="7"/>
  <c r="AM16" i="7"/>
  <c r="AL16" i="7"/>
  <c r="AN16" i="7" s="1"/>
  <c r="AK16" i="7"/>
  <c r="AJ16" i="7"/>
  <c r="AH16" i="7"/>
  <c r="AF16" i="7"/>
  <c r="AD16" i="7"/>
  <c r="AB16" i="7"/>
  <c r="Z16" i="7"/>
  <c r="Y16" i="7"/>
  <c r="W16" i="7"/>
  <c r="V16" i="7"/>
  <c r="T16" i="7"/>
  <c r="S16" i="7"/>
  <c r="Q16" i="7"/>
  <c r="P16" i="7"/>
  <c r="O16" i="7"/>
  <c r="N16" i="7"/>
  <c r="M16" i="7"/>
  <c r="G16" i="7"/>
  <c r="F16" i="7"/>
  <c r="E16" i="7"/>
  <c r="R16" i="7" s="1"/>
  <c r="D16" i="7"/>
  <c r="AS15" i="7"/>
  <c r="AR15" i="7"/>
  <c r="AQ15" i="7"/>
  <c r="AP15" i="7"/>
  <c r="AO15" i="7"/>
  <c r="AM15" i="7"/>
  <c r="AL15" i="7"/>
  <c r="AN15" i="7" s="1"/>
  <c r="AK15" i="7"/>
  <c r="AJ15" i="7"/>
  <c r="AH15" i="7"/>
  <c r="AF15" i="7"/>
  <c r="AD15" i="7"/>
  <c r="AB15" i="7"/>
  <c r="Z15" i="7"/>
  <c r="Y15" i="7"/>
  <c r="W15" i="7"/>
  <c r="V15" i="7"/>
  <c r="T15" i="7"/>
  <c r="S15" i="7"/>
  <c r="Q15" i="7"/>
  <c r="P15" i="7"/>
  <c r="O15" i="7"/>
  <c r="N15" i="7"/>
  <c r="M15" i="7"/>
  <c r="G15" i="7"/>
  <c r="F15" i="7"/>
  <c r="E15" i="7"/>
  <c r="R15" i="7" s="1"/>
  <c r="D15" i="7"/>
  <c r="AS14" i="7"/>
  <c r="AR14" i="7"/>
  <c r="AQ14" i="7"/>
  <c r="AP14" i="7"/>
  <c r="AO14" i="7"/>
  <c r="AM14" i="7"/>
  <c r="AL14" i="7"/>
  <c r="AK14" i="7"/>
  <c r="AJ14" i="7"/>
  <c r="AH14" i="7"/>
  <c r="AF14" i="7"/>
  <c r="AD14" i="7"/>
  <c r="AB14" i="7"/>
  <c r="Z14" i="7"/>
  <c r="Y14" i="7"/>
  <c r="AA14" i="7" s="1"/>
  <c r="W14" i="7"/>
  <c r="V14" i="7"/>
  <c r="X14" i="7" s="1"/>
  <c r="T14" i="7"/>
  <c r="S14" i="7"/>
  <c r="U14" i="7" s="1"/>
  <c r="AI14" i="7" s="1"/>
  <c r="Q14" i="7"/>
  <c r="P14" i="7"/>
  <c r="O14" i="7"/>
  <c r="N14" i="7"/>
  <c r="M14" i="7"/>
  <c r="G14" i="7"/>
  <c r="F14" i="7"/>
  <c r="L14" i="7" s="1"/>
  <c r="E14" i="7"/>
  <c r="R14" i="7" s="1"/>
  <c r="D14" i="7"/>
  <c r="K14" i="7" s="1"/>
  <c r="AN12" i="7"/>
  <c r="AG12" i="7"/>
  <c r="AE12" i="7"/>
  <c r="AC12" i="7"/>
  <c r="AA12" i="7"/>
  <c r="X12" i="7"/>
  <c r="U12" i="7"/>
  <c r="AI12" i="7" s="1"/>
  <c r="I12" i="7"/>
  <c r="H12" i="7"/>
  <c r="AI11" i="7"/>
  <c r="AG11" i="7"/>
  <c r="AE11" i="7"/>
  <c r="AC11" i="7"/>
  <c r="R11" i="7"/>
  <c r="H11" i="7"/>
  <c r="D11" i="7"/>
  <c r="C11" i="7" s="1"/>
  <c r="AI10" i="7"/>
  <c r="AG10" i="7"/>
  <c r="AE10" i="7"/>
  <c r="AC10" i="7"/>
  <c r="R10" i="7"/>
  <c r="P10" i="7"/>
  <c r="J10" i="7" s="1"/>
  <c r="F10" i="7"/>
  <c r="D10" i="7"/>
  <c r="AI9" i="7"/>
  <c r="AG9" i="7"/>
  <c r="AE9" i="7"/>
  <c r="AC9" i="7"/>
  <c r="F9" i="7"/>
  <c r="E9" i="7"/>
  <c r="R9" i="7" s="1"/>
  <c r="R116" i="6"/>
  <c r="J116" i="6"/>
  <c r="H116" i="6" s="1"/>
  <c r="I116" i="6"/>
  <c r="C116" i="6"/>
  <c r="R115" i="6"/>
  <c r="J115" i="6"/>
  <c r="H115" i="6" s="1"/>
  <c r="I115" i="6"/>
  <c r="C115" i="6"/>
  <c r="R114" i="6"/>
  <c r="J114" i="6"/>
  <c r="I114" i="6"/>
  <c r="H114" i="6"/>
  <c r="C114" i="6"/>
  <c r="R113" i="6"/>
  <c r="J113" i="6"/>
  <c r="I113" i="6"/>
  <c r="H113" i="6"/>
  <c r="C113" i="6"/>
  <c r="R112" i="6"/>
  <c r="J112" i="6"/>
  <c r="I112" i="6"/>
  <c r="H112" i="6"/>
  <c r="C112" i="6"/>
  <c r="R111" i="6"/>
  <c r="J111" i="6"/>
  <c r="I111" i="6"/>
  <c r="H111" i="6"/>
  <c r="C111" i="6"/>
  <c r="R110" i="6"/>
  <c r="J110" i="6"/>
  <c r="H110" i="6" s="1"/>
  <c r="I110" i="6"/>
  <c r="C110" i="6"/>
  <c r="R109" i="6"/>
  <c r="J109" i="6"/>
  <c r="H109" i="6" s="1"/>
  <c r="I109" i="6"/>
  <c r="C109" i="6"/>
  <c r="R108" i="6"/>
  <c r="J108" i="6"/>
  <c r="H108" i="6" s="1"/>
  <c r="I108" i="6"/>
  <c r="C108" i="6"/>
  <c r="R107" i="6"/>
  <c r="J107" i="6"/>
  <c r="I107" i="6"/>
  <c r="H107" i="6"/>
  <c r="C107" i="6"/>
  <c r="R106" i="6"/>
  <c r="J106" i="6"/>
  <c r="I106" i="6"/>
  <c r="H106" i="6"/>
  <c r="C106" i="6"/>
  <c r="R105" i="6"/>
  <c r="J105" i="6"/>
  <c r="I105" i="6"/>
  <c r="H105" i="6"/>
  <c r="C105" i="6"/>
  <c r="R104" i="6"/>
  <c r="I104" i="6"/>
  <c r="C104" i="6"/>
  <c r="R103" i="6"/>
  <c r="J103" i="6"/>
  <c r="H103" i="6" s="1"/>
  <c r="I103" i="6"/>
  <c r="C103" i="6"/>
  <c r="R102" i="6"/>
  <c r="J102" i="6"/>
  <c r="H102" i="6" s="1"/>
  <c r="I102" i="6"/>
  <c r="C102" i="6"/>
  <c r="R101" i="6"/>
  <c r="J101" i="6"/>
  <c r="H101" i="6" s="1"/>
  <c r="I101" i="6"/>
  <c r="C101" i="6"/>
  <c r="R100" i="6"/>
  <c r="J100" i="6"/>
  <c r="H100" i="6" s="1"/>
  <c r="I100" i="6"/>
  <c r="C100" i="6"/>
  <c r="R99" i="6"/>
  <c r="J99" i="6"/>
  <c r="H99" i="6" s="1"/>
  <c r="I99" i="6"/>
  <c r="C99" i="6"/>
  <c r="R98" i="6"/>
  <c r="J98" i="6"/>
  <c r="H98" i="6" s="1"/>
  <c r="I98" i="6"/>
  <c r="C98" i="6"/>
  <c r="R97" i="6"/>
  <c r="J97" i="6"/>
  <c r="H97" i="6" s="1"/>
  <c r="I97" i="6"/>
  <c r="C97" i="6"/>
  <c r="R96" i="6"/>
  <c r="J96" i="6"/>
  <c r="H96" i="6" s="1"/>
  <c r="I96" i="6"/>
  <c r="C96" i="6"/>
  <c r="R95" i="6"/>
  <c r="J95" i="6"/>
  <c r="H95" i="6" s="1"/>
  <c r="I95" i="6"/>
  <c r="C95" i="6"/>
  <c r="A95" i="6"/>
  <c r="A96" i="6" s="1"/>
  <c r="A97" i="6" s="1"/>
  <c r="A98" i="6" s="1"/>
  <c r="A99" i="6" s="1"/>
  <c r="A100" i="6" s="1"/>
  <c r="A101" i="6" s="1"/>
  <c r="A102" i="6" s="1"/>
  <c r="A103" i="6" s="1"/>
  <c r="R94" i="6"/>
  <c r="J94" i="6"/>
  <c r="H94" i="6" s="1"/>
  <c r="I94" i="6"/>
  <c r="C94" i="6"/>
  <c r="A94" i="6"/>
  <c r="R93" i="6"/>
  <c r="J93" i="6"/>
  <c r="H93" i="6" s="1"/>
  <c r="I93" i="6"/>
  <c r="C93" i="6"/>
  <c r="A93" i="6"/>
  <c r="R92" i="6"/>
  <c r="J92" i="6"/>
  <c r="H92" i="6" s="1"/>
  <c r="I92" i="6"/>
  <c r="C92" i="6"/>
  <c r="R91" i="6"/>
  <c r="J91" i="6"/>
  <c r="I91" i="6"/>
  <c r="H91" i="6"/>
  <c r="C91" i="6"/>
  <c r="R90" i="6"/>
  <c r="J90" i="6"/>
  <c r="I90" i="6"/>
  <c r="C90" i="6"/>
  <c r="C89" i="6" s="1"/>
  <c r="R89" i="6"/>
  <c r="I89" i="6"/>
  <c r="AK88" i="6"/>
  <c r="AJ88" i="6"/>
  <c r="AI88" i="6"/>
  <c r="AL88" i="6" s="1"/>
  <c r="AG88" i="6"/>
  <c r="AF88" i="6"/>
  <c r="AE88" i="6"/>
  <c r="AH88" i="6" s="1"/>
  <c r="AC88" i="6"/>
  <c r="AB88" i="6"/>
  <c r="AA88" i="6"/>
  <c r="AD88" i="6" s="1"/>
  <c r="Z88" i="6"/>
  <c r="Y88" i="6"/>
  <c r="W88" i="6"/>
  <c r="V88" i="6"/>
  <c r="X88" i="6" s="1"/>
  <c r="T88" i="6"/>
  <c r="S88" i="6"/>
  <c r="U88" i="6" s="1"/>
  <c r="Q88" i="6"/>
  <c r="P88" i="6"/>
  <c r="O88" i="6"/>
  <c r="N88" i="6"/>
  <c r="M88" i="6"/>
  <c r="G88" i="6"/>
  <c r="F88" i="6"/>
  <c r="L88" i="6" s="1"/>
  <c r="E88" i="6"/>
  <c r="R88" i="6" s="1"/>
  <c r="D88" i="6"/>
  <c r="AK87" i="6"/>
  <c r="AJ87" i="6"/>
  <c r="AI87" i="6"/>
  <c r="AL87" i="6" s="1"/>
  <c r="AG87" i="6"/>
  <c r="AF87" i="6"/>
  <c r="AE87" i="6"/>
  <c r="AH87" i="6" s="1"/>
  <c r="AC87" i="6"/>
  <c r="AB87" i="6"/>
  <c r="AA87" i="6"/>
  <c r="AD87" i="6" s="1"/>
  <c r="Z87" i="6"/>
  <c r="Y87" i="6"/>
  <c r="W87" i="6"/>
  <c r="V87" i="6"/>
  <c r="X87" i="6" s="1"/>
  <c r="T87" i="6"/>
  <c r="S87" i="6"/>
  <c r="U87" i="6" s="1"/>
  <c r="Q87" i="6"/>
  <c r="P87" i="6"/>
  <c r="O87" i="6"/>
  <c r="N87" i="6"/>
  <c r="M87" i="6"/>
  <c r="G87" i="6"/>
  <c r="F87" i="6"/>
  <c r="L87" i="6" s="1"/>
  <c r="E87" i="6"/>
  <c r="D87" i="6"/>
  <c r="K87" i="6" s="1"/>
  <c r="AK86" i="6"/>
  <c r="AJ86" i="6"/>
  <c r="AI86" i="6"/>
  <c r="AG86" i="6"/>
  <c r="AF86" i="6"/>
  <c r="AE86" i="6"/>
  <c r="AC86" i="6"/>
  <c r="AB86" i="6"/>
  <c r="AA86" i="6"/>
  <c r="Z86" i="6"/>
  <c r="Y86" i="6"/>
  <c r="W86" i="6"/>
  <c r="V86" i="6"/>
  <c r="X86" i="6" s="1"/>
  <c r="T86" i="6"/>
  <c r="S86" i="6"/>
  <c r="U86" i="6" s="1"/>
  <c r="Q86" i="6"/>
  <c r="P86" i="6"/>
  <c r="O86" i="6"/>
  <c r="N86" i="6"/>
  <c r="M86" i="6"/>
  <c r="G86" i="6"/>
  <c r="F86" i="6"/>
  <c r="E86" i="6"/>
  <c r="R86" i="6" s="1"/>
  <c r="D86" i="6"/>
  <c r="AK85" i="6"/>
  <c r="AJ85" i="6"/>
  <c r="AI85" i="6"/>
  <c r="AG85" i="6"/>
  <c r="AF85" i="6"/>
  <c r="AE85" i="6"/>
  <c r="AC85" i="6"/>
  <c r="AB85" i="6"/>
  <c r="AA85" i="6"/>
  <c r="Z85" i="6"/>
  <c r="Y85" i="6"/>
  <c r="W85" i="6"/>
  <c r="V85" i="6"/>
  <c r="X85" i="6" s="1"/>
  <c r="T85" i="6"/>
  <c r="S85" i="6"/>
  <c r="U85" i="6" s="1"/>
  <c r="Q85" i="6"/>
  <c r="P85" i="6"/>
  <c r="O85" i="6"/>
  <c r="N85" i="6"/>
  <c r="M85" i="6"/>
  <c r="G85" i="6"/>
  <c r="F85" i="6"/>
  <c r="E85" i="6"/>
  <c r="D85" i="6"/>
  <c r="AK84" i="6"/>
  <c r="AJ84" i="6"/>
  <c r="AI84" i="6"/>
  <c r="AG84" i="6"/>
  <c r="AF84" i="6"/>
  <c r="AE84" i="6"/>
  <c r="AC84" i="6"/>
  <c r="AB84" i="6"/>
  <c r="AA84" i="6"/>
  <c r="Z84" i="6"/>
  <c r="Y84" i="6"/>
  <c r="W84" i="6"/>
  <c r="V84" i="6"/>
  <c r="T84" i="6"/>
  <c r="S84" i="6"/>
  <c r="Q84" i="6"/>
  <c r="P84" i="6"/>
  <c r="O84" i="6"/>
  <c r="N84" i="6"/>
  <c r="M84" i="6"/>
  <c r="G84" i="6"/>
  <c r="F84" i="6"/>
  <c r="E84" i="6"/>
  <c r="R84" i="6" s="1"/>
  <c r="D84" i="6"/>
  <c r="AK83" i="6"/>
  <c r="AJ83" i="6"/>
  <c r="AI83" i="6"/>
  <c r="AL83" i="6" s="1"/>
  <c r="AG83" i="6"/>
  <c r="AF83" i="6"/>
  <c r="AE83" i="6"/>
  <c r="AH83" i="6" s="1"/>
  <c r="AC83" i="6"/>
  <c r="AB83" i="6"/>
  <c r="AA83" i="6"/>
  <c r="AD83" i="6" s="1"/>
  <c r="Z83" i="6"/>
  <c r="Y83" i="6"/>
  <c r="W83" i="6"/>
  <c r="V83" i="6"/>
  <c r="X83" i="6" s="1"/>
  <c r="T83" i="6"/>
  <c r="S83" i="6"/>
  <c r="U83" i="6" s="1"/>
  <c r="Q83" i="6"/>
  <c r="P83" i="6"/>
  <c r="O83" i="6"/>
  <c r="N83" i="6"/>
  <c r="M83" i="6"/>
  <c r="G83" i="6"/>
  <c r="F83" i="6"/>
  <c r="L83" i="6" s="1"/>
  <c r="E83" i="6"/>
  <c r="R83" i="6" s="1"/>
  <c r="D83" i="6"/>
  <c r="K83" i="6" s="1"/>
  <c r="AK82" i="6"/>
  <c r="AJ82" i="6"/>
  <c r="AI82" i="6"/>
  <c r="AL82" i="6" s="1"/>
  <c r="AG82" i="6"/>
  <c r="AF82" i="6"/>
  <c r="AE82" i="6"/>
  <c r="AH82" i="6" s="1"/>
  <c r="AC82" i="6"/>
  <c r="AB82" i="6"/>
  <c r="AA82" i="6"/>
  <c r="AD82" i="6" s="1"/>
  <c r="Z82" i="6"/>
  <c r="Y82" i="6"/>
  <c r="W82" i="6"/>
  <c r="V82" i="6"/>
  <c r="X82" i="6" s="1"/>
  <c r="T82" i="6"/>
  <c r="S82" i="6"/>
  <c r="U82" i="6" s="1"/>
  <c r="Q82" i="6"/>
  <c r="P82" i="6"/>
  <c r="O82" i="6"/>
  <c r="N82" i="6"/>
  <c r="M82" i="6"/>
  <c r="G82" i="6"/>
  <c r="F82" i="6"/>
  <c r="L82" i="6" s="1"/>
  <c r="E82" i="6"/>
  <c r="R82" i="6" s="1"/>
  <c r="D82" i="6"/>
  <c r="AK81" i="6"/>
  <c r="AJ81" i="6"/>
  <c r="AI81" i="6"/>
  <c r="AL81" i="6" s="1"/>
  <c r="AG81" i="6"/>
  <c r="AF81" i="6"/>
  <c r="AE81" i="6"/>
  <c r="AH81" i="6" s="1"/>
  <c r="AC81" i="6"/>
  <c r="AB81" i="6"/>
  <c r="AA81" i="6"/>
  <c r="AD81" i="6" s="1"/>
  <c r="Z81" i="6"/>
  <c r="Y81" i="6"/>
  <c r="W81" i="6"/>
  <c r="V81" i="6"/>
  <c r="T81" i="6"/>
  <c r="S81" i="6"/>
  <c r="U81" i="6" s="1"/>
  <c r="Q81" i="6"/>
  <c r="P81" i="6"/>
  <c r="O81" i="6"/>
  <c r="N81" i="6"/>
  <c r="M81" i="6"/>
  <c r="G81" i="6"/>
  <c r="F81" i="6"/>
  <c r="L81" i="6" s="1"/>
  <c r="E81" i="6"/>
  <c r="R81" i="6" s="1"/>
  <c r="D81" i="6"/>
  <c r="I81" i="6" s="1"/>
  <c r="AK80" i="6"/>
  <c r="AJ80" i="6"/>
  <c r="AI80" i="6"/>
  <c r="AL80" i="6" s="1"/>
  <c r="AG80" i="6"/>
  <c r="AF80" i="6"/>
  <c r="AE80" i="6"/>
  <c r="AH80" i="6" s="1"/>
  <c r="AC80" i="6"/>
  <c r="AB80" i="6"/>
  <c r="AA80" i="6"/>
  <c r="AD80" i="6" s="1"/>
  <c r="Z80" i="6"/>
  <c r="Y80" i="6"/>
  <c r="W80" i="6"/>
  <c r="V80" i="6"/>
  <c r="X80" i="6" s="1"/>
  <c r="T80" i="6"/>
  <c r="S80" i="6"/>
  <c r="U80" i="6" s="1"/>
  <c r="Q80" i="6"/>
  <c r="P80" i="6"/>
  <c r="O80" i="6"/>
  <c r="N80" i="6"/>
  <c r="M80" i="6"/>
  <c r="G80" i="6"/>
  <c r="F80" i="6"/>
  <c r="L80" i="6" s="1"/>
  <c r="E80" i="6"/>
  <c r="R80" i="6" s="1"/>
  <c r="D80" i="6"/>
  <c r="K80" i="6" s="1"/>
  <c r="AK79" i="6"/>
  <c r="AJ79" i="6"/>
  <c r="AI79" i="6"/>
  <c r="AG79" i="6"/>
  <c r="AF79" i="6"/>
  <c r="AE79" i="6"/>
  <c r="AC79" i="6"/>
  <c r="AB79" i="6"/>
  <c r="AA79" i="6"/>
  <c r="Z79" i="6"/>
  <c r="Y79" i="6"/>
  <c r="W79" i="6"/>
  <c r="V79" i="6"/>
  <c r="X79" i="6" s="1"/>
  <c r="T79" i="6"/>
  <c r="S79" i="6"/>
  <c r="U79" i="6" s="1"/>
  <c r="Q79" i="6"/>
  <c r="P79" i="6"/>
  <c r="O79" i="6"/>
  <c r="N79" i="6"/>
  <c r="M79" i="6"/>
  <c r="G79" i="6"/>
  <c r="F79" i="6"/>
  <c r="E79" i="6"/>
  <c r="D79" i="6"/>
  <c r="AK78" i="6"/>
  <c r="AJ78" i="6"/>
  <c r="AI78" i="6"/>
  <c r="AG78" i="6"/>
  <c r="AF78" i="6"/>
  <c r="AE78" i="6"/>
  <c r="AC78" i="6"/>
  <c r="AB78" i="6"/>
  <c r="AA78" i="6"/>
  <c r="Z78" i="6"/>
  <c r="Y78" i="6"/>
  <c r="W78" i="6"/>
  <c r="V78" i="6"/>
  <c r="T78" i="6"/>
  <c r="S78" i="6"/>
  <c r="Q78" i="6"/>
  <c r="P78" i="6"/>
  <c r="O78" i="6"/>
  <c r="N78" i="6"/>
  <c r="M78" i="6"/>
  <c r="G78" i="6"/>
  <c r="F78" i="6"/>
  <c r="E78" i="6"/>
  <c r="D78" i="6"/>
  <c r="AK77" i="6"/>
  <c r="AJ77" i="6"/>
  <c r="AI77" i="6"/>
  <c r="AG77" i="6"/>
  <c r="AF77" i="6"/>
  <c r="AE77" i="6"/>
  <c r="AH77" i="6" s="1"/>
  <c r="AC77" i="6"/>
  <c r="AB77" i="6"/>
  <c r="AA77" i="6"/>
  <c r="AD77" i="6" s="1"/>
  <c r="Z77" i="6"/>
  <c r="Y77" i="6"/>
  <c r="W77" i="6"/>
  <c r="V77" i="6"/>
  <c r="X77" i="6" s="1"/>
  <c r="T77" i="6"/>
  <c r="S77" i="6"/>
  <c r="U77" i="6" s="1"/>
  <c r="Q77" i="6"/>
  <c r="P77" i="6"/>
  <c r="O77" i="6"/>
  <c r="N77" i="6"/>
  <c r="M77" i="6"/>
  <c r="G77" i="6"/>
  <c r="F77" i="6"/>
  <c r="L77" i="6" s="1"/>
  <c r="E77" i="6"/>
  <c r="R77" i="6" s="1"/>
  <c r="D77" i="6"/>
  <c r="K77" i="6" s="1"/>
  <c r="AK76" i="6"/>
  <c r="AJ76" i="6"/>
  <c r="AI76" i="6"/>
  <c r="AL76" i="6" s="1"/>
  <c r="AG76" i="6"/>
  <c r="AF76" i="6"/>
  <c r="AE76" i="6"/>
  <c r="AH76" i="6" s="1"/>
  <c r="AC76" i="6"/>
  <c r="AB76" i="6"/>
  <c r="AA76" i="6"/>
  <c r="AD76" i="6" s="1"/>
  <c r="Z76" i="6"/>
  <c r="Y76" i="6"/>
  <c r="W76" i="6"/>
  <c r="V76" i="6"/>
  <c r="X76" i="6" s="1"/>
  <c r="T76" i="6"/>
  <c r="S76" i="6"/>
  <c r="U76" i="6" s="1"/>
  <c r="Q76" i="6"/>
  <c r="P76" i="6"/>
  <c r="O76" i="6"/>
  <c r="N76" i="6"/>
  <c r="M76" i="6"/>
  <c r="G76" i="6"/>
  <c r="F76" i="6"/>
  <c r="L76" i="6" s="1"/>
  <c r="E76" i="6"/>
  <c r="R76" i="6" s="1"/>
  <c r="D76" i="6"/>
  <c r="I76" i="6" s="1"/>
  <c r="AK75" i="6"/>
  <c r="AJ75" i="6"/>
  <c r="AI75" i="6"/>
  <c r="AG75" i="6"/>
  <c r="AF75" i="6"/>
  <c r="AE75" i="6"/>
  <c r="AC75" i="6"/>
  <c r="AB75" i="6"/>
  <c r="AA75" i="6"/>
  <c r="Z75" i="6"/>
  <c r="Y75" i="6"/>
  <c r="W75" i="6"/>
  <c r="V75" i="6"/>
  <c r="T75" i="6"/>
  <c r="S75" i="6"/>
  <c r="Q75" i="6"/>
  <c r="P75" i="6"/>
  <c r="O75" i="6"/>
  <c r="N75" i="6"/>
  <c r="M75" i="6"/>
  <c r="G75" i="6"/>
  <c r="F75" i="6"/>
  <c r="E75" i="6"/>
  <c r="R75" i="6" s="1"/>
  <c r="D75" i="6"/>
  <c r="AK73" i="6"/>
  <c r="AJ73" i="6"/>
  <c r="AI73" i="6"/>
  <c r="AL73" i="6" s="1"/>
  <c r="AG73" i="6"/>
  <c r="AF73" i="6"/>
  <c r="AE73" i="6"/>
  <c r="AH73" i="6" s="1"/>
  <c r="AC73" i="6"/>
  <c r="AB73" i="6"/>
  <c r="AA73" i="6"/>
  <c r="AD73" i="6" s="1"/>
  <c r="Z73" i="6"/>
  <c r="Y73" i="6"/>
  <c r="W73" i="6"/>
  <c r="V73" i="6"/>
  <c r="X73" i="6" s="1"/>
  <c r="T73" i="6"/>
  <c r="S73" i="6"/>
  <c r="U73" i="6" s="1"/>
  <c r="Q73" i="6"/>
  <c r="P73" i="6"/>
  <c r="O73" i="6"/>
  <c r="N73" i="6"/>
  <c r="M73" i="6"/>
  <c r="G73" i="6"/>
  <c r="F73" i="6"/>
  <c r="L73" i="6" s="1"/>
  <c r="E73" i="6"/>
  <c r="R73" i="6" s="1"/>
  <c r="D73" i="6"/>
  <c r="K73" i="6" s="1"/>
  <c r="AK72" i="6"/>
  <c r="AJ72" i="6"/>
  <c r="AI72" i="6"/>
  <c r="AG72" i="6"/>
  <c r="AF72" i="6"/>
  <c r="AE72" i="6"/>
  <c r="AC72" i="6"/>
  <c r="AB72" i="6"/>
  <c r="AA72" i="6"/>
  <c r="Z72" i="6"/>
  <c r="Y72" i="6"/>
  <c r="W72" i="6"/>
  <c r="V72" i="6"/>
  <c r="X72" i="6" s="1"/>
  <c r="T72" i="6"/>
  <c r="S72" i="6"/>
  <c r="U72" i="6" s="1"/>
  <c r="Q72" i="6"/>
  <c r="P72" i="6"/>
  <c r="O72" i="6"/>
  <c r="N72" i="6"/>
  <c r="M72" i="6"/>
  <c r="G72" i="6"/>
  <c r="F72" i="6"/>
  <c r="E72" i="6"/>
  <c r="R72" i="6" s="1"/>
  <c r="D72" i="6"/>
  <c r="AK71" i="6"/>
  <c r="AJ71" i="6"/>
  <c r="AI71" i="6"/>
  <c r="AL71" i="6" s="1"/>
  <c r="AG71" i="6"/>
  <c r="AF71" i="6"/>
  <c r="AE71" i="6"/>
  <c r="AH71" i="6" s="1"/>
  <c r="AC71" i="6"/>
  <c r="AB71" i="6"/>
  <c r="AA71" i="6"/>
  <c r="AD71" i="6" s="1"/>
  <c r="Z71" i="6"/>
  <c r="Y71" i="6"/>
  <c r="W71" i="6"/>
  <c r="V71" i="6"/>
  <c r="X71" i="6" s="1"/>
  <c r="T71" i="6"/>
  <c r="S71" i="6"/>
  <c r="U71" i="6" s="1"/>
  <c r="Q71" i="6"/>
  <c r="P71" i="6"/>
  <c r="O71" i="6"/>
  <c r="N71" i="6"/>
  <c r="M71" i="6"/>
  <c r="G71" i="6"/>
  <c r="F71" i="6"/>
  <c r="L71" i="6" s="1"/>
  <c r="E71" i="6"/>
  <c r="R71" i="6" s="1"/>
  <c r="D71" i="6"/>
  <c r="AK70" i="6"/>
  <c r="AJ70" i="6"/>
  <c r="AI70" i="6"/>
  <c r="AG70" i="6"/>
  <c r="AF70" i="6"/>
  <c r="AE70" i="6"/>
  <c r="AC70" i="6"/>
  <c r="AB70" i="6"/>
  <c r="AA70" i="6"/>
  <c r="Z70" i="6"/>
  <c r="Y70" i="6"/>
  <c r="W70" i="6"/>
  <c r="V70" i="6"/>
  <c r="X70" i="6" s="1"/>
  <c r="T70" i="6"/>
  <c r="S70" i="6"/>
  <c r="U70" i="6" s="1"/>
  <c r="Q70" i="6"/>
  <c r="P70" i="6"/>
  <c r="O70" i="6"/>
  <c r="N70" i="6"/>
  <c r="M70" i="6"/>
  <c r="G70" i="6"/>
  <c r="F70" i="6"/>
  <c r="E70" i="6"/>
  <c r="R70" i="6" s="1"/>
  <c r="D70" i="6"/>
  <c r="AK69" i="6"/>
  <c r="AJ69" i="6"/>
  <c r="AI69" i="6"/>
  <c r="AG69" i="6"/>
  <c r="AF69" i="6"/>
  <c r="AE69" i="6"/>
  <c r="AC69" i="6"/>
  <c r="AB69" i="6"/>
  <c r="AA69" i="6"/>
  <c r="Z69" i="6"/>
  <c r="Y69" i="6"/>
  <c r="W69" i="6"/>
  <c r="V69" i="6"/>
  <c r="X69" i="6" s="1"/>
  <c r="T69" i="6"/>
  <c r="S69" i="6"/>
  <c r="U69" i="6" s="1"/>
  <c r="Q69" i="6"/>
  <c r="P69" i="6"/>
  <c r="O69" i="6"/>
  <c r="N69" i="6"/>
  <c r="M69" i="6"/>
  <c r="G69" i="6"/>
  <c r="F69" i="6"/>
  <c r="E69" i="6"/>
  <c r="R69" i="6" s="1"/>
  <c r="D69" i="6"/>
  <c r="AK68" i="6"/>
  <c r="AJ68" i="6"/>
  <c r="AI68" i="6"/>
  <c r="AG68" i="6"/>
  <c r="AF68" i="6"/>
  <c r="AE68" i="6"/>
  <c r="AC68" i="6"/>
  <c r="AB68" i="6"/>
  <c r="AA68" i="6"/>
  <c r="Z68" i="6"/>
  <c r="Y68" i="6"/>
  <c r="W68" i="6"/>
  <c r="V68" i="6"/>
  <c r="X68" i="6" s="1"/>
  <c r="T68" i="6"/>
  <c r="S68" i="6"/>
  <c r="U68" i="6" s="1"/>
  <c r="Q68" i="6"/>
  <c r="P68" i="6"/>
  <c r="O68" i="6"/>
  <c r="N68" i="6"/>
  <c r="M68" i="6"/>
  <c r="G68" i="6"/>
  <c r="F68" i="6"/>
  <c r="E68" i="6"/>
  <c r="D68" i="6"/>
  <c r="AK67" i="6"/>
  <c r="AJ67" i="6"/>
  <c r="AI67" i="6"/>
  <c r="AG67" i="6"/>
  <c r="AF67" i="6"/>
  <c r="AE67" i="6"/>
  <c r="AC67" i="6"/>
  <c r="AB67" i="6"/>
  <c r="AA67" i="6"/>
  <c r="Z67" i="6"/>
  <c r="Y67" i="6"/>
  <c r="W67" i="6"/>
  <c r="V67" i="6"/>
  <c r="T67" i="6"/>
  <c r="S67" i="6"/>
  <c r="Q67" i="6"/>
  <c r="P67" i="6"/>
  <c r="O67" i="6"/>
  <c r="N67" i="6"/>
  <c r="M67" i="6"/>
  <c r="G67" i="6"/>
  <c r="F67" i="6"/>
  <c r="E67" i="6"/>
  <c r="D67" i="6"/>
  <c r="AK66" i="6"/>
  <c r="AJ66" i="6"/>
  <c r="AI66" i="6"/>
  <c r="AG66" i="6"/>
  <c r="AF66" i="6"/>
  <c r="AE66" i="6"/>
  <c r="AC66" i="6"/>
  <c r="AB66" i="6"/>
  <c r="AA66" i="6"/>
  <c r="Z66" i="6"/>
  <c r="Y66" i="6"/>
  <c r="W66" i="6"/>
  <c r="V66" i="6"/>
  <c r="T66" i="6"/>
  <c r="S66" i="6"/>
  <c r="Q66" i="6"/>
  <c r="P66" i="6"/>
  <c r="O66" i="6"/>
  <c r="N66" i="6"/>
  <c r="M66" i="6"/>
  <c r="G66" i="6"/>
  <c r="F66" i="6"/>
  <c r="E66" i="6"/>
  <c r="D66" i="6"/>
  <c r="AK65" i="6"/>
  <c r="AJ65" i="6"/>
  <c r="AI65" i="6"/>
  <c r="AL65" i="6" s="1"/>
  <c r="AG65" i="6"/>
  <c r="AF65" i="6"/>
  <c r="AE65" i="6"/>
  <c r="AH65" i="6" s="1"/>
  <c r="AC65" i="6"/>
  <c r="AB65" i="6"/>
  <c r="AA65" i="6"/>
  <c r="AD65" i="6" s="1"/>
  <c r="Z65" i="6"/>
  <c r="Y65" i="6"/>
  <c r="W65" i="6"/>
  <c r="V65" i="6"/>
  <c r="X65" i="6" s="1"/>
  <c r="T65" i="6"/>
  <c r="S65" i="6"/>
  <c r="U65" i="6" s="1"/>
  <c r="Q65" i="6"/>
  <c r="P65" i="6"/>
  <c r="O65" i="6"/>
  <c r="N65" i="6"/>
  <c r="M65" i="6"/>
  <c r="G65" i="6"/>
  <c r="F65" i="6"/>
  <c r="L65" i="6" s="1"/>
  <c r="E65" i="6"/>
  <c r="D65" i="6"/>
  <c r="K65" i="6" s="1"/>
  <c r="AK64" i="6"/>
  <c r="AJ64" i="6"/>
  <c r="AI64" i="6"/>
  <c r="AL64" i="6" s="1"/>
  <c r="AG64" i="6"/>
  <c r="AF64" i="6"/>
  <c r="AE64" i="6"/>
  <c r="AH64" i="6" s="1"/>
  <c r="AC64" i="6"/>
  <c r="AB64" i="6"/>
  <c r="AA64" i="6"/>
  <c r="AD64" i="6" s="1"/>
  <c r="Z64" i="6"/>
  <c r="Y64" i="6"/>
  <c r="W64" i="6"/>
  <c r="V64" i="6"/>
  <c r="X64" i="6" s="1"/>
  <c r="T64" i="6"/>
  <c r="S64" i="6"/>
  <c r="U64" i="6" s="1"/>
  <c r="Q64" i="6"/>
  <c r="P64" i="6"/>
  <c r="O64" i="6"/>
  <c r="N64" i="6"/>
  <c r="M64" i="6"/>
  <c r="G64" i="6"/>
  <c r="F64" i="6"/>
  <c r="L64" i="6" s="1"/>
  <c r="E64" i="6"/>
  <c r="R64" i="6" s="1"/>
  <c r="D64" i="6"/>
  <c r="I64" i="6" s="1"/>
  <c r="AK63" i="6"/>
  <c r="AJ63" i="6"/>
  <c r="AI63" i="6"/>
  <c r="AL63" i="6" s="1"/>
  <c r="AG63" i="6"/>
  <c r="AF63" i="6"/>
  <c r="AE63" i="6"/>
  <c r="AH63" i="6" s="1"/>
  <c r="AC63" i="6"/>
  <c r="AB63" i="6"/>
  <c r="AA63" i="6"/>
  <c r="AD63" i="6" s="1"/>
  <c r="Z63" i="6"/>
  <c r="Y63" i="6"/>
  <c r="W63" i="6"/>
  <c r="V63" i="6"/>
  <c r="X63" i="6" s="1"/>
  <c r="T63" i="6"/>
  <c r="S63" i="6"/>
  <c r="U63" i="6" s="1"/>
  <c r="Q63" i="6"/>
  <c r="P63" i="6"/>
  <c r="O63" i="6"/>
  <c r="N63" i="6"/>
  <c r="M63" i="6"/>
  <c r="G63" i="6"/>
  <c r="F63" i="6"/>
  <c r="L63" i="6" s="1"/>
  <c r="E63" i="6"/>
  <c r="R63" i="6" s="1"/>
  <c r="D63" i="6"/>
  <c r="I63" i="6" s="1"/>
  <c r="AK62" i="6"/>
  <c r="AJ62" i="6"/>
  <c r="AI62" i="6"/>
  <c r="AG62" i="6"/>
  <c r="AF62" i="6"/>
  <c r="AE62" i="6"/>
  <c r="AC62" i="6"/>
  <c r="AB62" i="6"/>
  <c r="AA62" i="6"/>
  <c r="Z62" i="6"/>
  <c r="Y62" i="6"/>
  <c r="W62" i="6"/>
  <c r="V62" i="6"/>
  <c r="X62" i="6" s="1"/>
  <c r="T62" i="6"/>
  <c r="S62" i="6"/>
  <c r="U62" i="6" s="1"/>
  <c r="Q62" i="6"/>
  <c r="P62" i="6"/>
  <c r="O62" i="6"/>
  <c r="N62" i="6"/>
  <c r="M62" i="6"/>
  <c r="G62" i="6"/>
  <c r="F62" i="6"/>
  <c r="E62" i="6"/>
  <c r="R62" i="6" s="1"/>
  <c r="D62" i="6"/>
  <c r="AK61" i="6"/>
  <c r="AJ61" i="6"/>
  <c r="AI61" i="6"/>
  <c r="AL61" i="6" s="1"/>
  <c r="AG61" i="6"/>
  <c r="AF61" i="6"/>
  <c r="AE61" i="6"/>
  <c r="AH61" i="6" s="1"/>
  <c r="AC61" i="6"/>
  <c r="AB61" i="6"/>
  <c r="AA61" i="6"/>
  <c r="AD61" i="6" s="1"/>
  <c r="Z61" i="6"/>
  <c r="Y61" i="6"/>
  <c r="W61" i="6"/>
  <c r="V61" i="6"/>
  <c r="X61" i="6" s="1"/>
  <c r="T61" i="6"/>
  <c r="S61" i="6"/>
  <c r="U61" i="6" s="1"/>
  <c r="Q61" i="6"/>
  <c r="P61" i="6"/>
  <c r="O61" i="6"/>
  <c r="N61" i="6"/>
  <c r="M61" i="6"/>
  <c r="G61" i="6"/>
  <c r="F61" i="6"/>
  <c r="L61" i="6" s="1"/>
  <c r="E61" i="6"/>
  <c r="R61" i="6" s="1"/>
  <c r="D61" i="6"/>
  <c r="AK60" i="6"/>
  <c r="AJ60" i="6"/>
  <c r="AI60" i="6"/>
  <c r="AL60" i="6" s="1"/>
  <c r="AG60" i="6"/>
  <c r="AF60" i="6"/>
  <c r="AE60" i="6"/>
  <c r="AH60" i="6" s="1"/>
  <c r="AC60" i="6"/>
  <c r="AB60" i="6"/>
  <c r="AA60" i="6"/>
  <c r="AD60" i="6" s="1"/>
  <c r="Z60" i="6"/>
  <c r="Y60" i="6"/>
  <c r="W60" i="6"/>
  <c r="V60" i="6"/>
  <c r="X60" i="6" s="1"/>
  <c r="T60" i="6"/>
  <c r="S60" i="6"/>
  <c r="U60" i="6" s="1"/>
  <c r="Q60" i="6"/>
  <c r="P60" i="6"/>
  <c r="O60" i="6"/>
  <c r="N60" i="6"/>
  <c r="M60" i="6"/>
  <c r="G60" i="6"/>
  <c r="F60" i="6"/>
  <c r="L60" i="6" s="1"/>
  <c r="E60" i="6"/>
  <c r="D60" i="6"/>
  <c r="AK59" i="6"/>
  <c r="AJ59" i="6"/>
  <c r="AI59" i="6"/>
  <c r="AL59" i="6" s="1"/>
  <c r="AG59" i="6"/>
  <c r="AF59" i="6"/>
  <c r="AE59" i="6"/>
  <c r="AH59" i="6" s="1"/>
  <c r="AC59" i="6"/>
  <c r="AB59" i="6"/>
  <c r="AA59" i="6"/>
  <c r="AD59" i="6" s="1"/>
  <c r="Z59" i="6"/>
  <c r="Y59" i="6"/>
  <c r="W59" i="6"/>
  <c r="V59" i="6"/>
  <c r="X59" i="6" s="1"/>
  <c r="T59" i="6"/>
  <c r="S59" i="6"/>
  <c r="U59" i="6" s="1"/>
  <c r="Q59" i="6"/>
  <c r="P59" i="6"/>
  <c r="O59" i="6"/>
  <c r="N59" i="6"/>
  <c r="M59" i="6"/>
  <c r="G59" i="6"/>
  <c r="F59" i="6"/>
  <c r="L59" i="6" s="1"/>
  <c r="E59" i="6"/>
  <c r="D59" i="6"/>
  <c r="K59" i="6" s="1"/>
  <c r="AK58" i="6"/>
  <c r="AJ58" i="6"/>
  <c r="AI58" i="6"/>
  <c r="AG58" i="6"/>
  <c r="AF58" i="6"/>
  <c r="AE58" i="6"/>
  <c r="AC58" i="6"/>
  <c r="AB58" i="6"/>
  <c r="AA58" i="6"/>
  <c r="Z58" i="6"/>
  <c r="Y58" i="6"/>
  <c r="W58" i="6"/>
  <c r="V58" i="6"/>
  <c r="X58" i="6" s="1"/>
  <c r="T58" i="6"/>
  <c r="S58" i="6"/>
  <c r="U58" i="6" s="1"/>
  <c r="Q58" i="6"/>
  <c r="P58" i="6"/>
  <c r="O58" i="6"/>
  <c r="N58" i="6"/>
  <c r="M58" i="6"/>
  <c r="G58" i="6"/>
  <c r="F58" i="6"/>
  <c r="E58" i="6"/>
  <c r="R58" i="6" s="1"/>
  <c r="D58" i="6"/>
  <c r="AK57" i="6"/>
  <c r="AJ57" i="6"/>
  <c r="AI57" i="6"/>
  <c r="AG57" i="6"/>
  <c r="AF57" i="6"/>
  <c r="AE57" i="6"/>
  <c r="AC57" i="6"/>
  <c r="AB57" i="6"/>
  <c r="AA57" i="6"/>
  <c r="Z57" i="6"/>
  <c r="Y57" i="6"/>
  <c r="W57" i="6"/>
  <c r="V57" i="6"/>
  <c r="X57" i="6" s="1"/>
  <c r="T57" i="6"/>
  <c r="S57" i="6"/>
  <c r="U57" i="6" s="1"/>
  <c r="Q57" i="6"/>
  <c r="P57" i="6"/>
  <c r="O57" i="6"/>
  <c r="N57" i="6"/>
  <c r="M57" i="6"/>
  <c r="G57" i="6"/>
  <c r="F57" i="6"/>
  <c r="E57" i="6"/>
  <c r="R57" i="6" s="1"/>
  <c r="D57" i="6"/>
  <c r="AK56" i="6"/>
  <c r="AJ56" i="6"/>
  <c r="AI56" i="6"/>
  <c r="AG56" i="6"/>
  <c r="AF56" i="6"/>
  <c r="AE56" i="6"/>
  <c r="AC56" i="6"/>
  <c r="AB56" i="6"/>
  <c r="AA56" i="6"/>
  <c r="Z56" i="6"/>
  <c r="Y56" i="6"/>
  <c r="W56" i="6"/>
  <c r="V56" i="6"/>
  <c r="X56" i="6" s="1"/>
  <c r="T56" i="6"/>
  <c r="S56" i="6"/>
  <c r="U56" i="6" s="1"/>
  <c r="Q56" i="6"/>
  <c r="P56" i="6"/>
  <c r="N56" i="6"/>
  <c r="M56" i="6"/>
  <c r="G56" i="6"/>
  <c r="F56" i="6"/>
  <c r="E56" i="6"/>
  <c r="R56" i="6" s="1"/>
  <c r="D56" i="6"/>
  <c r="AK55" i="6"/>
  <c r="AJ55" i="6"/>
  <c r="AI55" i="6"/>
  <c r="AL55" i="6" s="1"/>
  <c r="AG55" i="6"/>
  <c r="AF55" i="6"/>
  <c r="AE55" i="6"/>
  <c r="AH55" i="6" s="1"/>
  <c r="AC55" i="6"/>
  <c r="AB55" i="6"/>
  <c r="AA55" i="6"/>
  <c r="AD55" i="6" s="1"/>
  <c r="Z55" i="6"/>
  <c r="Y55" i="6"/>
  <c r="W55" i="6"/>
  <c r="V55" i="6"/>
  <c r="X55" i="6" s="1"/>
  <c r="T55" i="6"/>
  <c r="S55" i="6"/>
  <c r="U55" i="6" s="1"/>
  <c r="Q55" i="6"/>
  <c r="P55" i="6"/>
  <c r="O55" i="6"/>
  <c r="N55" i="6"/>
  <c r="M55" i="6"/>
  <c r="G55" i="6"/>
  <c r="F55" i="6"/>
  <c r="L55" i="6" s="1"/>
  <c r="E55" i="6"/>
  <c r="R55" i="6" s="1"/>
  <c r="D55" i="6"/>
  <c r="AK54" i="6"/>
  <c r="AJ54" i="6"/>
  <c r="AI54" i="6"/>
  <c r="AL54" i="6" s="1"/>
  <c r="AG54" i="6"/>
  <c r="AF54" i="6"/>
  <c r="AE54" i="6"/>
  <c r="AH54" i="6" s="1"/>
  <c r="AC54" i="6"/>
  <c r="AB54" i="6"/>
  <c r="AA54" i="6"/>
  <c r="AD54" i="6" s="1"/>
  <c r="Z54" i="6"/>
  <c r="Y54" i="6"/>
  <c r="W54" i="6"/>
  <c r="V54" i="6"/>
  <c r="X54" i="6" s="1"/>
  <c r="T54" i="6"/>
  <c r="S54" i="6"/>
  <c r="U54" i="6" s="1"/>
  <c r="Q54" i="6"/>
  <c r="P54" i="6"/>
  <c r="O54" i="6"/>
  <c r="N54" i="6"/>
  <c r="M54" i="6"/>
  <c r="G54" i="6"/>
  <c r="F54" i="6"/>
  <c r="L54" i="6" s="1"/>
  <c r="E54" i="6"/>
  <c r="D54" i="6"/>
  <c r="I54" i="6" s="1"/>
  <c r="AK53" i="6"/>
  <c r="AJ53" i="6"/>
  <c r="AI53" i="6"/>
  <c r="AG53" i="6"/>
  <c r="AF53" i="6"/>
  <c r="AE53" i="6"/>
  <c r="AC53" i="6"/>
  <c r="AB53" i="6"/>
  <c r="AA53" i="6"/>
  <c r="Z53" i="6"/>
  <c r="Y53" i="6"/>
  <c r="W53" i="6"/>
  <c r="V53" i="6"/>
  <c r="T53" i="6"/>
  <c r="S53" i="6"/>
  <c r="Q53" i="6"/>
  <c r="P53" i="6"/>
  <c r="O53" i="6"/>
  <c r="N53" i="6"/>
  <c r="M53" i="6"/>
  <c r="G53" i="6"/>
  <c r="F53" i="6"/>
  <c r="E53" i="6"/>
  <c r="D53" i="6"/>
  <c r="AK51" i="6"/>
  <c r="AJ51" i="6"/>
  <c r="AI51" i="6"/>
  <c r="AG51" i="6"/>
  <c r="AF51" i="6"/>
  <c r="AE51" i="6"/>
  <c r="AC51" i="6"/>
  <c r="AB51" i="6"/>
  <c r="AA51" i="6"/>
  <c r="Z51" i="6"/>
  <c r="Y51" i="6"/>
  <c r="W51" i="6"/>
  <c r="V51" i="6"/>
  <c r="X51" i="6" s="1"/>
  <c r="T51" i="6"/>
  <c r="S51" i="6"/>
  <c r="U51" i="6" s="1"/>
  <c r="Q51" i="6"/>
  <c r="P51" i="6"/>
  <c r="O51" i="6"/>
  <c r="N51" i="6"/>
  <c r="M51" i="6"/>
  <c r="G51" i="6"/>
  <c r="F51" i="6"/>
  <c r="E51" i="6"/>
  <c r="D51" i="6"/>
  <c r="AK50" i="6"/>
  <c r="AJ50" i="6"/>
  <c r="AI50" i="6"/>
  <c r="AG50" i="6"/>
  <c r="AF50" i="6"/>
  <c r="AE50" i="6"/>
  <c r="AC50" i="6"/>
  <c r="AB50" i="6"/>
  <c r="AA50" i="6"/>
  <c r="Z50" i="6"/>
  <c r="Y50" i="6"/>
  <c r="W50" i="6"/>
  <c r="V50" i="6"/>
  <c r="T50" i="6"/>
  <c r="S50" i="6"/>
  <c r="Q50" i="6"/>
  <c r="P50" i="6"/>
  <c r="O50" i="6"/>
  <c r="N50" i="6"/>
  <c r="M50" i="6"/>
  <c r="G50" i="6"/>
  <c r="F50" i="6"/>
  <c r="E50" i="6"/>
  <c r="D50" i="6"/>
  <c r="AK49" i="6"/>
  <c r="AJ49" i="6"/>
  <c r="AI49" i="6"/>
  <c r="AG49" i="6"/>
  <c r="AF49" i="6"/>
  <c r="AE49" i="6"/>
  <c r="AC49" i="6"/>
  <c r="AB49" i="6"/>
  <c r="AA49" i="6"/>
  <c r="Z49" i="6"/>
  <c r="Y49" i="6"/>
  <c r="W49" i="6"/>
  <c r="V49" i="6"/>
  <c r="X49" i="6" s="1"/>
  <c r="T49" i="6"/>
  <c r="S49" i="6"/>
  <c r="U49" i="6" s="1"/>
  <c r="Q49" i="6"/>
  <c r="P49" i="6"/>
  <c r="O49" i="6"/>
  <c r="N49" i="6"/>
  <c r="M49" i="6"/>
  <c r="G49" i="6"/>
  <c r="F49" i="6"/>
  <c r="E49" i="6"/>
  <c r="R49" i="6" s="1"/>
  <c r="D49" i="6"/>
  <c r="AK48" i="6"/>
  <c r="AJ48" i="6"/>
  <c r="AI48" i="6"/>
  <c r="AG48" i="6"/>
  <c r="AF48" i="6"/>
  <c r="AE48" i="6"/>
  <c r="AC48" i="6"/>
  <c r="AB48" i="6"/>
  <c r="AA48" i="6"/>
  <c r="Z48" i="6"/>
  <c r="Y48" i="6"/>
  <c r="W48" i="6"/>
  <c r="V48" i="6"/>
  <c r="X48" i="6" s="1"/>
  <c r="T48" i="6"/>
  <c r="S48" i="6"/>
  <c r="U48" i="6" s="1"/>
  <c r="Q48" i="6"/>
  <c r="P48" i="6"/>
  <c r="O48" i="6"/>
  <c r="N48" i="6"/>
  <c r="M48" i="6"/>
  <c r="G48" i="6"/>
  <c r="F48" i="6"/>
  <c r="E48" i="6"/>
  <c r="R48" i="6" s="1"/>
  <c r="D48" i="6"/>
  <c r="AK47" i="6"/>
  <c r="AJ47" i="6"/>
  <c r="AI47" i="6"/>
  <c r="AG47" i="6"/>
  <c r="AF47" i="6"/>
  <c r="AE47" i="6"/>
  <c r="AC47" i="6"/>
  <c r="AB47" i="6"/>
  <c r="AA47" i="6"/>
  <c r="Z47" i="6"/>
  <c r="Y47" i="6"/>
  <c r="W47" i="6"/>
  <c r="V47" i="6"/>
  <c r="X47" i="6" s="1"/>
  <c r="T47" i="6"/>
  <c r="S47" i="6"/>
  <c r="U47" i="6" s="1"/>
  <c r="Q47" i="6"/>
  <c r="P47" i="6"/>
  <c r="O47" i="6"/>
  <c r="N47" i="6"/>
  <c r="M47" i="6"/>
  <c r="G47" i="6"/>
  <c r="F47" i="6"/>
  <c r="E47" i="6"/>
  <c r="R47" i="6" s="1"/>
  <c r="D47" i="6"/>
  <c r="AK46" i="6"/>
  <c r="AJ46" i="6"/>
  <c r="AI46" i="6"/>
  <c r="AG46" i="6"/>
  <c r="AF46" i="6"/>
  <c r="AE46" i="6"/>
  <c r="AC46" i="6"/>
  <c r="AB46" i="6"/>
  <c r="AA46" i="6"/>
  <c r="Z46" i="6"/>
  <c r="Y46" i="6"/>
  <c r="W46" i="6"/>
  <c r="V46" i="6"/>
  <c r="X46" i="6" s="1"/>
  <c r="T46" i="6"/>
  <c r="S46" i="6"/>
  <c r="U46" i="6" s="1"/>
  <c r="Q46" i="6"/>
  <c r="P46" i="6"/>
  <c r="O46" i="6"/>
  <c r="N46" i="6"/>
  <c r="M46" i="6"/>
  <c r="G46" i="6"/>
  <c r="F46" i="6"/>
  <c r="E46" i="6"/>
  <c r="R46" i="6" s="1"/>
  <c r="D46" i="6"/>
  <c r="AK45" i="6"/>
  <c r="AJ45" i="6"/>
  <c r="AI45" i="6"/>
  <c r="AG45" i="6"/>
  <c r="AF45" i="6"/>
  <c r="AE45" i="6"/>
  <c r="AC45" i="6"/>
  <c r="AB45" i="6"/>
  <c r="AA45" i="6"/>
  <c r="Z45" i="6"/>
  <c r="Y45" i="6"/>
  <c r="W45" i="6"/>
  <c r="V45" i="6"/>
  <c r="X45" i="6" s="1"/>
  <c r="T45" i="6"/>
  <c r="S45" i="6"/>
  <c r="U45" i="6" s="1"/>
  <c r="Q45" i="6"/>
  <c r="P45" i="6"/>
  <c r="O45" i="6"/>
  <c r="N45" i="6"/>
  <c r="M45" i="6"/>
  <c r="G45" i="6"/>
  <c r="F45" i="6"/>
  <c r="E45" i="6"/>
  <c r="D45" i="6"/>
  <c r="AK44" i="6"/>
  <c r="AJ44" i="6"/>
  <c r="AI44" i="6"/>
  <c r="AG44" i="6"/>
  <c r="AF44" i="6"/>
  <c r="AE44" i="6"/>
  <c r="AC44" i="6"/>
  <c r="AB44" i="6"/>
  <c r="AA44" i="6"/>
  <c r="Z44" i="6"/>
  <c r="Y44" i="6"/>
  <c r="W44" i="6"/>
  <c r="V44" i="6"/>
  <c r="X44" i="6" s="1"/>
  <c r="T44" i="6"/>
  <c r="S44" i="6"/>
  <c r="U44" i="6" s="1"/>
  <c r="Q44" i="6"/>
  <c r="P44" i="6"/>
  <c r="O44" i="6"/>
  <c r="N44" i="6"/>
  <c r="M44" i="6"/>
  <c r="G44" i="6"/>
  <c r="F44" i="6"/>
  <c r="E44" i="6"/>
  <c r="D44" i="6"/>
  <c r="AK43" i="6"/>
  <c r="AJ43" i="6"/>
  <c r="AI43" i="6"/>
  <c r="AG43" i="6"/>
  <c r="AF43" i="6"/>
  <c r="AE43" i="6"/>
  <c r="AC43" i="6"/>
  <c r="AB43" i="6"/>
  <c r="AA43" i="6"/>
  <c r="Z43" i="6"/>
  <c r="Y43" i="6"/>
  <c r="W43" i="6"/>
  <c r="V43" i="6"/>
  <c r="X43" i="6" s="1"/>
  <c r="T43" i="6"/>
  <c r="S43" i="6"/>
  <c r="U43" i="6" s="1"/>
  <c r="Q43" i="6"/>
  <c r="P43" i="6"/>
  <c r="O43" i="6"/>
  <c r="N43" i="6"/>
  <c r="M43" i="6"/>
  <c r="G43" i="6"/>
  <c r="F43" i="6"/>
  <c r="E43" i="6"/>
  <c r="R43" i="6" s="1"/>
  <c r="D43" i="6"/>
  <c r="AK42" i="6"/>
  <c r="AJ42" i="6"/>
  <c r="AI42" i="6"/>
  <c r="AG42" i="6"/>
  <c r="AF42" i="6"/>
  <c r="AE42" i="6"/>
  <c r="AC42" i="6"/>
  <c r="AB42" i="6"/>
  <c r="AA42" i="6"/>
  <c r="Z42" i="6"/>
  <c r="Y42" i="6"/>
  <c r="W42" i="6"/>
  <c r="V42" i="6"/>
  <c r="X42" i="6" s="1"/>
  <c r="T42" i="6"/>
  <c r="S42" i="6"/>
  <c r="U42" i="6" s="1"/>
  <c r="Q42" i="6"/>
  <c r="P42" i="6"/>
  <c r="O42" i="6"/>
  <c r="N42" i="6"/>
  <c r="M42" i="6"/>
  <c r="G42" i="6"/>
  <c r="F42" i="6"/>
  <c r="E42" i="6"/>
  <c r="R42" i="6" s="1"/>
  <c r="D42" i="6"/>
  <c r="AK41" i="6"/>
  <c r="AJ41" i="6"/>
  <c r="AI41" i="6"/>
  <c r="AG41" i="6"/>
  <c r="AF41" i="6"/>
  <c r="AE41" i="6"/>
  <c r="AC41" i="6"/>
  <c r="AB41" i="6"/>
  <c r="AA41" i="6"/>
  <c r="Z41" i="6"/>
  <c r="Y41" i="6"/>
  <c r="W41" i="6"/>
  <c r="V41" i="6"/>
  <c r="X41" i="6" s="1"/>
  <c r="T41" i="6"/>
  <c r="S41" i="6"/>
  <c r="U41" i="6" s="1"/>
  <c r="Q41" i="6"/>
  <c r="P41" i="6"/>
  <c r="O41" i="6"/>
  <c r="N41" i="6"/>
  <c r="M41" i="6"/>
  <c r="G41" i="6"/>
  <c r="F41" i="6"/>
  <c r="E41" i="6"/>
  <c r="R41" i="6" s="1"/>
  <c r="D41" i="6"/>
  <c r="AK40" i="6"/>
  <c r="AJ40" i="6"/>
  <c r="AI40" i="6"/>
  <c r="AG40" i="6"/>
  <c r="AF40" i="6"/>
  <c r="AE40" i="6"/>
  <c r="AC40" i="6"/>
  <c r="AB40" i="6"/>
  <c r="AA40" i="6"/>
  <c r="Z40" i="6"/>
  <c r="Y40" i="6"/>
  <c r="W40" i="6"/>
  <c r="V40" i="6"/>
  <c r="T40" i="6"/>
  <c r="S40" i="6"/>
  <c r="Q40" i="6"/>
  <c r="P40" i="6"/>
  <c r="O40" i="6"/>
  <c r="N40" i="6"/>
  <c r="M40" i="6"/>
  <c r="G40" i="6"/>
  <c r="F40" i="6"/>
  <c r="E40" i="6"/>
  <c r="R40" i="6" s="1"/>
  <c r="D40" i="6"/>
  <c r="AK39" i="6"/>
  <c r="AJ39" i="6"/>
  <c r="AI39" i="6"/>
  <c r="AG39" i="6"/>
  <c r="AF39" i="6"/>
  <c r="AE39" i="6"/>
  <c r="AC39" i="6"/>
  <c r="AB39" i="6"/>
  <c r="AA39" i="6"/>
  <c r="Z39" i="6"/>
  <c r="Y39" i="6"/>
  <c r="W39" i="6"/>
  <c r="V39" i="6"/>
  <c r="X39" i="6" s="1"/>
  <c r="T39" i="6"/>
  <c r="S39" i="6"/>
  <c r="U39" i="6" s="1"/>
  <c r="Q39" i="6"/>
  <c r="P39" i="6"/>
  <c r="O39" i="6"/>
  <c r="N39" i="6"/>
  <c r="M39" i="6"/>
  <c r="G39" i="6"/>
  <c r="F39" i="6"/>
  <c r="E39" i="6"/>
  <c r="D39" i="6"/>
  <c r="AK38" i="6"/>
  <c r="AJ38" i="6"/>
  <c r="AI38" i="6"/>
  <c r="AG38" i="6"/>
  <c r="AF38" i="6"/>
  <c r="AE38" i="6"/>
  <c r="AC38" i="6"/>
  <c r="AB38" i="6"/>
  <c r="AA38" i="6"/>
  <c r="Z38" i="6"/>
  <c r="Y38" i="6"/>
  <c r="W38" i="6"/>
  <c r="V38" i="6"/>
  <c r="T38" i="6"/>
  <c r="S38" i="6"/>
  <c r="Q38" i="6"/>
  <c r="P38" i="6"/>
  <c r="O38" i="6"/>
  <c r="N38" i="6"/>
  <c r="M38" i="6"/>
  <c r="G38" i="6"/>
  <c r="F38" i="6"/>
  <c r="E38" i="6"/>
  <c r="R38" i="6" s="1"/>
  <c r="D38" i="6"/>
  <c r="AK37" i="6"/>
  <c r="AJ37" i="6"/>
  <c r="AI37" i="6"/>
  <c r="AG37" i="6"/>
  <c r="AF37" i="6"/>
  <c r="AE37" i="6"/>
  <c r="AC37" i="6"/>
  <c r="AB37" i="6"/>
  <c r="AA37" i="6"/>
  <c r="Z37" i="6"/>
  <c r="Y37" i="6"/>
  <c r="W37" i="6"/>
  <c r="V37" i="6"/>
  <c r="X37" i="6" s="1"/>
  <c r="T37" i="6"/>
  <c r="S37" i="6"/>
  <c r="U37" i="6" s="1"/>
  <c r="Q37" i="6"/>
  <c r="P37" i="6"/>
  <c r="O37" i="6"/>
  <c r="N37" i="6"/>
  <c r="M37" i="6"/>
  <c r="G37" i="6"/>
  <c r="F37" i="6"/>
  <c r="E37" i="6"/>
  <c r="D37" i="6"/>
  <c r="AK36" i="6"/>
  <c r="AJ36" i="6"/>
  <c r="AI36" i="6"/>
  <c r="AG36" i="6"/>
  <c r="AF36" i="6"/>
  <c r="AE36" i="6"/>
  <c r="AC36" i="6"/>
  <c r="AB36" i="6"/>
  <c r="AA36" i="6"/>
  <c r="Z36" i="6"/>
  <c r="Y36" i="6"/>
  <c r="W36" i="6"/>
  <c r="V36" i="6"/>
  <c r="X36" i="6" s="1"/>
  <c r="T36" i="6"/>
  <c r="S36" i="6"/>
  <c r="U36" i="6" s="1"/>
  <c r="Q36" i="6"/>
  <c r="P36" i="6"/>
  <c r="O36" i="6"/>
  <c r="N36" i="6"/>
  <c r="M36" i="6"/>
  <c r="G36" i="6"/>
  <c r="F36" i="6"/>
  <c r="E36" i="6"/>
  <c r="D36" i="6"/>
  <c r="AK35" i="6"/>
  <c r="AJ35" i="6"/>
  <c r="AI35" i="6"/>
  <c r="AL35" i="6" s="1"/>
  <c r="AG35" i="6"/>
  <c r="AF35" i="6"/>
  <c r="AE35" i="6"/>
  <c r="AH35" i="6" s="1"/>
  <c r="AC35" i="6"/>
  <c r="AB35" i="6"/>
  <c r="AA35" i="6"/>
  <c r="AD35" i="6" s="1"/>
  <c r="Z35" i="6"/>
  <c r="Y35" i="6"/>
  <c r="W35" i="6"/>
  <c r="V35" i="6"/>
  <c r="X35" i="6" s="1"/>
  <c r="T35" i="6"/>
  <c r="S35" i="6"/>
  <c r="U35" i="6" s="1"/>
  <c r="Q35" i="6"/>
  <c r="P35" i="6"/>
  <c r="O35" i="6"/>
  <c r="N35" i="6"/>
  <c r="M35" i="6"/>
  <c r="G35" i="6"/>
  <c r="F35" i="6"/>
  <c r="L35" i="6" s="1"/>
  <c r="E35" i="6"/>
  <c r="R35" i="6" s="1"/>
  <c r="D35" i="6"/>
  <c r="AK34" i="6"/>
  <c r="AJ34" i="6"/>
  <c r="AI34" i="6"/>
  <c r="AG34" i="6"/>
  <c r="AF34" i="6"/>
  <c r="AE34" i="6"/>
  <c r="AC34" i="6"/>
  <c r="AB34" i="6"/>
  <c r="AA34" i="6"/>
  <c r="Z34" i="6"/>
  <c r="Y34" i="6"/>
  <c r="W34" i="6"/>
  <c r="V34" i="6"/>
  <c r="X34" i="6" s="1"/>
  <c r="T34" i="6"/>
  <c r="S34" i="6"/>
  <c r="U34" i="6" s="1"/>
  <c r="Q34" i="6"/>
  <c r="P34" i="6"/>
  <c r="O34" i="6"/>
  <c r="N34" i="6"/>
  <c r="M34" i="6"/>
  <c r="G34" i="6"/>
  <c r="F34" i="6"/>
  <c r="E34" i="6"/>
  <c r="R34" i="6" s="1"/>
  <c r="D34" i="6"/>
  <c r="AK33" i="6"/>
  <c r="AJ33" i="6"/>
  <c r="AI33" i="6"/>
  <c r="AG33" i="6"/>
  <c r="AF33" i="6"/>
  <c r="AE33" i="6"/>
  <c r="AC33" i="6"/>
  <c r="AB33" i="6"/>
  <c r="AA33" i="6"/>
  <c r="Z33" i="6"/>
  <c r="Y33" i="6"/>
  <c r="W33" i="6"/>
  <c r="V33" i="6"/>
  <c r="X33" i="6" s="1"/>
  <c r="T33" i="6"/>
  <c r="S33" i="6"/>
  <c r="U33" i="6" s="1"/>
  <c r="Q33" i="6"/>
  <c r="P33" i="6"/>
  <c r="O33" i="6"/>
  <c r="N33" i="6"/>
  <c r="M33" i="6"/>
  <c r="G33" i="6"/>
  <c r="F33" i="6"/>
  <c r="E33" i="6"/>
  <c r="R33" i="6" s="1"/>
  <c r="D33" i="6"/>
  <c r="AK32" i="6"/>
  <c r="AJ32" i="6"/>
  <c r="AI32" i="6"/>
  <c r="AG32" i="6"/>
  <c r="AF32" i="6"/>
  <c r="AE32" i="6"/>
  <c r="AC32" i="6"/>
  <c r="AB32" i="6"/>
  <c r="AA32" i="6"/>
  <c r="Z32" i="6"/>
  <c r="Y32" i="6"/>
  <c r="W32" i="6"/>
  <c r="V32" i="6"/>
  <c r="T32" i="6"/>
  <c r="S32" i="6"/>
  <c r="U32" i="6" s="1"/>
  <c r="Q32" i="6"/>
  <c r="P32" i="6"/>
  <c r="O32" i="6"/>
  <c r="N32" i="6"/>
  <c r="M32" i="6"/>
  <c r="G32" i="6"/>
  <c r="F32" i="6"/>
  <c r="E32" i="6"/>
  <c r="R32" i="6" s="1"/>
  <c r="D32" i="6"/>
  <c r="AK30" i="6"/>
  <c r="AJ30" i="6"/>
  <c r="AI30" i="6"/>
  <c r="AG30" i="6"/>
  <c r="AF30" i="6"/>
  <c r="AE30" i="6"/>
  <c r="AC30" i="6"/>
  <c r="AB30" i="6"/>
  <c r="AA30" i="6"/>
  <c r="Z30" i="6"/>
  <c r="Y30" i="6"/>
  <c r="W30" i="6"/>
  <c r="V30" i="6"/>
  <c r="X30" i="6" s="1"/>
  <c r="T30" i="6"/>
  <c r="S30" i="6"/>
  <c r="U30" i="6" s="1"/>
  <c r="Q30" i="6"/>
  <c r="P30" i="6"/>
  <c r="O30" i="6"/>
  <c r="N30" i="6"/>
  <c r="M30" i="6"/>
  <c r="G30" i="6"/>
  <c r="F30" i="6"/>
  <c r="E30" i="6"/>
  <c r="D30" i="6"/>
  <c r="AK29" i="6"/>
  <c r="AJ29" i="6"/>
  <c r="AI29" i="6"/>
  <c r="AG29" i="6"/>
  <c r="AF29" i="6"/>
  <c r="AE29" i="6"/>
  <c r="AC29" i="6"/>
  <c r="AB29" i="6"/>
  <c r="AA29" i="6"/>
  <c r="Z29" i="6"/>
  <c r="Y29" i="6"/>
  <c r="W29" i="6"/>
  <c r="V29" i="6"/>
  <c r="X29" i="6" s="1"/>
  <c r="T29" i="6"/>
  <c r="S29" i="6"/>
  <c r="U29" i="6" s="1"/>
  <c r="Q29" i="6"/>
  <c r="P29" i="6"/>
  <c r="O29" i="6"/>
  <c r="N29" i="6"/>
  <c r="M29" i="6"/>
  <c r="G29" i="6"/>
  <c r="F29" i="6"/>
  <c r="E29" i="6"/>
  <c r="R29" i="6" s="1"/>
  <c r="D29" i="6"/>
  <c r="AK28" i="6"/>
  <c r="AJ28" i="6"/>
  <c r="AI28" i="6"/>
  <c r="AG28" i="6"/>
  <c r="AF28" i="6"/>
  <c r="AE28" i="6"/>
  <c r="AC28" i="6"/>
  <c r="AB28" i="6"/>
  <c r="AA28" i="6"/>
  <c r="Z28" i="6"/>
  <c r="Y28" i="6"/>
  <c r="W28" i="6"/>
  <c r="V28" i="6"/>
  <c r="X28" i="6" s="1"/>
  <c r="T28" i="6"/>
  <c r="S28" i="6"/>
  <c r="U28" i="6" s="1"/>
  <c r="Q28" i="6"/>
  <c r="P28" i="6"/>
  <c r="O28" i="6"/>
  <c r="N28" i="6"/>
  <c r="M28" i="6"/>
  <c r="G28" i="6"/>
  <c r="F28" i="6"/>
  <c r="E28" i="6"/>
  <c r="R28" i="6" s="1"/>
  <c r="D28" i="6"/>
  <c r="AK27" i="6"/>
  <c r="AJ27" i="6"/>
  <c r="AI27" i="6"/>
  <c r="AL27" i="6" s="1"/>
  <c r="AG27" i="6"/>
  <c r="AF27" i="6"/>
  <c r="AE27" i="6"/>
  <c r="AH27" i="6" s="1"/>
  <c r="AC27" i="6"/>
  <c r="AB27" i="6"/>
  <c r="AA27" i="6"/>
  <c r="AD27" i="6" s="1"/>
  <c r="Z27" i="6"/>
  <c r="Y27" i="6"/>
  <c r="W27" i="6"/>
  <c r="V27" i="6"/>
  <c r="X27" i="6" s="1"/>
  <c r="T27" i="6"/>
  <c r="S27" i="6"/>
  <c r="U27" i="6" s="1"/>
  <c r="Q27" i="6"/>
  <c r="P27" i="6"/>
  <c r="O27" i="6"/>
  <c r="N27" i="6"/>
  <c r="M27" i="6"/>
  <c r="G27" i="6"/>
  <c r="F27" i="6"/>
  <c r="E27" i="6"/>
  <c r="R27" i="6" s="1"/>
  <c r="D27" i="6"/>
  <c r="K27" i="6" s="1"/>
  <c r="AK26" i="6"/>
  <c r="AJ26" i="6"/>
  <c r="AI26" i="6"/>
  <c r="AG26" i="6"/>
  <c r="AF26" i="6"/>
  <c r="AE26" i="6"/>
  <c r="AC26" i="6"/>
  <c r="AB26" i="6"/>
  <c r="AA26" i="6"/>
  <c r="Z26" i="6"/>
  <c r="Y26" i="6"/>
  <c r="W26" i="6"/>
  <c r="V26" i="6"/>
  <c r="X26" i="6" s="1"/>
  <c r="T26" i="6"/>
  <c r="S26" i="6"/>
  <c r="U26" i="6" s="1"/>
  <c r="Q26" i="6"/>
  <c r="P26" i="6"/>
  <c r="O26" i="6"/>
  <c r="N26" i="6"/>
  <c r="M26" i="6"/>
  <c r="G26" i="6"/>
  <c r="F26" i="6"/>
  <c r="E26" i="6"/>
  <c r="D26" i="6"/>
  <c r="AK25" i="6"/>
  <c r="AJ25" i="6"/>
  <c r="AI25" i="6"/>
  <c r="AL25" i="6" s="1"/>
  <c r="AG25" i="6"/>
  <c r="AF25" i="6"/>
  <c r="AE25" i="6"/>
  <c r="AH25" i="6" s="1"/>
  <c r="AC25" i="6"/>
  <c r="AB25" i="6"/>
  <c r="AA25" i="6"/>
  <c r="AD25" i="6" s="1"/>
  <c r="Z25" i="6"/>
  <c r="Y25" i="6"/>
  <c r="W25" i="6"/>
  <c r="V25" i="6"/>
  <c r="X25" i="6" s="1"/>
  <c r="T25" i="6"/>
  <c r="S25" i="6"/>
  <c r="U25" i="6" s="1"/>
  <c r="Q25" i="6"/>
  <c r="P25" i="6"/>
  <c r="O25" i="6"/>
  <c r="N25" i="6"/>
  <c r="M25" i="6"/>
  <c r="G25" i="6"/>
  <c r="F25" i="6"/>
  <c r="L25" i="6" s="1"/>
  <c r="E25" i="6"/>
  <c r="R25" i="6" s="1"/>
  <c r="D25" i="6"/>
  <c r="K25" i="6" s="1"/>
  <c r="AK24" i="6"/>
  <c r="AJ24" i="6"/>
  <c r="AI24" i="6"/>
  <c r="AG24" i="6"/>
  <c r="AF24" i="6"/>
  <c r="AE24" i="6"/>
  <c r="AC24" i="6"/>
  <c r="AB24" i="6"/>
  <c r="AA24" i="6"/>
  <c r="Z24" i="6"/>
  <c r="Y24" i="6"/>
  <c r="W24" i="6"/>
  <c r="V24" i="6"/>
  <c r="X24" i="6" s="1"/>
  <c r="T24" i="6"/>
  <c r="S24" i="6"/>
  <c r="U24" i="6" s="1"/>
  <c r="Q24" i="6"/>
  <c r="P24" i="6"/>
  <c r="O24" i="6"/>
  <c r="N24" i="6"/>
  <c r="M24" i="6"/>
  <c r="G24" i="6"/>
  <c r="F24" i="6"/>
  <c r="E24" i="6"/>
  <c r="D24" i="6"/>
  <c r="AK23" i="6"/>
  <c r="AJ23" i="6"/>
  <c r="AI23" i="6"/>
  <c r="AG23" i="6"/>
  <c r="AF23" i="6"/>
  <c r="AE23" i="6"/>
  <c r="AC23" i="6"/>
  <c r="AB23" i="6"/>
  <c r="AA23" i="6"/>
  <c r="Z23" i="6"/>
  <c r="Y23" i="6"/>
  <c r="W23" i="6"/>
  <c r="V23" i="6"/>
  <c r="T23" i="6"/>
  <c r="S23" i="6"/>
  <c r="Q23" i="6"/>
  <c r="P23" i="6"/>
  <c r="O23" i="6"/>
  <c r="N23" i="6"/>
  <c r="M23" i="6"/>
  <c r="G23" i="6"/>
  <c r="F23" i="6"/>
  <c r="E23" i="6"/>
  <c r="R23" i="6" s="1"/>
  <c r="D23" i="6"/>
  <c r="AK22" i="6"/>
  <c r="AJ22" i="6"/>
  <c r="AI22" i="6"/>
  <c r="AG22" i="6"/>
  <c r="AF22" i="6"/>
  <c r="AE22" i="6"/>
  <c r="AC22" i="6"/>
  <c r="AB22" i="6"/>
  <c r="AA22" i="6"/>
  <c r="Z22" i="6"/>
  <c r="Y22" i="6"/>
  <c r="W22" i="6"/>
  <c r="V22" i="6"/>
  <c r="X22" i="6" s="1"/>
  <c r="T22" i="6"/>
  <c r="S22" i="6"/>
  <c r="U22" i="6" s="1"/>
  <c r="Q22" i="6"/>
  <c r="P22" i="6"/>
  <c r="O22" i="6"/>
  <c r="N22" i="6"/>
  <c r="M22" i="6"/>
  <c r="G22" i="6"/>
  <c r="F22" i="6"/>
  <c r="E22" i="6"/>
  <c r="R22" i="6" s="1"/>
  <c r="D22" i="6"/>
  <c r="AK21" i="6"/>
  <c r="AJ21" i="6"/>
  <c r="AI21" i="6"/>
  <c r="AG21" i="6"/>
  <c r="AF21" i="6"/>
  <c r="AE21" i="6"/>
  <c r="AC21" i="6"/>
  <c r="AB21" i="6"/>
  <c r="AA21" i="6"/>
  <c r="Z21" i="6"/>
  <c r="Y21" i="6"/>
  <c r="W21" i="6"/>
  <c r="V21" i="6"/>
  <c r="X21" i="6" s="1"/>
  <c r="T21" i="6"/>
  <c r="S21" i="6"/>
  <c r="U21" i="6" s="1"/>
  <c r="Q21" i="6"/>
  <c r="P21" i="6"/>
  <c r="O21" i="6"/>
  <c r="N21" i="6"/>
  <c r="M21" i="6"/>
  <c r="G21" i="6"/>
  <c r="F21" i="6"/>
  <c r="E21" i="6"/>
  <c r="R21" i="6" s="1"/>
  <c r="D21" i="6"/>
  <c r="AK20" i="6"/>
  <c r="AJ20" i="6"/>
  <c r="AI20" i="6"/>
  <c r="AG20" i="6"/>
  <c r="AF20" i="6"/>
  <c r="AE20" i="6"/>
  <c r="AC20" i="6"/>
  <c r="AB20" i="6"/>
  <c r="AA20" i="6"/>
  <c r="Z20" i="6"/>
  <c r="Y20" i="6"/>
  <c r="W20" i="6"/>
  <c r="V20" i="6"/>
  <c r="X20" i="6" s="1"/>
  <c r="T20" i="6"/>
  <c r="S20" i="6"/>
  <c r="U20" i="6" s="1"/>
  <c r="Q20" i="6"/>
  <c r="P20" i="6"/>
  <c r="O20" i="6"/>
  <c r="N20" i="6"/>
  <c r="M20" i="6"/>
  <c r="G20" i="6"/>
  <c r="F20" i="6"/>
  <c r="E20" i="6"/>
  <c r="D20" i="6"/>
  <c r="AK19" i="6"/>
  <c r="AJ19" i="6"/>
  <c r="AI19" i="6"/>
  <c r="AG19" i="6"/>
  <c r="AF19" i="6"/>
  <c r="AE19" i="6"/>
  <c r="AC19" i="6"/>
  <c r="AB19" i="6"/>
  <c r="AA19" i="6"/>
  <c r="Z19" i="6"/>
  <c r="Y19" i="6"/>
  <c r="W19" i="6"/>
  <c r="V19" i="6"/>
  <c r="T19" i="6"/>
  <c r="S19" i="6"/>
  <c r="Q19" i="6"/>
  <c r="P19" i="6"/>
  <c r="O19" i="6"/>
  <c r="N19" i="6"/>
  <c r="M19" i="6"/>
  <c r="G19" i="6"/>
  <c r="F19" i="6"/>
  <c r="E19" i="6"/>
  <c r="R19" i="6" s="1"/>
  <c r="D19" i="6"/>
  <c r="AK18" i="6"/>
  <c r="AJ18" i="6"/>
  <c r="AI18" i="6"/>
  <c r="AG18" i="6"/>
  <c r="AF18" i="6"/>
  <c r="AE18" i="6"/>
  <c r="AC18" i="6"/>
  <c r="AB18" i="6"/>
  <c r="AA18" i="6"/>
  <c r="Z18" i="6"/>
  <c r="Y18" i="6"/>
  <c r="W18" i="6"/>
  <c r="V18" i="6"/>
  <c r="T18" i="6"/>
  <c r="S18" i="6"/>
  <c r="Q18" i="6"/>
  <c r="P18" i="6"/>
  <c r="O18" i="6"/>
  <c r="N18" i="6"/>
  <c r="M18" i="6"/>
  <c r="G18" i="6"/>
  <c r="F18" i="6"/>
  <c r="E18" i="6"/>
  <c r="D18" i="6"/>
  <c r="AK17" i="6"/>
  <c r="AJ17" i="6"/>
  <c r="AI17" i="6"/>
  <c r="AG17" i="6"/>
  <c r="AF17" i="6"/>
  <c r="AE17" i="6"/>
  <c r="AC17" i="6"/>
  <c r="AB17" i="6"/>
  <c r="AA17" i="6"/>
  <c r="Z17" i="6"/>
  <c r="Y17" i="6"/>
  <c r="W17" i="6"/>
  <c r="V17" i="6"/>
  <c r="X17" i="6" s="1"/>
  <c r="T17" i="6"/>
  <c r="S17" i="6"/>
  <c r="U17" i="6" s="1"/>
  <c r="Q17" i="6"/>
  <c r="P17" i="6"/>
  <c r="O17" i="6"/>
  <c r="N17" i="6"/>
  <c r="M17" i="6"/>
  <c r="G17" i="6"/>
  <c r="F17" i="6"/>
  <c r="E17" i="6"/>
  <c r="D17" i="6"/>
  <c r="AK16" i="6"/>
  <c r="AJ16" i="6"/>
  <c r="AI16" i="6"/>
  <c r="AG16" i="6"/>
  <c r="AF16" i="6"/>
  <c r="AE16" i="6"/>
  <c r="AC16" i="6"/>
  <c r="AB16" i="6"/>
  <c r="AA16" i="6"/>
  <c r="Z16" i="6"/>
  <c r="Y16" i="6"/>
  <c r="W16" i="6"/>
  <c r="V16" i="6"/>
  <c r="T16" i="6"/>
  <c r="S16" i="6"/>
  <c r="Q16" i="6"/>
  <c r="P16" i="6"/>
  <c r="O16" i="6"/>
  <c r="N16" i="6"/>
  <c r="M16" i="6"/>
  <c r="G16" i="6"/>
  <c r="F16" i="6"/>
  <c r="E16" i="6"/>
  <c r="D16" i="6"/>
  <c r="AK15" i="6"/>
  <c r="AJ15" i="6"/>
  <c r="AI15" i="6"/>
  <c r="AG15" i="6"/>
  <c r="AF15" i="6"/>
  <c r="AE15" i="6"/>
  <c r="AC15" i="6"/>
  <c r="AB15" i="6"/>
  <c r="AA15" i="6"/>
  <c r="Z15" i="6"/>
  <c r="Y15" i="6"/>
  <c r="W15" i="6"/>
  <c r="V15" i="6"/>
  <c r="X15" i="6" s="1"/>
  <c r="T15" i="6"/>
  <c r="S15" i="6"/>
  <c r="Q15" i="6"/>
  <c r="P15" i="6"/>
  <c r="O15" i="6"/>
  <c r="N15" i="6"/>
  <c r="M15" i="6"/>
  <c r="G15" i="6"/>
  <c r="F15" i="6"/>
  <c r="E15" i="6"/>
  <c r="D15" i="6"/>
  <c r="AK14" i="6"/>
  <c r="AJ14" i="6"/>
  <c r="AI14" i="6"/>
  <c r="AG14" i="6"/>
  <c r="AF14" i="6"/>
  <c r="AE14" i="6"/>
  <c r="AC14" i="6"/>
  <c r="AB14" i="6"/>
  <c r="AA14" i="6"/>
  <c r="Z14" i="6"/>
  <c r="Y14" i="6"/>
  <c r="W14" i="6"/>
  <c r="V14" i="6"/>
  <c r="X14" i="6" s="1"/>
  <c r="T14" i="6"/>
  <c r="S14" i="6"/>
  <c r="U14" i="6" s="1"/>
  <c r="Q14" i="6"/>
  <c r="P14" i="6"/>
  <c r="O14" i="6"/>
  <c r="N14" i="6"/>
  <c r="M14" i="6"/>
  <c r="G14" i="6"/>
  <c r="F14" i="6"/>
  <c r="E14" i="6"/>
  <c r="R14" i="6" s="1"/>
  <c r="D14" i="6"/>
  <c r="AL12" i="6"/>
  <c r="AH12" i="6"/>
  <c r="AD12" i="6"/>
  <c r="X12" i="6"/>
  <c r="U12" i="6"/>
  <c r="I12" i="6"/>
  <c r="H12" i="6"/>
  <c r="R11" i="6"/>
  <c r="H11" i="6"/>
  <c r="D11" i="6"/>
  <c r="C11" i="6" s="1"/>
  <c r="R10" i="6"/>
  <c r="P10" i="6"/>
  <c r="F10" i="6"/>
  <c r="F9" i="6" s="1"/>
  <c r="D10" i="6"/>
  <c r="C10" i="6" s="1"/>
  <c r="E9" i="6"/>
  <c r="R9" i="6" s="1"/>
  <c r="S116" i="5"/>
  <c r="J116" i="5"/>
  <c r="I116" i="5"/>
  <c r="H116" i="5"/>
  <c r="C116" i="5"/>
  <c r="S115" i="5"/>
  <c r="J115" i="5"/>
  <c r="H115" i="5" s="1"/>
  <c r="I115" i="5"/>
  <c r="C115" i="5"/>
  <c r="S114" i="5"/>
  <c r="J114" i="5"/>
  <c r="H114" i="5" s="1"/>
  <c r="I114" i="5"/>
  <c r="C114" i="5"/>
  <c r="S113" i="5"/>
  <c r="J113" i="5"/>
  <c r="I113" i="5"/>
  <c r="H113" i="5"/>
  <c r="C113" i="5"/>
  <c r="S112" i="5"/>
  <c r="J112" i="5"/>
  <c r="H112" i="5" s="1"/>
  <c r="I112" i="5"/>
  <c r="C112" i="5"/>
  <c r="S111" i="5"/>
  <c r="J111" i="5"/>
  <c r="H111" i="5" s="1"/>
  <c r="I111" i="5"/>
  <c r="C111" i="5"/>
  <c r="S110" i="5"/>
  <c r="J110" i="5"/>
  <c r="I110" i="5"/>
  <c r="H110" i="5"/>
  <c r="C110" i="5"/>
  <c r="S109" i="5"/>
  <c r="J109" i="5"/>
  <c r="H109" i="5" s="1"/>
  <c r="I109" i="5"/>
  <c r="C109" i="5"/>
  <c r="S108" i="5"/>
  <c r="J108" i="5"/>
  <c r="H108" i="5" s="1"/>
  <c r="I108" i="5"/>
  <c r="C108" i="5"/>
  <c r="S107" i="5"/>
  <c r="J107" i="5"/>
  <c r="I107" i="5"/>
  <c r="H107" i="5"/>
  <c r="C107" i="5"/>
  <c r="S106" i="5"/>
  <c r="J106" i="5"/>
  <c r="H106" i="5" s="1"/>
  <c r="I106" i="5"/>
  <c r="C106" i="5"/>
  <c r="S105" i="5"/>
  <c r="J105" i="5"/>
  <c r="I105" i="5"/>
  <c r="C105" i="5"/>
  <c r="S104" i="5"/>
  <c r="I104" i="5"/>
  <c r="S103" i="5"/>
  <c r="J103" i="5"/>
  <c r="I103" i="5"/>
  <c r="H103" i="5"/>
  <c r="C103" i="5"/>
  <c r="S102" i="5"/>
  <c r="J102" i="5"/>
  <c r="H102" i="5" s="1"/>
  <c r="I102" i="5"/>
  <c r="C102" i="5"/>
  <c r="S101" i="5"/>
  <c r="J101" i="5"/>
  <c r="H101" i="5" s="1"/>
  <c r="I101" i="5"/>
  <c r="C101" i="5"/>
  <c r="S100" i="5"/>
  <c r="J100" i="5"/>
  <c r="I100" i="5"/>
  <c r="H100" i="5"/>
  <c r="C100" i="5"/>
  <c r="S99" i="5"/>
  <c r="J99" i="5"/>
  <c r="H99" i="5" s="1"/>
  <c r="I99" i="5"/>
  <c r="C99" i="5"/>
  <c r="S98" i="5"/>
  <c r="J98" i="5"/>
  <c r="I98" i="5"/>
  <c r="H98" i="5"/>
  <c r="C98" i="5"/>
  <c r="S97" i="5"/>
  <c r="J97" i="5"/>
  <c r="I97" i="5"/>
  <c r="H97" i="5"/>
  <c r="C97" i="5"/>
  <c r="S96" i="5"/>
  <c r="J96" i="5"/>
  <c r="H96" i="5" s="1"/>
  <c r="I96" i="5"/>
  <c r="C96" i="5"/>
  <c r="S95" i="5"/>
  <c r="J95" i="5"/>
  <c r="H95" i="5" s="1"/>
  <c r="I95" i="5"/>
  <c r="C95" i="5"/>
  <c r="S94" i="5"/>
  <c r="J94" i="5"/>
  <c r="I94" i="5"/>
  <c r="H94" i="5"/>
  <c r="C94" i="5"/>
  <c r="S93" i="5"/>
  <c r="J93" i="5"/>
  <c r="H93" i="5" s="1"/>
  <c r="I93" i="5"/>
  <c r="C93" i="5"/>
  <c r="A93" i="5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S92" i="5"/>
  <c r="J92" i="5"/>
  <c r="I92" i="5"/>
  <c r="C92" i="5"/>
  <c r="S91" i="5"/>
  <c r="J91" i="5"/>
  <c r="H91" i="5" s="1"/>
  <c r="I91" i="5"/>
  <c r="C91" i="5"/>
  <c r="S90" i="5"/>
  <c r="J90" i="5"/>
  <c r="I90" i="5"/>
  <c r="H90" i="5"/>
  <c r="C90" i="5"/>
  <c r="S89" i="5"/>
  <c r="I89" i="5"/>
  <c r="DC88" i="5"/>
  <c r="DB88" i="5"/>
  <c r="DA88" i="5"/>
  <c r="CZ88" i="5"/>
  <c r="CY88" i="5"/>
  <c r="CX88" i="5"/>
  <c r="CV88" i="5"/>
  <c r="CT88" i="5"/>
  <c r="CS88" i="5"/>
  <c r="CW88" i="5" s="1"/>
  <c r="CR88" i="5"/>
  <c r="CU88" i="5" s="1"/>
  <c r="CQ88" i="5"/>
  <c r="CP88" i="5"/>
  <c r="CO88" i="5"/>
  <c r="CN88" i="5"/>
  <c r="CL88" i="5"/>
  <c r="CJ88" i="5"/>
  <c r="CI88" i="5"/>
  <c r="CH88" i="5"/>
  <c r="CK88" i="5" s="1"/>
  <c r="CG88" i="5"/>
  <c r="CF88" i="5"/>
  <c r="CE88" i="5"/>
  <c r="CD88" i="5"/>
  <c r="CC88" i="5"/>
  <c r="CB88" i="5"/>
  <c r="CA88" i="5"/>
  <c r="BZ88" i="5"/>
  <c r="BY88" i="5"/>
  <c r="BX88" i="5"/>
  <c r="BW88" i="5"/>
  <c r="BV88" i="5"/>
  <c r="BU88" i="5"/>
  <c r="BT88" i="5"/>
  <c r="BS88" i="5"/>
  <c r="BR88" i="5"/>
  <c r="BP88" i="5"/>
  <c r="BN88" i="5"/>
  <c r="BM88" i="5"/>
  <c r="BL88" i="5"/>
  <c r="BK88" i="5"/>
  <c r="BJ88" i="5"/>
  <c r="BI88" i="5"/>
  <c r="BH88" i="5"/>
  <c r="BG88" i="5"/>
  <c r="BF88" i="5"/>
  <c r="BE88" i="5"/>
  <c r="BD88" i="5"/>
  <c r="BC88" i="5"/>
  <c r="BB88" i="5"/>
  <c r="BA88" i="5"/>
  <c r="AZ88" i="5"/>
  <c r="AY88" i="5"/>
  <c r="AX88" i="5"/>
  <c r="AV88" i="5"/>
  <c r="AT88" i="5"/>
  <c r="AS88" i="5"/>
  <c r="AR88" i="5"/>
  <c r="AQ88" i="5"/>
  <c r="AP88" i="5"/>
  <c r="AO88" i="5"/>
  <c r="AN88" i="5"/>
  <c r="AM88" i="5"/>
  <c r="AL88" i="5"/>
  <c r="AJ88" i="5"/>
  <c r="AH88" i="5"/>
  <c r="AG88" i="5"/>
  <c r="AF88" i="5"/>
  <c r="AE88" i="5"/>
  <c r="AD88" i="5"/>
  <c r="AC88" i="5"/>
  <c r="AB88" i="5"/>
  <c r="AA88" i="5"/>
  <c r="Z88" i="5"/>
  <c r="X88" i="5"/>
  <c r="V88" i="5"/>
  <c r="U88" i="5"/>
  <c r="T88" i="5"/>
  <c r="R88" i="5"/>
  <c r="Q88" i="5"/>
  <c r="P88" i="5"/>
  <c r="O88" i="5"/>
  <c r="N88" i="5"/>
  <c r="M88" i="5"/>
  <c r="G88" i="5"/>
  <c r="F88" i="5"/>
  <c r="E88" i="5"/>
  <c r="S88" i="5" s="1"/>
  <c r="D88" i="5"/>
  <c r="DC87" i="5"/>
  <c r="DB87" i="5"/>
  <c r="DA87" i="5"/>
  <c r="CZ87" i="5"/>
  <c r="CY87" i="5"/>
  <c r="CX87" i="5"/>
  <c r="CV87" i="5"/>
  <c r="CT87" i="5"/>
  <c r="CS87" i="5"/>
  <c r="CW87" i="5" s="1"/>
  <c r="CR87" i="5"/>
  <c r="CU87" i="5" s="1"/>
  <c r="CQ87" i="5"/>
  <c r="CP87" i="5"/>
  <c r="CO87" i="5"/>
  <c r="CN87" i="5"/>
  <c r="CL87" i="5"/>
  <c r="CJ87" i="5"/>
  <c r="CI87" i="5"/>
  <c r="CH87" i="5"/>
  <c r="CK87" i="5" s="1"/>
  <c r="CG87" i="5"/>
  <c r="CF87" i="5"/>
  <c r="CE87" i="5"/>
  <c r="CD87" i="5"/>
  <c r="CC87" i="5"/>
  <c r="CB87" i="5"/>
  <c r="CA87" i="5"/>
  <c r="BZ87" i="5"/>
  <c r="BY87" i="5"/>
  <c r="BX87" i="5"/>
  <c r="BW87" i="5"/>
  <c r="BV87" i="5"/>
  <c r="BU87" i="5"/>
  <c r="BT87" i="5"/>
  <c r="BS87" i="5"/>
  <c r="BR87" i="5"/>
  <c r="BP87" i="5"/>
  <c r="BN87" i="5"/>
  <c r="BM87" i="5"/>
  <c r="BL87" i="5"/>
  <c r="BK87" i="5"/>
  <c r="BJ87" i="5"/>
  <c r="BI87" i="5"/>
  <c r="BH87" i="5"/>
  <c r="BG87" i="5"/>
  <c r="BF87" i="5"/>
  <c r="BE87" i="5"/>
  <c r="BD87" i="5"/>
  <c r="BC87" i="5"/>
  <c r="BB87" i="5"/>
  <c r="BA87" i="5"/>
  <c r="AZ87" i="5"/>
  <c r="AY87" i="5"/>
  <c r="AX87" i="5"/>
  <c r="AV87" i="5"/>
  <c r="AT87" i="5"/>
  <c r="AS87" i="5"/>
  <c r="AR87" i="5"/>
  <c r="AQ87" i="5"/>
  <c r="AP87" i="5"/>
  <c r="AO87" i="5"/>
  <c r="AN87" i="5"/>
  <c r="AM87" i="5"/>
  <c r="AL87" i="5"/>
  <c r="AJ87" i="5"/>
  <c r="AH87" i="5"/>
  <c r="AG87" i="5"/>
  <c r="AF87" i="5"/>
  <c r="AE87" i="5"/>
  <c r="AD87" i="5"/>
  <c r="AC87" i="5"/>
  <c r="AB87" i="5"/>
  <c r="AA87" i="5"/>
  <c r="Z87" i="5"/>
  <c r="X87" i="5"/>
  <c r="V87" i="5"/>
  <c r="U87" i="5"/>
  <c r="T87" i="5"/>
  <c r="R87" i="5"/>
  <c r="Q87" i="5"/>
  <c r="P87" i="5"/>
  <c r="O87" i="5"/>
  <c r="N87" i="5"/>
  <c r="M87" i="5"/>
  <c r="G87" i="5"/>
  <c r="F87" i="5"/>
  <c r="E87" i="5"/>
  <c r="S87" i="5" s="1"/>
  <c r="D87" i="5"/>
  <c r="DC86" i="5"/>
  <c r="DB86" i="5"/>
  <c r="DA86" i="5"/>
  <c r="CZ86" i="5"/>
  <c r="CY86" i="5"/>
  <c r="CX86" i="5"/>
  <c r="CV86" i="5"/>
  <c r="CT86" i="5"/>
  <c r="CS86" i="5"/>
  <c r="CR86" i="5"/>
  <c r="CQ86" i="5"/>
  <c r="CP86" i="5"/>
  <c r="CO86" i="5"/>
  <c r="CN86" i="5"/>
  <c r="CL86" i="5"/>
  <c r="CJ86" i="5"/>
  <c r="CI86" i="5"/>
  <c r="CH86" i="5"/>
  <c r="CK86" i="5" s="1"/>
  <c r="CG86" i="5"/>
  <c r="CF86" i="5"/>
  <c r="CE86" i="5"/>
  <c r="CD86" i="5"/>
  <c r="CC86" i="5"/>
  <c r="CB86" i="5"/>
  <c r="CA86" i="5"/>
  <c r="BZ86" i="5"/>
  <c r="BY86" i="5"/>
  <c r="BX86" i="5"/>
  <c r="BW86" i="5"/>
  <c r="BV86" i="5"/>
  <c r="BU86" i="5"/>
  <c r="BT86" i="5"/>
  <c r="BS86" i="5"/>
  <c r="BR86" i="5"/>
  <c r="BP86" i="5"/>
  <c r="BN86" i="5"/>
  <c r="BM86" i="5"/>
  <c r="BL86" i="5"/>
  <c r="BK86" i="5"/>
  <c r="BJ86" i="5"/>
  <c r="BI86" i="5"/>
  <c r="BH86" i="5"/>
  <c r="BG86" i="5"/>
  <c r="BF86" i="5"/>
  <c r="BE86" i="5"/>
  <c r="BD86" i="5"/>
  <c r="BC86" i="5"/>
  <c r="BB86" i="5"/>
  <c r="BA86" i="5"/>
  <c r="AZ86" i="5"/>
  <c r="AY86" i="5"/>
  <c r="AX86" i="5"/>
  <c r="AV86" i="5"/>
  <c r="AT86" i="5"/>
  <c r="AS86" i="5"/>
  <c r="AR86" i="5"/>
  <c r="AQ86" i="5"/>
  <c r="AP86" i="5"/>
  <c r="AO86" i="5"/>
  <c r="AN86" i="5"/>
  <c r="AM86" i="5"/>
  <c r="AL86" i="5"/>
  <c r="AJ86" i="5"/>
  <c r="AH86" i="5"/>
  <c r="AG86" i="5"/>
  <c r="AF86" i="5"/>
  <c r="AE86" i="5"/>
  <c r="AD86" i="5"/>
  <c r="AC86" i="5"/>
  <c r="AB86" i="5"/>
  <c r="AA86" i="5"/>
  <c r="Z86" i="5"/>
  <c r="X86" i="5"/>
  <c r="V86" i="5"/>
  <c r="U86" i="5"/>
  <c r="T86" i="5"/>
  <c r="R86" i="5"/>
  <c r="Q86" i="5"/>
  <c r="P86" i="5"/>
  <c r="O86" i="5"/>
  <c r="N86" i="5"/>
  <c r="M86" i="5"/>
  <c r="G86" i="5"/>
  <c r="F86" i="5"/>
  <c r="E86" i="5"/>
  <c r="S86" i="5" s="1"/>
  <c r="D86" i="5"/>
  <c r="DC85" i="5"/>
  <c r="DB85" i="5"/>
  <c r="DA85" i="5"/>
  <c r="CZ85" i="5"/>
  <c r="CY85" i="5"/>
  <c r="CX85" i="5"/>
  <c r="CV85" i="5"/>
  <c r="CT85" i="5"/>
  <c r="CS85" i="5"/>
  <c r="CW85" i="5" s="1"/>
  <c r="CR85" i="5"/>
  <c r="CU85" i="5" s="1"/>
  <c r="CQ85" i="5"/>
  <c r="CP85" i="5"/>
  <c r="CO85" i="5"/>
  <c r="CN85" i="5"/>
  <c r="CL85" i="5"/>
  <c r="CJ85" i="5"/>
  <c r="CI85" i="5"/>
  <c r="CH85" i="5"/>
  <c r="CK85" i="5" s="1"/>
  <c r="CG85" i="5"/>
  <c r="CF85" i="5"/>
  <c r="CE85" i="5"/>
  <c r="CD85" i="5"/>
  <c r="CC85" i="5"/>
  <c r="CB85" i="5"/>
  <c r="CA85" i="5"/>
  <c r="BZ85" i="5"/>
  <c r="BY85" i="5"/>
  <c r="BX85" i="5"/>
  <c r="BW85" i="5"/>
  <c r="BV85" i="5"/>
  <c r="BU85" i="5"/>
  <c r="BT85" i="5"/>
  <c r="BS85" i="5"/>
  <c r="BR85" i="5"/>
  <c r="BP85" i="5"/>
  <c r="BN85" i="5"/>
  <c r="BM85" i="5"/>
  <c r="BL85" i="5"/>
  <c r="BK85" i="5"/>
  <c r="BJ85" i="5"/>
  <c r="BI85" i="5"/>
  <c r="BH85" i="5"/>
  <c r="BG85" i="5"/>
  <c r="BF85" i="5"/>
  <c r="BE85" i="5"/>
  <c r="BD85" i="5"/>
  <c r="BC85" i="5"/>
  <c r="BB85" i="5"/>
  <c r="BA85" i="5"/>
  <c r="AZ85" i="5"/>
  <c r="AY85" i="5"/>
  <c r="AX85" i="5"/>
  <c r="AV85" i="5"/>
  <c r="AT85" i="5"/>
  <c r="AS85" i="5"/>
  <c r="AW85" i="5" s="1"/>
  <c r="AR85" i="5"/>
  <c r="AU85" i="5" s="1"/>
  <c r="AQ85" i="5"/>
  <c r="AP85" i="5"/>
  <c r="AO85" i="5"/>
  <c r="AN85" i="5"/>
  <c r="AM85" i="5"/>
  <c r="AL85" i="5"/>
  <c r="AJ85" i="5"/>
  <c r="AH85" i="5"/>
  <c r="AG85" i="5"/>
  <c r="AK85" i="5" s="1"/>
  <c r="AF85" i="5"/>
  <c r="AI85" i="5" s="1"/>
  <c r="AE85" i="5"/>
  <c r="AD85" i="5"/>
  <c r="AC85" i="5"/>
  <c r="AB85" i="5"/>
  <c r="AA85" i="5"/>
  <c r="Z85" i="5"/>
  <c r="X85" i="5"/>
  <c r="V85" i="5"/>
  <c r="U85" i="5"/>
  <c r="Y85" i="5" s="1"/>
  <c r="T85" i="5"/>
  <c r="W85" i="5" s="1"/>
  <c r="R85" i="5"/>
  <c r="Q85" i="5"/>
  <c r="P85" i="5"/>
  <c r="O85" i="5"/>
  <c r="N85" i="5"/>
  <c r="M85" i="5"/>
  <c r="G85" i="5"/>
  <c r="F85" i="5"/>
  <c r="E85" i="5"/>
  <c r="D85" i="5"/>
  <c r="DC84" i="5"/>
  <c r="DB84" i="5"/>
  <c r="DA84" i="5"/>
  <c r="CZ84" i="5"/>
  <c r="CY84" i="5"/>
  <c r="CX84" i="5"/>
  <c r="CV84" i="5"/>
  <c r="CT84" i="5"/>
  <c r="CS84" i="5"/>
  <c r="CW84" i="5" s="1"/>
  <c r="CR84" i="5"/>
  <c r="CU84" i="5" s="1"/>
  <c r="CQ84" i="5"/>
  <c r="CP84" i="5"/>
  <c r="CO84" i="5"/>
  <c r="CN84" i="5"/>
  <c r="CL84" i="5"/>
  <c r="CJ84" i="5"/>
  <c r="CI84" i="5"/>
  <c r="CH84" i="5"/>
  <c r="CK84" i="5" s="1"/>
  <c r="CG84" i="5"/>
  <c r="CF84" i="5"/>
  <c r="CE84" i="5"/>
  <c r="CD84" i="5"/>
  <c r="CC84" i="5"/>
  <c r="CB84" i="5"/>
  <c r="CA84" i="5"/>
  <c r="BZ84" i="5"/>
  <c r="BY84" i="5"/>
  <c r="BX84" i="5"/>
  <c r="BW84" i="5"/>
  <c r="BV84" i="5"/>
  <c r="BU84" i="5"/>
  <c r="BT84" i="5"/>
  <c r="BS84" i="5"/>
  <c r="BR84" i="5"/>
  <c r="BP84" i="5"/>
  <c r="BN84" i="5"/>
  <c r="BM84" i="5"/>
  <c r="BL84" i="5"/>
  <c r="BK84" i="5"/>
  <c r="BJ84" i="5"/>
  <c r="BI84" i="5"/>
  <c r="BH84" i="5"/>
  <c r="BG84" i="5"/>
  <c r="BF84" i="5"/>
  <c r="BE84" i="5"/>
  <c r="BD84" i="5"/>
  <c r="BC84" i="5"/>
  <c r="BB84" i="5"/>
  <c r="BA84" i="5"/>
  <c r="AZ84" i="5"/>
  <c r="AY84" i="5"/>
  <c r="AX84" i="5"/>
  <c r="AV84" i="5"/>
  <c r="AT84" i="5"/>
  <c r="AS84" i="5"/>
  <c r="AR84" i="5"/>
  <c r="AQ84" i="5"/>
  <c r="AP84" i="5"/>
  <c r="AO84" i="5"/>
  <c r="AN84" i="5"/>
  <c r="AM84" i="5"/>
  <c r="AL84" i="5"/>
  <c r="AJ84" i="5"/>
  <c r="AH84" i="5"/>
  <c r="AG84" i="5"/>
  <c r="AF84" i="5"/>
  <c r="AE84" i="5"/>
  <c r="AD84" i="5"/>
  <c r="AC84" i="5"/>
  <c r="AB84" i="5"/>
  <c r="AA84" i="5"/>
  <c r="Z84" i="5"/>
  <c r="X84" i="5"/>
  <c r="V84" i="5"/>
  <c r="U84" i="5"/>
  <c r="T84" i="5"/>
  <c r="R84" i="5"/>
  <c r="Q84" i="5"/>
  <c r="P84" i="5"/>
  <c r="O84" i="5"/>
  <c r="N84" i="5"/>
  <c r="M84" i="5"/>
  <c r="G84" i="5"/>
  <c r="F84" i="5"/>
  <c r="E84" i="5"/>
  <c r="S84" i="5" s="1"/>
  <c r="D84" i="5"/>
  <c r="DC83" i="5"/>
  <c r="DB83" i="5"/>
  <c r="DA83" i="5"/>
  <c r="CZ83" i="5"/>
  <c r="CY83" i="5"/>
  <c r="CX83" i="5"/>
  <c r="CV83" i="5"/>
  <c r="CT83" i="5"/>
  <c r="CS83" i="5"/>
  <c r="CW83" i="5" s="1"/>
  <c r="CR83" i="5"/>
  <c r="CU83" i="5" s="1"/>
  <c r="CQ83" i="5"/>
  <c r="CP83" i="5"/>
  <c r="CO83" i="5"/>
  <c r="CN83" i="5"/>
  <c r="CL83" i="5"/>
  <c r="CJ83" i="5"/>
  <c r="CI83" i="5"/>
  <c r="CH83" i="5"/>
  <c r="CK83" i="5" s="1"/>
  <c r="CG83" i="5"/>
  <c r="CF83" i="5"/>
  <c r="CE83" i="5"/>
  <c r="CD83" i="5"/>
  <c r="CC83" i="5"/>
  <c r="CB83" i="5"/>
  <c r="CA83" i="5"/>
  <c r="BZ83" i="5"/>
  <c r="BY83" i="5"/>
  <c r="BX83" i="5"/>
  <c r="BW83" i="5"/>
  <c r="BV83" i="5"/>
  <c r="BU83" i="5"/>
  <c r="BT83" i="5"/>
  <c r="BS83" i="5"/>
  <c r="BR83" i="5"/>
  <c r="BP83" i="5"/>
  <c r="BN83" i="5"/>
  <c r="BM83" i="5"/>
  <c r="BL83" i="5"/>
  <c r="BK83" i="5"/>
  <c r="BJ83" i="5"/>
  <c r="BI83" i="5"/>
  <c r="BH83" i="5"/>
  <c r="BG83" i="5"/>
  <c r="BF83" i="5"/>
  <c r="BE83" i="5"/>
  <c r="BD83" i="5"/>
  <c r="BC83" i="5"/>
  <c r="BB83" i="5"/>
  <c r="BA83" i="5"/>
  <c r="AZ83" i="5"/>
  <c r="AY83" i="5"/>
  <c r="AX83" i="5"/>
  <c r="AV83" i="5"/>
  <c r="AT83" i="5"/>
  <c r="AS83" i="5"/>
  <c r="AW83" i="5" s="1"/>
  <c r="AR83" i="5"/>
  <c r="AU83" i="5" s="1"/>
  <c r="AQ83" i="5"/>
  <c r="AP83" i="5"/>
  <c r="AO83" i="5"/>
  <c r="AN83" i="5"/>
  <c r="AM83" i="5"/>
  <c r="AL83" i="5"/>
  <c r="AJ83" i="5"/>
  <c r="AH83" i="5"/>
  <c r="AG83" i="5"/>
  <c r="AK83" i="5" s="1"/>
  <c r="AF83" i="5"/>
  <c r="AI83" i="5" s="1"/>
  <c r="AE83" i="5"/>
  <c r="AD83" i="5"/>
  <c r="AC83" i="5"/>
  <c r="AB83" i="5"/>
  <c r="AA83" i="5"/>
  <c r="Z83" i="5"/>
  <c r="X83" i="5"/>
  <c r="V83" i="5"/>
  <c r="U83" i="5"/>
  <c r="T83" i="5"/>
  <c r="W83" i="5" s="1"/>
  <c r="R83" i="5"/>
  <c r="Q83" i="5"/>
  <c r="P83" i="5"/>
  <c r="O83" i="5"/>
  <c r="N83" i="5"/>
  <c r="M83" i="5"/>
  <c r="G83" i="5"/>
  <c r="F83" i="5"/>
  <c r="E83" i="5"/>
  <c r="D83" i="5"/>
  <c r="DC82" i="5"/>
  <c r="DB82" i="5"/>
  <c r="DA82" i="5"/>
  <c r="CZ82" i="5"/>
  <c r="CY82" i="5"/>
  <c r="CX82" i="5"/>
  <c r="CV82" i="5"/>
  <c r="CT82" i="5"/>
  <c r="CS82" i="5"/>
  <c r="CR82" i="5"/>
  <c r="CQ82" i="5"/>
  <c r="CP82" i="5"/>
  <c r="CO82" i="5"/>
  <c r="CN82" i="5"/>
  <c r="CL82" i="5"/>
  <c r="CJ82" i="5"/>
  <c r="CI82" i="5"/>
  <c r="CH82" i="5"/>
  <c r="CK82" i="5" s="1"/>
  <c r="CG82" i="5"/>
  <c r="CF82" i="5"/>
  <c r="CE82" i="5"/>
  <c r="CD82" i="5"/>
  <c r="CC82" i="5"/>
  <c r="CB82" i="5"/>
  <c r="CA82" i="5"/>
  <c r="BZ82" i="5"/>
  <c r="BY82" i="5"/>
  <c r="BX82" i="5"/>
  <c r="BW82" i="5"/>
  <c r="BV82" i="5"/>
  <c r="BU82" i="5"/>
  <c r="BT82" i="5"/>
  <c r="BS82" i="5"/>
  <c r="BR82" i="5"/>
  <c r="BP82" i="5"/>
  <c r="BN82" i="5"/>
  <c r="BM82" i="5"/>
  <c r="BL82" i="5"/>
  <c r="BK82" i="5"/>
  <c r="BJ82" i="5"/>
  <c r="BI82" i="5"/>
  <c r="BH82" i="5"/>
  <c r="BG82" i="5"/>
  <c r="BF82" i="5"/>
  <c r="BE82" i="5"/>
  <c r="BD82" i="5"/>
  <c r="BC82" i="5"/>
  <c r="BB82" i="5"/>
  <c r="BA82" i="5"/>
  <c r="AZ82" i="5"/>
  <c r="AY82" i="5"/>
  <c r="AX82" i="5"/>
  <c r="AV82" i="5"/>
  <c r="AT82" i="5"/>
  <c r="AS82" i="5"/>
  <c r="AR82" i="5"/>
  <c r="AQ82" i="5"/>
  <c r="AP82" i="5"/>
  <c r="AO82" i="5"/>
  <c r="AN82" i="5"/>
  <c r="AM82" i="5"/>
  <c r="AL82" i="5"/>
  <c r="AJ82" i="5"/>
  <c r="AH82" i="5"/>
  <c r="AG82" i="5"/>
  <c r="AF82" i="5"/>
  <c r="AE82" i="5"/>
  <c r="AD82" i="5"/>
  <c r="AC82" i="5"/>
  <c r="AB82" i="5"/>
  <c r="AA82" i="5"/>
  <c r="Z82" i="5"/>
  <c r="X82" i="5"/>
  <c r="V82" i="5"/>
  <c r="U82" i="5"/>
  <c r="T82" i="5"/>
  <c r="R82" i="5"/>
  <c r="Q82" i="5"/>
  <c r="P82" i="5"/>
  <c r="O82" i="5"/>
  <c r="N82" i="5"/>
  <c r="M82" i="5"/>
  <c r="G82" i="5"/>
  <c r="F82" i="5"/>
  <c r="E82" i="5"/>
  <c r="D82" i="5"/>
  <c r="DC81" i="5"/>
  <c r="DB81" i="5"/>
  <c r="DA81" i="5"/>
  <c r="CZ81" i="5"/>
  <c r="CY81" i="5"/>
  <c r="CX81" i="5"/>
  <c r="CV81" i="5"/>
  <c r="CT81" i="5"/>
  <c r="CS81" i="5"/>
  <c r="CR81" i="5"/>
  <c r="CQ81" i="5"/>
  <c r="CP81" i="5"/>
  <c r="CO81" i="5"/>
  <c r="CN81" i="5"/>
  <c r="CL81" i="5"/>
  <c r="CJ81" i="5"/>
  <c r="CI81" i="5"/>
  <c r="CH81" i="5"/>
  <c r="CK81" i="5" s="1"/>
  <c r="CG81" i="5"/>
  <c r="CF81" i="5"/>
  <c r="CE81" i="5"/>
  <c r="CD81" i="5"/>
  <c r="CC81" i="5"/>
  <c r="CB81" i="5"/>
  <c r="CA81" i="5"/>
  <c r="BZ81" i="5"/>
  <c r="BY81" i="5"/>
  <c r="BX81" i="5"/>
  <c r="BW81" i="5"/>
  <c r="BV81" i="5"/>
  <c r="BU81" i="5"/>
  <c r="BT81" i="5"/>
  <c r="BS81" i="5"/>
  <c r="BR81" i="5"/>
  <c r="BP81" i="5"/>
  <c r="BN81" i="5"/>
  <c r="BM81" i="5"/>
  <c r="BL81" i="5"/>
  <c r="BK81" i="5"/>
  <c r="BJ81" i="5"/>
  <c r="BI81" i="5"/>
  <c r="BH81" i="5"/>
  <c r="BG81" i="5"/>
  <c r="BF81" i="5"/>
  <c r="BE81" i="5"/>
  <c r="BD81" i="5"/>
  <c r="BC81" i="5"/>
  <c r="BB81" i="5"/>
  <c r="BA81" i="5"/>
  <c r="AZ81" i="5"/>
  <c r="AY81" i="5"/>
  <c r="AX81" i="5"/>
  <c r="AV81" i="5"/>
  <c r="AT81" i="5"/>
  <c r="AS81" i="5"/>
  <c r="AR81" i="5"/>
  <c r="AQ81" i="5"/>
  <c r="AP81" i="5"/>
  <c r="AO81" i="5"/>
  <c r="AN81" i="5"/>
  <c r="AM81" i="5"/>
  <c r="AL81" i="5"/>
  <c r="AJ81" i="5"/>
  <c r="AH81" i="5"/>
  <c r="AG81" i="5"/>
  <c r="AF81" i="5"/>
  <c r="AE81" i="5"/>
  <c r="AD81" i="5"/>
  <c r="AC81" i="5"/>
  <c r="AB81" i="5"/>
  <c r="AA81" i="5"/>
  <c r="Z81" i="5"/>
  <c r="X81" i="5"/>
  <c r="V81" i="5"/>
  <c r="U81" i="5"/>
  <c r="T81" i="5"/>
  <c r="R81" i="5"/>
  <c r="Q81" i="5"/>
  <c r="P81" i="5"/>
  <c r="O81" i="5"/>
  <c r="N81" i="5"/>
  <c r="M81" i="5"/>
  <c r="G81" i="5"/>
  <c r="F81" i="5"/>
  <c r="E81" i="5"/>
  <c r="S81" i="5" s="1"/>
  <c r="D81" i="5"/>
  <c r="DC80" i="5"/>
  <c r="DB80" i="5"/>
  <c r="DA80" i="5"/>
  <c r="CZ80" i="5"/>
  <c r="CY80" i="5"/>
  <c r="CX80" i="5"/>
  <c r="CV80" i="5"/>
  <c r="CT80" i="5"/>
  <c r="CS80" i="5"/>
  <c r="CW80" i="5" s="1"/>
  <c r="CR80" i="5"/>
  <c r="CQ80" i="5"/>
  <c r="CP80" i="5"/>
  <c r="CO80" i="5"/>
  <c r="CN80" i="5"/>
  <c r="CL80" i="5"/>
  <c r="CJ80" i="5"/>
  <c r="CI80" i="5"/>
  <c r="CH80" i="5"/>
  <c r="CK80" i="5" s="1"/>
  <c r="CG80" i="5"/>
  <c r="CF80" i="5"/>
  <c r="CE80" i="5"/>
  <c r="CD80" i="5"/>
  <c r="CC80" i="5"/>
  <c r="CB80" i="5"/>
  <c r="CA80" i="5"/>
  <c r="BZ80" i="5"/>
  <c r="BY80" i="5"/>
  <c r="BX80" i="5"/>
  <c r="BW80" i="5"/>
  <c r="BV80" i="5"/>
  <c r="BU80" i="5"/>
  <c r="BT80" i="5"/>
  <c r="BS80" i="5"/>
  <c r="BR80" i="5"/>
  <c r="BP80" i="5"/>
  <c r="BN80" i="5"/>
  <c r="BM80" i="5"/>
  <c r="BL80" i="5"/>
  <c r="BK80" i="5"/>
  <c r="BJ80" i="5"/>
  <c r="BI80" i="5"/>
  <c r="BH80" i="5"/>
  <c r="BG80" i="5"/>
  <c r="BF80" i="5"/>
  <c r="BE80" i="5"/>
  <c r="BD80" i="5"/>
  <c r="BC80" i="5"/>
  <c r="BB80" i="5"/>
  <c r="BA80" i="5"/>
  <c r="AZ80" i="5"/>
  <c r="AY80" i="5"/>
  <c r="AX80" i="5"/>
  <c r="AV80" i="5"/>
  <c r="AT80" i="5"/>
  <c r="AS80" i="5"/>
  <c r="AR80" i="5"/>
  <c r="AQ80" i="5"/>
  <c r="AP80" i="5"/>
  <c r="AO80" i="5"/>
  <c r="AN80" i="5"/>
  <c r="AM80" i="5"/>
  <c r="AL80" i="5"/>
  <c r="AJ80" i="5"/>
  <c r="AH80" i="5"/>
  <c r="AG80" i="5"/>
  <c r="AF80" i="5"/>
  <c r="AE80" i="5"/>
  <c r="AD80" i="5"/>
  <c r="AC80" i="5"/>
  <c r="AB80" i="5"/>
  <c r="AA80" i="5"/>
  <c r="Z80" i="5"/>
  <c r="X80" i="5"/>
  <c r="V80" i="5"/>
  <c r="U80" i="5"/>
  <c r="T80" i="5"/>
  <c r="R80" i="5"/>
  <c r="Q80" i="5"/>
  <c r="P80" i="5"/>
  <c r="O80" i="5"/>
  <c r="N80" i="5"/>
  <c r="M80" i="5"/>
  <c r="G80" i="5"/>
  <c r="F80" i="5"/>
  <c r="E80" i="5"/>
  <c r="S80" i="5" s="1"/>
  <c r="D80" i="5"/>
  <c r="DC79" i="5"/>
  <c r="DB79" i="5"/>
  <c r="DA79" i="5"/>
  <c r="CZ79" i="5"/>
  <c r="CY79" i="5"/>
  <c r="CX79" i="5"/>
  <c r="CV79" i="5"/>
  <c r="CT79" i="5"/>
  <c r="CS79" i="5"/>
  <c r="CW79" i="5" s="1"/>
  <c r="CR79" i="5"/>
  <c r="CU79" i="5" s="1"/>
  <c r="CQ79" i="5"/>
  <c r="CP79" i="5"/>
  <c r="CO79" i="5"/>
  <c r="CN79" i="5"/>
  <c r="CL79" i="5"/>
  <c r="CJ79" i="5"/>
  <c r="CI79" i="5"/>
  <c r="CH79" i="5"/>
  <c r="CK79" i="5" s="1"/>
  <c r="CG79" i="5"/>
  <c r="CF79" i="5"/>
  <c r="CE79" i="5"/>
  <c r="CD79" i="5"/>
  <c r="CC79" i="5"/>
  <c r="CB79" i="5"/>
  <c r="CA79" i="5"/>
  <c r="BZ79" i="5"/>
  <c r="BY79" i="5"/>
  <c r="BX79" i="5"/>
  <c r="BW79" i="5"/>
  <c r="BV79" i="5"/>
  <c r="BU79" i="5"/>
  <c r="BT79" i="5"/>
  <c r="BS79" i="5"/>
  <c r="BR79" i="5"/>
  <c r="BP79" i="5"/>
  <c r="BN79" i="5"/>
  <c r="BM79" i="5"/>
  <c r="BL79" i="5"/>
  <c r="BK79" i="5"/>
  <c r="BJ79" i="5"/>
  <c r="BI79" i="5"/>
  <c r="BH79" i="5"/>
  <c r="BG79" i="5"/>
  <c r="BF79" i="5"/>
  <c r="BE79" i="5"/>
  <c r="BD79" i="5"/>
  <c r="BC79" i="5"/>
  <c r="BB79" i="5"/>
  <c r="BA79" i="5"/>
  <c r="AZ79" i="5"/>
  <c r="AY79" i="5"/>
  <c r="AX79" i="5"/>
  <c r="AV79" i="5"/>
  <c r="AT79" i="5"/>
  <c r="AS79" i="5"/>
  <c r="AR79" i="5"/>
  <c r="AQ79" i="5"/>
  <c r="AP79" i="5"/>
  <c r="AO79" i="5"/>
  <c r="AN79" i="5"/>
  <c r="AM79" i="5"/>
  <c r="AL79" i="5"/>
  <c r="AJ79" i="5"/>
  <c r="AH79" i="5"/>
  <c r="AG79" i="5"/>
  <c r="AF79" i="5"/>
  <c r="AE79" i="5"/>
  <c r="AD79" i="5"/>
  <c r="AC79" i="5"/>
  <c r="AB79" i="5"/>
  <c r="AA79" i="5"/>
  <c r="Z79" i="5"/>
  <c r="X79" i="5"/>
  <c r="V79" i="5"/>
  <c r="U79" i="5"/>
  <c r="T79" i="5"/>
  <c r="R79" i="5"/>
  <c r="Q79" i="5"/>
  <c r="P79" i="5"/>
  <c r="O79" i="5"/>
  <c r="N79" i="5"/>
  <c r="M79" i="5"/>
  <c r="G79" i="5"/>
  <c r="F79" i="5"/>
  <c r="E79" i="5"/>
  <c r="S79" i="5" s="1"/>
  <c r="D79" i="5"/>
  <c r="DC78" i="5"/>
  <c r="DB78" i="5"/>
  <c r="DA78" i="5"/>
  <c r="CZ78" i="5"/>
  <c r="CY78" i="5"/>
  <c r="CX78" i="5"/>
  <c r="CV78" i="5"/>
  <c r="CT78" i="5"/>
  <c r="CS78" i="5"/>
  <c r="CR78" i="5"/>
  <c r="CQ78" i="5"/>
  <c r="CP78" i="5"/>
  <c r="CO78" i="5"/>
  <c r="CN78" i="5"/>
  <c r="CL78" i="5"/>
  <c r="CJ78" i="5"/>
  <c r="CI78" i="5"/>
  <c r="CH78" i="5"/>
  <c r="CG78" i="5"/>
  <c r="CF78" i="5"/>
  <c r="CE78" i="5"/>
  <c r="CD78" i="5"/>
  <c r="CC78" i="5"/>
  <c r="CB78" i="5"/>
  <c r="CA78" i="5"/>
  <c r="BZ78" i="5"/>
  <c r="BY78" i="5"/>
  <c r="BX78" i="5"/>
  <c r="BW78" i="5"/>
  <c r="BV78" i="5"/>
  <c r="BU78" i="5"/>
  <c r="BT78" i="5"/>
  <c r="BS78" i="5"/>
  <c r="BR78" i="5"/>
  <c r="BP78" i="5"/>
  <c r="BN78" i="5"/>
  <c r="BM78" i="5"/>
  <c r="BL78" i="5"/>
  <c r="BK78" i="5"/>
  <c r="BJ78" i="5"/>
  <c r="BI78" i="5"/>
  <c r="BH78" i="5"/>
  <c r="BG78" i="5"/>
  <c r="BF78" i="5"/>
  <c r="BE78" i="5"/>
  <c r="BD78" i="5"/>
  <c r="BC78" i="5"/>
  <c r="BB78" i="5"/>
  <c r="BA78" i="5"/>
  <c r="AZ78" i="5"/>
  <c r="AY78" i="5"/>
  <c r="AX78" i="5"/>
  <c r="AV78" i="5"/>
  <c r="AT78" i="5"/>
  <c r="AS78" i="5"/>
  <c r="AR78" i="5"/>
  <c r="AQ78" i="5"/>
  <c r="AP78" i="5"/>
  <c r="AO78" i="5"/>
  <c r="AN78" i="5"/>
  <c r="AM78" i="5"/>
  <c r="AL78" i="5"/>
  <c r="AJ78" i="5"/>
  <c r="AH78" i="5"/>
  <c r="AG78" i="5"/>
  <c r="AF78" i="5"/>
  <c r="AE78" i="5"/>
  <c r="AD78" i="5"/>
  <c r="AC78" i="5"/>
  <c r="AB78" i="5"/>
  <c r="AA78" i="5"/>
  <c r="Z78" i="5"/>
  <c r="X78" i="5"/>
  <c r="V78" i="5"/>
  <c r="U78" i="5"/>
  <c r="T78" i="5"/>
  <c r="R78" i="5"/>
  <c r="Q78" i="5"/>
  <c r="P78" i="5"/>
  <c r="O78" i="5"/>
  <c r="N78" i="5"/>
  <c r="M78" i="5"/>
  <c r="G78" i="5"/>
  <c r="F78" i="5"/>
  <c r="E78" i="5"/>
  <c r="S78" i="5" s="1"/>
  <c r="D78" i="5"/>
  <c r="DC77" i="5"/>
  <c r="DB77" i="5"/>
  <c r="DA77" i="5"/>
  <c r="CZ77" i="5"/>
  <c r="CY77" i="5"/>
  <c r="CX77" i="5"/>
  <c r="CV77" i="5"/>
  <c r="CT77" i="5"/>
  <c r="CS77" i="5"/>
  <c r="CR77" i="5"/>
  <c r="CQ77" i="5"/>
  <c r="CP77" i="5"/>
  <c r="CO77" i="5"/>
  <c r="CN77" i="5"/>
  <c r="CL77" i="5"/>
  <c r="CJ77" i="5"/>
  <c r="CI77" i="5"/>
  <c r="CH77" i="5"/>
  <c r="CK77" i="5" s="1"/>
  <c r="CG77" i="5"/>
  <c r="CF77" i="5"/>
  <c r="CE77" i="5"/>
  <c r="CD77" i="5"/>
  <c r="CC77" i="5"/>
  <c r="CB77" i="5"/>
  <c r="CA77" i="5"/>
  <c r="BZ77" i="5"/>
  <c r="BY77" i="5"/>
  <c r="BX77" i="5"/>
  <c r="BW77" i="5"/>
  <c r="BV77" i="5"/>
  <c r="BU77" i="5"/>
  <c r="BT77" i="5"/>
  <c r="BS77" i="5"/>
  <c r="BR77" i="5"/>
  <c r="BP77" i="5"/>
  <c r="BN77" i="5"/>
  <c r="BM77" i="5"/>
  <c r="BL77" i="5"/>
  <c r="BK77" i="5"/>
  <c r="BJ77" i="5"/>
  <c r="BI77" i="5"/>
  <c r="BH77" i="5"/>
  <c r="BG77" i="5"/>
  <c r="BF77" i="5"/>
  <c r="BE77" i="5"/>
  <c r="BD77" i="5"/>
  <c r="BC77" i="5"/>
  <c r="BB77" i="5"/>
  <c r="BA77" i="5"/>
  <c r="AZ77" i="5"/>
  <c r="AY77" i="5"/>
  <c r="AX77" i="5"/>
  <c r="AV77" i="5"/>
  <c r="AT77" i="5"/>
  <c r="AS77" i="5"/>
  <c r="AR77" i="5"/>
  <c r="AQ77" i="5"/>
  <c r="AP77" i="5"/>
  <c r="AO77" i="5"/>
  <c r="AN77" i="5"/>
  <c r="AM77" i="5"/>
  <c r="AL77" i="5"/>
  <c r="AJ77" i="5"/>
  <c r="AH77" i="5"/>
  <c r="AG77" i="5"/>
  <c r="AF77" i="5"/>
  <c r="AE77" i="5"/>
  <c r="AD77" i="5"/>
  <c r="AC77" i="5"/>
  <c r="AB77" i="5"/>
  <c r="AA77" i="5"/>
  <c r="Z77" i="5"/>
  <c r="X77" i="5"/>
  <c r="V77" i="5"/>
  <c r="U77" i="5"/>
  <c r="T77" i="5"/>
  <c r="R77" i="5"/>
  <c r="Q77" i="5"/>
  <c r="P77" i="5"/>
  <c r="O77" i="5"/>
  <c r="N77" i="5"/>
  <c r="M77" i="5"/>
  <c r="G77" i="5"/>
  <c r="F77" i="5"/>
  <c r="E77" i="5"/>
  <c r="S77" i="5" s="1"/>
  <c r="D77" i="5"/>
  <c r="DC76" i="5"/>
  <c r="DB76" i="5"/>
  <c r="DA76" i="5"/>
  <c r="CZ76" i="5"/>
  <c r="CY76" i="5"/>
  <c r="CX76" i="5"/>
  <c r="CV76" i="5"/>
  <c r="CT76" i="5"/>
  <c r="CS76" i="5"/>
  <c r="CW76" i="5" s="1"/>
  <c r="CR76" i="5"/>
  <c r="CU76" i="5" s="1"/>
  <c r="CQ76" i="5"/>
  <c r="CP76" i="5"/>
  <c r="CO76" i="5"/>
  <c r="CN76" i="5"/>
  <c r="CL76" i="5"/>
  <c r="CJ76" i="5"/>
  <c r="CI76" i="5"/>
  <c r="CH76" i="5"/>
  <c r="CK76" i="5" s="1"/>
  <c r="CG76" i="5"/>
  <c r="CF76" i="5"/>
  <c r="CE76" i="5"/>
  <c r="CD76" i="5"/>
  <c r="CC76" i="5"/>
  <c r="CB76" i="5"/>
  <c r="CA76" i="5"/>
  <c r="BZ76" i="5"/>
  <c r="BY76" i="5"/>
  <c r="BX76" i="5"/>
  <c r="BW76" i="5"/>
  <c r="BV76" i="5"/>
  <c r="BU76" i="5"/>
  <c r="BT76" i="5"/>
  <c r="BS76" i="5"/>
  <c r="BR76" i="5"/>
  <c r="BP76" i="5"/>
  <c r="BN76" i="5"/>
  <c r="BM76" i="5"/>
  <c r="BL76" i="5"/>
  <c r="BK76" i="5"/>
  <c r="BJ76" i="5"/>
  <c r="BI76" i="5"/>
  <c r="BH76" i="5"/>
  <c r="BG76" i="5"/>
  <c r="BF76" i="5"/>
  <c r="BE76" i="5"/>
  <c r="BD76" i="5"/>
  <c r="BC76" i="5"/>
  <c r="BB76" i="5"/>
  <c r="BA76" i="5"/>
  <c r="AZ76" i="5"/>
  <c r="AY76" i="5"/>
  <c r="AX76" i="5"/>
  <c r="AV76" i="5"/>
  <c r="AT76" i="5"/>
  <c r="AS76" i="5"/>
  <c r="AR76" i="5"/>
  <c r="AQ76" i="5"/>
  <c r="AP76" i="5"/>
  <c r="AO76" i="5"/>
  <c r="AN76" i="5"/>
  <c r="AM76" i="5"/>
  <c r="AL76" i="5"/>
  <c r="AJ76" i="5"/>
  <c r="AH76" i="5"/>
  <c r="AG76" i="5"/>
  <c r="AF76" i="5"/>
  <c r="AE76" i="5"/>
  <c r="AD76" i="5"/>
  <c r="AC76" i="5"/>
  <c r="AB76" i="5"/>
  <c r="AA76" i="5"/>
  <c r="Z76" i="5"/>
  <c r="X76" i="5"/>
  <c r="V76" i="5"/>
  <c r="U76" i="5"/>
  <c r="T76" i="5"/>
  <c r="R76" i="5"/>
  <c r="Q76" i="5"/>
  <c r="P76" i="5"/>
  <c r="O76" i="5"/>
  <c r="N76" i="5"/>
  <c r="M76" i="5"/>
  <c r="G76" i="5"/>
  <c r="F76" i="5"/>
  <c r="E76" i="5"/>
  <c r="S76" i="5" s="1"/>
  <c r="D76" i="5"/>
  <c r="DC75" i="5"/>
  <c r="DB75" i="5"/>
  <c r="DA75" i="5"/>
  <c r="CZ75" i="5"/>
  <c r="CY75" i="5"/>
  <c r="CX75" i="5"/>
  <c r="CV75" i="5"/>
  <c r="CT75" i="5"/>
  <c r="CS75" i="5"/>
  <c r="CR75" i="5"/>
  <c r="CQ75" i="5"/>
  <c r="CP75" i="5"/>
  <c r="CO75" i="5"/>
  <c r="CN75" i="5"/>
  <c r="CL75" i="5"/>
  <c r="CJ75" i="5"/>
  <c r="CI75" i="5"/>
  <c r="CH75" i="5"/>
  <c r="CK75" i="5" s="1"/>
  <c r="CG75" i="5"/>
  <c r="CF75" i="5"/>
  <c r="CE75" i="5"/>
  <c r="CD75" i="5"/>
  <c r="CC75" i="5"/>
  <c r="CB75" i="5"/>
  <c r="CA75" i="5"/>
  <c r="BZ75" i="5"/>
  <c r="BY75" i="5"/>
  <c r="BX75" i="5"/>
  <c r="BW75" i="5"/>
  <c r="BV75" i="5"/>
  <c r="BU75" i="5"/>
  <c r="BT75" i="5"/>
  <c r="BS75" i="5"/>
  <c r="BR75" i="5"/>
  <c r="BP75" i="5"/>
  <c r="BN75" i="5"/>
  <c r="BM75" i="5"/>
  <c r="BL75" i="5"/>
  <c r="BK75" i="5"/>
  <c r="BJ75" i="5"/>
  <c r="BI75" i="5"/>
  <c r="BH75" i="5"/>
  <c r="BG75" i="5"/>
  <c r="BF75" i="5"/>
  <c r="BE75" i="5"/>
  <c r="BD75" i="5"/>
  <c r="BC75" i="5"/>
  <c r="BB75" i="5"/>
  <c r="BA75" i="5"/>
  <c r="AZ75" i="5"/>
  <c r="AY75" i="5"/>
  <c r="AX75" i="5"/>
  <c r="AV75" i="5"/>
  <c r="AT75" i="5"/>
  <c r="AS75" i="5"/>
  <c r="AR75" i="5"/>
  <c r="AQ75" i="5"/>
  <c r="AP75" i="5"/>
  <c r="AO75" i="5"/>
  <c r="AN75" i="5"/>
  <c r="AM75" i="5"/>
  <c r="AL75" i="5"/>
  <c r="AJ75" i="5"/>
  <c r="AH75" i="5"/>
  <c r="AG75" i="5"/>
  <c r="AF75" i="5"/>
  <c r="AE75" i="5"/>
  <c r="AD75" i="5"/>
  <c r="AC75" i="5"/>
  <c r="AB75" i="5"/>
  <c r="AA75" i="5"/>
  <c r="Z75" i="5"/>
  <c r="X75" i="5"/>
  <c r="V75" i="5"/>
  <c r="U75" i="5"/>
  <c r="T75" i="5"/>
  <c r="R75" i="5"/>
  <c r="Q75" i="5"/>
  <c r="P75" i="5"/>
  <c r="O75" i="5"/>
  <c r="N75" i="5"/>
  <c r="M75" i="5"/>
  <c r="G75" i="5"/>
  <c r="F75" i="5"/>
  <c r="E75" i="5"/>
  <c r="S75" i="5" s="1"/>
  <c r="D75" i="5"/>
  <c r="DC73" i="5"/>
  <c r="DB73" i="5"/>
  <c r="DA73" i="5"/>
  <c r="CZ73" i="5"/>
  <c r="CY73" i="5"/>
  <c r="CX73" i="5"/>
  <c r="CV73" i="5"/>
  <c r="CT73" i="5"/>
  <c r="CS73" i="5"/>
  <c r="CW73" i="5" s="1"/>
  <c r="CR73" i="5"/>
  <c r="CU73" i="5" s="1"/>
  <c r="CQ73" i="5"/>
  <c r="CP73" i="5"/>
  <c r="CO73" i="5"/>
  <c r="CN73" i="5"/>
  <c r="CL73" i="5"/>
  <c r="CJ73" i="5"/>
  <c r="CI73" i="5"/>
  <c r="CH73" i="5"/>
  <c r="CK73" i="5" s="1"/>
  <c r="CG73" i="5"/>
  <c r="CF73" i="5"/>
  <c r="CE73" i="5"/>
  <c r="CD73" i="5"/>
  <c r="CC73" i="5"/>
  <c r="CB73" i="5"/>
  <c r="CA73" i="5"/>
  <c r="BZ73" i="5"/>
  <c r="BY73" i="5"/>
  <c r="BX73" i="5"/>
  <c r="BW73" i="5"/>
  <c r="BV73" i="5"/>
  <c r="BU73" i="5"/>
  <c r="BT73" i="5"/>
  <c r="BS73" i="5"/>
  <c r="BR73" i="5"/>
  <c r="BP73" i="5"/>
  <c r="BN73" i="5"/>
  <c r="BM73" i="5"/>
  <c r="BL73" i="5"/>
  <c r="BK73" i="5"/>
  <c r="BJ73" i="5"/>
  <c r="BI73" i="5"/>
  <c r="BH73" i="5"/>
  <c r="BG73" i="5"/>
  <c r="BF73" i="5"/>
  <c r="BE73" i="5"/>
  <c r="BD73" i="5"/>
  <c r="BC73" i="5"/>
  <c r="BB73" i="5"/>
  <c r="BA73" i="5"/>
  <c r="AZ73" i="5"/>
  <c r="AY73" i="5"/>
  <c r="AX73" i="5"/>
  <c r="AV73" i="5"/>
  <c r="AT73" i="5"/>
  <c r="AS73" i="5"/>
  <c r="AW73" i="5" s="1"/>
  <c r="AR73" i="5"/>
  <c r="AU73" i="5" s="1"/>
  <c r="AQ73" i="5"/>
  <c r="AP73" i="5"/>
  <c r="AO73" i="5"/>
  <c r="AN73" i="5"/>
  <c r="AM73" i="5"/>
  <c r="AL73" i="5"/>
  <c r="AJ73" i="5"/>
  <c r="AH73" i="5"/>
  <c r="AG73" i="5"/>
  <c r="AK73" i="5" s="1"/>
  <c r="AF73" i="5"/>
  <c r="AI73" i="5" s="1"/>
  <c r="AE73" i="5"/>
  <c r="AD73" i="5"/>
  <c r="AC73" i="5"/>
  <c r="AB73" i="5"/>
  <c r="AA73" i="5"/>
  <c r="Z73" i="5"/>
  <c r="X73" i="5"/>
  <c r="V73" i="5"/>
  <c r="U73" i="5"/>
  <c r="Y73" i="5" s="1"/>
  <c r="T73" i="5"/>
  <c r="W73" i="5" s="1"/>
  <c r="R73" i="5"/>
  <c r="Q73" i="5"/>
  <c r="P73" i="5"/>
  <c r="O73" i="5"/>
  <c r="N73" i="5"/>
  <c r="M73" i="5"/>
  <c r="G73" i="5"/>
  <c r="F73" i="5"/>
  <c r="E73" i="5"/>
  <c r="S73" i="5" s="1"/>
  <c r="D73" i="5"/>
  <c r="DC72" i="5"/>
  <c r="DB72" i="5"/>
  <c r="DA72" i="5"/>
  <c r="CZ72" i="5"/>
  <c r="CY72" i="5"/>
  <c r="CX72" i="5"/>
  <c r="CV72" i="5"/>
  <c r="CT72" i="5"/>
  <c r="CS72" i="5"/>
  <c r="CR72" i="5"/>
  <c r="CQ72" i="5"/>
  <c r="CP72" i="5"/>
  <c r="CO72" i="5"/>
  <c r="CN72" i="5"/>
  <c r="CL72" i="5"/>
  <c r="CJ72" i="5"/>
  <c r="CI72" i="5"/>
  <c r="CH72" i="5"/>
  <c r="CK72" i="5" s="1"/>
  <c r="CG72" i="5"/>
  <c r="CF72" i="5"/>
  <c r="CE72" i="5"/>
  <c r="CD72" i="5"/>
  <c r="CC72" i="5"/>
  <c r="CB72" i="5"/>
  <c r="CA72" i="5"/>
  <c r="BZ72" i="5"/>
  <c r="BY72" i="5"/>
  <c r="BX72" i="5"/>
  <c r="BW72" i="5"/>
  <c r="BV72" i="5"/>
  <c r="BU72" i="5"/>
  <c r="BT72" i="5"/>
  <c r="BS72" i="5"/>
  <c r="BR72" i="5"/>
  <c r="BP72" i="5"/>
  <c r="BN72" i="5"/>
  <c r="BM72" i="5"/>
  <c r="BL72" i="5"/>
  <c r="BK72" i="5"/>
  <c r="BJ72" i="5"/>
  <c r="BI72" i="5"/>
  <c r="BH72" i="5"/>
  <c r="BG72" i="5"/>
  <c r="BF72" i="5"/>
  <c r="BE72" i="5"/>
  <c r="BD72" i="5"/>
  <c r="BC72" i="5"/>
  <c r="BB72" i="5"/>
  <c r="BA72" i="5"/>
  <c r="AZ72" i="5"/>
  <c r="AY72" i="5"/>
  <c r="AX72" i="5"/>
  <c r="AV72" i="5"/>
  <c r="AT72" i="5"/>
  <c r="AS72" i="5"/>
  <c r="AR72" i="5"/>
  <c r="AQ72" i="5"/>
  <c r="AP72" i="5"/>
  <c r="AO72" i="5"/>
  <c r="AN72" i="5"/>
  <c r="AM72" i="5"/>
  <c r="AL72" i="5"/>
  <c r="AJ72" i="5"/>
  <c r="AH72" i="5"/>
  <c r="AG72" i="5"/>
  <c r="AF72" i="5"/>
  <c r="AE72" i="5"/>
  <c r="AD72" i="5"/>
  <c r="AC72" i="5"/>
  <c r="AB72" i="5"/>
  <c r="AA72" i="5"/>
  <c r="Z72" i="5"/>
  <c r="X72" i="5"/>
  <c r="V72" i="5"/>
  <c r="U72" i="5"/>
  <c r="T72" i="5"/>
  <c r="R72" i="5"/>
  <c r="Q72" i="5"/>
  <c r="P72" i="5"/>
  <c r="O72" i="5"/>
  <c r="N72" i="5"/>
  <c r="M72" i="5"/>
  <c r="G72" i="5"/>
  <c r="F72" i="5"/>
  <c r="E72" i="5"/>
  <c r="S72" i="5" s="1"/>
  <c r="D72" i="5"/>
  <c r="DC71" i="5"/>
  <c r="DB71" i="5"/>
  <c r="DA71" i="5"/>
  <c r="CZ71" i="5"/>
  <c r="CY71" i="5"/>
  <c r="CX71" i="5"/>
  <c r="CV71" i="5"/>
  <c r="CT71" i="5"/>
  <c r="CS71" i="5"/>
  <c r="CW71" i="5" s="1"/>
  <c r="CR71" i="5"/>
  <c r="CU71" i="5" s="1"/>
  <c r="CQ71" i="5"/>
  <c r="CP71" i="5"/>
  <c r="CO71" i="5"/>
  <c r="CN71" i="5"/>
  <c r="CL71" i="5"/>
  <c r="CJ71" i="5"/>
  <c r="CI71" i="5"/>
  <c r="CH71" i="5"/>
  <c r="CK71" i="5" s="1"/>
  <c r="CG71" i="5"/>
  <c r="CF71" i="5"/>
  <c r="CE71" i="5"/>
  <c r="CD71" i="5"/>
  <c r="CC71" i="5"/>
  <c r="CB71" i="5"/>
  <c r="CA71" i="5"/>
  <c r="BZ71" i="5"/>
  <c r="BY71" i="5"/>
  <c r="BX71" i="5"/>
  <c r="BW71" i="5"/>
  <c r="BV71" i="5"/>
  <c r="BU71" i="5"/>
  <c r="BT71" i="5"/>
  <c r="BS71" i="5"/>
  <c r="BR71" i="5"/>
  <c r="BP71" i="5"/>
  <c r="BN71" i="5"/>
  <c r="BM71" i="5"/>
  <c r="BL71" i="5"/>
  <c r="BK71" i="5"/>
  <c r="BJ71" i="5"/>
  <c r="BI71" i="5"/>
  <c r="BH71" i="5"/>
  <c r="BG71" i="5"/>
  <c r="BF71" i="5"/>
  <c r="BE71" i="5"/>
  <c r="BD71" i="5"/>
  <c r="BC71" i="5"/>
  <c r="BB71" i="5"/>
  <c r="BA71" i="5"/>
  <c r="AZ71" i="5"/>
  <c r="AY71" i="5"/>
  <c r="AX71" i="5"/>
  <c r="AV71" i="5"/>
  <c r="AT71" i="5"/>
  <c r="AS71" i="5"/>
  <c r="AW71" i="5" s="1"/>
  <c r="AR71" i="5"/>
  <c r="AU71" i="5" s="1"/>
  <c r="AQ71" i="5"/>
  <c r="AP71" i="5"/>
  <c r="AO71" i="5"/>
  <c r="AN71" i="5"/>
  <c r="AM71" i="5"/>
  <c r="AL71" i="5"/>
  <c r="AJ71" i="5"/>
  <c r="AH71" i="5"/>
  <c r="AG71" i="5"/>
  <c r="AK71" i="5" s="1"/>
  <c r="AF71" i="5"/>
  <c r="AI71" i="5" s="1"/>
  <c r="AE71" i="5"/>
  <c r="AD71" i="5"/>
  <c r="AC71" i="5"/>
  <c r="AB71" i="5"/>
  <c r="AA71" i="5"/>
  <c r="Z71" i="5"/>
  <c r="X71" i="5"/>
  <c r="V71" i="5"/>
  <c r="U71" i="5"/>
  <c r="Y71" i="5" s="1"/>
  <c r="T71" i="5"/>
  <c r="W71" i="5" s="1"/>
  <c r="R71" i="5"/>
  <c r="Q71" i="5"/>
  <c r="P71" i="5"/>
  <c r="O71" i="5"/>
  <c r="N71" i="5"/>
  <c r="M71" i="5"/>
  <c r="G71" i="5"/>
  <c r="F71" i="5"/>
  <c r="E71" i="5"/>
  <c r="S71" i="5" s="1"/>
  <c r="D71" i="5"/>
  <c r="DC70" i="5"/>
  <c r="DB70" i="5"/>
  <c r="DA70" i="5"/>
  <c r="CZ70" i="5"/>
  <c r="CY70" i="5"/>
  <c r="CX70" i="5"/>
  <c r="CV70" i="5"/>
  <c r="CT70" i="5"/>
  <c r="CS70" i="5"/>
  <c r="CW70" i="5" s="1"/>
  <c r="CR70" i="5"/>
  <c r="CU70" i="5" s="1"/>
  <c r="CQ70" i="5"/>
  <c r="CP70" i="5"/>
  <c r="CO70" i="5"/>
  <c r="CN70" i="5"/>
  <c r="CL70" i="5"/>
  <c r="CJ70" i="5"/>
  <c r="CI70" i="5"/>
  <c r="CH70" i="5"/>
  <c r="CK70" i="5" s="1"/>
  <c r="CG70" i="5"/>
  <c r="CF70" i="5"/>
  <c r="CE70" i="5"/>
  <c r="CD70" i="5"/>
  <c r="CC70" i="5"/>
  <c r="CB70" i="5"/>
  <c r="CA70" i="5"/>
  <c r="BZ70" i="5"/>
  <c r="BY70" i="5"/>
  <c r="BX70" i="5"/>
  <c r="BW70" i="5"/>
  <c r="BV70" i="5"/>
  <c r="BU70" i="5"/>
  <c r="BT70" i="5"/>
  <c r="BS70" i="5"/>
  <c r="BR70" i="5"/>
  <c r="BP70" i="5"/>
  <c r="BN70" i="5"/>
  <c r="BM70" i="5"/>
  <c r="BL70" i="5"/>
  <c r="BK70" i="5"/>
  <c r="BJ70" i="5"/>
  <c r="BI70" i="5"/>
  <c r="BH70" i="5"/>
  <c r="BG70" i="5"/>
  <c r="BF70" i="5"/>
  <c r="BE70" i="5"/>
  <c r="BD70" i="5"/>
  <c r="BC70" i="5"/>
  <c r="BB70" i="5"/>
  <c r="BA70" i="5"/>
  <c r="AZ70" i="5"/>
  <c r="AY70" i="5"/>
  <c r="AX70" i="5"/>
  <c r="AV70" i="5"/>
  <c r="AT70" i="5"/>
  <c r="AS70" i="5"/>
  <c r="AW70" i="5" s="1"/>
  <c r="AR70" i="5"/>
  <c r="AU70" i="5" s="1"/>
  <c r="AQ70" i="5"/>
  <c r="AP70" i="5"/>
  <c r="AO70" i="5"/>
  <c r="AN70" i="5"/>
  <c r="AM70" i="5"/>
  <c r="AL70" i="5"/>
  <c r="AJ70" i="5"/>
  <c r="AH70" i="5"/>
  <c r="AG70" i="5"/>
  <c r="AK70" i="5" s="1"/>
  <c r="AF70" i="5"/>
  <c r="AI70" i="5" s="1"/>
  <c r="AE70" i="5"/>
  <c r="AD70" i="5"/>
  <c r="AC70" i="5"/>
  <c r="AB70" i="5"/>
  <c r="AA70" i="5"/>
  <c r="Z70" i="5"/>
  <c r="X70" i="5"/>
  <c r="V70" i="5"/>
  <c r="U70" i="5"/>
  <c r="Y70" i="5" s="1"/>
  <c r="T70" i="5"/>
  <c r="W70" i="5" s="1"/>
  <c r="R70" i="5"/>
  <c r="Q70" i="5"/>
  <c r="P70" i="5"/>
  <c r="O70" i="5"/>
  <c r="N70" i="5"/>
  <c r="M70" i="5"/>
  <c r="G70" i="5"/>
  <c r="F70" i="5"/>
  <c r="E70" i="5"/>
  <c r="S70" i="5" s="1"/>
  <c r="D70" i="5"/>
  <c r="DC69" i="5"/>
  <c r="DB69" i="5"/>
  <c r="DA69" i="5"/>
  <c r="CZ69" i="5"/>
  <c r="CY69" i="5"/>
  <c r="CX69" i="5"/>
  <c r="CV69" i="5"/>
  <c r="CT69" i="5"/>
  <c r="CS69" i="5"/>
  <c r="CR69" i="5"/>
  <c r="CQ69" i="5"/>
  <c r="CP69" i="5"/>
  <c r="CO69" i="5"/>
  <c r="CN69" i="5"/>
  <c r="CL69" i="5"/>
  <c r="CJ69" i="5"/>
  <c r="CI69" i="5"/>
  <c r="CH69" i="5"/>
  <c r="CK69" i="5" s="1"/>
  <c r="CG69" i="5"/>
  <c r="CF69" i="5"/>
  <c r="CE69" i="5"/>
  <c r="CD69" i="5"/>
  <c r="CC69" i="5"/>
  <c r="CB69" i="5"/>
  <c r="CA69" i="5"/>
  <c r="BZ69" i="5"/>
  <c r="BY69" i="5"/>
  <c r="BX69" i="5"/>
  <c r="BW69" i="5"/>
  <c r="BV69" i="5"/>
  <c r="BU69" i="5"/>
  <c r="BT69" i="5"/>
  <c r="BS69" i="5"/>
  <c r="BR69" i="5"/>
  <c r="BP69" i="5"/>
  <c r="BN69" i="5"/>
  <c r="BM69" i="5"/>
  <c r="BL69" i="5"/>
  <c r="BK69" i="5"/>
  <c r="BJ69" i="5"/>
  <c r="BI69" i="5"/>
  <c r="BH69" i="5"/>
  <c r="BG69" i="5"/>
  <c r="BF69" i="5"/>
  <c r="BE69" i="5"/>
  <c r="BD69" i="5"/>
  <c r="BC69" i="5"/>
  <c r="BB69" i="5"/>
  <c r="BA69" i="5"/>
  <c r="AZ69" i="5"/>
  <c r="AY69" i="5"/>
  <c r="AX69" i="5"/>
  <c r="AV69" i="5"/>
  <c r="AT69" i="5"/>
  <c r="AS69" i="5"/>
  <c r="AR69" i="5"/>
  <c r="AQ69" i="5"/>
  <c r="AP69" i="5"/>
  <c r="AO69" i="5"/>
  <c r="AN69" i="5"/>
  <c r="AM69" i="5"/>
  <c r="AL69" i="5"/>
  <c r="AJ69" i="5"/>
  <c r="AH69" i="5"/>
  <c r="AG69" i="5"/>
  <c r="AF69" i="5"/>
  <c r="AE69" i="5"/>
  <c r="AD69" i="5"/>
  <c r="AC69" i="5"/>
  <c r="AB69" i="5"/>
  <c r="AA69" i="5"/>
  <c r="Z69" i="5"/>
  <c r="X69" i="5"/>
  <c r="V69" i="5"/>
  <c r="U69" i="5"/>
  <c r="T69" i="5"/>
  <c r="R69" i="5"/>
  <c r="Q69" i="5"/>
  <c r="P69" i="5"/>
  <c r="O69" i="5"/>
  <c r="N69" i="5"/>
  <c r="M69" i="5"/>
  <c r="G69" i="5"/>
  <c r="F69" i="5"/>
  <c r="E69" i="5"/>
  <c r="S69" i="5" s="1"/>
  <c r="D69" i="5"/>
  <c r="DC68" i="5"/>
  <c r="DB68" i="5"/>
  <c r="DA68" i="5"/>
  <c r="CZ68" i="5"/>
  <c r="CY68" i="5"/>
  <c r="CX68" i="5"/>
  <c r="CV68" i="5"/>
  <c r="CT68" i="5"/>
  <c r="CS68" i="5"/>
  <c r="CR68" i="5"/>
  <c r="CQ68" i="5"/>
  <c r="CP68" i="5"/>
  <c r="CO68" i="5"/>
  <c r="CN68" i="5"/>
  <c r="CL68" i="5"/>
  <c r="CJ68" i="5"/>
  <c r="CI68" i="5"/>
  <c r="CH68" i="5"/>
  <c r="CK68" i="5" s="1"/>
  <c r="CG68" i="5"/>
  <c r="CF68" i="5"/>
  <c r="CE68" i="5"/>
  <c r="CD68" i="5"/>
  <c r="CC68" i="5"/>
  <c r="CB68" i="5"/>
  <c r="CA68" i="5"/>
  <c r="BZ68" i="5"/>
  <c r="BY68" i="5"/>
  <c r="BX68" i="5"/>
  <c r="BW68" i="5"/>
  <c r="BV68" i="5"/>
  <c r="BU68" i="5"/>
  <c r="BT68" i="5"/>
  <c r="BS68" i="5"/>
  <c r="BR68" i="5"/>
  <c r="BP68" i="5"/>
  <c r="BN68" i="5"/>
  <c r="BM68" i="5"/>
  <c r="BL68" i="5"/>
  <c r="BK68" i="5"/>
  <c r="BJ68" i="5"/>
  <c r="BI68" i="5"/>
  <c r="BH68" i="5"/>
  <c r="BG68" i="5"/>
  <c r="BF68" i="5"/>
  <c r="BE68" i="5"/>
  <c r="BD68" i="5"/>
  <c r="BC68" i="5"/>
  <c r="BB68" i="5"/>
  <c r="BA68" i="5"/>
  <c r="AZ68" i="5"/>
  <c r="AY68" i="5"/>
  <c r="AX68" i="5"/>
  <c r="AV68" i="5"/>
  <c r="AT68" i="5"/>
  <c r="AS68" i="5"/>
  <c r="AR68" i="5"/>
  <c r="AQ68" i="5"/>
  <c r="AP68" i="5"/>
  <c r="AO68" i="5"/>
  <c r="AN68" i="5"/>
  <c r="AM68" i="5"/>
  <c r="AL68" i="5"/>
  <c r="AJ68" i="5"/>
  <c r="AH68" i="5"/>
  <c r="AG68" i="5"/>
  <c r="AF68" i="5"/>
  <c r="AE68" i="5"/>
  <c r="AD68" i="5"/>
  <c r="AC68" i="5"/>
  <c r="AB68" i="5"/>
  <c r="AA68" i="5"/>
  <c r="Z68" i="5"/>
  <c r="X68" i="5"/>
  <c r="V68" i="5"/>
  <c r="U68" i="5"/>
  <c r="T68" i="5"/>
  <c r="R68" i="5"/>
  <c r="Q68" i="5"/>
  <c r="P68" i="5"/>
  <c r="O68" i="5"/>
  <c r="N68" i="5"/>
  <c r="M68" i="5"/>
  <c r="G68" i="5"/>
  <c r="F68" i="5"/>
  <c r="E68" i="5"/>
  <c r="S68" i="5" s="1"/>
  <c r="D68" i="5"/>
  <c r="DC67" i="5"/>
  <c r="DB67" i="5"/>
  <c r="DA67" i="5"/>
  <c r="CZ67" i="5"/>
  <c r="CY67" i="5"/>
  <c r="CX67" i="5"/>
  <c r="CV67" i="5"/>
  <c r="CT67" i="5"/>
  <c r="CS67" i="5"/>
  <c r="CW67" i="5" s="1"/>
  <c r="CR67" i="5"/>
  <c r="CU67" i="5" s="1"/>
  <c r="CQ67" i="5"/>
  <c r="CP67" i="5"/>
  <c r="CO67" i="5"/>
  <c r="CN67" i="5"/>
  <c r="CL67" i="5"/>
  <c r="CJ67" i="5"/>
  <c r="CI67" i="5"/>
  <c r="CH67" i="5"/>
  <c r="CK67" i="5" s="1"/>
  <c r="CG67" i="5"/>
  <c r="CF67" i="5"/>
  <c r="CE67" i="5"/>
  <c r="CD67" i="5"/>
  <c r="CC67" i="5"/>
  <c r="CB67" i="5"/>
  <c r="CA67" i="5"/>
  <c r="BZ67" i="5"/>
  <c r="BY67" i="5"/>
  <c r="BX67" i="5"/>
  <c r="BW67" i="5"/>
  <c r="BV67" i="5"/>
  <c r="BU67" i="5"/>
  <c r="BT67" i="5"/>
  <c r="BS67" i="5"/>
  <c r="BR67" i="5"/>
  <c r="BP67" i="5"/>
  <c r="BN67" i="5"/>
  <c r="BM67" i="5"/>
  <c r="BL67" i="5"/>
  <c r="BK67" i="5"/>
  <c r="BJ67" i="5"/>
  <c r="BI67" i="5"/>
  <c r="BH67" i="5"/>
  <c r="BG67" i="5"/>
  <c r="BF67" i="5"/>
  <c r="BE67" i="5"/>
  <c r="BD67" i="5"/>
  <c r="BC67" i="5"/>
  <c r="BB67" i="5"/>
  <c r="BA67" i="5"/>
  <c r="AZ67" i="5"/>
  <c r="AY67" i="5"/>
  <c r="AX67" i="5"/>
  <c r="AV67" i="5"/>
  <c r="AT67" i="5"/>
  <c r="AS67" i="5"/>
  <c r="AW67" i="5" s="1"/>
  <c r="AR67" i="5"/>
  <c r="AU67" i="5" s="1"/>
  <c r="AQ67" i="5"/>
  <c r="AP67" i="5"/>
  <c r="AO67" i="5"/>
  <c r="AN67" i="5"/>
  <c r="AM67" i="5"/>
  <c r="AL67" i="5"/>
  <c r="AJ67" i="5"/>
  <c r="AH67" i="5"/>
  <c r="AG67" i="5"/>
  <c r="AK67" i="5" s="1"/>
  <c r="AF67" i="5"/>
  <c r="AI67" i="5" s="1"/>
  <c r="AE67" i="5"/>
  <c r="AD67" i="5"/>
  <c r="AC67" i="5"/>
  <c r="AB67" i="5"/>
  <c r="AA67" i="5"/>
  <c r="Z67" i="5"/>
  <c r="X67" i="5"/>
  <c r="V67" i="5"/>
  <c r="U67" i="5"/>
  <c r="Y67" i="5" s="1"/>
  <c r="T67" i="5"/>
  <c r="W67" i="5" s="1"/>
  <c r="R67" i="5"/>
  <c r="Q67" i="5"/>
  <c r="P67" i="5"/>
  <c r="O67" i="5"/>
  <c r="N67" i="5"/>
  <c r="M67" i="5"/>
  <c r="G67" i="5"/>
  <c r="F67" i="5"/>
  <c r="E67" i="5"/>
  <c r="S67" i="5" s="1"/>
  <c r="D67" i="5"/>
  <c r="DC66" i="5"/>
  <c r="DB66" i="5"/>
  <c r="DA66" i="5"/>
  <c r="CZ66" i="5"/>
  <c r="CY66" i="5"/>
  <c r="CX66" i="5"/>
  <c r="CV66" i="5"/>
  <c r="CT66" i="5"/>
  <c r="CS66" i="5"/>
  <c r="CW66" i="5" s="1"/>
  <c r="CR66" i="5"/>
  <c r="CU66" i="5" s="1"/>
  <c r="CQ66" i="5"/>
  <c r="CP66" i="5"/>
  <c r="CO66" i="5"/>
  <c r="CN66" i="5"/>
  <c r="CL66" i="5"/>
  <c r="CJ66" i="5"/>
  <c r="CI66" i="5"/>
  <c r="CH66" i="5"/>
  <c r="CK66" i="5" s="1"/>
  <c r="CG66" i="5"/>
  <c r="CF66" i="5"/>
  <c r="CE66" i="5"/>
  <c r="CD66" i="5"/>
  <c r="CC66" i="5"/>
  <c r="CB66" i="5"/>
  <c r="CA66" i="5"/>
  <c r="BZ66" i="5"/>
  <c r="BY66" i="5"/>
  <c r="BX66" i="5"/>
  <c r="BW66" i="5"/>
  <c r="BV66" i="5"/>
  <c r="BU66" i="5"/>
  <c r="BT66" i="5"/>
  <c r="BS66" i="5"/>
  <c r="BR66" i="5"/>
  <c r="BP66" i="5"/>
  <c r="BN66" i="5"/>
  <c r="BM66" i="5"/>
  <c r="BL66" i="5"/>
  <c r="BK66" i="5"/>
  <c r="BJ66" i="5"/>
  <c r="BI66" i="5"/>
  <c r="BH66" i="5"/>
  <c r="BG66" i="5"/>
  <c r="BF66" i="5"/>
  <c r="BE66" i="5"/>
  <c r="BD66" i="5"/>
  <c r="BC66" i="5"/>
  <c r="BB66" i="5"/>
  <c r="BA66" i="5"/>
  <c r="AZ66" i="5"/>
  <c r="AY66" i="5"/>
  <c r="AX66" i="5"/>
  <c r="AV66" i="5"/>
  <c r="AT66" i="5"/>
  <c r="AS66" i="5"/>
  <c r="AW66" i="5" s="1"/>
  <c r="AR66" i="5"/>
  <c r="AU66" i="5" s="1"/>
  <c r="AQ66" i="5"/>
  <c r="AP66" i="5"/>
  <c r="AO66" i="5"/>
  <c r="AN66" i="5"/>
  <c r="AM66" i="5"/>
  <c r="AL66" i="5"/>
  <c r="AJ66" i="5"/>
  <c r="AH66" i="5"/>
  <c r="AG66" i="5"/>
  <c r="AK66" i="5" s="1"/>
  <c r="AF66" i="5"/>
  <c r="AI66" i="5" s="1"/>
  <c r="AE66" i="5"/>
  <c r="AD66" i="5"/>
  <c r="AC66" i="5"/>
  <c r="AB66" i="5"/>
  <c r="AA66" i="5"/>
  <c r="Z66" i="5"/>
  <c r="X66" i="5"/>
  <c r="V66" i="5"/>
  <c r="U66" i="5"/>
  <c r="Y66" i="5" s="1"/>
  <c r="T66" i="5"/>
  <c r="W66" i="5" s="1"/>
  <c r="R66" i="5"/>
  <c r="Q66" i="5"/>
  <c r="P66" i="5"/>
  <c r="O66" i="5"/>
  <c r="N66" i="5"/>
  <c r="M66" i="5"/>
  <c r="G66" i="5"/>
  <c r="F66" i="5"/>
  <c r="E66" i="5"/>
  <c r="S66" i="5" s="1"/>
  <c r="D66" i="5"/>
  <c r="DC65" i="5"/>
  <c r="DB65" i="5"/>
  <c r="DA65" i="5"/>
  <c r="CZ65" i="5"/>
  <c r="CY65" i="5"/>
  <c r="CX65" i="5"/>
  <c r="CV65" i="5"/>
  <c r="CT65" i="5"/>
  <c r="CS65" i="5"/>
  <c r="CW65" i="5" s="1"/>
  <c r="CR65" i="5"/>
  <c r="CU65" i="5" s="1"/>
  <c r="CQ65" i="5"/>
  <c r="CP65" i="5"/>
  <c r="CO65" i="5"/>
  <c r="CN65" i="5"/>
  <c r="CL65" i="5"/>
  <c r="CJ65" i="5"/>
  <c r="CI65" i="5"/>
  <c r="CH65" i="5"/>
  <c r="CK65" i="5" s="1"/>
  <c r="CG65" i="5"/>
  <c r="CF65" i="5"/>
  <c r="CE65" i="5"/>
  <c r="CD65" i="5"/>
  <c r="CC65" i="5"/>
  <c r="CB65" i="5"/>
  <c r="CA65" i="5"/>
  <c r="BZ65" i="5"/>
  <c r="BY65" i="5"/>
  <c r="BX65" i="5"/>
  <c r="BW65" i="5"/>
  <c r="BV65" i="5"/>
  <c r="BU65" i="5"/>
  <c r="BT65" i="5"/>
  <c r="BS65" i="5"/>
  <c r="BR65" i="5"/>
  <c r="BP65" i="5"/>
  <c r="BN65" i="5"/>
  <c r="BM65" i="5"/>
  <c r="BL65" i="5"/>
  <c r="BK65" i="5"/>
  <c r="BJ65" i="5"/>
  <c r="BI65" i="5"/>
  <c r="BH65" i="5"/>
  <c r="BG65" i="5"/>
  <c r="BF65" i="5"/>
  <c r="BE65" i="5"/>
  <c r="BD65" i="5"/>
  <c r="BC65" i="5"/>
  <c r="BB65" i="5"/>
  <c r="BA65" i="5"/>
  <c r="AZ65" i="5"/>
  <c r="AY65" i="5"/>
  <c r="AX65" i="5"/>
  <c r="AV65" i="5"/>
  <c r="AT65" i="5"/>
  <c r="AS65" i="5"/>
  <c r="AW65" i="5" s="1"/>
  <c r="AR65" i="5"/>
  <c r="AU65" i="5" s="1"/>
  <c r="AQ65" i="5"/>
  <c r="AP65" i="5"/>
  <c r="AO65" i="5"/>
  <c r="AN65" i="5"/>
  <c r="AM65" i="5"/>
  <c r="AL65" i="5"/>
  <c r="AJ65" i="5"/>
  <c r="AH65" i="5"/>
  <c r="AG65" i="5"/>
  <c r="AK65" i="5" s="1"/>
  <c r="AF65" i="5"/>
  <c r="AI65" i="5" s="1"/>
  <c r="AE65" i="5"/>
  <c r="AD65" i="5"/>
  <c r="AC65" i="5"/>
  <c r="AB65" i="5"/>
  <c r="AA65" i="5"/>
  <c r="Z65" i="5"/>
  <c r="X65" i="5"/>
  <c r="V65" i="5"/>
  <c r="U65" i="5"/>
  <c r="Y65" i="5" s="1"/>
  <c r="T65" i="5"/>
  <c r="W65" i="5" s="1"/>
  <c r="R65" i="5"/>
  <c r="Q65" i="5"/>
  <c r="P65" i="5"/>
  <c r="O65" i="5"/>
  <c r="N65" i="5"/>
  <c r="M65" i="5"/>
  <c r="G65" i="5"/>
  <c r="F65" i="5"/>
  <c r="E65" i="5"/>
  <c r="S65" i="5" s="1"/>
  <c r="D65" i="5"/>
  <c r="DC64" i="5"/>
  <c r="DB64" i="5"/>
  <c r="DA64" i="5"/>
  <c r="CZ64" i="5"/>
  <c r="CY64" i="5"/>
  <c r="CX64" i="5"/>
  <c r="CV64" i="5"/>
  <c r="CT64" i="5"/>
  <c r="CS64" i="5"/>
  <c r="CW64" i="5" s="1"/>
  <c r="CR64" i="5"/>
  <c r="CU64" i="5" s="1"/>
  <c r="CQ64" i="5"/>
  <c r="CP64" i="5"/>
  <c r="CO64" i="5"/>
  <c r="CN64" i="5"/>
  <c r="CL64" i="5"/>
  <c r="CJ64" i="5"/>
  <c r="CI64" i="5"/>
  <c r="CH64" i="5"/>
  <c r="CK64" i="5" s="1"/>
  <c r="CG64" i="5"/>
  <c r="CF64" i="5"/>
  <c r="CE64" i="5"/>
  <c r="CD64" i="5"/>
  <c r="CC64" i="5"/>
  <c r="CB64" i="5"/>
  <c r="CA64" i="5"/>
  <c r="BZ64" i="5"/>
  <c r="BY64" i="5"/>
  <c r="BX64" i="5"/>
  <c r="BW64" i="5"/>
  <c r="BV64" i="5"/>
  <c r="BU64" i="5"/>
  <c r="BT64" i="5"/>
  <c r="BS64" i="5"/>
  <c r="BR64" i="5"/>
  <c r="BP64" i="5"/>
  <c r="BN64" i="5"/>
  <c r="BM64" i="5"/>
  <c r="BL64" i="5"/>
  <c r="BK64" i="5"/>
  <c r="BJ64" i="5"/>
  <c r="BI64" i="5"/>
  <c r="BH64" i="5"/>
  <c r="BG64" i="5"/>
  <c r="BF64" i="5"/>
  <c r="BE64" i="5"/>
  <c r="BD64" i="5"/>
  <c r="BC64" i="5"/>
  <c r="BB64" i="5"/>
  <c r="BA64" i="5"/>
  <c r="AZ64" i="5"/>
  <c r="AY64" i="5"/>
  <c r="AX64" i="5"/>
  <c r="AV64" i="5"/>
  <c r="AT64" i="5"/>
  <c r="AS64" i="5"/>
  <c r="AW64" i="5" s="1"/>
  <c r="AR64" i="5"/>
  <c r="AU64" i="5" s="1"/>
  <c r="AQ64" i="5"/>
  <c r="AP64" i="5"/>
  <c r="AO64" i="5"/>
  <c r="AN64" i="5"/>
  <c r="AM64" i="5"/>
  <c r="AL64" i="5"/>
  <c r="AJ64" i="5"/>
  <c r="AH64" i="5"/>
  <c r="AG64" i="5"/>
  <c r="AK64" i="5" s="1"/>
  <c r="AF64" i="5"/>
  <c r="AI64" i="5" s="1"/>
  <c r="AE64" i="5"/>
  <c r="AD64" i="5"/>
  <c r="AC64" i="5"/>
  <c r="AB64" i="5"/>
  <c r="AA64" i="5"/>
  <c r="Z64" i="5"/>
  <c r="X64" i="5"/>
  <c r="V64" i="5"/>
  <c r="U64" i="5"/>
  <c r="Y64" i="5" s="1"/>
  <c r="T64" i="5"/>
  <c r="W64" i="5" s="1"/>
  <c r="R64" i="5"/>
  <c r="Q64" i="5"/>
  <c r="P64" i="5"/>
  <c r="O64" i="5"/>
  <c r="N64" i="5"/>
  <c r="M64" i="5"/>
  <c r="G64" i="5"/>
  <c r="F64" i="5"/>
  <c r="E64" i="5"/>
  <c r="S64" i="5" s="1"/>
  <c r="D64" i="5"/>
  <c r="DC63" i="5"/>
  <c r="DB63" i="5"/>
  <c r="DA63" i="5"/>
  <c r="CZ63" i="5"/>
  <c r="CY63" i="5"/>
  <c r="CX63" i="5"/>
  <c r="CV63" i="5"/>
  <c r="CT63" i="5"/>
  <c r="CS63" i="5"/>
  <c r="CW63" i="5" s="1"/>
  <c r="CR63" i="5"/>
  <c r="CU63" i="5" s="1"/>
  <c r="CQ63" i="5"/>
  <c r="CP63" i="5"/>
  <c r="CO63" i="5"/>
  <c r="CN63" i="5"/>
  <c r="CL63" i="5"/>
  <c r="CJ63" i="5"/>
  <c r="CI63" i="5"/>
  <c r="CH63" i="5"/>
  <c r="CK63" i="5" s="1"/>
  <c r="CG63" i="5"/>
  <c r="CF63" i="5"/>
  <c r="CE63" i="5"/>
  <c r="CD63" i="5"/>
  <c r="CC63" i="5"/>
  <c r="CB63" i="5"/>
  <c r="CA63" i="5"/>
  <c r="BZ63" i="5"/>
  <c r="BY63" i="5"/>
  <c r="BX63" i="5"/>
  <c r="BW63" i="5"/>
  <c r="BV63" i="5"/>
  <c r="BU63" i="5"/>
  <c r="BT63" i="5"/>
  <c r="BS63" i="5"/>
  <c r="BR63" i="5"/>
  <c r="BP63" i="5"/>
  <c r="BN63" i="5"/>
  <c r="BM63" i="5"/>
  <c r="BL63" i="5"/>
  <c r="BK63" i="5"/>
  <c r="BJ63" i="5"/>
  <c r="BI63" i="5"/>
  <c r="BH63" i="5"/>
  <c r="BG63" i="5"/>
  <c r="BF63" i="5"/>
  <c r="BE63" i="5"/>
  <c r="BD63" i="5"/>
  <c r="BC63" i="5"/>
  <c r="BB63" i="5"/>
  <c r="BA63" i="5"/>
  <c r="AZ63" i="5"/>
  <c r="AY63" i="5"/>
  <c r="AX63" i="5"/>
  <c r="AV63" i="5"/>
  <c r="AT63" i="5"/>
  <c r="AS63" i="5"/>
  <c r="AW63" i="5" s="1"/>
  <c r="AR63" i="5"/>
  <c r="AU63" i="5" s="1"/>
  <c r="AQ63" i="5"/>
  <c r="AP63" i="5"/>
  <c r="AO63" i="5"/>
  <c r="AN63" i="5"/>
  <c r="AM63" i="5"/>
  <c r="AL63" i="5"/>
  <c r="AJ63" i="5"/>
  <c r="AH63" i="5"/>
  <c r="AG63" i="5"/>
  <c r="AK63" i="5" s="1"/>
  <c r="AF63" i="5"/>
  <c r="AI63" i="5" s="1"/>
  <c r="AE63" i="5"/>
  <c r="AD63" i="5"/>
  <c r="AC63" i="5"/>
  <c r="AB63" i="5"/>
  <c r="AA63" i="5"/>
  <c r="Z63" i="5"/>
  <c r="X63" i="5"/>
  <c r="V63" i="5"/>
  <c r="U63" i="5"/>
  <c r="Y63" i="5" s="1"/>
  <c r="T63" i="5"/>
  <c r="W63" i="5" s="1"/>
  <c r="R63" i="5"/>
  <c r="Q63" i="5"/>
  <c r="P63" i="5"/>
  <c r="O63" i="5"/>
  <c r="N63" i="5"/>
  <c r="M63" i="5"/>
  <c r="G63" i="5"/>
  <c r="F63" i="5"/>
  <c r="E63" i="5"/>
  <c r="D63" i="5"/>
  <c r="DC62" i="5"/>
  <c r="DB62" i="5"/>
  <c r="DA62" i="5"/>
  <c r="CZ62" i="5"/>
  <c r="CY62" i="5"/>
  <c r="CX62" i="5"/>
  <c r="CV62" i="5"/>
  <c r="CT62" i="5"/>
  <c r="CS62" i="5"/>
  <c r="CW62" i="5" s="1"/>
  <c r="CR62" i="5"/>
  <c r="CU62" i="5" s="1"/>
  <c r="CQ62" i="5"/>
  <c r="CP62" i="5"/>
  <c r="CO62" i="5"/>
  <c r="CN62" i="5"/>
  <c r="CL62" i="5"/>
  <c r="CJ62" i="5"/>
  <c r="CI62" i="5"/>
  <c r="CH62" i="5"/>
  <c r="CK62" i="5" s="1"/>
  <c r="CG62" i="5"/>
  <c r="CF62" i="5"/>
  <c r="CE62" i="5"/>
  <c r="CD62" i="5"/>
  <c r="CC62" i="5"/>
  <c r="CB62" i="5"/>
  <c r="CA62" i="5"/>
  <c r="BZ62" i="5"/>
  <c r="BY62" i="5"/>
  <c r="BX62" i="5"/>
  <c r="BW62" i="5"/>
  <c r="BV62" i="5"/>
  <c r="BU62" i="5"/>
  <c r="BT62" i="5"/>
  <c r="BS62" i="5"/>
  <c r="BR62" i="5"/>
  <c r="BP62" i="5"/>
  <c r="BN62" i="5"/>
  <c r="BM62" i="5"/>
  <c r="BL62" i="5"/>
  <c r="BK62" i="5"/>
  <c r="BJ62" i="5"/>
  <c r="BI62" i="5"/>
  <c r="BH62" i="5"/>
  <c r="BG62" i="5"/>
  <c r="BF62" i="5"/>
  <c r="BE62" i="5"/>
  <c r="BD62" i="5"/>
  <c r="BC62" i="5"/>
  <c r="BB62" i="5"/>
  <c r="BA62" i="5"/>
  <c r="AZ62" i="5"/>
  <c r="AY62" i="5"/>
  <c r="AX62" i="5"/>
  <c r="AV62" i="5"/>
  <c r="AT62" i="5"/>
  <c r="AS62" i="5"/>
  <c r="AR62" i="5"/>
  <c r="AQ62" i="5"/>
  <c r="AP62" i="5"/>
  <c r="AO62" i="5"/>
  <c r="AN62" i="5"/>
  <c r="AM62" i="5"/>
  <c r="AL62" i="5"/>
  <c r="AJ62" i="5"/>
  <c r="AH62" i="5"/>
  <c r="AG62" i="5"/>
  <c r="AF62" i="5"/>
  <c r="AE62" i="5"/>
  <c r="AD62" i="5"/>
  <c r="AC62" i="5"/>
  <c r="AB62" i="5"/>
  <c r="AA62" i="5"/>
  <c r="Z62" i="5"/>
  <c r="X62" i="5"/>
  <c r="V62" i="5"/>
  <c r="U62" i="5"/>
  <c r="T62" i="5"/>
  <c r="R62" i="5"/>
  <c r="Q62" i="5"/>
  <c r="P62" i="5"/>
  <c r="O62" i="5"/>
  <c r="N62" i="5"/>
  <c r="M62" i="5"/>
  <c r="G62" i="5"/>
  <c r="F62" i="5"/>
  <c r="E62" i="5"/>
  <c r="S62" i="5" s="1"/>
  <c r="D62" i="5"/>
  <c r="DC61" i="5"/>
  <c r="DB61" i="5"/>
  <c r="DA61" i="5"/>
  <c r="CZ61" i="5"/>
  <c r="CY61" i="5"/>
  <c r="CX61" i="5"/>
  <c r="CV61" i="5"/>
  <c r="CT61" i="5"/>
  <c r="CS61" i="5"/>
  <c r="CW61" i="5" s="1"/>
  <c r="CR61" i="5"/>
  <c r="CU61" i="5" s="1"/>
  <c r="CQ61" i="5"/>
  <c r="CP61" i="5"/>
  <c r="CO61" i="5"/>
  <c r="CN61" i="5"/>
  <c r="CL61" i="5"/>
  <c r="CJ61" i="5"/>
  <c r="CI61" i="5"/>
  <c r="CH61" i="5"/>
  <c r="CK61" i="5" s="1"/>
  <c r="CG61" i="5"/>
  <c r="CF61" i="5"/>
  <c r="CE61" i="5"/>
  <c r="CD61" i="5"/>
  <c r="CC61" i="5"/>
  <c r="CB61" i="5"/>
  <c r="CA61" i="5"/>
  <c r="BZ61" i="5"/>
  <c r="BY61" i="5"/>
  <c r="BX61" i="5"/>
  <c r="BW61" i="5"/>
  <c r="BV61" i="5"/>
  <c r="BU61" i="5"/>
  <c r="BT61" i="5"/>
  <c r="BS61" i="5"/>
  <c r="BR61" i="5"/>
  <c r="BP61" i="5"/>
  <c r="BN61" i="5"/>
  <c r="BM61" i="5"/>
  <c r="BL61" i="5"/>
  <c r="BK61" i="5"/>
  <c r="BJ61" i="5"/>
  <c r="BI61" i="5"/>
  <c r="BH61" i="5"/>
  <c r="BG61" i="5"/>
  <c r="BF61" i="5"/>
  <c r="BE61" i="5"/>
  <c r="BD61" i="5"/>
  <c r="BC61" i="5"/>
  <c r="BB61" i="5"/>
  <c r="BA61" i="5"/>
  <c r="AZ61" i="5"/>
  <c r="AY61" i="5"/>
  <c r="AX61" i="5"/>
  <c r="AV61" i="5"/>
  <c r="AT61" i="5"/>
  <c r="AS61" i="5"/>
  <c r="AW61" i="5" s="1"/>
  <c r="AR61" i="5"/>
  <c r="AQ61" i="5"/>
  <c r="AP61" i="5"/>
  <c r="AO61" i="5"/>
  <c r="AN61" i="5"/>
  <c r="AM61" i="5"/>
  <c r="AL61" i="5"/>
  <c r="AJ61" i="5"/>
  <c r="AH61" i="5"/>
  <c r="AG61" i="5"/>
  <c r="AK61" i="5" s="1"/>
  <c r="AF61" i="5"/>
  <c r="AI61" i="5" s="1"/>
  <c r="AE61" i="5"/>
  <c r="AD61" i="5"/>
  <c r="AC61" i="5"/>
  <c r="AB61" i="5"/>
  <c r="AA61" i="5"/>
  <c r="Z61" i="5"/>
  <c r="X61" i="5"/>
  <c r="V61" i="5"/>
  <c r="U61" i="5"/>
  <c r="Y61" i="5" s="1"/>
  <c r="T61" i="5"/>
  <c r="W61" i="5" s="1"/>
  <c r="R61" i="5"/>
  <c r="Q61" i="5"/>
  <c r="P61" i="5"/>
  <c r="O61" i="5"/>
  <c r="N61" i="5"/>
  <c r="M61" i="5"/>
  <c r="G61" i="5"/>
  <c r="F61" i="5"/>
  <c r="E61" i="5"/>
  <c r="S61" i="5" s="1"/>
  <c r="D61" i="5"/>
  <c r="DC60" i="5"/>
  <c r="DB60" i="5"/>
  <c r="DA60" i="5"/>
  <c r="CZ60" i="5"/>
  <c r="CY60" i="5"/>
  <c r="CX60" i="5"/>
  <c r="CV60" i="5"/>
  <c r="CT60" i="5"/>
  <c r="CS60" i="5"/>
  <c r="CW60" i="5" s="1"/>
  <c r="CR60" i="5"/>
  <c r="CU60" i="5" s="1"/>
  <c r="CQ60" i="5"/>
  <c r="CP60" i="5"/>
  <c r="CO60" i="5"/>
  <c r="CN60" i="5"/>
  <c r="CL60" i="5"/>
  <c r="CJ60" i="5"/>
  <c r="CI60" i="5"/>
  <c r="CH60" i="5"/>
  <c r="CK60" i="5" s="1"/>
  <c r="CG60" i="5"/>
  <c r="CF60" i="5"/>
  <c r="CE60" i="5"/>
  <c r="CD60" i="5"/>
  <c r="CC60" i="5"/>
  <c r="CB60" i="5"/>
  <c r="CA60" i="5"/>
  <c r="BZ60" i="5"/>
  <c r="BY60" i="5"/>
  <c r="BX60" i="5"/>
  <c r="BW60" i="5"/>
  <c r="BV60" i="5"/>
  <c r="BU60" i="5"/>
  <c r="BT60" i="5"/>
  <c r="BS60" i="5"/>
  <c r="BR60" i="5"/>
  <c r="BP60" i="5"/>
  <c r="BN60" i="5"/>
  <c r="BM60" i="5"/>
  <c r="BL60" i="5"/>
  <c r="BK60" i="5"/>
  <c r="BJ60" i="5"/>
  <c r="BI60" i="5"/>
  <c r="BH60" i="5"/>
  <c r="BG60" i="5"/>
  <c r="BF60" i="5"/>
  <c r="BE60" i="5"/>
  <c r="BD60" i="5"/>
  <c r="BC60" i="5"/>
  <c r="BB60" i="5"/>
  <c r="BA60" i="5"/>
  <c r="AZ60" i="5"/>
  <c r="AY60" i="5"/>
  <c r="AX60" i="5"/>
  <c r="AV60" i="5"/>
  <c r="AT60" i="5"/>
  <c r="AS60" i="5"/>
  <c r="AW60" i="5" s="1"/>
  <c r="AR60" i="5"/>
  <c r="AU60" i="5" s="1"/>
  <c r="AQ60" i="5"/>
  <c r="AP60" i="5"/>
  <c r="AO60" i="5"/>
  <c r="AN60" i="5"/>
  <c r="AM60" i="5"/>
  <c r="AL60" i="5"/>
  <c r="AJ60" i="5"/>
  <c r="AH60" i="5"/>
  <c r="AG60" i="5"/>
  <c r="AK60" i="5" s="1"/>
  <c r="AF60" i="5"/>
  <c r="AI60" i="5" s="1"/>
  <c r="AE60" i="5"/>
  <c r="AD60" i="5"/>
  <c r="AC60" i="5"/>
  <c r="AB60" i="5"/>
  <c r="AA60" i="5"/>
  <c r="Z60" i="5"/>
  <c r="X60" i="5"/>
  <c r="V60" i="5"/>
  <c r="U60" i="5"/>
  <c r="Y60" i="5" s="1"/>
  <c r="T60" i="5"/>
  <c r="W60" i="5" s="1"/>
  <c r="R60" i="5"/>
  <c r="Q60" i="5"/>
  <c r="P60" i="5"/>
  <c r="O60" i="5"/>
  <c r="N60" i="5"/>
  <c r="M60" i="5"/>
  <c r="G60" i="5"/>
  <c r="F60" i="5"/>
  <c r="E60" i="5"/>
  <c r="S60" i="5" s="1"/>
  <c r="D60" i="5"/>
  <c r="DC59" i="5"/>
  <c r="DB59" i="5"/>
  <c r="DA59" i="5"/>
  <c r="CZ59" i="5"/>
  <c r="CY59" i="5"/>
  <c r="CX59" i="5"/>
  <c r="CV59" i="5"/>
  <c r="CT59" i="5"/>
  <c r="CS59" i="5"/>
  <c r="CW59" i="5" s="1"/>
  <c r="CR59" i="5"/>
  <c r="CU59" i="5" s="1"/>
  <c r="CQ59" i="5"/>
  <c r="CP59" i="5"/>
  <c r="CO59" i="5"/>
  <c r="CN59" i="5"/>
  <c r="CL59" i="5"/>
  <c r="CJ59" i="5"/>
  <c r="CI59" i="5"/>
  <c r="CH59" i="5"/>
  <c r="CK59" i="5" s="1"/>
  <c r="CG59" i="5"/>
  <c r="CF59" i="5"/>
  <c r="CE59" i="5"/>
  <c r="CD59" i="5"/>
  <c r="CC59" i="5"/>
  <c r="CB59" i="5"/>
  <c r="CA59" i="5"/>
  <c r="BZ59" i="5"/>
  <c r="BY59" i="5"/>
  <c r="BX59" i="5"/>
  <c r="BW59" i="5"/>
  <c r="BV59" i="5"/>
  <c r="BU59" i="5"/>
  <c r="BT59" i="5"/>
  <c r="BS59" i="5"/>
  <c r="BR59" i="5"/>
  <c r="BP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V59" i="5"/>
  <c r="AT59" i="5"/>
  <c r="AS59" i="5"/>
  <c r="AW59" i="5" s="1"/>
  <c r="AR59" i="5"/>
  <c r="AU59" i="5" s="1"/>
  <c r="AQ59" i="5"/>
  <c r="AP59" i="5"/>
  <c r="AO59" i="5"/>
  <c r="AN59" i="5"/>
  <c r="AM59" i="5"/>
  <c r="AL59" i="5"/>
  <c r="AJ59" i="5"/>
  <c r="AH59" i="5"/>
  <c r="AG59" i="5"/>
  <c r="AK59" i="5" s="1"/>
  <c r="AF59" i="5"/>
  <c r="AI59" i="5" s="1"/>
  <c r="AE59" i="5"/>
  <c r="AD59" i="5"/>
  <c r="AC59" i="5"/>
  <c r="AB59" i="5"/>
  <c r="AA59" i="5"/>
  <c r="Z59" i="5"/>
  <c r="X59" i="5"/>
  <c r="V59" i="5"/>
  <c r="U59" i="5"/>
  <c r="Y59" i="5" s="1"/>
  <c r="T59" i="5"/>
  <c r="W59" i="5" s="1"/>
  <c r="R59" i="5"/>
  <c r="Q59" i="5"/>
  <c r="P59" i="5"/>
  <c r="O59" i="5"/>
  <c r="N59" i="5"/>
  <c r="M59" i="5"/>
  <c r="G59" i="5"/>
  <c r="F59" i="5"/>
  <c r="E59" i="5"/>
  <c r="S59" i="5" s="1"/>
  <c r="D59" i="5"/>
  <c r="DC58" i="5"/>
  <c r="DB58" i="5"/>
  <c r="DA58" i="5"/>
  <c r="CZ58" i="5"/>
  <c r="CY58" i="5"/>
  <c r="CX58" i="5"/>
  <c r="CV58" i="5"/>
  <c r="CT58" i="5"/>
  <c r="CS58" i="5"/>
  <c r="CW58" i="5" s="1"/>
  <c r="CR58" i="5"/>
  <c r="CU58" i="5" s="1"/>
  <c r="CQ58" i="5"/>
  <c r="CP58" i="5"/>
  <c r="CO58" i="5"/>
  <c r="CN58" i="5"/>
  <c r="CL58" i="5"/>
  <c r="CJ58" i="5"/>
  <c r="CI58" i="5"/>
  <c r="CH58" i="5"/>
  <c r="CK58" i="5" s="1"/>
  <c r="CG58" i="5"/>
  <c r="CF58" i="5"/>
  <c r="CE58" i="5"/>
  <c r="CD58" i="5"/>
  <c r="CC58" i="5"/>
  <c r="CB58" i="5"/>
  <c r="CA58" i="5"/>
  <c r="BZ58" i="5"/>
  <c r="BY58" i="5"/>
  <c r="BX58" i="5"/>
  <c r="BW58" i="5"/>
  <c r="BV58" i="5"/>
  <c r="BU58" i="5"/>
  <c r="BT58" i="5"/>
  <c r="BS58" i="5"/>
  <c r="BR58" i="5"/>
  <c r="BP58" i="5"/>
  <c r="BN58" i="5"/>
  <c r="BM58" i="5"/>
  <c r="BL58" i="5"/>
  <c r="BK58" i="5"/>
  <c r="BJ58" i="5"/>
  <c r="BI58" i="5"/>
  <c r="BH58" i="5"/>
  <c r="BG58" i="5"/>
  <c r="BF58" i="5"/>
  <c r="BE58" i="5"/>
  <c r="BD58" i="5"/>
  <c r="BC58" i="5"/>
  <c r="BB58" i="5"/>
  <c r="BA58" i="5"/>
  <c r="AZ58" i="5"/>
  <c r="AY58" i="5"/>
  <c r="AX58" i="5"/>
  <c r="AV58" i="5"/>
  <c r="AT58" i="5"/>
  <c r="AS58" i="5"/>
  <c r="AW58" i="5" s="1"/>
  <c r="AR58" i="5"/>
  <c r="AU58" i="5" s="1"/>
  <c r="AQ58" i="5"/>
  <c r="AP58" i="5"/>
  <c r="AO58" i="5"/>
  <c r="AN58" i="5"/>
  <c r="AM58" i="5"/>
  <c r="AL58" i="5"/>
  <c r="AJ58" i="5"/>
  <c r="AH58" i="5"/>
  <c r="AG58" i="5"/>
  <c r="AK58" i="5" s="1"/>
  <c r="AF58" i="5"/>
  <c r="AI58" i="5" s="1"/>
  <c r="AE58" i="5"/>
  <c r="AD58" i="5"/>
  <c r="AC58" i="5"/>
  <c r="AB58" i="5"/>
  <c r="AA58" i="5"/>
  <c r="Z58" i="5"/>
  <c r="X58" i="5"/>
  <c r="V58" i="5"/>
  <c r="U58" i="5"/>
  <c r="Y58" i="5" s="1"/>
  <c r="T58" i="5"/>
  <c r="W58" i="5" s="1"/>
  <c r="R58" i="5"/>
  <c r="Q58" i="5"/>
  <c r="P58" i="5"/>
  <c r="O58" i="5"/>
  <c r="N58" i="5"/>
  <c r="M58" i="5"/>
  <c r="G58" i="5"/>
  <c r="F58" i="5"/>
  <c r="E58" i="5"/>
  <c r="S58" i="5" s="1"/>
  <c r="D58" i="5"/>
  <c r="DC57" i="5"/>
  <c r="DB57" i="5"/>
  <c r="DA57" i="5"/>
  <c r="CZ57" i="5"/>
  <c r="CY57" i="5"/>
  <c r="CX57" i="5"/>
  <c r="CV57" i="5"/>
  <c r="CT57" i="5"/>
  <c r="CS57" i="5"/>
  <c r="CW57" i="5" s="1"/>
  <c r="CR57" i="5"/>
  <c r="CU57" i="5" s="1"/>
  <c r="CQ57" i="5"/>
  <c r="CP57" i="5"/>
  <c r="CO57" i="5"/>
  <c r="CN57" i="5"/>
  <c r="CL57" i="5"/>
  <c r="CJ57" i="5"/>
  <c r="CI57" i="5"/>
  <c r="CH57" i="5"/>
  <c r="CK57" i="5" s="1"/>
  <c r="CG57" i="5"/>
  <c r="CF57" i="5"/>
  <c r="CE57" i="5"/>
  <c r="CD57" i="5"/>
  <c r="CC57" i="5"/>
  <c r="CB57" i="5"/>
  <c r="CA57" i="5"/>
  <c r="BZ57" i="5"/>
  <c r="BY57" i="5"/>
  <c r="BX57" i="5"/>
  <c r="BW57" i="5"/>
  <c r="BV57" i="5"/>
  <c r="BU57" i="5"/>
  <c r="BT57" i="5"/>
  <c r="BS57" i="5"/>
  <c r="BR57" i="5"/>
  <c r="BP57" i="5"/>
  <c r="BN57" i="5"/>
  <c r="BM57" i="5"/>
  <c r="BL57" i="5"/>
  <c r="BK57" i="5"/>
  <c r="BJ57" i="5"/>
  <c r="BI57" i="5"/>
  <c r="BH57" i="5"/>
  <c r="BG57" i="5"/>
  <c r="BF57" i="5"/>
  <c r="BE57" i="5"/>
  <c r="BD57" i="5"/>
  <c r="BC57" i="5"/>
  <c r="BB57" i="5"/>
  <c r="BA57" i="5"/>
  <c r="AZ57" i="5"/>
  <c r="AY57" i="5"/>
  <c r="AX57" i="5"/>
  <c r="AV57" i="5"/>
  <c r="AT57" i="5"/>
  <c r="AS57" i="5"/>
  <c r="AW57" i="5" s="1"/>
  <c r="AR57" i="5"/>
  <c r="AU57" i="5" s="1"/>
  <c r="AQ57" i="5"/>
  <c r="AP57" i="5"/>
  <c r="AO57" i="5"/>
  <c r="AN57" i="5"/>
  <c r="AM57" i="5"/>
  <c r="AL57" i="5"/>
  <c r="AJ57" i="5"/>
  <c r="AH57" i="5"/>
  <c r="AG57" i="5"/>
  <c r="AK57" i="5" s="1"/>
  <c r="AF57" i="5"/>
  <c r="AI57" i="5" s="1"/>
  <c r="AE57" i="5"/>
  <c r="AD57" i="5"/>
  <c r="AC57" i="5"/>
  <c r="AB57" i="5"/>
  <c r="AA57" i="5"/>
  <c r="Z57" i="5"/>
  <c r="X57" i="5"/>
  <c r="V57" i="5"/>
  <c r="U57" i="5"/>
  <c r="Y57" i="5" s="1"/>
  <c r="T57" i="5"/>
  <c r="W57" i="5" s="1"/>
  <c r="R57" i="5"/>
  <c r="Q57" i="5"/>
  <c r="P57" i="5"/>
  <c r="O57" i="5"/>
  <c r="N57" i="5"/>
  <c r="M57" i="5"/>
  <c r="G57" i="5"/>
  <c r="F57" i="5"/>
  <c r="E57" i="5"/>
  <c r="D57" i="5"/>
  <c r="DC56" i="5"/>
  <c r="DB56" i="5"/>
  <c r="DA56" i="5"/>
  <c r="CZ56" i="5"/>
  <c r="CY56" i="5"/>
  <c r="CX56" i="5"/>
  <c r="CV56" i="5"/>
  <c r="CT56" i="5"/>
  <c r="CS56" i="5"/>
  <c r="CW56" i="5" s="1"/>
  <c r="CR56" i="5"/>
  <c r="CU56" i="5" s="1"/>
  <c r="CQ56" i="5"/>
  <c r="CP56" i="5"/>
  <c r="CO56" i="5"/>
  <c r="CN56" i="5"/>
  <c r="CL56" i="5"/>
  <c r="CJ56" i="5"/>
  <c r="CI56" i="5"/>
  <c r="CH56" i="5"/>
  <c r="CG56" i="5"/>
  <c r="CF56" i="5"/>
  <c r="CE56" i="5"/>
  <c r="CD56" i="5"/>
  <c r="CC56" i="5"/>
  <c r="CB56" i="5"/>
  <c r="CA56" i="5"/>
  <c r="BZ56" i="5"/>
  <c r="BY56" i="5"/>
  <c r="BX56" i="5"/>
  <c r="BW56" i="5"/>
  <c r="BV56" i="5"/>
  <c r="BU56" i="5"/>
  <c r="BT56" i="5"/>
  <c r="BS56" i="5"/>
  <c r="BR56" i="5"/>
  <c r="BP56" i="5"/>
  <c r="BN56" i="5"/>
  <c r="BM56" i="5"/>
  <c r="BL56" i="5"/>
  <c r="BK56" i="5"/>
  <c r="BJ56" i="5"/>
  <c r="BI56" i="5"/>
  <c r="BH56" i="5"/>
  <c r="BG56" i="5"/>
  <c r="BF56" i="5"/>
  <c r="BE56" i="5"/>
  <c r="BD56" i="5"/>
  <c r="BC56" i="5"/>
  <c r="BB56" i="5"/>
  <c r="BA56" i="5"/>
  <c r="AZ56" i="5"/>
  <c r="AY56" i="5"/>
  <c r="AX56" i="5"/>
  <c r="AV56" i="5"/>
  <c r="AT56" i="5"/>
  <c r="AS56" i="5"/>
  <c r="AW56" i="5" s="1"/>
  <c r="AR56" i="5"/>
  <c r="AU56" i="5" s="1"/>
  <c r="AQ56" i="5"/>
  <c r="AP56" i="5"/>
  <c r="AO56" i="5"/>
  <c r="AN56" i="5"/>
  <c r="AM56" i="5"/>
  <c r="AL56" i="5"/>
  <c r="AJ56" i="5"/>
  <c r="AH56" i="5"/>
  <c r="AG56" i="5"/>
  <c r="AK56" i="5" s="1"/>
  <c r="AF56" i="5"/>
  <c r="AI56" i="5" s="1"/>
  <c r="AE56" i="5"/>
  <c r="AD56" i="5"/>
  <c r="AC56" i="5"/>
  <c r="AB56" i="5"/>
  <c r="AA56" i="5"/>
  <c r="Z56" i="5"/>
  <c r="X56" i="5"/>
  <c r="V56" i="5"/>
  <c r="U56" i="5"/>
  <c r="Y56" i="5" s="1"/>
  <c r="T56" i="5"/>
  <c r="W56" i="5" s="1"/>
  <c r="R56" i="5"/>
  <c r="Q56" i="5"/>
  <c r="P56" i="5"/>
  <c r="O56" i="5"/>
  <c r="N56" i="5"/>
  <c r="M56" i="5"/>
  <c r="G56" i="5"/>
  <c r="F56" i="5"/>
  <c r="E56" i="5"/>
  <c r="S56" i="5" s="1"/>
  <c r="D56" i="5"/>
  <c r="DC55" i="5"/>
  <c r="DB55" i="5"/>
  <c r="DA55" i="5"/>
  <c r="CZ55" i="5"/>
  <c r="CY55" i="5"/>
  <c r="CX55" i="5"/>
  <c r="CV55" i="5"/>
  <c r="CT55" i="5"/>
  <c r="CS55" i="5"/>
  <c r="CW55" i="5" s="1"/>
  <c r="CR55" i="5"/>
  <c r="CU55" i="5" s="1"/>
  <c r="CQ55" i="5"/>
  <c r="CP55" i="5"/>
  <c r="CO55" i="5"/>
  <c r="CN55" i="5"/>
  <c r="CL55" i="5"/>
  <c r="CJ55" i="5"/>
  <c r="CI55" i="5"/>
  <c r="CH55" i="5"/>
  <c r="CK55" i="5" s="1"/>
  <c r="CG55" i="5"/>
  <c r="CF55" i="5"/>
  <c r="CE55" i="5"/>
  <c r="CD55" i="5"/>
  <c r="CC55" i="5"/>
  <c r="CB55" i="5"/>
  <c r="CA55" i="5"/>
  <c r="BZ55" i="5"/>
  <c r="BY55" i="5"/>
  <c r="BX55" i="5"/>
  <c r="BW55" i="5"/>
  <c r="BV55" i="5"/>
  <c r="BU55" i="5"/>
  <c r="BT55" i="5"/>
  <c r="BS55" i="5"/>
  <c r="BR55" i="5"/>
  <c r="BP55" i="5"/>
  <c r="BN55" i="5"/>
  <c r="BM55" i="5"/>
  <c r="BL55" i="5"/>
  <c r="BK55" i="5"/>
  <c r="BJ55" i="5"/>
  <c r="BI55" i="5"/>
  <c r="BH55" i="5"/>
  <c r="BG55" i="5"/>
  <c r="BF55" i="5"/>
  <c r="BE55" i="5"/>
  <c r="BD55" i="5"/>
  <c r="BC55" i="5"/>
  <c r="BB55" i="5"/>
  <c r="BA55" i="5"/>
  <c r="AZ55" i="5"/>
  <c r="AY55" i="5"/>
  <c r="AX55" i="5"/>
  <c r="AV55" i="5"/>
  <c r="AT55" i="5"/>
  <c r="AS55" i="5"/>
  <c r="AW55" i="5" s="1"/>
  <c r="AR55" i="5"/>
  <c r="AU55" i="5" s="1"/>
  <c r="AQ55" i="5"/>
  <c r="AP55" i="5"/>
  <c r="AO55" i="5"/>
  <c r="AN55" i="5"/>
  <c r="AM55" i="5"/>
  <c r="AL55" i="5"/>
  <c r="AJ55" i="5"/>
  <c r="AH55" i="5"/>
  <c r="AG55" i="5"/>
  <c r="AK55" i="5" s="1"/>
  <c r="AF55" i="5"/>
  <c r="AI55" i="5" s="1"/>
  <c r="AE55" i="5"/>
  <c r="AD55" i="5"/>
  <c r="AC55" i="5"/>
  <c r="AB55" i="5"/>
  <c r="AA55" i="5"/>
  <c r="Z55" i="5"/>
  <c r="X55" i="5"/>
  <c r="V55" i="5"/>
  <c r="U55" i="5"/>
  <c r="Y55" i="5" s="1"/>
  <c r="T55" i="5"/>
  <c r="W55" i="5" s="1"/>
  <c r="R55" i="5"/>
  <c r="Q55" i="5"/>
  <c r="P55" i="5"/>
  <c r="O55" i="5"/>
  <c r="N55" i="5"/>
  <c r="M55" i="5"/>
  <c r="G55" i="5"/>
  <c r="F55" i="5"/>
  <c r="E55" i="5"/>
  <c r="S55" i="5" s="1"/>
  <c r="D55" i="5"/>
  <c r="DC54" i="5"/>
  <c r="DB54" i="5"/>
  <c r="DA54" i="5"/>
  <c r="CZ54" i="5"/>
  <c r="CY54" i="5"/>
  <c r="CX54" i="5"/>
  <c r="CV54" i="5"/>
  <c r="CT54" i="5"/>
  <c r="CS54" i="5"/>
  <c r="CW54" i="5" s="1"/>
  <c r="CR54" i="5"/>
  <c r="CU54" i="5" s="1"/>
  <c r="CQ54" i="5"/>
  <c r="CP54" i="5"/>
  <c r="CO54" i="5"/>
  <c r="CN54" i="5"/>
  <c r="CL54" i="5"/>
  <c r="CJ54" i="5"/>
  <c r="CI54" i="5"/>
  <c r="CH54" i="5"/>
  <c r="CK54" i="5" s="1"/>
  <c r="CG54" i="5"/>
  <c r="CF54" i="5"/>
  <c r="CE54" i="5"/>
  <c r="CD54" i="5"/>
  <c r="CC54" i="5"/>
  <c r="CB54" i="5"/>
  <c r="CA54" i="5"/>
  <c r="BZ54" i="5"/>
  <c r="BY54" i="5"/>
  <c r="BX54" i="5"/>
  <c r="BW54" i="5"/>
  <c r="BV54" i="5"/>
  <c r="BU54" i="5"/>
  <c r="BT54" i="5"/>
  <c r="BS54" i="5"/>
  <c r="BR54" i="5"/>
  <c r="BP54" i="5"/>
  <c r="BN54" i="5"/>
  <c r="BM54" i="5"/>
  <c r="BL54" i="5"/>
  <c r="BK54" i="5"/>
  <c r="BJ54" i="5"/>
  <c r="BI54" i="5"/>
  <c r="BH54" i="5"/>
  <c r="BG54" i="5"/>
  <c r="BF54" i="5"/>
  <c r="BE54" i="5"/>
  <c r="BD54" i="5"/>
  <c r="BC54" i="5"/>
  <c r="BB54" i="5"/>
  <c r="BA54" i="5"/>
  <c r="AZ54" i="5"/>
  <c r="AY54" i="5"/>
  <c r="AX54" i="5"/>
  <c r="AV54" i="5"/>
  <c r="AT54" i="5"/>
  <c r="AS54" i="5"/>
  <c r="AW54" i="5" s="1"/>
  <c r="AR54" i="5"/>
  <c r="AU54" i="5" s="1"/>
  <c r="AQ54" i="5"/>
  <c r="AP54" i="5"/>
  <c r="AO54" i="5"/>
  <c r="AN54" i="5"/>
  <c r="AM54" i="5"/>
  <c r="AL54" i="5"/>
  <c r="AJ54" i="5"/>
  <c r="AH54" i="5"/>
  <c r="AG54" i="5"/>
  <c r="AK54" i="5" s="1"/>
  <c r="AF54" i="5"/>
  <c r="AI54" i="5" s="1"/>
  <c r="AE54" i="5"/>
  <c r="AD54" i="5"/>
  <c r="AC54" i="5"/>
  <c r="AB54" i="5"/>
  <c r="AA54" i="5"/>
  <c r="Z54" i="5"/>
  <c r="X54" i="5"/>
  <c r="V54" i="5"/>
  <c r="U54" i="5"/>
  <c r="Y54" i="5" s="1"/>
  <c r="T54" i="5"/>
  <c r="W54" i="5" s="1"/>
  <c r="R54" i="5"/>
  <c r="Q54" i="5"/>
  <c r="P54" i="5"/>
  <c r="O54" i="5"/>
  <c r="N54" i="5"/>
  <c r="M54" i="5"/>
  <c r="G54" i="5"/>
  <c r="F54" i="5"/>
  <c r="E54" i="5"/>
  <c r="S54" i="5" s="1"/>
  <c r="D54" i="5"/>
  <c r="DC53" i="5"/>
  <c r="DB53" i="5"/>
  <c r="DA53" i="5"/>
  <c r="CZ53" i="5"/>
  <c r="CY53" i="5"/>
  <c r="CX53" i="5"/>
  <c r="CV53" i="5"/>
  <c r="CT53" i="5"/>
  <c r="CS53" i="5"/>
  <c r="CR53" i="5"/>
  <c r="CQ53" i="5"/>
  <c r="CP53" i="5"/>
  <c r="CO53" i="5"/>
  <c r="CN53" i="5"/>
  <c r="CL53" i="5"/>
  <c r="CJ53" i="5"/>
  <c r="CI53" i="5"/>
  <c r="CH53" i="5"/>
  <c r="CK53" i="5" s="1"/>
  <c r="CG53" i="5"/>
  <c r="CF53" i="5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P53" i="5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AX53" i="5"/>
  <c r="AV53" i="5"/>
  <c r="AT53" i="5"/>
  <c r="AS53" i="5"/>
  <c r="AR53" i="5"/>
  <c r="AQ53" i="5"/>
  <c r="AP53" i="5"/>
  <c r="AO53" i="5"/>
  <c r="AN53" i="5"/>
  <c r="AM53" i="5"/>
  <c r="AL53" i="5"/>
  <c r="AJ53" i="5"/>
  <c r="AH53" i="5"/>
  <c r="AG53" i="5"/>
  <c r="AF53" i="5"/>
  <c r="AE53" i="5"/>
  <c r="AD53" i="5"/>
  <c r="AC53" i="5"/>
  <c r="AB53" i="5"/>
  <c r="AA53" i="5"/>
  <c r="Z53" i="5"/>
  <c r="X53" i="5"/>
  <c r="V53" i="5"/>
  <c r="U53" i="5"/>
  <c r="T53" i="5"/>
  <c r="R53" i="5"/>
  <c r="Q53" i="5"/>
  <c r="P53" i="5"/>
  <c r="O53" i="5"/>
  <c r="N53" i="5"/>
  <c r="M53" i="5"/>
  <c r="G53" i="5"/>
  <c r="F53" i="5"/>
  <c r="E53" i="5"/>
  <c r="D53" i="5"/>
  <c r="DC51" i="5"/>
  <c r="DB51" i="5"/>
  <c r="DA51" i="5"/>
  <c r="CZ51" i="5"/>
  <c r="CY51" i="5"/>
  <c r="CX51" i="5"/>
  <c r="CV51" i="5"/>
  <c r="CT51" i="5"/>
  <c r="CS51" i="5"/>
  <c r="CR51" i="5"/>
  <c r="CQ51" i="5"/>
  <c r="CP51" i="5"/>
  <c r="CO51" i="5"/>
  <c r="CN51" i="5"/>
  <c r="CL51" i="5"/>
  <c r="CJ51" i="5"/>
  <c r="CI51" i="5"/>
  <c r="CH51" i="5"/>
  <c r="CK51" i="5" s="1"/>
  <c r="CG51" i="5"/>
  <c r="CF51" i="5"/>
  <c r="CE51" i="5"/>
  <c r="CD51" i="5"/>
  <c r="CC51" i="5"/>
  <c r="CB51" i="5"/>
  <c r="CA51" i="5"/>
  <c r="BZ51" i="5"/>
  <c r="BY51" i="5"/>
  <c r="BX51" i="5"/>
  <c r="BW51" i="5"/>
  <c r="BV51" i="5"/>
  <c r="BU51" i="5"/>
  <c r="BT51" i="5"/>
  <c r="BS51" i="5"/>
  <c r="BR51" i="5"/>
  <c r="BP51" i="5"/>
  <c r="BN51" i="5"/>
  <c r="BM51" i="5"/>
  <c r="BL51" i="5"/>
  <c r="BK51" i="5"/>
  <c r="BJ51" i="5"/>
  <c r="BI51" i="5"/>
  <c r="BH51" i="5"/>
  <c r="BG51" i="5"/>
  <c r="BF51" i="5"/>
  <c r="BE51" i="5"/>
  <c r="BD51" i="5"/>
  <c r="BC51" i="5"/>
  <c r="BB51" i="5"/>
  <c r="BA51" i="5"/>
  <c r="AZ51" i="5"/>
  <c r="AY51" i="5"/>
  <c r="AX51" i="5"/>
  <c r="AV51" i="5"/>
  <c r="AT51" i="5"/>
  <c r="AS51" i="5"/>
  <c r="AR51" i="5"/>
  <c r="AQ51" i="5"/>
  <c r="AP51" i="5"/>
  <c r="AO51" i="5"/>
  <c r="AN51" i="5"/>
  <c r="AM51" i="5"/>
  <c r="AL51" i="5"/>
  <c r="AJ51" i="5"/>
  <c r="AH51" i="5"/>
  <c r="AG51" i="5"/>
  <c r="AF51" i="5"/>
  <c r="AE51" i="5"/>
  <c r="AD51" i="5"/>
  <c r="AC51" i="5"/>
  <c r="AB51" i="5"/>
  <c r="AA51" i="5"/>
  <c r="Z51" i="5"/>
  <c r="X51" i="5"/>
  <c r="V51" i="5"/>
  <c r="U51" i="5"/>
  <c r="T51" i="5"/>
  <c r="R51" i="5"/>
  <c r="Q51" i="5"/>
  <c r="P51" i="5"/>
  <c r="O51" i="5"/>
  <c r="N51" i="5"/>
  <c r="M51" i="5"/>
  <c r="G51" i="5"/>
  <c r="F51" i="5"/>
  <c r="E51" i="5"/>
  <c r="S51" i="5" s="1"/>
  <c r="D51" i="5"/>
  <c r="DC50" i="5"/>
  <c r="DB50" i="5"/>
  <c r="DA50" i="5"/>
  <c r="CZ50" i="5"/>
  <c r="CY50" i="5"/>
  <c r="CX50" i="5"/>
  <c r="CV50" i="5"/>
  <c r="CT50" i="5"/>
  <c r="CS50" i="5"/>
  <c r="CR50" i="5"/>
  <c r="CQ50" i="5"/>
  <c r="CP50" i="5"/>
  <c r="CO50" i="5"/>
  <c r="CN50" i="5"/>
  <c r="CL50" i="5"/>
  <c r="CJ50" i="5"/>
  <c r="CI50" i="5"/>
  <c r="CH50" i="5"/>
  <c r="CK50" i="5" s="1"/>
  <c r="CG50" i="5"/>
  <c r="CF50" i="5"/>
  <c r="CE50" i="5"/>
  <c r="CD50" i="5"/>
  <c r="CC50" i="5"/>
  <c r="CB50" i="5"/>
  <c r="CA50" i="5"/>
  <c r="BZ50" i="5"/>
  <c r="BY50" i="5"/>
  <c r="BX50" i="5"/>
  <c r="BW50" i="5"/>
  <c r="BV50" i="5"/>
  <c r="BU50" i="5"/>
  <c r="BT50" i="5"/>
  <c r="BS50" i="5"/>
  <c r="BR50" i="5"/>
  <c r="BP50" i="5"/>
  <c r="BN50" i="5"/>
  <c r="BM50" i="5"/>
  <c r="BL50" i="5"/>
  <c r="BK50" i="5"/>
  <c r="BJ50" i="5"/>
  <c r="BI50" i="5"/>
  <c r="BH50" i="5"/>
  <c r="BG50" i="5"/>
  <c r="BF50" i="5"/>
  <c r="BE50" i="5"/>
  <c r="BD50" i="5"/>
  <c r="BC50" i="5"/>
  <c r="BB50" i="5"/>
  <c r="BA50" i="5"/>
  <c r="AZ50" i="5"/>
  <c r="AY50" i="5"/>
  <c r="AX50" i="5"/>
  <c r="AV50" i="5"/>
  <c r="AT50" i="5"/>
  <c r="AS50" i="5"/>
  <c r="AR50" i="5"/>
  <c r="AQ50" i="5"/>
  <c r="AP50" i="5"/>
  <c r="AO50" i="5"/>
  <c r="AN50" i="5"/>
  <c r="AM50" i="5"/>
  <c r="AL50" i="5"/>
  <c r="AJ50" i="5"/>
  <c r="AH50" i="5"/>
  <c r="AG50" i="5"/>
  <c r="AF50" i="5"/>
  <c r="AE50" i="5"/>
  <c r="AD50" i="5"/>
  <c r="AC50" i="5"/>
  <c r="AB50" i="5"/>
  <c r="AA50" i="5"/>
  <c r="Z50" i="5"/>
  <c r="X50" i="5"/>
  <c r="V50" i="5"/>
  <c r="U50" i="5"/>
  <c r="T50" i="5"/>
  <c r="R50" i="5"/>
  <c r="Q50" i="5"/>
  <c r="P50" i="5"/>
  <c r="O50" i="5"/>
  <c r="N50" i="5"/>
  <c r="M50" i="5"/>
  <c r="G50" i="5"/>
  <c r="F50" i="5"/>
  <c r="E50" i="5"/>
  <c r="S50" i="5" s="1"/>
  <c r="D50" i="5"/>
  <c r="DC49" i="5"/>
  <c r="DB49" i="5"/>
  <c r="DA49" i="5"/>
  <c r="CZ49" i="5"/>
  <c r="CY49" i="5"/>
  <c r="CX49" i="5"/>
  <c r="CV49" i="5"/>
  <c r="CT49" i="5"/>
  <c r="CS49" i="5"/>
  <c r="CW49" i="5" s="1"/>
  <c r="CR49" i="5"/>
  <c r="CU49" i="5" s="1"/>
  <c r="CQ49" i="5"/>
  <c r="CP49" i="5"/>
  <c r="CO49" i="5"/>
  <c r="CN49" i="5"/>
  <c r="CL49" i="5"/>
  <c r="CJ49" i="5"/>
  <c r="CI49" i="5"/>
  <c r="CH49" i="5"/>
  <c r="CK49" i="5" s="1"/>
  <c r="CG49" i="5"/>
  <c r="CF49" i="5"/>
  <c r="CE49" i="5"/>
  <c r="CD49" i="5"/>
  <c r="CC49" i="5"/>
  <c r="CB49" i="5"/>
  <c r="CA49" i="5"/>
  <c r="BZ49" i="5"/>
  <c r="BY49" i="5"/>
  <c r="BX49" i="5"/>
  <c r="BW49" i="5"/>
  <c r="BV49" i="5"/>
  <c r="BU49" i="5"/>
  <c r="BT49" i="5"/>
  <c r="BS49" i="5"/>
  <c r="BR49" i="5"/>
  <c r="BP49" i="5"/>
  <c r="BN49" i="5"/>
  <c r="BM49" i="5"/>
  <c r="BL49" i="5"/>
  <c r="BK49" i="5"/>
  <c r="BJ49" i="5"/>
  <c r="BI49" i="5"/>
  <c r="BH49" i="5"/>
  <c r="BG49" i="5"/>
  <c r="BF49" i="5"/>
  <c r="BE49" i="5"/>
  <c r="BD49" i="5"/>
  <c r="BC49" i="5"/>
  <c r="BB49" i="5"/>
  <c r="BA49" i="5"/>
  <c r="AZ49" i="5"/>
  <c r="AY49" i="5"/>
  <c r="AX49" i="5"/>
  <c r="AV49" i="5"/>
  <c r="AT49" i="5"/>
  <c r="AS49" i="5"/>
  <c r="AR49" i="5"/>
  <c r="AQ49" i="5"/>
  <c r="AP49" i="5"/>
  <c r="AO49" i="5"/>
  <c r="AN49" i="5"/>
  <c r="AM49" i="5"/>
  <c r="AL49" i="5"/>
  <c r="AJ49" i="5"/>
  <c r="AH49" i="5"/>
  <c r="AG49" i="5"/>
  <c r="AF49" i="5"/>
  <c r="AE49" i="5"/>
  <c r="AD49" i="5"/>
  <c r="AC49" i="5"/>
  <c r="AB49" i="5"/>
  <c r="AA49" i="5"/>
  <c r="Z49" i="5"/>
  <c r="X49" i="5"/>
  <c r="V49" i="5"/>
  <c r="U49" i="5"/>
  <c r="T49" i="5"/>
  <c r="R49" i="5"/>
  <c r="Q49" i="5"/>
  <c r="P49" i="5"/>
  <c r="O49" i="5"/>
  <c r="N49" i="5"/>
  <c r="M49" i="5"/>
  <c r="G49" i="5"/>
  <c r="F49" i="5"/>
  <c r="E49" i="5"/>
  <c r="D49" i="5"/>
  <c r="DC48" i="5"/>
  <c r="DB48" i="5"/>
  <c r="DA48" i="5"/>
  <c r="CZ48" i="5"/>
  <c r="CY48" i="5"/>
  <c r="CX48" i="5"/>
  <c r="CV48" i="5"/>
  <c r="CT48" i="5"/>
  <c r="CS48" i="5"/>
  <c r="CR48" i="5"/>
  <c r="CQ48" i="5"/>
  <c r="CP48" i="5"/>
  <c r="CO48" i="5"/>
  <c r="CN48" i="5"/>
  <c r="CL48" i="5"/>
  <c r="CJ48" i="5"/>
  <c r="CI48" i="5"/>
  <c r="CH48" i="5"/>
  <c r="CK48" i="5" s="1"/>
  <c r="CG48" i="5"/>
  <c r="CF48" i="5"/>
  <c r="CE48" i="5"/>
  <c r="CD48" i="5"/>
  <c r="CC48" i="5"/>
  <c r="CB48" i="5"/>
  <c r="CA48" i="5"/>
  <c r="BZ48" i="5"/>
  <c r="BY48" i="5"/>
  <c r="BX48" i="5"/>
  <c r="BW48" i="5"/>
  <c r="BV48" i="5"/>
  <c r="BU48" i="5"/>
  <c r="BT48" i="5"/>
  <c r="BS48" i="5"/>
  <c r="BR48" i="5"/>
  <c r="BP48" i="5"/>
  <c r="BN48" i="5"/>
  <c r="BM48" i="5"/>
  <c r="BL48" i="5"/>
  <c r="BK48" i="5"/>
  <c r="BJ48" i="5"/>
  <c r="BI48" i="5"/>
  <c r="BH48" i="5"/>
  <c r="BG48" i="5"/>
  <c r="BF48" i="5"/>
  <c r="BE48" i="5"/>
  <c r="BD48" i="5"/>
  <c r="BC48" i="5"/>
  <c r="BB48" i="5"/>
  <c r="BA48" i="5"/>
  <c r="AZ48" i="5"/>
  <c r="AY48" i="5"/>
  <c r="AX48" i="5"/>
  <c r="AV48" i="5"/>
  <c r="AT48" i="5"/>
  <c r="AS48" i="5"/>
  <c r="AR48" i="5"/>
  <c r="AQ48" i="5"/>
  <c r="AP48" i="5"/>
  <c r="AO48" i="5"/>
  <c r="AN48" i="5"/>
  <c r="AM48" i="5"/>
  <c r="AL48" i="5"/>
  <c r="AJ48" i="5"/>
  <c r="AH48" i="5"/>
  <c r="AG48" i="5"/>
  <c r="AF48" i="5"/>
  <c r="AE48" i="5"/>
  <c r="AD48" i="5"/>
  <c r="AC48" i="5"/>
  <c r="AB48" i="5"/>
  <c r="AA48" i="5"/>
  <c r="Z48" i="5"/>
  <c r="X48" i="5"/>
  <c r="V48" i="5"/>
  <c r="U48" i="5"/>
  <c r="T48" i="5"/>
  <c r="R48" i="5"/>
  <c r="Q48" i="5"/>
  <c r="P48" i="5"/>
  <c r="O48" i="5"/>
  <c r="N48" i="5"/>
  <c r="M48" i="5"/>
  <c r="G48" i="5"/>
  <c r="F48" i="5"/>
  <c r="E48" i="5"/>
  <c r="S48" i="5" s="1"/>
  <c r="D48" i="5"/>
  <c r="DC47" i="5"/>
  <c r="DB47" i="5"/>
  <c r="DA47" i="5"/>
  <c r="CZ47" i="5"/>
  <c r="CY47" i="5"/>
  <c r="CX47" i="5"/>
  <c r="CV47" i="5"/>
  <c r="CT47" i="5"/>
  <c r="CS47" i="5"/>
  <c r="CR47" i="5"/>
  <c r="CQ47" i="5"/>
  <c r="CP47" i="5"/>
  <c r="CO47" i="5"/>
  <c r="CN47" i="5"/>
  <c r="CL47" i="5"/>
  <c r="CJ47" i="5"/>
  <c r="CI47" i="5"/>
  <c r="CH47" i="5"/>
  <c r="CK47" i="5" s="1"/>
  <c r="CG47" i="5"/>
  <c r="CF47" i="5"/>
  <c r="CE47" i="5"/>
  <c r="CD47" i="5"/>
  <c r="CC47" i="5"/>
  <c r="CB47" i="5"/>
  <c r="CA47" i="5"/>
  <c r="BZ47" i="5"/>
  <c r="BY47" i="5"/>
  <c r="BX47" i="5"/>
  <c r="BW47" i="5"/>
  <c r="BV47" i="5"/>
  <c r="BU47" i="5"/>
  <c r="BT47" i="5"/>
  <c r="BS47" i="5"/>
  <c r="BR47" i="5"/>
  <c r="BP47" i="5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AV47" i="5"/>
  <c r="AT47" i="5"/>
  <c r="AS47" i="5"/>
  <c r="AR47" i="5"/>
  <c r="AQ47" i="5"/>
  <c r="AP47" i="5"/>
  <c r="AO47" i="5"/>
  <c r="AN47" i="5"/>
  <c r="AM47" i="5"/>
  <c r="AL47" i="5"/>
  <c r="AJ47" i="5"/>
  <c r="AH47" i="5"/>
  <c r="AG47" i="5"/>
  <c r="AF47" i="5"/>
  <c r="AE47" i="5"/>
  <c r="AD47" i="5"/>
  <c r="AC47" i="5"/>
  <c r="AB47" i="5"/>
  <c r="AA47" i="5"/>
  <c r="Z47" i="5"/>
  <c r="X47" i="5"/>
  <c r="V47" i="5"/>
  <c r="U47" i="5"/>
  <c r="T47" i="5"/>
  <c r="R47" i="5"/>
  <c r="Q47" i="5"/>
  <c r="P47" i="5"/>
  <c r="O47" i="5"/>
  <c r="N47" i="5"/>
  <c r="M47" i="5"/>
  <c r="G47" i="5"/>
  <c r="F47" i="5"/>
  <c r="E47" i="5"/>
  <c r="S47" i="5" s="1"/>
  <c r="D47" i="5"/>
  <c r="DC46" i="5"/>
  <c r="DB46" i="5"/>
  <c r="DA46" i="5"/>
  <c r="CZ46" i="5"/>
  <c r="CY46" i="5"/>
  <c r="CX46" i="5"/>
  <c r="CV46" i="5"/>
  <c r="CT46" i="5"/>
  <c r="CS46" i="5"/>
  <c r="CR46" i="5"/>
  <c r="CQ46" i="5"/>
  <c r="CP46" i="5"/>
  <c r="CO46" i="5"/>
  <c r="CN46" i="5"/>
  <c r="CL46" i="5"/>
  <c r="CJ46" i="5"/>
  <c r="CI46" i="5"/>
  <c r="CH46" i="5"/>
  <c r="CK46" i="5" s="1"/>
  <c r="CG46" i="5"/>
  <c r="CF46" i="5"/>
  <c r="CE46" i="5"/>
  <c r="CD46" i="5"/>
  <c r="CC46" i="5"/>
  <c r="CB46" i="5"/>
  <c r="CA46" i="5"/>
  <c r="BZ46" i="5"/>
  <c r="BY46" i="5"/>
  <c r="BX46" i="5"/>
  <c r="BW46" i="5"/>
  <c r="BV46" i="5"/>
  <c r="BU46" i="5"/>
  <c r="BT46" i="5"/>
  <c r="BS46" i="5"/>
  <c r="BR46" i="5"/>
  <c r="BP46" i="5"/>
  <c r="BN46" i="5"/>
  <c r="BM46" i="5"/>
  <c r="BL46" i="5"/>
  <c r="BK46" i="5"/>
  <c r="BJ46" i="5"/>
  <c r="BI46" i="5"/>
  <c r="BH46" i="5"/>
  <c r="BG46" i="5"/>
  <c r="BF46" i="5"/>
  <c r="BE46" i="5"/>
  <c r="BD46" i="5"/>
  <c r="BC46" i="5"/>
  <c r="BB46" i="5"/>
  <c r="BA46" i="5"/>
  <c r="AZ46" i="5"/>
  <c r="AY46" i="5"/>
  <c r="AX46" i="5"/>
  <c r="AV46" i="5"/>
  <c r="AT46" i="5"/>
  <c r="AS46" i="5"/>
  <c r="AR46" i="5"/>
  <c r="AQ46" i="5"/>
  <c r="AP46" i="5"/>
  <c r="AO46" i="5"/>
  <c r="AN46" i="5"/>
  <c r="AM46" i="5"/>
  <c r="AL46" i="5"/>
  <c r="AJ46" i="5"/>
  <c r="AH46" i="5"/>
  <c r="AG46" i="5"/>
  <c r="AF46" i="5"/>
  <c r="AE46" i="5"/>
  <c r="AD46" i="5"/>
  <c r="AC46" i="5"/>
  <c r="AB46" i="5"/>
  <c r="AA46" i="5"/>
  <c r="Z46" i="5"/>
  <c r="X46" i="5"/>
  <c r="V46" i="5"/>
  <c r="U46" i="5"/>
  <c r="T46" i="5"/>
  <c r="R46" i="5"/>
  <c r="Q46" i="5"/>
  <c r="P46" i="5"/>
  <c r="O46" i="5"/>
  <c r="N46" i="5"/>
  <c r="M46" i="5"/>
  <c r="G46" i="5"/>
  <c r="F46" i="5"/>
  <c r="E46" i="5"/>
  <c r="S46" i="5" s="1"/>
  <c r="D46" i="5"/>
  <c r="DC45" i="5"/>
  <c r="DB45" i="5"/>
  <c r="DA45" i="5"/>
  <c r="CZ45" i="5"/>
  <c r="CY45" i="5"/>
  <c r="CX45" i="5"/>
  <c r="CV45" i="5"/>
  <c r="CT45" i="5"/>
  <c r="CS45" i="5"/>
  <c r="CR45" i="5"/>
  <c r="CQ45" i="5"/>
  <c r="CP45" i="5"/>
  <c r="CO45" i="5"/>
  <c r="CN45" i="5"/>
  <c r="CL45" i="5"/>
  <c r="CJ45" i="5"/>
  <c r="CI45" i="5"/>
  <c r="CH45" i="5"/>
  <c r="CK45" i="5" s="1"/>
  <c r="CG45" i="5"/>
  <c r="CF45" i="5"/>
  <c r="CE45" i="5"/>
  <c r="CD45" i="5"/>
  <c r="CC45" i="5"/>
  <c r="CB45" i="5"/>
  <c r="CA45" i="5"/>
  <c r="BZ45" i="5"/>
  <c r="BY45" i="5"/>
  <c r="BX45" i="5"/>
  <c r="BW45" i="5"/>
  <c r="BV45" i="5"/>
  <c r="BU45" i="5"/>
  <c r="BT45" i="5"/>
  <c r="BS45" i="5"/>
  <c r="BR45" i="5"/>
  <c r="BP45" i="5"/>
  <c r="BN45" i="5"/>
  <c r="BM45" i="5"/>
  <c r="BL45" i="5"/>
  <c r="BK45" i="5"/>
  <c r="BJ45" i="5"/>
  <c r="BI45" i="5"/>
  <c r="BH45" i="5"/>
  <c r="BG45" i="5"/>
  <c r="BF45" i="5"/>
  <c r="BE45" i="5"/>
  <c r="BD45" i="5"/>
  <c r="BC45" i="5"/>
  <c r="BB45" i="5"/>
  <c r="BA45" i="5"/>
  <c r="AZ45" i="5"/>
  <c r="AY45" i="5"/>
  <c r="AX45" i="5"/>
  <c r="AV45" i="5"/>
  <c r="AT45" i="5"/>
  <c r="AS45" i="5"/>
  <c r="AR45" i="5"/>
  <c r="AQ45" i="5"/>
  <c r="AP45" i="5"/>
  <c r="AO45" i="5"/>
  <c r="AN45" i="5"/>
  <c r="AM45" i="5"/>
  <c r="AL45" i="5"/>
  <c r="AJ45" i="5"/>
  <c r="AH45" i="5"/>
  <c r="AG45" i="5"/>
  <c r="AF45" i="5"/>
  <c r="AE45" i="5"/>
  <c r="AD45" i="5"/>
  <c r="AC45" i="5"/>
  <c r="AB45" i="5"/>
  <c r="AA45" i="5"/>
  <c r="Z45" i="5"/>
  <c r="X45" i="5"/>
  <c r="V45" i="5"/>
  <c r="U45" i="5"/>
  <c r="T45" i="5"/>
  <c r="R45" i="5"/>
  <c r="Q45" i="5"/>
  <c r="P45" i="5"/>
  <c r="O45" i="5"/>
  <c r="N45" i="5"/>
  <c r="M45" i="5"/>
  <c r="G45" i="5"/>
  <c r="F45" i="5"/>
  <c r="E45" i="5"/>
  <c r="S45" i="5" s="1"/>
  <c r="D45" i="5"/>
  <c r="DC44" i="5"/>
  <c r="DB44" i="5"/>
  <c r="DA44" i="5"/>
  <c r="CZ44" i="5"/>
  <c r="CY44" i="5"/>
  <c r="CX44" i="5"/>
  <c r="CV44" i="5"/>
  <c r="CT44" i="5"/>
  <c r="CS44" i="5"/>
  <c r="CR44" i="5"/>
  <c r="CQ44" i="5"/>
  <c r="CP44" i="5"/>
  <c r="CO44" i="5"/>
  <c r="CN44" i="5"/>
  <c r="CL44" i="5"/>
  <c r="CJ44" i="5"/>
  <c r="CI44" i="5"/>
  <c r="CH44" i="5"/>
  <c r="CK44" i="5" s="1"/>
  <c r="CG44" i="5"/>
  <c r="CF44" i="5"/>
  <c r="CE44" i="5"/>
  <c r="CD44" i="5"/>
  <c r="CC44" i="5"/>
  <c r="CB44" i="5"/>
  <c r="CA44" i="5"/>
  <c r="BZ44" i="5"/>
  <c r="BY44" i="5"/>
  <c r="BX44" i="5"/>
  <c r="BW44" i="5"/>
  <c r="BV44" i="5"/>
  <c r="BU44" i="5"/>
  <c r="BT44" i="5"/>
  <c r="BS44" i="5"/>
  <c r="BR44" i="5"/>
  <c r="BP44" i="5"/>
  <c r="BN44" i="5"/>
  <c r="BM44" i="5"/>
  <c r="BL44" i="5"/>
  <c r="BK44" i="5"/>
  <c r="BJ44" i="5"/>
  <c r="BI44" i="5"/>
  <c r="BH44" i="5"/>
  <c r="BG44" i="5"/>
  <c r="BF44" i="5"/>
  <c r="BE44" i="5"/>
  <c r="BD44" i="5"/>
  <c r="BC44" i="5"/>
  <c r="BB44" i="5"/>
  <c r="BA44" i="5"/>
  <c r="AZ44" i="5"/>
  <c r="AY44" i="5"/>
  <c r="AX44" i="5"/>
  <c r="AV44" i="5"/>
  <c r="AT44" i="5"/>
  <c r="AS44" i="5"/>
  <c r="AR44" i="5"/>
  <c r="AQ44" i="5"/>
  <c r="AP44" i="5"/>
  <c r="AO44" i="5"/>
  <c r="AN44" i="5"/>
  <c r="AM44" i="5"/>
  <c r="AL44" i="5"/>
  <c r="AJ44" i="5"/>
  <c r="AH44" i="5"/>
  <c r="AG44" i="5"/>
  <c r="AF44" i="5"/>
  <c r="AE44" i="5"/>
  <c r="AD44" i="5"/>
  <c r="AC44" i="5"/>
  <c r="AB44" i="5"/>
  <c r="AA44" i="5"/>
  <c r="Z44" i="5"/>
  <c r="X44" i="5"/>
  <c r="V44" i="5"/>
  <c r="U44" i="5"/>
  <c r="T44" i="5"/>
  <c r="R44" i="5"/>
  <c r="Q44" i="5"/>
  <c r="P44" i="5"/>
  <c r="O44" i="5"/>
  <c r="N44" i="5"/>
  <c r="M44" i="5"/>
  <c r="G44" i="5"/>
  <c r="F44" i="5"/>
  <c r="E44" i="5"/>
  <c r="S44" i="5" s="1"/>
  <c r="D44" i="5"/>
  <c r="DC43" i="5"/>
  <c r="DB43" i="5"/>
  <c r="DA43" i="5"/>
  <c r="CZ43" i="5"/>
  <c r="CY43" i="5"/>
  <c r="CX43" i="5"/>
  <c r="CV43" i="5"/>
  <c r="CT43" i="5"/>
  <c r="CS43" i="5"/>
  <c r="CR43" i="5"/>
  <c r="CQ43" i="5"/>
  <c r="CP43" i="5"/>
  <c r="CO43" i="5"/>
  <c r="CN43" i="5"/>
  <c r="CL43" i="5"/>
  <c r="CJ43" i="5"/>
  <c r="CI43" i="5"/>
  <c r="CH43" i="5"/>
  <c r="CK43" i="5" s="1"/>
  <c r="CG43" i="5"/>
  <c r="CF43" i="5"/>
  <c r="CE43" i="5"/>
  <c r="CD43" i="5"/>
  <c r="CC43" i="5"/>
  <c r="CB43" i="5"/>
  <c r="CA43" i="5"/>
  <c r="BZ43" i="5"/>
  <c r="BY43" i="5"/>
  <c r="BX43" i="5"/>
  <c r="BW43" i="5"/>
  <c r="BV43" i="5"/>
  <c r="BU43" i="5"/>
  <c r="BT43" i="5"/>
  <c r="BS43" i="5"/>
  <c r="BR43" i="5"/>
  <c r="BP43" i="5"/>
  <c r="BN43" i="5"/>
  <c r="BM43" i="5"/>
  <c r="BL43" i="5"/>
  <c r="BK43" i="5"/>
  <c r="BJ43" i="5"/>
  <c r="BI43" i="5"/>
  <c r="BH43" i="5"/>
  <c r="BG43" i="5"/>
  <c r="BF43" i="5"/>
  <c r="BE43" i="5"/>
  <c r="BD43" i="5"/>
  <c r="BC43" i="5"/>
  <c r="BB43" i="5"/>
  <c r="BA43" i="5"/>
  <c r="AZ43" i="5"/>
  <c r="AY43" i="5"/>
  <c r="AX43" i="5"/>
  <c r="AV43" i="5"/>
  <c r="AT43" i="5"/>
  <c r="AS43" i="5"/>
  <c r="AR43" i="5"/>
  <c r="AQ43" i="5"/>
  <c r="AP43" i="5"/>
  <c r="AO43" i="5"/>
  <c r="AN43" i="5"/>
  <c r="AM43" i="5"/>
  <c r="AL43" i="5"/>
  <c r="AJ43" i="5"/>
  <c r="AH43" i="5"/>
  <c r="AG43" i="5"/>
  <c r="AF43" i="5"/>
  <c r="AE43" i="5"/>
  <c r="AD43" i="5"/>
  <c r="AC43" i="5"/>
  <c r="AB43" i="5"/>
  <c r="AA43" i="5"/>
  <c r="Z43" i="5"/>
  <c r="X43" i="5"/>
  <c r="V43" i="5"/>
  <c r="U43" i="5"/>
  <c r="T43" i="5"/>
  <c r="R43" i="5"/>
  <c r="Q43" i="5"/>
  <c r="P43" i="5"/>
  <c r="O43" i="5"/>
  <c r="N43" i="5"/>
  <c r="M43" i="5"/>
  <c r="G43" i="5"/>
  <c r="F43" i="5"/>
  <c r="E43" i="5"/>
  <c r="S43" i="5" s="1"/>
  <c r="D43" i="5"/>
  <c r="DC42" i="5"/>
  <c r="DB42" i="5"/>
  <c r="DA42" i="5"/>
  <c r="CZ42" i="5"/>
  <c r="CY42" i="5"/>
  <c r="CX42" i="5"/>
  <c r="CV42" i="5"/>
  <c r="CT42" i="5"/>
  <c r="CS42" i="5"/>
  <c r="CR42" i="5"/>
  <c r="CQ42" i="5"/>
  <c r="CP42" i="5"/>
  <c r="CO42" i="5"/>
  <c r="CN42" i="5"/>
  <c r="CL42" i="5"/>
  <c r="CJ42" i="5"/>
  <c r="CI42" i="5"/>
  <c r="CH42" i="5"/>
  <c r="CK42" i="5" s="1"/>
  <c r="CG42" i="5"/>
  <c r="CF42" i="5"/>
  <c r="CE42" i="5"/>
  <c r="CD42" i="5"/>
  <c r="CC42" i="5"/>
  <c r="CB42" i="5"/>
  <c r="CA42" i="5"/>
  <c r="BZ42" i="5"/>
  <c r="BY42" i="5"/>
  <c r="BX42" i="5"/>
  <c r="BW42" i="5"/>
  <c r="BV42" i="5"/>
  <c r="BU42" i="5"/>
  <c r="BT42" i="5"/>
  <c r="BS42" i="5"/>
  <c r="BR42" i="5"/>
  <c r="BP42" i="5"/>
  <c r="BN42" i="5"/>
  <c r="BM42" i="5"/>
  <c r="BL42" i="5"/>
  <c r="BK42" i="5"/>
  <c r="BJ42" i="5"/>
  <c r="BI42" i="5"/>
  <c r="BH42" i="5"/>
  <c r="BG42" i="5"/>
  <c r="BF42" i="5"/>
  <c r="BE42" i="5"/>
  <c r="BD42" i="5"/>
  <c r="BC42" i="5"/>
  <c r="BB42" i="5"/>
  <c r="BA42" i="5"/>
  <c r="AZ42" i="5"/>
  <c r="AY42" i="5"/>
  <c r="AX42" i="5"/>
  <c r="AV42" i="5"/>
  <c r="AT42" i="5"/>
  <c r="AS42" i="5"/>
  <c r="AR42" i="5"/>
  <c r="AQ42" i="5"/>
  <c r="AP42" i="5"/>
  <c r="AO42" i="5"/>
  <c r="AN42" i="5"/>
  <c r="AM42" i="5"/>
  <c r="AL42" i="5"/>
  <c r="AJ42" i="5"/>
  <c r="AH42" i="5"/>
  <c r="AG42" i="5"/>
  <c r="AF42" i="5"/>
  <c r="AE42" i="5"/>
  <c r="AD42" i="5"/>
  <c r="AC42" i="5"/>
  <c r="AB42" i="5"/>
  <c r="AA42" i="5"/>
  <c r="Z42" i="5"/>
  <c r="X42" i="5"/>
  <c r="V42" i="5"/>
  <c r="U42" i="5"/>
  <c r="T42" i="5"/>
  <c r="R42" i="5"/>
  <c r="Q42" i="5"/>
  <c r="P42" i="5"/>
  <c r="O42" i="5"/>
  <c r="N42" i="5"/>
  <c r="M42" i="5"/>
  <c r="G42" i="5"/>
  <c r="F42" i="5"/>
  <c r="E42" i="5"/>
  <c r="S42" i="5" s="1"/>
  <c r="D42" i="5"/>
  <c r="DC41" i="5"/>
  <c r="DB41" i="5"/>
  <c r="DA41" i="5"/>
  <c r="CZ41" i="5"/>
  <c r="CY41" i="5"/>
  <c r="CX41" i="5"/>
  <c r="CV41" i="5"/>
  <c r="CT41" i="5"/>
  <c r="CS41" i="5"/>
  <c r="CW41" i="5" s="1"/>
  <c r="CR41" i="5"/>
  <c r="CU41" i="5" s="1"/>
  <c r="CQ41" i="5"/>
  <c r="CP41" i="5"/>
  <c r="CO41" i="5"/>
  <c r="CN41" i="5"/>
  <c r="CL41" i="5"/>
  <c r="CJ41" i="5"/>
  <c r="CI41" i="5"/>
  <c r="CH41" i="5"/>
  <c r="CK41" i="5" s="1"/>
  <c r="CG41" i="5"/>
  <c r="CF41" i="5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P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V41" i="5"/>
  <c r="AT41" i="5"/>
  <c r="AS41" i="5"/>
  <c r="AR41" i="5"/>
  <c r="AQ41" i="5"/>
  <c r="AP41" i="5"/>
  <c r="AO41" i="5"/>
  <c r="AN41" i="5"/>
  <c r="AM41" i="5"/>
  <c r="AL41" i="5"/>
  <c r="AJ41" i="5"/>
  <c r="AH41" i="5"/>
  <c r="AG41" i="5"/>
  <c r="AF41" i="5"/>
  <c r="AE41" i="5"/>
  <c r="AD41" i="5"/>
  <c r="AC41" i="5"/>
  <c r="AB41" i="5"/>
  <c r="AA41" i="5"/>
  <c r="Z41" i="5"/>
  <c r="X41" i="5"/>
  <c r="V41" i="5"/>
  <c r="U41" i="5"/>
  <c r="T41" i="5"/>
  <c r="R41" i="5"/>
  <c r="Q41" i="5"/>
  <c r="P41" i="5"/>
  <c r="O41" i="5"/>
  <c r="N41" i="5"/>
  <c r="M41" i="5"/>
  <c r="G41" i="5"/>
  <c r="F41" i="5"/>
  <c r="E41" i="5"/>
  <c r="S41" i="5" s="1"/>
  <c r="D41" i="5"/>
  <c r="DC40" i="5"/>
  <c r="DB40" i="5"/>
  <c r="DA40" i="5"/>
  <c r="CZ40" i="5"/>
  <c r="CY40" i="5"/>
  <c r="CX40" i="5"/>
  <c r="CV40" i="5"/>
  <c r="CT40" i="5"/>
  <c r="CS40" i="5"/>
  <c r="CR40" i="5"/>
  <c r="CQ40" i="5"/>
  <c r="CP40" i="5"/>
  <c r="CO40" i="5"/>
  <c r="CN40" i="5"/>
  <c r="CL40" i="5"/>
  <c r="CJ40" i="5"/>
  <c r="CI40" i="5"/>
  <c r="CH40" i="5"/>
  <c r="CK40" i="5" s="1"/>
  <c r="CG40" i="5"/>
  <c r="CF40" i="5"/>
  <c r="CE40" i="5"/>
  <c r="CD40" i="5"/>
  <c r="CC40" i="5"/>
  <c r="CB40" i="5"/>
  <c r="CA40" i="5"/>
  <c r="BZ40" i="5"/>
  <c r="BY40" i="5"/>
  <c r="BX40" i="5"/>
  <c r="BW40" i="5"/>
  <c r="BV40" i="5"/>
  <c r="BU40" i="5"/>
  <c r="BT40" i="5"/>
  <c r="BS40" i="5"/>
  <c r="BR40" i="5"/>
  <c r="BP40" i="5"/>
  <c r="BN40" i="5"/>
  <c r="BM40" i="5"/>
  <c r="BL40" i="5"/>
  <c r="BK40" i="5"/>
  <c r="BJ40" i="5"/>
  <c r="BI40" i="5"/>
  <c r="BH40" i="5"/>
  <c r="BG40" i="5"/>
  <c r="BF40" i="5"/>
  <c r="BE40" i="5"/>
  <c r="BD40" i="5"/>
  <c r="BC40" i="5"/>
  <c r="BB40" i="5"/>
  <c r="BA40" i="5"/>
  <c r="AZ40" i="5"/>
  <c r="AY40" i="5"/>
  <c r="AX40" i="5"/>
  <c r="AV40" i="5"/>
  <c r="AT40" i="5"/>
  <c r="AS40" i="5"/>
  <c r="AR40" i="5"/>
  <c r="AQ40" i="5"/>
  <c r="AP40" i="5"/>
  <c r="AO40" i="5"/>
  <c r="AN40" i="5"/>
  <c r="AM40" i="5"/>
  <c r="AL40" i="5"/>
  <c r="AJ40" i="5"/>
  <c r="AH40" i="5"/>
  <c r="AG40" i="5"/>
  <c r="AF40" i="5"/>
  <c r="AE40" i="5"/>
  <c r="AD40" i="5"/>
  <c r="AC40" i="5"/>
  <c r="AB40" i="5"/>
  <c r="AA40" i="5"/>
  <c r="Z40" i="5"/>
  <c r="X40" i="5"/>
  <c r="V40" i="5"/>
  <c r="U40" i="5"/>
  <c r="T40" i="5"/>
  <c r="R40" i="5"/>
  <c r="Q40" i="5"/>
  <c r="P40" i="5"/>
  <c r="O40" i="5"/>
  <c r="N40" i="5"/>
  <c r="M40" i="5"/>
  <c r="G40" i="5"/>
  <c r="F40" i="5"/>
  <c r="E40" i="5"/>
  <c r="S40" i="5" s="1"/>
  <c r="D40" i="5"/>
  <c r="DC39" i="5"/>
  <c r="DB39" i="5"/>
  <c r="DA39" i="5"/>
  <c r="CZ39" i="5"/>
  <c r="CY39" i="5"/>
  <c r="CX39" i="5"/>
  <c r="CV39" i="5"/>
  <c r="CT39" i="5"/>
  <c r="CS39" i="5"/>
  <c r="CW39" i="5" s="1"/>
  <c r="CR39" i="5"/>
  <c r="CU39" i="5" s="1"/>
  <c r="CQ39" i="5"/>
  <c r="CP39" i="5"/>
  <c r="CO39" i="5"/>
  <c r="CN39" i="5"/>
  <c r="CL39" i="5"/>
  <c r="CJ39" i="5"/>
  <c r="CI39" i="5"/>
  <c r="CH39" i="5"/>
  <c r="CK39" i="5" s="1"/>
  <c r="CG39" i="5"/>
  <c r="CF39" i="5"/>
  <c r="CE39" i="5"/>
  <c r="CD39" i="5"/>
  <c r="CC39" i="5"/>
  <c r="CB39" i="5"/>
  <c r="CA39" i="5"/>
  <c r="BZ39" i="5"/>
  <c r="BY39" i="5"/>
  <c r="BX39" i="5"/>
  <c r="BW39" i="5"/>
  <c r="BV39" i="5"/>
  <c r="BU39" i="5"/>
  <c r="BT39" i="5"/>
  <c r="BS39" i="5"/>
  <c r="BR39" i="5"/>
  <c r="BP39" i="5"/>
  <c r="BN39" i="5"/>
  <c r="BM39" i="5"/>
  <c r="BL39" i="5"/>
  <c r="BK39" i="5"/>
  <c r="BJ39" i="5"/>
  <c r="BI39" i="5"/>
  <c r="BH39" i="5"/>
  <c r="BG39" i="5"/>
  <c r="BF39" i="5"/>
  <c r="BE39" i="5"/>
  <c r="BD39" i="5"/>
  <c r="BC39" i="5"/>
  <c r="BB39" i="5"/>
  <c r="BA39" i="5"/>
  <c r="AZ39" i="5"/>
  <c r="AY39" i="5"/>
  <c r="AX39" i="5"/>
  <c r="AV39" i="5"/>
  <c r="AT39" i="5"/>
  <c r="AS39" i="5"/>
  <c r="AR39" i="5"/>
  <c r="AQ39" i="5"/>
  <c r="AP39" i="5"/>
  <c r="AO39" i="5"/>
  <c r="AN39" i="5"/>
  <c r="AM39" i="5"/>
  <c r="AL39" i="5"/>
  <c r="AJ39" i="5"/>
  <c r="AH39" i="5"/>
  <c r="AG39" i="5"/>
  <c r="AF39" i="5"/>
  <c r="AE39" i="5"/>
  <c r="AD39" i="5"/>
  <c r="AC39" i="5"/>
  <c r="AB39" i="5"/>
  <c r="AA39" i="5"/>
  <c r="Z39" i="5"/>
  <c r="X39" i="5"/>
  <c r="V39" i="5"/>
  <c r="U39" i="5"/>
  <c r="T39" i="5"/>
  <c r="R39" i="5"/>
  <c r="Q39" i="5"/>
  <c r="P39" i="5"/>
  <c r="O39" i="5"/>
  <c r="N39" i="5"/>
  <c r="M39" i="5"/>
  <c r="G39" i="5"/>
  <c r="F39" i="5"/>
  <c r="E39" i="5"/>
  <c r="S39" i="5" s="1"/>
  <c r="D39" i="5"/>
  <c r="DC38" i="5"/>
  <c r="DB38" i="5"/>
  <c r="DA38" i="5"/>
  <c r="CZ38" i="5"/>
  <c r="CY38" i="5"/>
  <c r="CX38" i="5"/>
  <c r="CV38" i="5"/>
  <c r="CT38" i="5"/>
  <c r="CS38" i="5"/>
  <c r="CR38" i="5"/>
  <c r="CQ38" i="5"/>
  <c r="CP38" i="5"/>
  <c r="CO38" i="5"/>
  <c r="CN38" i="5"/>
  <c r="CL38" i="5"/>
  <c r="CJ38" i="5"/>
  <c r="CI38" i="5"/>
  <c r="CH38" i="5"/>
  <c r="CK38" i="5" s="1"/>
  <c r="CG38" i="5"/>
  <c r="CF38" i="5"/>
  <c r="CE38" i="5"/>
  <c r="CD38" i="5"/>
  <c r="CC38" i="5"/>
  <c r="CB38" i="5"/>
  <c r="CA38" i="5"/>
  <c r="BZ38" i="5"/>
  <c r="BY38" i="5"/>
  <c r="BX38" i="5"/>
  <c r="BW38" i="5"/>
  <c r="BV38" i="5"/>
  <c r="BU38" i="5"/>
  <c r="BT38" i="5"/>
  <c r="BS38" i="5"/>
  <c r="BR38" i="5"/>
  <c r="BP38" i="5"/>
  <c r="BN38" i="5"/>
  <c r="BM38" i="5"/>
  <c r="BL38" i="5"/>
  <c r="BK38" i="5"/>
  <c r="BJ38" i="5"/>
  <c r="BI38" i="5"/>
  <c r="BH38" i="5"/>
  <c r="BG38" i="5"/>
  <c r="BF38" i="5"/>
  <c r="BE38" i="5"/>
  <c r="BD38" i="5"/>
  <c r="BC38" i="5"/>
  <c r="BB38" i="5"/>
  <c r="BA38" i="5"/>
  <c r="AZ38" i="5"/>
  <c r="AY38" i="5"/>
  <c r="AX38" i="5"/>
  <c r="AV38" i="5"/>
  <c r="AT38" i="5"/>
  <c r="AS38" i="5"/>
  <c r="AR38" i="5"/>
  <c r="AQ38" i="5"/>
  <c r="AP38" i="5"/>
  <c r="AO38" i="5"/>
  <c r="AN38" i="5"/>
  <c r="AM38" i="5"/>
  <c r="AL38" i="5"/>
  <c r="AJ38" i="5"/>
  <c r="AH38" i="5"/>
  <c r="AG38" i="5"/>
  <c r="AF38" i="5"/>
  <c r="AE38" i="5"/>
  <c r="AD38" i="5"/>
  <c r="AC38" i="5"/>
  <c r="AB38" i="5"/>
  <c r="AA38" i="5"/>
  <c r="Z38" i="5"/>
  <c r="X38" i="5"/>
  <c r="V38" i="5"/>
  <c r="U38" i="5"/>
  <c r="T38" i="5"/>
  <c r="R38" i="5"/>
  <c r="Q38" i="5"/>
  <c r="P38" i="5"/>
  <c r="O38" i="5"/>
  <c r="N38" i="5"/>
  <c r="M38" i="5"/>
  <c r="G38" i="5"/>
  <c r="F38" i="5"/>
  <c r="E38" i="5"/>
  <c r="S38" i="5" s="1"/>
  <c r="D38" i="5"/>
  <c r="DC37" i="5"/>
  <c r="DB37" i="5"/>
  <c r="DA37" i="5"/>
  <c r="CZ37" i="5"/>
  <c r="CY37" i="5"/>
  <c r="CX37" i="5"/>
  <c r="CV37" i="5"/>
  <c r="CT37" i="5"/>
  <c r="CS37" i="5"/>
  <c r="CR37" i="5"/>
  <c r="CQ37" i="5"/>
  <c r="CP37" i="5"/>
  <c r="CO37" i="5"/>
  <c r="CN37" i="5"/>
  <c r="CL37" i="5"/>
  <c r="CJ37" i="5"/>
  <c r="CI37" i="5"/>
  <c r="CH37" i="5"/>
  <c r="CK37" i="5" s="1"/>
  <c r="CG37" i="5"/>
  <c r="CF37" i="5"/>
  <c r="CE37" i="5"/>
  <c r="CD37" i="5"/>
  <c r="CC37" i="5"/>
  <c r="CB37" i="5"/>
  <c r="CA37" i="5"/>
  <c r="BZ37" i="5"/>
  <c r="BY37" i="5"/>
  <c r="BX37" i="5"/>
  <c r="BW37" i="5"/>
  <c r="BV37" i="5"/>
  <c r="BU37" i="5"/>
  <c r="BT37" i="5"/>
  <c r="BS37" i="5"/>
  <c r="BR37" i="5"/>
  <c r="BP37" i="5"/>
  <c r="BN37" i="5"/>
  <c r="BM37" i="5"/>
  <c r="BL37" i="5"/>
  <c r="BK37" i="5"/>
  <c r="BJ37" i="5"/>
  <c r="BI37" i="5"/>
  <c r="BH37" i="5"/>
  <c r="BG37" i="5"/>
  <c r="BF37" i="5"/>
  <c r="BE37" i="5"/>
  <c r="BD37" i="5"/>
  <c r="BC37" i="5"/>
  <c r="BB37" i="5"/>
  <c r="BA37" i="5"/>
  <c r="AZ37" i="5"/>
  <c r="AY37" i="5"/>
  <c r="AX37" i="5"/>
  <c r="AV37" i="5"/>
  <c r="AT37" i="5"/>
  <c r="AS37" i="5"/>
  <c r="AR37" i="5"/>
  <c r="AQ37" i="5"/>
  <c r="AP37" i="5"/>
  <c r="AO37" i="5"/>
  <c r="AN37" i="5"/>
  <c r="AM37" i="5"/>
  <c r="AL37" i="5"/>
  <c r="AJ37" i="5"/>
  <c r="AH37" i="5"/>
  <c r="AG37" i="5"/>
  <c r="AF37" i="5"/>
  <c r="AE37" i="5"/>
  <c r="AD37" i="5"/>
  <c r="AC37" i="5"/>
  <c r="AB37" i="5"/>
  <c r="AA37" i="5"/>
  <c r="Z37" i="5"/>
  <c r="X37" i="5"/>
  <c r="V37" i="5"/>
  <c r="U37" i="5"/>
  <c r="T37" i="5"/>
  <c r="R37" i="5"/>
  <c r="Q37" i="5"/>
  <c r="P37" i="5"/>
  <c r="O37" i="5"/>
  <c r="N37" i="5"/>
  <c r="M37" i="5"/>
  <c r="G37" i="5"/>
  <c r="F37" i="5"/>
  <c r="E37" i="5"/>
  <c r="S37" i="5" s="1"/>
  <c r="D37" i="5"/>
  <c r="DC36" i="5"/>
  <c r="DB36" i="5"/>
  <c r="DA36" i="5"/>
  <c r="CZ36" i="5"/>
  <c r="CY36" i="5"/>
  <c r="CX36" i="5"/>
  <c r="CV36" i="5"/>
  <c r="CT36" i="5"/>
  <c r="CS36" i="5"/>
  <c r="CR36" i="5"/>
  <c r="CQ36" i="5"/>
  <c r="CP36" i="5"/>
  <c r="CO36" i="5"/>
  <c r="CN36" i="5"/>
  <c r="CL36" i="5"/>
  <c r="CJ36" i="5"/>
  <c r="CI36" i="5"/>
  <c r="CH36" i="5"/>
  <c r="CK36" i="5" s="1"/>
  <c r="CG36" i="5"/>
  <c r="CF36" i="5"/>
  <c r="CE36" i="5"/>
  <c r="CD36" i="5"/>
  <c r="CC36" i="5"/>
  <c r="CB36" i="5"/>
  <c r="CA36" i="5"/>
  <c r="BZ36" i="5"/>
  <c r="BY36" i="5"/>
  <c r="BX36" i="5"/>
  <c r="BW36" i="5"/>
  <c r="BV36" i="5"/>
  <c r="BU36" i="5"/>
  <c r="BT36" i="5"/>
  <c r="BS36" i="5"/>
  <c r="BR36" i="5"/>
  <c r="BP36" i="5"/>
  <c r="BN36" i="5"/>
  <c r="BM36" i="5"/>
  <c r="BL36" i="5"/>
  <c r="BK36" i="5"/>
  <c r="BJ36" i="5"/>
  <c r="BI36" i="5"/>
  <c r="BH36" i="5"/>
  <c r="BG36" i="5"/>
  <c r="BF36" i="5"/>
  <c r="BE36" i="5"/>
  <c r="BD36" i="5"/>
  <c r="BC36" i="5"/>
  <c r="BB36" i="5"/>
  <c r="BA36" i="5"/>
  <c r="AZ36" i="5"/>
  <c r="AY36" i="5"/>
  <c r="AX36" i="5"/>
  <c r="AV36" i="5"/>
  <c r="AT36" i="5"/>
  <c r="AS36" i="5"/>
  <c r="AR36" i="5"/>
  <c r="AQ36" i="5"/>
  <c r="AP36" i="5"/>
  <c r="AO36" i="5"/>
  <c r="AN36" i="5"/>
  <c r="AM36" i="5"/>
  <c r="AL36" i="5"/>
  <c r="AJ36" i="5"/>
  <c r="AH36" i="5"/>
  <c r="AG36" i="5"/>
  <c r="AF36" i="5"/>
  <c r="AE36" i="5"/>
  <c r="AD36" i="5"/>
  <c r="AC36" i="5"/>
  <c r="AB36" i="5"/>
  <c r="AA36" i="5"/>
  <c r="Z36" i="5"/>
  <c r="X36" i="5"/>
  <c r="V36" i="5"/>
  <c r="U36" i="5"/>
  <c r="T36" i="5"/>
  <c r="R36" i="5"/>
  <c r="Q36" i="5"/>
  <c r="P36" i="5"/>
  <c r="O36" i="5"/>
  <c r="N36" i="5"/>
  <c r="M36" i="5"/>
  <c r="G36" i="5"/>
  <c r="F36" i="5"/>
  <c r="E36" i="5"/>
  <c r="S36" i="5" s="1"/>
  <c r="D36" i="5"/>
  <c r="DC35" i="5"/>
  <c r="DB35" i="5"/>
  <c r="DA35" i="5"/>
  <c r="CZ35" i="5"/>
  <c r="CY35" i="5"/>
  <c r="CX35" i="5"/>
  <c r="CV35" i="5"/>
  <c r="CT35" i="5"/>
  <c r="CS35" i="5"/>
  <c r="CR35" i="5"/>
  <c r="CQ35" i="5"/>
  <c r="CP35" i="5"/>
  <c r="CO35" i="5"/>
  <c r="CN35" i="5"/>
  <c r="CL35" i="5"/>
  <c r="CJ35" i="5"/>
  <c r="CI35" i="5"/>
  <c r="CH35" i="5"/>
  <c r="CK35" i="5" s="1"/>
  <c r="CG35" i="5"/>
  <c r="CF35" i="5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P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V35" i="5"/>
  <c r="AT35" i="5"/>
  <c r="AS35" i="5"/>
  <c r="AR35" i="5"/>
  <c r="AQ35" i="5"/>
  <c r="AP35" i="5"/>
  <c r="AO35" i="5"/>
  <c r="AN35" i="5"/>
  <c r="AM35" i="5"/>
  <c r="AL35" i="5"/>
  <c r="AJ35" i="5"/>
  <c r="AH35" i="5"/>
  <c r="AG35" i="5"/>
  <c r="AF35" i="5"/>
  <c r="AE35" i="5"/>
  <c r="AD35" i="5"/>
  <c r="AC35" i="5"/>
  <c r="AB35" i="5"/>
  <c r="AA35" i="5"/>
  <c r="Z35" i="5"/>
  <c r="X35" i="5"/>
  <c r="V35" i="5"/>
  <c r="U35" i="5"/>
  <c r="T35" i="5"/>
  <c r="R35" i="5"/>
  <c r="Q35" i="5"/>
  <c r="P35" i="5"/>
  <c r="O35" i="5"/>
  <c r="N35" i="5"/>
  <c r="M35" i="5"/>
  <c r="G35" i="5"/>
  <c r="F35" i="5"/>
  <c r="E35" i="5"/>
  <c r="S35" i="5" s="1"/>
  <c r="D35" i="5"/>
  <c r="DC34" i="5"/>
  <c r="DB34" i="5"/>
  <c r="DA34" i="5"/>
  <c r="CZ34" i="5"/>
  <c r="CY34" i="5"/>
  <c r="CX34" i="5"/>
  <c r="CV34" i="5"/>
  <c r="CT34" i="5"/>
  <c r="CS34" i="5"/>
  <c r="CR34" i="5"/>
  <c r="CQ34" i="5"/>
  <c r="CP34" i="5"/>
  <c r="CO34" i="5"/>
  <c r="CN34" i="5"/>
  <c r="CL34" i="5"/>
  <c r="CJ34" i="5"/>
  <c r="CI34" i="5"/>
  <c r="CH34" i="5"/>
  <c r="CK34" i="5" s="1"/>
  <c r="CG34" i="5"/>
  <c r="CF34" i="5"/>
  <c r="CE34" i="5"/>
  <c r="CD34" i="5"/>
  <c r="CC34" i="5"/>
  <c r="CB34" i="5"/>
  <c r="CA34" i="5"/>
  <c r="BZ34" i="5"/>
  <c r="BY34" i="5"/>
  <c r="BX34" i="5"/>
  <c r="BW34" i="5"/>
  <c r="BV34" i="5"/>
  <c r="BU34" i="5"/>
  <c r="BT34" i="5"/>
  <c r="BS34" i="5"/>
  <c r="BR34" i="5"/>
  <c r="BP34" i="5"/>
  <c r="BN34" i="5"/>
  <c r="BM34" i="5"/>
  <c r="BL34" i="5"/>
  <c r="BK34" i="5"/>
  <c r="BJ34" i="5"/>
  <c r="BI34" i="5"/>
  <c r="BH34" i="5"/>
  <c r="BG34" i="5"/>
  <c r="BF34" i="5"/>
  <c r="BE34" i="5"/>
  <c r="BD34" i="5"/>
  <c r="BC34" i="5"/>
  <c r="BB34" i="5"/>
  <c r="BA34" i="5"/>
  <c r="AZ34" i="5"/>
  <c r="AY34" i="5"/>
  <c r="AX34" i="5"/>
  <c r="AV34" i="5"/>
  <c r="AT34" i="5"/>
  <c r="AS34" i="5"/>
  <c r="AR34" i="5"/>
  <c r="AQ34" i="5"/>
  <c r="AP34" i="5"/>
  <c r="AO34" i="5"/>
  <c r="AN34" i="5"/>
  <c r="AM34" i="5"/>
  <c r="AL34" i="5"/>
  <c r="AJ34" i="5"/>
  <c r="AH34" i="5"/>
  <c r="AG34" i="5"/>
  <c r="AF34" i="5"/>
  <c r="AE34" i="5"/>
  <c r="AD34" i="5"/>
  <c r="AC34" i="5"/>
  <c r="AB34" i="5"/>
  <c r="AA34" i="5"/>
  <c r="Z34" i="5"/>
  <c r="X34" i="5"/>
  <c r="V34" i="5"/>
  <c r="U34" i="5"/>
  <c r="T34" i="5"/>
  <c r="R34" i="5"/>
  <c r="Q34" i="5"/>
  <c r="P34" i="5"/>
  <c r="O34" i="5"/>
  <c r="N34" i="5"/>
  <c r="M34" i="5"/>
  <c r="G34" i="5"/>
  <c r="F34" i="5"/>
  <c r="E34" i="5"/>
  <c r="S34" i="5" s="1"/>
  <c r="D34" i="5"/>
  <c r="DC33" i="5"/>
  <c r="DB33" i="5"/>
  <c r="DA33" i="5"/>
  <c r="CZ33" i="5"/>
  <c r="CY33" i="5"/>
  <c r="CX33" i="5"/>
  <c r="CV33" i="5"/>
  <c r="CT33" i="5"/>
  <c r="CS33" i="5"/>
  <c r="CR33" i="5"/>
  <c r="CQ33" i="5"/>
  <c r="CP33" i="5"/>
  <c r="CO33" i="5"/>
  <c r="CN33" i="5"/>
  <c r="CL33" i="5"/>
  <c r="CJ33" i="5"/>
  <c r="CI33" i="5"/>
  <c r="CH33" i="5"/>
  <c r="CK33" i="5" s="1"/>
  <c r="CG33" i="5"/>
  <c r="CF33" i="5"/>
  <c r="CE33" i="5"/>
  <c r="CD33" i="5"/>
  <c r="CC33" i="5"/>
  <c r="CB33" i="5"/>
  <c r="CA33" i="5"/>
  <c r="BZ33" i="5"/>
  <c r="BY33" i="5"/>
  <c r="BX33" i="5"/>
  <c r="BW33" i="5"/>
  <c r="BV33" i="5"/>
  <c r="BU33" i="5"/>
  <c r="BT33" i="5"/>
  <c r="BS33" i="5"/>
  <c r="BR33" i="5"/>
  <c r="BP33" i="5"/>
  <c r="BN33" i="5"/>
  <c r="BM33" i="5"/>
  <c r="BL33" i="5"/>
  <c r="BK33" i="5"/>
  <c r="BJ33" i="5"/>
  <c r="BI33" i="5"/>
  <c r="BH33" i="5"/>
  <c r="BG33" i="5"/>
  <c r="BF33" i="5"/>
  <c r="BE33" i="5"/>
  <c r="BD33" i="5"/>
  <c r="BC33" i="5"/>
  <c r="BB33" i="5"/>
  <c r="BA33" i="5"/>
  <c r="AZ33" i="5"/>
  <c r="AY33" i="5"/>
  <c r="AX33" i="5"/>
  <c r="AV33" i="5"/>
  <c r="AT33" i="5"/>
  <c r="AS33" i="5"/>
  <c r="AR33" i="5"/>
  <c r="AQ33" i="5"/>
  <c r="AP33" i="5"/>
  <c r="AO33" i="5"/>
  <c r="AN33" i="5"/>
  <c r="AM33" i="5"/>
  <c r="AL33" i="5"/>
  <c r="AJ33" i="5"/>
  <c r="AH33" i="5"/>
  <c r="AG33" i="5"/>
  <c r="AF33" i="5"/>
  <c r="AE33" i="5"/>
  <c r="AD33" i="5"/>
  <c r="AC33" i="5"/>
  <c r="AB33" i="5"/>
  <c r="AA33" i="5"/>
  <c r="Z33" i="5"/>
  <c r="X33" i="5"/>
  <c r="V33" i="5"/>
  <c r="U33" i="5"/>
  <c r="T33" i="5"/>
  <c r="R33" i="5"/>
  <c r="Q33" i="5"/>
  <c r="P33" i="5"/>
  <c r="O33" i="5"/>
  <c r="N33" i="5"/>
  <c r="M33" i="5"/>
  <c r="G33" i="5"/>
  <c r="F33" i="5"/>
  <c r="E33" i="5"/>
  <c r="S33" i="5" s="1"/>
  <c r="D33" i="5"/>
  <c r="DC32" i="5"/>
  <c r="DB32" i="5"/>
  <c r="DA32" i="5"/>
  <c r="CZ32" i="5"/>
  <c r="CY32" i="5"/>
  <c r="CX32" i="5"/>
  <c r="CV32" i="5"/>
  <c r="CT32" i="5"/>
  <c r="CS32" i="5"/>
  <c r="CR32" i="5"/>
  <c r="CQ32" i="5"/>
  <c r="CP32" i="5"/>
  <c r="CO32" i="5"/>
  <c r="CN32" i="5"/>
  <c r="CL32" i="5"/>
  <c r="CJ32" i="5"/>
  <c r="CI32" i="5"/>
  <c r="CH32" i="5"/>
  <c r="CK32" i="5" s="1"/>
  <c r="CG32" i="5"/>
  <c r="CF32" i="5"/>
  <c r="CE32" i="5"/>
  <c r="CD32" i="5"/>
  <c r="CC32" i="5"/>
  <c r="CB32" i="5"/>
  <c r="CA32" i="5"/>
  <c r="BZ32" i="5"/>
  <c r="BY32" i="5"/>
  <c r="BX32" i="5"/>
  <c r="BW32" i="5"/>
  <c r="BV32" i="5"/>
  <c r="BU32" i="5"/>
  <c r="BT32" i="5"/>
  <c r="BS32" i="5"/>
  <c r="BR32" i="5"/>
  <c r="BP32" i="5"/>
  <c r="BN32" i="5"/>
  <c r="BM32" i="5"/>
  <c r="BL32" i="5"/>
  <c r="BK32" i="5"/>
  <c r="BJ32" i="5"/>
  <c r="BI32" i="5"/>
  <c r="BH32" i="5"/>
  <c r="BG32" i="5"/>
  <c r="BF32" i="5"/>
  <c r="BE32" i="5"/>
  <c r="BD32" i="5"/>
  <c r="BC32" i="5"/>
  <c r="BB32" i="5"/>
  <c r="BA32" i="5"/>
  <c r="AZ32" i="5"/>
  <c r="AY32" i="5"/>
  <c r="AX32" i="5"/>
  <c r="AV32" i="5"/>
  <c r="AT32" i="5"/>
  <c r="AS32" i="5"/>
  <c r="AR32" i="5"/>
  <c r="AQ32" i="5"/>
  <c r="AP32" i="5"/>
  <c r="AO32" i="5"/>
  <c r="AN32" i="5"/>
  <c r="AM32" i="5"/>
  <c r="AL32" i="5"/>
  <c r="AJ32" i="5"/>
  <c r="AH32" i="5"/>
  <c r="AG32" i="5"/>
  <c r="AF32" i="5"/>
  <c r="AE32" i="5"/>
  <c r="AD32" i="5"/>
  <c r="AC32" i="5"/>
  <c r="AB32" i="5"/>
  <c r="AA32" i="5"/>
  <c r="Z32" i="5"/>
  <c r="X32" i="5"/>
  <c r="V32" i="5"/>
  <c r="U32" i="5"/>
  <c r="T32" i="5"/>
  <c r="R32" i="5"/>
  <c r="Q32" i="5"/>
  <c r="P32" i="5"/>
  <c r="O32" i="5"/>
  <c r="N32" i="5"/>
  <c r="M32" i="5"/>
  <c r="G32" i="5"/>
  <c r="F32" i="5"/>
  <c r="E32" i="5"/>
  <c r="S32" i="5" s="1"/>
  <c r="D32" i="5"/>
  <c r="DC30" i="5"/>
  <c r="DB30" i="5"/>
  <c r="DA30" i="5"/>
  <c r="CZ30" i="5"/>
  <c r="CY30" i="5"/>
  <c r="CX30" i="5"/>
  <c r="CV30" i="5"/>
  <c r="CT30" i="5"/>
  <c r="CS30" i="5"/>
  <c r="CR30" i="5"/>
  <c r="CQ30" i="5"/>
  <c r="CP30" i="5"/>
  <c r="CO30" i="5"/>
  <c r="CN30" i="5"/>
  <c r="CL30" i="5"/>
  <c r="CJ30" i="5"/>
  <c r="CI30" i="5"/>
  <c r="CH30" i="5"/>
  <c r="CK30" i="5" s="1"/>
  <c r="CG30" i="5"/>
  <c r="CF30" i="5"/>
  <c r="CE30" i="5"/>
  <c r="CD30" i="5"/>
  <c r="CC30" i="5"/>
  <c r="CB30" i="5"/>
  <c r="CA30" i="5"/>
  <c r="BZ30" i="5"/>
  <c r="BY30" i="5"/>
  <c r="BX30" i="5"/>
  <c r="BW30" i="5"/>
  <c r="BV30" i="5"/>
  <c r="BU30" i="5"/>
  <c r="BT30" i="5"/>
  <c r="BS30" i="5"/>
  <c r="BR30" i="5"/>
  <c r="BP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B30" i="5"/>
  <c r="BA30" i="5"/>
  <c r="AZ30" i="5"/>
  <c r="AY30" i="5"/>
  <c r="AX30" i="5"/>
  <c r="AV30" i="5"/>
  <c r="AT30" i="5"/>
  <c r="AS30" i="5"/>
  <c r="AR30" i="5"/>
  <c r="AQ30" i="5"/>
  <c r="AP30" i="5"/>
  <c r="AO30" i="5"/>
  <c r="AN30" i="5"/>
  <c r="AM30" i="5"/>
  <c r="AL30" i="5"/>
  <c r="AJ30" i="5"/>
  <c r="AH30" i="5"/>
  <c r="AG30" i="5"/>
  <c r="AF30" i="5"/>
  <c r="AE30" i="5"/>
  <c r="AD30" i="5"/>
  <c r="AC30" i="5"/>
  <c r="AB30" i="5"/>
  <c r="AA30" i="5"/>
  <c r="Z30" i="5"/>
  <c r="X30" i="5"/>
  <c r="V30" i="5"/>
  <c r="U30" i="5"/>
  <c r="T30" i="5"/>
  <c r="R30" i="5"/>
  <c r="Q30" i="5"/>
  <c r="P30" i="5"/>
  <c r="O30" i="5"/>
  <c r="N30" i="5"/>
  <c r="M30" i="5"/>
  <c r="G30" i="5"/>
  <c r="F30" i="5"/>
  <c r="E30" i="5"/>
  <c r="S30" i="5" s="1"/>
  <c r="D30" i="5"/>
  <c r="DC29" i="5"/>
  <c r="DB29" i="5"/>
  <c r="DA29" i="5"/>
  <c r="CZ29" i="5"/>
  <c r="CY29" i="5"/>
  <c r="CX29" i="5"/>
  <c r="CV29" i="5"/>
  <c r="CT29" i="5"/>
  <c r="CS29" i="5"/>
  <c r="CR29" i="5"/>
  <c r="CQ29" i="5"/>
  <c r="CP29" i="5"/>
  <c r="CO29" i="5"/>
  <c r="CN29" i="5"/>
  <c r="CL29" i="5"/>
  <c r="CJ29" i="5"/>
  <c r="CI29" i="5"/>
  <c r="CH29" i="5"/>
  <c r="CK29" i="5" s="1"/>
  <c r="CG29" i="5"/>
  <c r="CF29" i="5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P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AV29" i="5"/>
  <c r="AT29" i="5"/>
  <c r="AS29" i="5"/>
  <c r="AR29" i="5"/>
  <c r="AQ29" i="5"/>
  <c r="AP29" i="5"/>
  <c r="AO29" i="5"/>
  <c r="AN29" i="5"/>
  <c r="AM29" i="5"/>
  <c r="AL29" i="5"/>
  <c r="AJ29" i="5"/>
  <c r="AH29" i="5"/>
  <c r="AG29" i="5"/>
  <c r="AF29" i="5"/>
  <c r="AE29" i="5"/>
  <c r="AD29" i="5"/>
  <c r="AC29" i="5"/>
  <c r="AB29" i="5"/>
  <c r="AA29" i="5"/>
  <c r="Z29" i="5"/>
  <c r="X29" i="5"/>
  <c r="V29" i="5"/>
  <c r="U29" i="5"/>
  <c r="T29" i="5"/>
  <c r="R29" i="5"/>
  <c r="P29" i="5"/>
  <c r="O29" i="5"/>
  <c r="N29" i="5"/>
  <c r="M29" i="5"/>
  <c r="G29" i="5"/>
  <c r="F29" i="5"/>
  <c r="E29" i="5"/>
  <c r="S29" i="5" s="1"/>
  <c r="D29" i="5"/>
  <c r="DC28" i="5"/>
  <c r="DB28" i="5"/>
  <c r="DA28" i="5"/>
  <c r="CZ28" i="5"/>
  <c r="CY28" i="5"/>
  <c r="CX28" i="5"/>
  <c r="CV28" i="5"/>
  <c r="CT28" i="5"/>
  <c r="CS28" i="5"/>
  <c r="CR28" i="5"/>
  <c r="CQ28" i="5"/>
  <c r="CP28" i="5"/>
  <c r="CO28" i="5"/>
  <c r="CN28" i="5"/>
  <c r="CL28" i="5"/>
  <c r="CJ28" i="5"/>
  <c r="CI28" i="5"/>
  <c r="CH28" i="5"/>
  <c r="CK28" i="5" s="1"/>
  <c r="CG28" i="5"/>
  <c r="CF28" i="5"/>
  <c r="CE28" i="5"/>
  <c r="CD28" i="5"/>
  <c r="CC28" i="5"/>
  <c r="CB28" i="5"/>
  <c r="CA28" i="5"/>
  <c r="BZ28" i="5"/>
  <c r="BY28" i="5"/>
  <c r="BX28" i="5"/>
  <c r="BW28" i="5"/>
  <c r="BV28" i="5"/>
  <c r="BU28" i="5"/>
  <c r="BT28" i="5"/>
  <c r="BS28" i="5"/>
  <c r="BR28" i="5"/>
  <c r="BP28" i="5"/>
  <c r="BN28" i="5"/>
  <c r="BM28" i="5"/>
  <c r="BL28" i="5"/>
  <c r="BK28" i="5"/>
  <c r="BJ28" i="5"/>
  <c r="BI28" i="5"/>
  <c r="BH28" i="5"/>
  <c r="BG28" i="5"/>
  <c r="BF28" i="5"/>
  <c r="BE28" i="5"/>
  <c r="BD28" i="5"/>
  <c r="BC28" i="5"/>
  <c r="BB28" i="5"/>
  <c r="BA28" i="5"/>
  <c r="AZ28" i="5"/>
  <c r="AY28" i="5"/>
  <c r="AX28" i="5"/>
  <c r="AV28" i="5"/>
  <c r="AT28" i="5"/>
  <c r="AS28" i="5"/>
  <c r="AR28" i="5"/>
  <c r="AQ28" i="5"/>
  <c r="AP28" i="5"/>
  <c r="AO28" i="5"/>
  <c r="AN28" i="5"/>
  <c r="AM28" i="5"/>
  <c r="AL28" i="5"/>
  <c r="AJ28" i="5"/>
  <c r="AH28" i="5"/>
  <c r="AG28" i="5"/>
  <c r="AF28" i="5"/>
  <c r="AE28" i="5"/>
  <c r="AD28" i="5"/>
  <c r="AC28" i="5"/>
  <c r="AB28" i="5"/>
  <c r="AA28" i="5"/>
  <c r="Z28" i="5"/>
  <c r="X28" i="5"/>
  <c r="V28" i="5"/>
  <c r="U28" i="5"/>
  <c r="T28" i="5"/>
  <c r="R28" i="5"/>
  <c r="Q28" i="5"/>
  <c r="P28" i="5"/>
  <c r="O28" i="5"/>
  <c r="N28" i="5"/>
  <c r="M28" i="5"/>
  <c r="G28" i="5"/>
  <c r="F28" i="5"/>
  <c r="E28" i="5"/>
  <c r="S28" i="5" s="1"/>
  <c r="D28" i="5"/>
  <c r="DC27" i="5"/>
  <c r="DB27" i="5"/>
  <c r="DA27" i="5"/>
  <c r="CZ27" i="5"/>
  <c r="CY27" i="5"/>
  <c r="CX27" i="5"/>
  <c r="CV27" i="5"/>
  <c r="CT27" i="5"/>
  <c r="CS27" i="5"/>
  <c r="CR27" i="5"/>
  <c r="CQ27" i="5"/>
  <c r="CP27" i="5"/>
  <c r="CO27" i="5"/>
  <c r="CN27" i="5"/>
  <c r="CL27" i="5"/>
  <c r="CJ27" i="5"/>
  <c r="CI27" i="5"/>
  <c r="CH27" i="5"/>
  <c r="CK27" i="5" s="1"/>
  <c r="CG27" i="5"/>
  <c r="CF27" i="5"/>
  <c r="CE27" i="5"/>
  <c r="CD27" i="5"/>
  <c r="CC27" i="5"/>
  <c r="CB27" i="5"/>
  <c r="CA27" i="5"/>
  <c r="BZ27" i="5"/>
  <c r="BY27" i="5"/>
  <c r="BX27" i="5"/>
  <c r="BW27" i="5"/>
  <c r="BV27" i="5"/>
  <c r="BU27" i="5"/>
  <c r="BT27" i="5"/>
  <c r="BS27" i="5"/>
  <c r="BR27" i="5"/>
  <c r="BP27" i="5"/>
  <c r="BN27" i="5"/>
  <c r="BM27" i="5"/>
  <c r="BL27" i="5"/>
  <c r="BK27" i="5"/>
  <c r="BJ27" i="5"/>
  <c r="BI27" i="5"/>
  <c r="BH27" i="5"/>
  <c r="BG27" i="5"/>
  <c r="BF27" i="5"/>
  <c r="BE27" i="5"/>
  <c r="BD27" i="5"/>
  <c r="BC27" i="5"/>
  <c r="BB27" i="5"/>
  <c r="BA27" i="5"/>
  <c r="AZ27" i="5"/>
  <c r="AY27" i="5"/>
  <c r="AX27" i="5"/>
  <c r="AV27" i="5"/>
  <c r="AT27" i="5"/>
  <c r="AS27" i="5"/>
  <c r="AR27" i="5"/>
  <c r="AQ27" i="5"/>
  <c r="AP27" i="5"/>
  <c r="AO27" i="5"/>
  <c r="AN27" i="5"/>
  <c r="AM27" i="5"/>
  <c r="AL27" i="5"/>
  <c r="AJ27" i="5"/>
  <c r="AH27" i="5"/>
  <c r="AG27" i="5"/>
  <c r="AF27" i="5"/>
  <c r="AE27" i="5"/>
  <c r="AD27" i="5"/>
  <c r="AC27" i="5"/>
  <c r="AB27" i="5"/>
  <c r="AA27" i="5"/>
  <c r="Z27" i="5"/>
  <c r="X27" i="5"/>
  <c r="V27" i="5"/>
  <c r="U27" i="5"/>
  <c r="T27" i="5"/>
  <c r="R27" i="5"/>
  <c r="Q27" i="5"/>
  <c r="P27" i="5"/>
  <c r="O27" i="5"/>
  <c r="N27" i="5"/>
  <c r="M27" i="5"/>
  <c r="G27" i="5"/>
  <c r="F27" i="5"/>
  <c r="E27" i="5"/>
  <c r="S27" i="5" s="1"/>
  <c r="D27" i="5"/>
  <c r="DC26" i="5"/>
  <c r="DB26" i="5"/>
  <c r="DA26" i="5"/>
  <c r="CZ26" i="5"/>
  <c r="CY26" i="5"/>
  <c r="CX26" i="5"/>
  <c r="CV26" i="5"/>
  <c r="CT26" i="5"/>
  <c r="CS26" i="5"/>
  <c r="CR26" i="5"/>
  <c r="CQ26" i="5"/>
  <c r="CP26" i="5"/>
  <c r="CO26" i="5"/>
  <c r="CN26" i="5"/>
  <c r="CL26" i="5"/>
  <c r="CJ26" i="5"/>
  <c r="CI26" i="5"/>
  <c r="CH26" i="5"/>
  <c r="CK26" i="5" s="1"/>
  <c r="CG26" i="5"/>
  <c r="CF26" i="5"/>
  <c r="CE26" i="5"/>
  <c r="CD26" i="5"/>
  <c r="CC26" i="5"/>
  <c r="CB26" i="5"/>
  <c r="CA26" i="5"/>
  <c r="BZ26" i="5"/>
  <c r="BY26" i="5"/>
  <c r="BX26" i="5"/>
  <c r="BW26" i="5"/>
  <c r="BV26" i="5"/>
  <c r="BU26" i="5"/>
  <c r="BT26" i="5"/>
  <c r="BS26" i="5"/>
  <c r="BR26" i="5"/>
  <c r="BP26" i="5"/>
  <c r="BN26" i="5"/>
  <c r="BM26" i="5"/>
  <c r="BL26" i="5"/>
  <c r="BK26" i="5"/>
  <c r="BJ26" i="5"/>
  <c r="BI26" i="5"/>
  <c r="BH26" i="5"/>
  <c r="BG26" i="5"/>
  <c r="BF26" i="5"/>
  <c r="BE26" i="5"/>
  <c r="BD26" i="5"/>
  <c r="BC26" i="5"/>
  <c r="BB26" i="5"/>
  <c r="BA26" i="5"/>
  <c r="AZ26" i="5"/>
  <c r="AY26" i="5"/>
  <c r="AX26" i="5"/>
  <c r="AV26" i="5"/>
  <c r="AT26" i="5"/>
  <c r="AS26" i="5"/>
  <c r="AR26" i="5"/>
  <c r="AQ26" i="5"/>
  <c r="AP26" i="5"/>
  <c r="AO26" i="5"/>
  <c r="AN26" i="5"/>
  <c r="AM26" i="5"/>
  <c r="AL26" i="5"/>
  <c r="AJ26" i="5"/>
  <c r="AH26" i="5"/>
  <c r="AG26" i="5"/>
  <c r="AF26" i="5"/>
  <c r="AE26" i="5"/>
  <c r="AD26" i="5"/>
  <c r="AC26" i="5"/>
  <c r="AB26" i="5"/>
  <c r="AA26" i="5"/>
  <c r="Z26" i="5"/>
  <c r="X26" i="5"/>
  <c r="V26" i="5"/>
  <c r="U26" i="5"/>
  <c r="T26" i="5"/>
  <c r="R26" i="5"/>
  <c r="Q26" i="5"/>
  <c r="P26" i="5"/>
  <c r="O26" i="5"/>
  <c r="N26" i="5"/>
  <c r="M26" i="5"/>
  <c r="G26" i="5"/>
  <c r="F26" i="5"/>
  <c r="E26" i="5"/>
  <c r="S26" i="5" s="1"/>
  <c r="D26" i="5"/>
  <c r="DC25" i="5"/>
  <c r="DB25" i="5"/>
  <c r="DA25" i="5"/>
  <c r="CZ25" i="5"/>
  <c r="CY25" i="5"/>
  <c r="CX25" i="5"/>
  <c r="CV25" i="5"/>
  <c r="CT25" i="5"/>
  <c r="CS25" i="5"/>
  <c r="CW25" i="5" s="1"/>
  <c r="CR25" i="5"/>
  <c r="CU25" i="5" s="1"/>
  <c r="CQ25" i="5"/>
  <c r="CP25" i="5"/>
  <c r="CO25" i="5"/>
  <c r="CN25" i="5"/>
  <c r="CL25" i="5"/>
  <c r="CJ25" i="5"/>
  <c r="CI25" i="5"/>
  <c r="CH25" i="5"/>
  <c r="CK25" i="5" s="1"/>
  <c r="CG25" i="5"/>
  <c r="CF25" i="5"/>
  <c r="CE25" i="5"/>
  <c r="CD25" i="5"/>
  <c r="CC25" i="5"/>
  <c r="CB25" i="5"/>
  <c r="CA25" i="5"/>
  <c r="BZ25" i="5"/>
  <c r="BY25" i="5"/>
  <c r="BX25" i="5"/>
  <c r="BW25" i="5"/>
  <c r="BV25" i="5"/>
  <c r="BU25" i="5"/>
  <c r="BT25" i="5"/>
  <c r="BS25" i="5"/>
  <c r="BR25" i="5"/>
  <c r="BP25" i="5"/>
  <c r="BN25" i="5"/>
  <c r="BM25" i="5"/>
  <c r="BL25" i="5"/>
  <c r="BK25" i="5"/>
  <c r="BJ25" i="5"/>
  <c r="BI25" i="5"/>
  <c r="BH25" i="5"/>
  <c r="BG25" i="5"/>
  <c r="BF25" i="5"/>
  <c r="BE25" i="5"/>
  <c r="BD25" i="5"/>
  <c r="BC25" i="5"/>
  <c r="BB25" i="5"/>
  <c r="BA25" i="5"/>
  <c r="AZ25" i="5"/>
  <c r="AY25" i="5"/>
  <c r="AX25" i="5"/>
  <c r="AV25" i="5"/>
  <c r="AT25" i="5"/>
  <c r="AS25" i="5"/>
  <c r="AW25" i="5" s="1"/>
  <c r="AR25" i="5"/>
  <c r="AU25" i="5" s="1"/>
  <c r="AQ25" i="5"/>
  <c r="AP25" i="5"/>
  <c r="AO25" i="5"/>
  <c r="AN25" i="5"/>
  <c r="AM25" i="5"/>
  <c r="AL25" i="5"/>
  <c r="AJ25" i="5"/>
  <c r="AH25" i="5"/>
  <c r="AG25" i="5"/>
  <c r="AK25" i="5" s="1"/>
  <c r="AF25" i="5"/>
  <c r="AI25" i="5" s="1"/>
  <c r="AE25" i="5"/>
  <c r="AD25" i="5"/>
  <c r="AC25" i="5"/>
  <c r="AB25" i="5"/>
  <c r="AA25" i="5"/>
  <c r="Z25" i="5"/>
  <c r="X25" i="5"/>
  <c r="V25" i="5"/>
  <c r="U25" i="5"/>
  <c r="Y25" i="5" s="1"/>
  <c r="T25" i="5"/>
  <c r="W25" i="5" s="1"/>
  <c r="R25" i="5"/>
  <c r="Q25" i="5"/>
  <c r="P25" i="5"/>
  <c r="O25" i="5"/>
  <c r="N25" i="5"/>
  <c r="M25" i="5"/>
  <c r="G25" i="5"/>
  <c r="F25" i="5"/>
  <c r="E25" i="5"/>
  <c r="S25" i="5" s="1"/>
  <c r="D25" i="5"/>
  <c r="DC24" i="5"/>
  <c r="DB24" i="5"/>
  <c r="DA24" i="5"/>
  <c r="CZ24" i="5"/>
  <c r="CY24" i="5"/>
  <c r="CX24" i="5"/>
  <c r="CV24" i="5"/>
  <c r="CT24" i="5"/>
  <c r="CS24" i="5"/>
  <c r="CR24" i="5"/>
  <c r="CQ24" i="5"/>
  <c r="CP24" i="5"/>
  <c r="CO24" i="5"/>
  <c r="CN24" i="5"/>
  <c r="CL24" i="5"/>
  <c r="CJ24" i="5"/>
  <c r="CI24" i="5"/>
  <c r="CH24" i="5"/>
  <c r="CK24" i="5" s="1"/>
  <c r="CG24" i="5"/>
  <c r="CF24" i="5"/>
  <c r="CE24" i="5"/>
  <c r="CD24" i="5"/>
  <c r="CC24" i="5"/>
  <c r="CB24" i="5"/>
  <c r="CA24" i="5"/>
  <c r="BZ24" i="5"/>
  <c r="BY24" i="5"/>
  <c r="BX24" i="5"/>
  <c r="BW24" i="5"/>
  <c r="BV24" i="5"/>
  <c r="BU24" i="5"/>
  <c r="BT24" i="5"/>
  <c r="BS24" i="5"/>
  <c r="BR24" i="5"/>
  <c r="BP24" i="5"/>
  <c r="BN24" i="5"/>
  <c r="BM24" i="5"/>
  <c r="BL24" i="5"/>
  <c r="BK24" i="5"/>
  <c r="BJ24" i="5"/>
  <c r="BI24" i="5"/>
  <c r="BH24" i="5"/>
  <c r="BG24" i="5"/>
  <c r="BF24" i="5"/>
  <c r="BE24" i="5"/>
  <c r="BD24" i="5"/>
  <c r="BC24" i="5"/>
  <c r="BB24" i="5"/>
  <c r="BA24" i="5"/>
  <c r="AZ24" i="5"/>
  <c r="AY24" i="5"/>
  <c r="AX24" i="5"/>
  <c r="AV24" i="5"/>
  <c r="AT24" i="5"/>
  <c r="AS24" i="5"/>
  <c r="AR24" i="5"/>
  <c r="AQ24" i="5"/>
  <c r="AP24" i="5"/>
  <c r="AO24" i="5"/>
  <c r="AN24" i="5"/>
  <c r="AM24" i="5"/>
  <c r="AL24" i="5"/>
  <c r="AJ24" i="5"/>
  <c r="AH24" i="5"/>
  <c r="AG24" i="5"/>
  <c r="AF24" i="5"/>
  <c r="AE24" i="5"/>
  <c r="AD24" i="5"/>
  <c r="AC24" i="5"/>
  <c r="AB24" i="5"/>
  <c r="AA24" i="5"/>
  <c r="Z24" i="5"/>
  <c r="X24" i="5"/>
  <c r="V24" i="5"/>
  <c r="U24" i="5"/>
  <c r="T24" i="5"/>
  <c r="R24" i="5"/>
  <c r="Q24" i="5"/>
  <c r="P24" i="5"/>
  <c r="O24" i="5"/>
  <c r="N24" i="5"/>
  <c r="M24" i="5"/>
  <c r="G24" i="5"/>
  <c r="F24" i="5"/>
  <c r="E24" i="5"/>
  <c r="D24" i="5"/>
  <c r="DC23" i="5"/>
  <c r="DB23" i="5"/>
  <c r="DA23" i="5"/>
  <c r="CZ23" i="5"/>
  <c r="CY23" i="5"/>
  <c r="CX23" i="5"/>
  <c r="CV23" i="5"/>
  <c r="CT23" i="5"/>
  <c r="CS23" i="5"/>
  <c r="CR23" i="5"/>
  <c r="CQ23" i="5"/>
  <c r="CP23" i="5"/>
  <c r="CO23" i="5"/>
  <c r="CN23" i="5"/>
  <c r="CL23" i="5"/>
  <c r="CJ23" i="5"/>
  <c r="CI23" i="5"/>
  <c r="CH23" i="5"/>
  <c r="CK23" i="5" s="1"/>
  <c r="CG23" i="5"/>
  <c r="CF23" i="5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P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V23" i="5"/>
  <c r="AT23" i="5"/>
  <c r="AS23" i="5"/>
  <c r="AR23" i="5"/>
  <c r="AQ23" i="5"/>
  <c r="AP23" i="5"/>
  <c r="AO23" i="5"/>
  <c r="AN23" i="5"/>
  <c r="AM23" i="5"/>
  <c r="AL23" i="5"/>
  <c r="AJ23" i="5"/>
  <c r="AH23" i="5"/>
  <c r="AG23" i="5"/>
  <c r="AF23" i="5"/>
  <c r="AE23" i="5"/>
  <c r="AD23" i="5"/>
  <c r="AC23" i="5"/>
  <c r="AB23" i="5"/>
  <c r="AA23" i="5"/>
  <c r="Z23" i="5"/>
  <c r="X23" i="5"/>
  <c r="V23" i="5"/>
  <c r="U23" i="5"/>
  <c r="T23" i="5"/>
  <c r="R23" i="5"/>
  <c r="Q23" i="5"/>
  <c r="P23" i="5"/>
  <c r="O23" i="5"/>
  <c r="N23" i="5"/>
  <c r="M23" i="5"/>
  <c r="G23" i="5"/>
  <c r="F23" i="5"/>
  <c r="E23" i="5"/>
  <c r="S23" i="5" s="1"/>
  <c r="D23" i="5"/>
  <c r="DC22" i="5"/>
  <c r="DB22" i="5"/>
  <c r="DA22" i="5"/>
  <c r="CZ22" i="5"/>
  <c r="CY22" i="5"/>
  <c r="CX22" i="5"/>
  <c r="CV22" i="5"/>
  <c r="CT22" i="5"/>
  <c r="CS22" i="5"/>
  <c r="CR22" i="5"/>
  <c r="CQ22" i="5"/>
  <c r="CP22" i="5"/>
  <c r="CO22" i="5"/>
  <c r="CN22" i="5"/>
  <c r="CL22" i="5"/>
  <c r="CJ22" i="5"/>
  <c r="CI22" i="5"/>
  <c r="CH22" i="5"/>
  <c r="CK22" i="5" s="1"/>
  <c r="CG22" i="5"/>
  <c r="CF22" i="5"/>
  <c r="CE22" i="5"/>
  <c r="CD22" i="5"/>
  <c r="CC22" i="5"/>
  <c r="CB22" i="5"/>
  <c r="CA22" i="5"/>
  <c r="BZ22" i="5"/>
  <c r="BY22" i="5"/>
  <c r="BX22" i="5"/>
  <c r="BW22" i="5"/>
  <c r="BV22" i="5"/>
  <c r="BU22" i="5"/>
  <c r="BT22" i="5"/>
  <c r="BS22" i="5"/>
  <c r="BR22" i="5"/>
  <c r="BP22" i="5"/>
  <c r="BN22" i="5"/>
  <c r="BM22" i="5"/>
  <c r="BL22" i="5"/>
  <c r="BK22" i="5"/>
  <c r="BJ22" i="5"/>
  <c r="BI22" i="5"/>
  <c r="BH22" i="5"/>
  <c r="BG22" i="5"/>
  <c r="BF22" i="5"/>
  <c r="BE22" i="5"/>
  <c r="BD22" i="5"/>
  <c r="BC22" i="5"/>
  <c r="BB22" i="5"/>
  <c r="BA22" i="5"/>
  <c r="AZ22" i="5"/>
  <c r="AY22" i="5"/>
  <c r="AX22" i="5"/>
  <c r="AV22" i="5"/>
  <c r="AT22" i="5"/>
  <c r="AS22" i="5"/>
  <c r="AR22" i="5"/>
  <c r="AQ22" i="5"/>
  <c r="AP22" i="5"/>
  <c r="AO22" i="5"/>
  <c r="AN22" i="5"/>
  <c r="AM22" i="5"/>
  <c r="AL22" i="5"/>
  <c r="AJ22" i="5"/>
  <c r="AH22" i="5"/>
  <c r="AG22" i="5"/>
  <c r="AF22" i="5"/>
  <c r="AE22" i="5"/>
  <c r="AD22" i="5"/>
  <c r="AC22" i="5"/>
  <c r="AB22" i="5"/>
  <c r="AA22" i="5"/>
  <c r="Z22" i="5"/>
  <c r="X22" i="5"/>
  <c r="V22" i="5"/>
  <c r="U22" i="5"/>
  <c r="T22" i="5"/>
  <c r="R22" i="5"/>
  <c r="Q22" i="5"/>
  <c r="P22" i="5"/>
  <c r="O22" i="5"/>
  <c r="N22" i="5"/>
  <c r="M22" i="5"/>
  <c r="G22" i="5"/>
  <c r="F22" i="5"/>
  <c r="E22" i="5"/>
  <c r="S22" i="5" s="1"/>
  <c r="D22" i="5"/>
  <c r="DC21" i="5"/>
  <c r="DB21" i="5"/>
  <c r="DA21" i="5"/>
  <c r="CZ21" i="5"/>
  <c r="CY21" i="5"/>
  <c r="CX21" i="5"/>
  <c r="CV21" i="5"/>
  <c r="CT21" i="5"/>
  <c r="CS21" i="5"/>
  <c r="CW21" i="5" s="1"/>
  <c r="CR21" i="5"/>
  <c r="CU21" i="5" s="1"/>
  <c r="CQ21" i="5"/>
  <c r="CP21" i="5"/>
  <c r="CO21" i="5"/>
  <c r="CN21" i="5"/>
  <c r="CL21" i="5"/>
  <c r="CJ21" i="5"/>
  <c r="CI21" i="5"/>
  <c r="CH21" i="5"/>
  <c r="CK21" i="5" s="1"/>
  <c r="CG21" i="5"/>
  <c r="CF21" i="5"/>
  <c r="CE21" i="5"/>
  <c r="CD21" i="5"/>
  <c r="CC21" i="5"/>
  <c r="CB21" i="5"/>
  <c r="CA21" i="5"/>
  <c r="BZ21" i="5"/>
  <c r="BY21" i="5"/>
  <c r="BX21" i="5"/>
  <c r="BW21" i="5"/>
  <c r="BV21" i="5"/>
  <c r="BU21" i="5"/>
  <c r="BT21" i="5"/>
  <c r="BS21" i="5"/>
  <c r="BR21" i="5"/>
  <c r="BP21" i="5"/>
  <c r="BN21" i="5"/>
  <c r="BM21" i="5"/>
  <c r="BL21" i="5"/>
  <c r="BK21" i="5"/>
  <c r="BJ21" i="5"/>
  <c r="BI21" i="5"/>
  <c r="BH21" i="5"/>
  <c r="BG21" i="5"/>
  <c r="BF21" i="5"/>
  <c r="BE21" i="5"/>
  <c r="BD21" i="5"/>
  <c r="BC21" i="5"/>
  <c r="BB21" i="5"/>
  <c r="BA21" i="5"/>
  <c r="AZ21" i="5"/>
  <c r="AY21" i="5"/>
  <c r="AX21" i="5"/>
  <c r="AV21" i="5"/>
  <c r="AT21" i="5"/>
  <c r="AS21" i="5"/>
  <c r="AR21" i="5"/>
  <c r="AQ21" i="5"/>
  <c r="AP21" i="5"/>
  <c r="AO21" i="5"/>
  <c r="AN21" i="5"/>
  <c r="AM21" i="5"/>
  <c r="AL21" i="5"/>
  <c r="AJ21" i="5"/>
  <c r="AH21" i="5"/>
  <c r="AG21" i="5"/>
  <c r="AF21" i="5"/>
  <c r="AE21" i="5"/>
  <c r="AD21" i="5"/>
  <c r="AC21" i="5"/>
  <c r="AB21" i="5"/>
  <c r="AA21" i="5"/>
  <c r="Z21" i="5"/>
  <c r="X21" i="5"/>
  <c r="V21" i="5"/>
  <c r="U21" i="5"/>
  <c r="T21" i="5"/>
  <c r="R21" i="5"/>
  <c r="Q21" i="5"/>
  <c r="P21" i="5"/>
  <c r="O21" i="5"/>
  <c r="N21" i="5"/>
  <c r="M21" i="5"/>
  <c r="G21" i="5"/>
  <c r="F21" i="5"/>
  <c r="E21" i="5"/>
  <c r="S21" i="5" s="1"/>
  <c r="D21" i="5"/>
  <c r="DC20" i="5"/>
  <c r="DB20" i="5"/>
  <c r="DA20" i="5"/>
  <c r="CZ20" i="5"/>
  <c r="CY20" i="5"/>
  <c r="CX20" i="5"/>
  <c r="CV20" i="5"/>
  <c r="CT20" i="5"/>
  <c r="CS20" i="5"/>
  <c r="CR20" i="5"/>
  <c r="CQ20" i="5"/>
  <c r="CP20" i="5"/>
  <c r="CO20" i="5"/>
  <c r="CN20" i="5"/>
  <c r="CL20" i="5"/>
  <c r="CJ20" i="5"/>
  <c r="CI20" i="5"/>
  <c r="CH20" i="5"/>
  <c r="CK20" i="5" s="1"/>
  <c r="CG20" i="5"/>
  <c r="CF20" i="5"/>
  <c r="CE20" i="5"/>
  <c r="CD20" i="5"/>
  <c r="CC20" i="5"/>
  <c r="CB20" i="5"/>
  <c r="CA20" i="5"/>
  <c r="BZ20" i="5"/>
  <c r="BY20" i="5"/>
  <c r="BX20" i="5"/>
  <c r="BW20" i="5"/>
  <c r="BV20" i="5"/>
  <c r="BU20" i="5"/>
  <c r="BT20" i="5"/>
  <c r="BS20" i="5"/>
  <c r="BR20" i="5"/>
  <c r="BP20" i="5"/>
  <c r="BN20" i="5"/>
  <c r="BM20" i="5"/>
  <c r="BL20" i="5"/>
  <c r="BK20" i="5"/>
  <c r="BJ20" i="5"/>
  <c r="BI20" i="5"/>
  <c r="BH20" i="5"/>
  <c r="BG20" i="5"/>
  <c r="BF20" i="5"/>
  <c r="BE20" i="5"/>
  <c r="BD20" i="5"/>
  <c r="BC20" i="5"/>
  <c r="BB20" i="5"/>
  <c r="BA20" i="5"/>
  <c r="AZ20" i="5"/>
  <c r="AY20" i="5"/>
  <c r="AX20" i="5"/>
  <c r="AV20" i="5"/>
  <c r="AT20" i="5"/>
  <c r="AS20" i="5"/>
  <c r="AR20" i="5"/>
  <c r="AQ20" i="5"/>
  <c r="AP20" i="5"/>
  <c r="AO20" i="5"/>
  <c r="AN20" i="5"/>
  <c r="AM20" i="5"/>
  <c r="AL20" i="5"/>
  <c r="AJ20" i="5"/>
  <c r="AH20" i="5"/>
  <c r="AG20" i="5"/>
  <c r="AF20" i="5"/>
  <c r="AE20" i="5"/>
  <c r="AD20" i="5"/>
  <c r="AC20" i="5"/>
  <c r="AB20" i="5"/>
  <c r="AA20" i="5"/>
  <c r="Z20" i="5"/>
  <c r="X20" i="5"/>
  <c r="V20" i="5"/>
  <c r="U20" i="5"/>
  <c r="T20" i="5"/>
  <c r="R20" i="5"/>
  <c r="Q20" i="5"/>
  <c r="P20" i="5"/>
  <c r="O20" i="5"/>
  <c r="N20" i="5"/>
  <c r="M20" i="5"/>
  <c r="G20" i="5"/>
  <c r="F20" i="5"/>
  <c r="E20" i="5"/>
  <c r="S20" i="5" s="1"/>
  <c r="D20" i="5"/>
  <c r="DC19" i="5"/>
  <c r="DB19" i="5"/>
  <c r="DA19" i="5"/>
  <c r="CZ19" i="5"/>
  <c r="CY19" i="5"/>
  <c r="CX19" i="5"/>
  <c r="CV19" i="5"/>
  <c r="CT19" i="5"/>
  <c r="CS19" i="5"/>
  <c r="CW19" i="5" s="1"/>
  <c r="CR19" i="5"/>
  <c r="CU19" i="5" s="1"/>
  <c r="CQ19" i="5"/>
  <c r="CP19" i="5"/>
  <c r="CO19" i="5"/>
  <c r="CN19" i="5"/>
  <c r="CL19" i="5"/>
  <c r="CJ19" i="5"/>
  <c r="CI19" i="5"/>
  <c r="CH19" i="5"/>
  <c r="CK19" i="5" s="1"/>
  <c r="CG19" i="5"/>
  <c r="CF19" i="5"/>
  <c r="CE19" i="5"/>
  <c r="CD19" i="5"/>
  <c r="CC19" i="5"/>
  <c r="CB19" i="5"/>
  <c r="CA19" i="5"/>
  <c r="BZ19" i="5"/>
  <c r="BY19" i="5"/>
  <c r="BX19" i="5"/>
  <c r="BW19" i="5"/>
  <c r="BV19" i="5"/>
  <c r="BU19" i="5"/>
  <c r="BT19" i="5"/>
  <c r="BS19" i="5"/>
  <c r="BR19" i="5"/>
  <c r="BP19" i="5"/>
  <c r="BN19" i="5"/>
  <c r="BM19" i="5"/>
  <c r="BL19" i="5"/>
  <c r="BK19" i="5"/>
  <c r="BJ19" i="5"/>
  <c r="BI19" i="5"/>
  <c r="BH19" i="5"/>
  <c r="BG19" i="5"/>
  <c r="BF19" i="5"/>
  <c r="BE19" i="5"/>
  <c r="BD19" i="5"/>
  <c r="BC19" i="5"/>
  <c r="BB19" i="5"/>
  <c r="BA19" i="5"/>
  <c r="AZ19" i="5"/>
  <c r="AY19" i="5"/>
  <c r="AX19" i="5"/>
  <c r="AV19" i="5"/>
  <c r="AT19" i="5"/>
  <c r="AS19" i="5"/>
  <c r="AR19" i="5"/>
  <c r="AQ19" i="5"/>
  <c r="AP19" i="5"/>
  <c r="AO19" i="5"/>
  <c r="AN19" i="5"/>
  <c r="AM19" i="5"/>
  <c r="AL19" i="5"/>
  <c r="AJ19" i="5"/>
  <c r="AH19" i="5"/>
  <c r="AG19" i="5"/>
  <c r="AF19" i="5"/>
  <c r="AE19" i="5"/>
  <c r="AD19" i="5"/>
  <c r="AC19" i="5"/>
  <c r="AB19" i="5"/>
  <c r="AA19" i="5"/>
  <c r="Z19" i="5"/>
  <c r="X19" i="5"/>
  <c r="V19" i="5"/>
  <c r="U19" i="5"/>
  <c r="T19" i="5"/>
  <c r="R19" i="5"/>
  <c r="Q19" i="5"/>
  <c r="P19" i="5"/>
  <c r="O19" i="5"/>
  <c r="N19" i="5"/>
  <c r="M19" i="5"/>
  <c r="G19" i="5"/>
  <c r="F19" i="5"/>
  <c r="E19" i="5"/>
  <c r="S19" i="5" s="1"/>
  <c r="D19" i="5"/>
  <c r="DC18" i="5"/>
  <c r="DB18" i="5"/>
  <c r="DA18" i="5"/>
  <c r="CZ18" i="5"/>
  <c r="CY18" i="5"/>
  <c r="CX18" i="5"/>
  <c r="CV18" i="5"/>
  <c r="CT18" i="5"/>
  <c r="CS18" i="5"/>
  <c r="CR18" i="5"/>
  <c r="CQ18" i="5"/>
  <c r="CP18" i="5"/>
  <c r="CO18" i="5"/>
  <c r="CN18" i="5"/>
  <c r="CL18" i="5"/>
  <c r="CJ18" i="5"/>
  <c r="CI18" i="5"/>
  <c r="CH18" i="5"/>
  <c r="CK18" i="5" s="1"/>
  <c r="CG18" i="5"/>
  <c r="CF18" i="5"/>
  <c r="CE18" i="5"/>
  <c r="CD18" i="5"/>
  <c r="CC18" i="5"/>
  <c r="CB18" i="5"/>
  <c r="CA18" i="5"/>
  <c r="BZ18" i="5"/>
  <c r="BY18" i="5"/>
  <c r="BX18" i="5"/>
  <c r="BW18" i="5"/>
  <c r="BV18" i="5"/>
  <c r="BU18" i="5"/>
  <c r="BT18" i="5"/>
  <c r="BS18" i="5"/>
  <c r="BR18" i="5"/>
  <c r="BP18" i="5"/>
  <c r="BN18" i="5"/>
  <c r="BM18" i="5"/>
  <c r="BL18" i="5"/>
  <c r="BK18" i="5"/>
  <c r="BJ18" i="5"/>
  <c r="BI18" i="5"/>
  <c r="BH18" i="5"/>
  <c r="BG18" i="5"/>
  <c r="BF18" i="5"/>
  <c r="BE18" i="5"/>
  <c r="BD18" i="5"/>
  <c r="BC18" i="5"/>
  <c r="BB18" i="5"/>
  <c r="BA18" i="5"/>
  <c r="AZ18" i="5"/>
  <c r="AY18" i="5"/>
  <c r="AX18" i="5"/>
  <c r="AV18" i="5"/>
  <c r="AT18" i="5"/>
  <c r="AS18" i="5"/>
  <c r="AR18" i="5"/>
  <c r="AQ18" i="5"/>
  <c r="AP18" i="5"/>
  <c r="AO18" i="5"/>
  <c r="AN18" i="5"/>
  <c r="AM18" i="5"/>
  <c r="AL18" i="5"/>
  <c r="AJ18" i="5"/>
  <c r="AH18" i="5"/>
  <c r="AG18" i="5"/>
  <c r="AF18" i="5"/>
  <c r="AE18" i="5"/>
  <c r="AD18" i="5"/>
  <c r="AC18" i="5"/>
  <c r="AB18" i="5"/>
  <c r="AA18" i="5"/>
  <c r="Z18" i="5"/>
  <c r="X18" i="5"/>
  <c r="V18" i="5"/>
  <c r="U18" i="5"/>
  <c r="T18" i="5"/>
  <c r="R18" i="5"/>
  <c r="Q18" i="5"/>
  <c r="P18" i="5"/>
  <c r="O18" i="5"/>
  <c r="N18" i="5"/>
  <c r="M18" i="5"/>
  <c r="G18" i="5"/>
  <c r="F18" i="5"/>
  <c r="E18" i="5"/>
  <c r="S18" i="5" s="1"/>
  <c r="D18" i="5"/>
  <c r="DC17" i="5"/>
  <c r="DB17" i="5"/>
  <c r="DA17" i="5"/>
  <c r="CZ17" i="5"/>
  <c r="CY17" i="5"/>
  <c r="CX17" i="5"/>
  <c r="CV17" i="5"/>
  <c r="CT17" i="5"/>
  <c r="CS17" i="5"/>
  <c r="CR17" i="5"/>
  <c r="CQ17" i="5"/>
  <c r="CP17" i="5"/>
  <c r="CO17" i="5"/>
  <c r="CN17" i="5"/>
  <c r="CL17" i="5"/>
  <c r="CJ17" i="5"/>
  <c r="CI17" i="5"/>
  <c r="CH17" i="5"/>
  <c r="CK17" i="5" s="1"/>
  <c r="CG17" i="5"/>
  <c r="CF17" i="5"/>
  <c r="CE17" i="5"/>
  <c r="CD17" i="5"/>
  <c r="CC17" i="5"/>
  <c r="CB17" i="5"/>
  <c r="CA17" i="5"/>
  <c r="BZ17" i="5"/>
  <c r="BY17" i="5"/>
  <c r="BX17" i="5"/>
  <c r="BW17" i="5"/>
  <c r="BV17" i="5"/>
  <c r="BU17" i="5"/>
  <c r="BT17" i="5"/>
  <c r="BS17" i="5"/>
  <c r="BR17" i="5"/>
  <c r="BP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AZ17" i="5"/>
  <c r="AY17" i="5"/>
  <c r="AX17" i="5"/>
  <c r="AV17" i="5"/>
  <c r="AT17" i="5"/>
  <c r="AS17" i="5"/>
  <c r="AR17" i="5"/>
  <c r="AQ17" i="5"/>
  <c r="AP17" i="5"/>
  <c r="AO17" i="5"/>
  <c r="AN17" i="5"/>
  <c r="AM17" i="5"/>
  <c r="AL17" i="5"/>
  <c r="AJ17" i="5"/>
  <c r="AH17" i="5"/>
  <c r="AG17" i="5"/>
  <c r="AF17" i="5"/>
  <c r="AE17" i="5"/>
  <c r="AD17" i="5"/>
  <c r="AC17" i="5"/>
  <c r="AB17" i="5"/>
  <c r="AA17" i="5"/>
  <c r="Z17" i="5"/>
  <c r="X17" i="5"/>
  <c r="V17" i="5"/>
  <c r="U17" i="5"/>
  <c r="T17" i="5"/>
  <c r="R17" i="5"/>
  <c r="Q17" i="5"/>
  <c r="P17" i="5"/>
  <c r="O17" i="5"/>
  <c r="N17" i="5"/>
  <c r="M17" i="5"/>
  <c r="G17" i="5"/>
  <c r="F17" i="5"/>
  <c r="E17" i="5"/>
  <c r="S17" i="5" s="1"/>
  <c r="D17" i="5"/>
  <c r="DC16" i="5"/>
  <c r="DB16" i="5"/>
  <c r="DA16" i="5"/>
  <c r="CZ16" i="5"/>
  <c r="CY16" i="5"/>
  <c r="CX16" i="5"/>
  <c r="CV16" i="5"/>
  <c r="CT16" i="5"/>
  <c r="CS16" i="5"/>
  <c r="CR16" i="5"/>
  <c r="CQ16" i="5"/>
  <c r="CP16" i="5"/>
  <c r="CO16" i="5"/>
  <c r="CN16" i="5"/>
  <c r="CL16" i="5"/>
  <c r="CJ16" i="5"/>
  <c r="CI16" i="5"/>
  <c r="CH16" i="5"/>
  <c r="CK16" i="5" s="1"/>
  <c r="CG16" i="5"/>
  <c r="CF16" i="5"/>
  <c r="CE16" i="5"/>
  <c r="CD16" i="5"/>
  <c r="CC16" i="5"/>
  <c r="CB16" i="5"/>
  <c r="CA16" i="5"/>
  <c r="BZ16" i="5"/>
  <c r="BY16" i="5"/>
  <c r="BX16" i="5"/>
  <c r="BW16" i="5"/>
  <c r="BV16" i="5"/>
  <c r="BU16" i="5"/>
  <c r="BT16" i="5"/>
  <c r="BS16" i="5"/>
  <c r="BR16" i="5"/>
  <c r="BP16" i="5"/>
  <c r="BN16" i="5"/>
  <c r="BM16" i="5"/>
  <c r="BL16" i="5"/>
  <c r="BK16" i="5"/>
  <c r="BJ16" i="5"/>
  <c r="BI16" i="5"/>
  <c r="BH16" i="5"/>
  <c r="BG16" i="5"/>
  <c r="BF16" i="5"/>
  <c r="BE16" i="5"/>
  <c r="BD16" i="5"/>
  <c r="BC16" i="5"/>
  <c r="BB16" i="5"/>
  <c r="BA16" i="5"/>
  <c r="AZ16" i="5"/>
  <c r="AY16" i="5"/>
  <c r="AX16" i="5"/>
  <c r="AV16" i="5"/>
  <c r="AT16" i="5"/>
  <c r="AS16" i="5"/>
  <c r="AR16" i="5"/>
  <c r="AQ16" i="5"/>
  <c r="AP16" i="5"/>
  <c r="AO16" i="5"/>
  <c r="AN16" i="5"/>
  <c r="AM16" i="5"/>
  <c r="AL16" i="5"/>
  <c r="AJ16" i="5"/>
  <c r="AH16" i="5"/>
  <c r="AG16" i="5"/>
  <c r="AF16" i="5"/>
  <c r="AE16" i="5"/>
  <c r="AD16" i="5"/>
  <c r="AC16" i="5"/>
  <c r="AB16" i="5"/>
  <c r="AA16" i="5"/>
  <c r="Z16" i="5"/>
  <c r="X16" i="5"/>
  <c r="V16" i="5"/>
  <c r="U16" i="5"/>
  <c r="T16" i="5"/>
  <c r="R16" i="5"/>
  <c r="Q16" i="5"/>
  <c r="P16" i="5"/>
  <c r="O16" i="5"/>
  <c r="N16" i="5"/>
  <c r="M16" i="5"/>
  <c r="G16" i="5"/>
  <c r="F16" i="5"/>
  <c r="E16" i="5"/>
  <c r="D16" i="5"/>
  <c r="DC15" i="5"/>
  <c r="DB15" i="5"/>
  <c r="DA15" i="5"/>
  <c r="CZ15" i="5"/>
  <c r="CY15" i="5"/>
  <c r="CX15" i="5"/>
  <c r="CV15" i="5"/>
  <c r="CT15" i="5"/>
  <c r="CS15" i="5"/>
  <c r="CR15" i="5"/>
  <c r="CQ15" i="5"/>
  <c r="CP15" i="5"/>
  <c r="CO15" i="5"/>
  <c r="CN15" i="5"/>
  <c r="CL15" i="5"/>
  <c r="CJ15" i="5"/>
  <c r="CI15" i="5"/>
  <c r="CH15" i="5"/>
  <c r="CK15" i="5" s="1"/>
  <c r="CG15" i="5"/>
  <c r="CF15" i="5"/>
  <c r="CE15" i="5"/>
  <c r="CD15" i="5"/>
  <c r="CC15" i="5"/>
  <c r="CB15" i="5"/>
  <c r="CA15" i="5"/>
  <c r="BZ15" i="5"/>
  <c r="BY15" i="5"/>
  <c r="BX15" i="5"/>
  <c r="BW15" i="5"/>
  <c r="BV15" i="5"/>
  <c r="BU15" i="5"/>
  <c r="BT15" i="5"/>
  <c r="BS15" i="5"/>
  <c r="BR15" i="5"/>
  <c r="BP15" i="5"/>
  <c r="BN15" i="5"/>
  <c r="BM15" i="5"/>
  <c r="BL15" i="5"/>
  <c r="BK15" i="5"/>
  <c r="BJ15" i="5"/>
  <c r="BI15" i="5"/>
  <c r="BH15" i="5"/>
  <c r="BG15" i="5"/>
  <c r="BF15" i="5"/>
  <c r="BE15" i="5"/>
  <c r="BD15" i="5"/>
  <c r="BC15" i="5"/>
  <c r="BB15" i="5"/>
  <c r="BA15" i="5"/>
  <c r="AZ15" i="5"/>
  <c r="AY15" i="5"/>
  <c r="AX15" i="5"/>
  <c r="AV15" i="5"/>
  <c r="AT15" i="5"/>
  <c r="AS15" i="5"/>
  <c r="AR15" i="5"/>
  <c r="AQ15" i="5"/>
  <c r="AP15" i="5"/>
  <c r="AO15" i="5"/>
  <c r="AN15" i="5"/>
  <c r="AM15" i="5"/>
  <c r="AL15" i="5"/>
  <c r="AJ15" i="5"/>
  <c r="AH15" i="5"/>
  <c r="AG15" i="5"/>
  <c r="AF15" i="5"/>
  <c r="AE15" i="5"/>
  <c r="AD15" i="5"/>
  <c r="AC15" i="5"/>
  <c r="AB15" i="5"/>
  <c r="AA15" i="5"/>
  <c r="Z15" i="5"/>
  <c r="X15" i="5"/>
  <c r="V15" i="5"/>
  <c r="U15" i="5"/>
  <c r="T15" i="5"/>
  <c r="R15" i="5"/>
  <c r="Q15" i="5"/>
  <c r="P15" i="5"/>
  <c r="O15" i="5"/>
  <c r="N15" i="5"/>
  <c r="M15" i="5"/>
  <c r="G15" i="5"/>
  <c r="F15" i="5"/>
  <c r="E15" i="5"/>
  <c r="S15" i="5" s="1"/>
  <c r="D15" i="5"/>
  <c r="DC14" i="5"/>
  <c r="DB14" i="5"/>
  <c r="DA14" i="5"/>
  <c r="CZ14" i="5"/>
  <c r="CY14" i="5"/>
  <c r="CX14" i="5"/>
  <c r="CV14" i="5"/>
  <c r="CT14" i="5"/>
  <c r="CS14" i="5"/>
  <c r="CR14" i="5"/>
  <c r="CQ14" i="5"/>
  <c r="CP14" i="5"/>
  <c r="CO14" i="5"/>
  <c r="CN14" i="5"/>
  <c r="CL14" i="5"/>
  <c r="CJ14" i="5"/>
  <c r="CI14" i="5"/>
  <c r="CH14" i="5"/>
  <c r="CK14" i="5" s="1"/>
  <c r="CG14" i="5"/>
  <c r="CF14" i="5"/>
  <c r="CE14" i="5"/>
  <c r="CD14" i="5"/>
  <c r="CC14" i="5"/>
  <c r="CB14" i="5"/>
  <c r="CA14" i="5"/>
  <c r="BZ14" i="5"/>
  <c r="BY14" i="5"/>
  <c r="BX14" i="5"/>
  <c r="BW14" i="5"/>
  <c r="BV14" i="5"/>
  <c r="BU14" i="5"/>
  <c r="BT14" i="5"/>
  <c r="BS14" i="5"/>
  <c r="BR14" i="5"/>
  <c r="BP14" i="5"/>
  <c r="BN14" i="5"/>
  <c r="BM14" i="5"/>
  <c r="BL14" i="5"/>
  <c r="BK14" i="5"/>
  <c r="BJ14" i="5"/>
  <c r="BI14" i="5"/>
  <c r="BH14" i="5"/>
  <c r="BG14" i="5"/>
  <c r="BF14" i="5"/>
  <c r="BE14" i="5"/>
  <c r="BD14" i="5"/>
  <c r="BC14" i="5"/>
  <c r="BB14" i="5"/>
  <c r="BA14" i="5"/>
  <c r="AZ14" i="5"/>
  <c r="AY14" i="5"/>
  <c r="AX14" i="5"/>
  <c r="AV14" i="5"/>
  <c r="AT14" i="5"/>
  <c r="AS14" i="5"/>
  <c r="AR14" i="5"/>
  <c r="AQ14" i="5"/>
  <c r="AP14" i="5"/>
  <c r="AO14" i="5"/>
  <c r="AN14" i="5"/>
  <c r="AM14" i="5"/>
  <c r="AL14" i="5"/>
  <c r="AJ14" i="5"/>
  <c r="AH14" i="5"/>
  <c r="AG14" i="5"/>
  <c r="AF14" i="5"/>
  <c r="AE14" i="5"/>
  <c r="AD14" i="5"/>
  <c r="AC14" i="5"/>
  <c r="AB14" i="5"/>
  <c r="AA14" i="5"/>
  <c r="Z14" i="5"/>
  <c r="X14" i="5"/>
  <c r="V14" i="5"/>
  <c r="U14" i="5"/>
  <c r="T14" i="5"/>
  <c r="R14" i="5"/>
  <c r="Q14" i="5"/>
  <c r="P14" i="5"/>
  <c r="O14" i="5"/>
  <c r="N14" i="5"/>
  <c r="M14" i="5"/>
  <c r="G14" i="5"/>
  <c r="F14" i="5"/>
  <c r="E14" i="5"/>
  <c r="D14" i="5"/>
  <c r="CW12" i="5"/>
  <c r="CU12" i="5"/>
  <c r="CM12" i="5"/>
  <c r="CK12" i="5"/>
  <c r="BQ12" i="5"/>
  <c r="BO12" i="5"/>
  <c r="AW12" i="5"/>
  <c r="AU12" i="5"/>
  <c r="AK12" i="5"/>
  <c r="AI12" i="5"/>
  <c r="Y12" i="5"/>
  <c r="W12" i="5"/>
  <c r="I12" i="5"/>
  <c r="H12" i="5"/>
  <c r="CW11" i="5"/>
  <c r="CM11" i="5"/>
  <c r="BQ11" i="5"/>
  <c r="AW11" i="5"/>
  <c r="AK11" i="5"/>
  <c r="Y11" i="5"/>
  <c r="S11" i="5"/>
  <c r="H11" i="5"/>
  <c r="D11" i="5"/>
  <c r="I11" i="5" s="1"/>
  <c r="CW10" i="5"/>
  <c r="CM10" i="5"/>
  <c r="BQ10" i="5"/>
  <c r="AW10" i="5"/>
  <c r="AK10" i="5"/>
  <c r="Y10" i="5"/>
  <c r="P10" i="5"/>
  <c r="J10" i="5" s="1"/>
  <c r="F10" i="5"/>
  <c r="F9" i="5" s="1"/>
  <c r="S9" i="5" s="1"/>
  <c r="D10" i="5"/>
  <c r="CW9" i="5"/>
  <c r="CM9" i="5"/>
  <c r="BQ9" i="5"/>
  <c r="AW9" i="5"/>
  <c r="AK9" i="5"/>
  <c r="Y9" i="5"/>
  <c r="E9" i="5"/>
  <c r="R116" i="4"/>
  <c r="J116" i="4"/>
  <c r="I116" i="4"/>
  <c r="H116" i="4"/>
  <c r="C116" i="4"/>
  <c r="R115" i="4"/>
  <c r="J115" i="4"/>
  <c r="H115" i="4" s="1"/>
  <c r="I115" i="4"/>
  <c r="C115" i="4"/>
  <c r="R114" i="4"/>
  <c r="J114" i="4"/>
  <c r="H114" i="4" s="1"/>
  <c r="I114" i="4"/>
  <c r="C114" i="4"/>
  <c r="R113" i="4"/>
  <c r="J113" i="4"/>
  <c r="I113" i="4"/>
  <c r="H113" i="4"/>
  <c r="C113" i="4"/>
  <c r="R112" i="4"/>
  <c r="J112" i="4"/>
  <c r="H112" i="4" s="1"/>
  <c r="I112" i="4"/>
  <c r="C112" i="4"/>
  <c r="R111" i="4"/>
  <c r="J111" i="4"/>
  <c r="H111" i="4" s="1"/>
  <c r="I111" i="4"/>
  <c r="C111" i="4"/>
  <c r="R110" i="4"/>
  <c r="J110" i="4"/>
  <c r="I110" i="4"/>
  <c r="H110" i="4"/>
  <c r="C110" i="4"/>
  <c r="R109" i="4"/>
  <c r="J109" i="4"/>
  <c r="H109" i="4" s="1"/>
  <c r="I109" i="4"/>
  <c r="C109" i="4"/>
  <c r="R108" i="4"/>
  <c r="J108" i="4"/>
  <c r="H108" i="4" s="1"/>
  <c r="I108" i="4"/>
  <c r="C108" i="4"/>
  <c r="R107" i="4"/>
  <c r="J107" i="4"/>
  <c r="I107" i="4"/>
  <c r="H107" i="4"/>
  <c r="C107" i="4"/>
  <c r="R106" i="4"/>
  <c r="J106" i="4"/>
  <c r="H106" i="4" s="1"/>
  <c r="I106" i="4"/>
  <c r="C106" i="4"/>
  <c r="C104" i="4" s="1"/>
  <c r="R105" i="4"/>
  <c r="J105" i="4"/>
  <c r="I105" i="4"/>
  <c r="H105" i="4"/>
  <c r="C105" i="4"/>
  <c r="R104" i="4"/>
  <c r="I104" i="4"/>
  <c r="R103" i="4"/>
  <c r="J103" i="4"/>
  <c r="H103" i="4" s="1"/>
  <c r="I103" i="4"/>
  <c r="C103" i="4"/>
  <c r="R102" i="4"/>
  <c r="J102" i="4"/>
  <c r="H102" i="4" s="1"/>
  <c r="I102" i="4"/>
  <c r="C102" i="4"/>
  <c r="R101" i="4"/>
  <c r="J101" i="4"/>
  <c r="H101" i="4" s="1"/>
  <c r="I101" i="4"/>
  <c r="C101" i="4"/>
  <c r="R100" i="4"/>
  <c r="J100" i="4"/>
  <c r="H100" i="4" s="1"/>
  <c r="I100" i="4"/>
  <c r="C100" i="4"/>
  <c r="R99" i="4"/>
  <c r="J99" i="4"/>
  <c r="H99" i="4" s="1"/>
  <c r="I99" i="4"/>
  <c r="C99" i="4"/>
  <c r="R98" i="4"/>
  <c r="J98" i="4"/>
  <c r="H98" i="4" s="1"/>
  <c r="I98" i="4"/>
  <c r="C98" i="4"/>
  <c r="R97" i="4"/>
  <c r="J97" i="4"/>
  <c r="H97" i="4" s="1"/>
  <c r="I97" i="4"/>
  <c r="C97" i="4"/>
  <c r="R96" i="4"/>
  <c r="M96" i="4"/>
  <c r="I96" i="4"/>
  <c r="C96" i="4"/>
  <c r="R95" i="4"/>
  <c r="J95" i="4"/>
  <c r="H95" i="4" s="1"/>
  <c r="I95" i="4"/>
  <c r="C95" i="4"/>
  <c r="R94" i="4"/>
  <c r="J94" i="4"/>
  <c r="H94" i="4" s="1"/>
  <c r="I94" i="4"/>
  <c r="C94" i="4"/>
  <c r="R93" i="4"/>
  <c r="J93" i="4"/>
  <c r="H93" i="4" s="1"/>
  <c r="I93" i="4"/>
  <c r="C93" i="4"/>
  <c r="A93" i="4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R92" i="4"/>
  <c r="J92" i="4"/>
  <c r="H92" i="4" s="1"/>
  <c r="I92" i="4"/>
  <c r="C92" i="4"/>
  <c r="R91" i="4"/>
  <c r="J91" i="4"/>
  <c r="H91" i="4" s="1"/>
  <c r="I91" i="4"/>
  <c r="C91" i="4"/>
  <c r="R90" i="4"/>
  <c r="J90" i="4"/>
  <c r="I90" i="4"/>
  <c r="H90" i="4"/>
  <c r="C90" i="4"/>
  <c r="Q89" i="4"/>
  <c r="P89" i="4"/>
  <c r="O89" i="4"/>
  <c r="N89" i="4"/>
  <c r="E89" i="4"/>
  <c r="R89" i="4" s="1"/>
  <c r="D89" i="4"/>
  <c r="I89" i="4" s="1"/>
  <c r="C89" i="4"/>
  <c r="AI88" i="4"/>
  <c r="AH88" i="4"/>
  <c r="AF88" i="4"/>
  <c r="AE88" i="4"/>
  <c r="AC88" i="4"/>
  <c r="AB88" i="4"/>
  <c r="AD88" i="4" s="1"/>
  <c r="Z88" i="4"/>
  <c r="Y88" i="4"/>
  <c r="AA88" i="4" s="1"/>
  <c r="W88" i="4"/>
  <c r="V88" i="4"/>
  <c r="T88" i="4"/>
  <c r="S88" i="4"/>
  <c r="Q88" i="4"/>
  <c r="P88" i="4"/>
  <c r="O88" i="4"/>
  <c r="N88" i="4"/>
  <c r="M88" i="4"/>
  <c r="G88" i="4"/>
  <c r="F88" i="4"/>
  <c r="E88" i="4"/>
  <c r="R88" i="4" s="1"/>
  <c r="D88" i="4"/>
  <c r="AI87" i="4"/>
  <c r="AH87" i="4"/>
  <c r="AJ87" i="4" s="1"/>
  <c r="AF87" i="4"/>
  <c r="AE87" i="4"/>
  <c r="AG87" i="4" s="1"/>
  <c r="AC87" i="4"/>
  <c r="AB87" i="4"/>
  <c r="AD87" i="4" s="1"/>
  <c r="Z87" i="4"/>
  <c r="Y87" i="4"/>
  <c r="AA87" i="4" s="1"/>
  <c r="W87" i="4"/>
  <c r="V87" i="4"/>
  <c r="X87" i="4" s="1"/>
  <c r="T87" i="4"/>
  <c r="S87" i="4"/>
  <c r="U87" i="4" s="1"/>
  <c r="Q87" i="4"/>
  <c r="P87" i="4"/>
  <c r="O87" i="4"/>
  <c r="N87" i="4"/>
  <c r="M87" i="4"/>
  <c r="G87" i="4"/>
  <c r="F87" i="4"/>
  <c r="L87" i="4" s="1"/>
  <c r="E87" i="4"/>
  <c r="D87" i="4"/>
  <c r="AI86" i="4"/>
  <c r="AH86" i="4"/>
  <c r="AF86" i="4"/>
  <c r="AE86" i="4"/>
  <c r="AG86" i="4" s="1"/>
  <c r="AC86" i="4"/>
  <c r="AB86" i="4"/>
  <c r="Z86" i="4"/>
  <c r="Y86" i="4"/>
  <c r="W86" i="4"/>
  <c r="V86" i="4"/>
  <c r="T86" i="4"/>
  <c r="S86" i="4"/>
  <c r="Q86" i="4"/>
  <c r="P86" i="4"/>
  <c r="O86" i="4"/>
  <c r="N86" i="4"/>
  <c r="M86" i="4"/>
  <c r="G86" i="4"/>
  <c r="F86" i="4"/>
  <c r="E86" i="4"/>
  <c r="D86" i="4"/>
  <c r="AI85" i="4"/>
  <c r="AH85" i="4"/>
  <c r="AJ85" i="4" s="1"/>
  <c r="AF85" i="4"/>
  <c r="AE85" i="4"/>
  <c r="AG85" i="4" s="1"/>
  <c r="AC85" i="4"/>
  <c r="AB85" i="4"/>
  <c r="AD85" i="4" s="1"/>
  <c r="Z85" i="4"/>
  <c r="Y85" i="4"/>
  <c r="AA85" i="4" s="1"/>
  <c r="W85" i="4"/>
  <c r="V85" i="4"/>
  <c r="X85" i="4" s="1"/>
  <c r="T85" i="4"/>
  <c r="S85" i="4"/>
  <c r="U85" i="4" s="1"/>
  <c r="Q85" i="4"/>
  <c r="P85" i="4"/>
  <c r="O85" i="4"/>
  <c r="N85" i="4"/>
  <c r="M85" i="4"/>
  <c r="G85" i="4"/>
  <c r="F85" i="4"/>
  <c r="L85" i="4" s="1"/>
  <c r="E85" i="4"/>
  <c r="R85" i="4" s="1"/>
  <c r="D85" i="4"/>
  <c r="K85" i="4" s="1"/>
  <c r="AI84" i="4"/>
  <c r="AH84" i="4"/>
  <c r="AJ84" i="4" s="1"/>
  <c r="AF84" i="4"/>
  <c r="AE84" i="4"/>
  <c r="AG84" i="4" s="1"/>
  <c r="AC84" i="4"/>
  <c r="AB84" i="4"/>
  <c r="AD84" i="4" s="1"/>
  <c r="Z84" i="4"/>
  <c r="Y84" i="4"/>
  <c r="AA84" i="4" s="1"/>
  <c r="W84" i="4"/>
  <c r="V84" i="4"/>
  <c r="T84" i="4"/>
  <c r="S84" i="4"/>
  <c r="U84" i="4" s="1"/>
  <c r="Q84" i="4"/>
  <c r="P84" i="4"/>
  <c r="O84" i="4"/>
  <c r="N84" i="4"/>
  <c r="M84" i="4"/>
  <c r="G84" i="4"/>
  <c r="F84" i="4"/>
  <c r="L84" i="4" s="1"/>
  <c r="E84" i="4"/>
  <c r="D84" i="4"/>
  <c r="AI83" i="4"/>
  <c r="AH83" i="4"/>
  <c r="AJ83" i="4" s="1"/>
  <c r="AF83" i="4"/>
  <c r="AE83" i="4"/>
  <c r="AG83" i="4" s="1"/>
  <c r="AC83" i="4"/>
  <c r="AB83" i="4"/>
  <c r="AD83" i="4" s="1"/>
  <c r="Z83" i="4"/>
  <c r="Y83" i="4"/>
  <c r="AA83" i="4" s="1"/>
  <c r="W83" i="4"/>
  <c r="V83" i="4"/>
  <c r="X83" i="4" s="1"/>
  <c r="T83" i="4"/>
  <c r="S83" i="4"/>
  <c r="U83" i="4" s="1"/>
  <c r="Q83" i="4"/>
  <c r="P83" i="4"/>
  <c r="O83" i="4"/>
  <c r="N83" i="4"/>
  <c r="M83" i="4"/>
  <c r="G83" i="4"/>
  <c r="F83" i="4"/>
  <c r="L83" i="4" s="1"/>
  <c r="E83" i="4"/>
  <c r="R83" i="4" s="1"/>
  <c r="D83" i="4"/>
  <c r="I83" i="4" s="1"/>
  <c r="AI82" i="4"/>
  <c r="AH82" i="4"/>
  <c r="AJ82" i="4" s="1"/>
  <c r="AF82" i="4"/>
  <c r="AE82" i="4"/>
  <c r="AG82" i="4" s="1"/>
  <c r="AC82" i="4"/>
  <c r="AB82" i="4"/>
  <c r="Z82" i="4"/>
  <c r="Y82" i="4"/>
  <c r="AA82" i="4" s="1"/>
  <c r="W82" i="4"/>
  <c r="V82" i="4"/>
  <c r="X82" i="4" s="1"/>
  <c r="T82" i="4"/>
  <c r="S82" i="4"/>
  <c r="U82" i="4" s="1"/>
  <c r="Q82" i="4"/>
  <c r="P82" i="4"/>
  <c r="O82" i="4"/>
  <c r="N82" i="4"/>
  <c r="M82" i="4"/>
  <c r="G82" i="4"/>
  <c r="F82" i="4"/>
  <c r="L82" i="4" s="1"/>
  <c r="E82" i="4"/>
  <c r="R82" i="4" s="1"/>
  <c r="D82" i="4"/>
  <c r="K82" i="4" s="1"/>
  <c r="AI81" i="4"/>
  <c r="AH81" i="4"/>
  <c r="AJ81" i="4" s="1"/>
  <c r="AF81" i="4"/>
  <c r="AE81" i="4"/>
  <c r="AG81" i="4" s="1"/>
  <c r="AC81" i="4"/>
  <c r="AB81" i="4"/>
  <c r="AD81" i="4" s="1"/>
  <c r="Z81" i="4"/>
  <c r="Y81" i="4"/>
  <c r="AA81" i="4" s="1"/>
  <c r="W81" i="4"/>
  <c r="V81" i="4"/>
  <c r="X81" i="4" s="1"/>
  <c r="T81" i="4"/>
  <c r="S81" i="4"/>
  <c r="U81" i="4" s="1"/>
  <c r="Q81" i="4"/>
  <c r="P81" i="4"/>
  <c r="O81" i="4"/>
  <c r="N81" i="4"/>
  <c r="M81" i="4"/>
  <c r="G81" i="4"/>
  <c r="F81" i="4"/>
  <c r="L81" i="4" s="1"/>
  <c r="E81" i="4"/>
  <c r="R81" i="4" s="1"/>
  <c r="D81" i="4"/>
  <c r="AI80" i="4"/>
  <c r="AH80" i="4"/>
  <c r="AJ80" i="4" s="1"/>
  <c r="AF80" i="4"/>
  <c r="AE80" i="4"/>
  <c r="AG80" i="4" s="1"/>
  <c r="AC80" i="4"/>
  <c r="AB80" i="4"/>
  <c r="AD80" i="4" s="1"/>
  <c r="Z80" i="4"/>
  <c r="Y80" i="4"/>
  <c r="AA80" i="4" s="1"/>
  <c r="W80" i="4"/>
  <c r="V80" i="4"/>
  <c r="X80" i="4" s="1"/>
  <c r="T80" i="4"/>
  <c r="S80" i="4"/>
  <c r="U80" i="4" s="1"/>
  <c r="Q80" i="4"/>
  <c r="P80" i="4"/>
  <c r="O80" i="4"/>
  <c r="N80" i="4"/>
  <c r="M80" i="4"/>
  <c r="G80" i="4"/>
  <c r="F80" i="4"/>
  <c r="L80" i="4" s="1"/>
  <c r="E80" i="4"/>
  <c r="R80" i="4" s="1"/>
  <c r="D80" i="4"/>
  <c r="I80" i="4" s="1"/>
  <c r="AI79" i="4"/>
  <c r="AH79" i="4"/>
  <c r="AJ79" i="4" s="1"/>
  <c r="AF79" i="4"/>
  <c r="AE79" i="4"/>
  <c r="AG79" i="4" s="1"/>
  <c r="AC79" i="4"/>
  <c r="AB79" i="4"/>
  <c r="AD79" i="4" s="1"/>
  <c r="Z79" i="4"/>
  <c r="Y79" i="4"/>
  <c r="AA79" i="4" s="1"/>
  <c r="W79" i="4"/>
  <c r="V79" i="4"/>
  <c r="X79" i="4" s="1"/>
  <c r="T79" i="4"/>
  <c r="S79" i="4"/>
  <c r="U79" i="4" s="1"/>
  <c r="Q79" i="4"/>
  <c r="P79" i="4"/>
  <c r="O79" i="4"/>
  <c r="N79" i="4"/>
  <c r="M79" i="4"/>
  <c r="G79" i="4"/>
  <c r="F79" i="4"/>
  <c r="L79" i="4" s="1"/>
  <c r="E79" i="4"/>
  <c r="R79" i="4" s="1"/>
  <c r="D79" i="4"/>
  <c r="AI78" i="4"/>
  <c r="AH78" i="4"/>
  <c r="AJ78" i="4" s="1"/>
  <c r="AF78" i="4"/>
  <c r="AE78" i="4"/>
  <c r="AG78" i="4" s="1"/>
  <c r="AC78" i="4"/>
  <c r="AB78" i="4"/>
  <c r="AD78" i="4" s="1"/>
  <c r="Z78" i="4"/>
  <c r="Y78" i="4"/>
  <c r="AA78" i="4" s="1"/>
  <c r="W78" i="4"/>
  <c r="V78" i="4"/>
  <c r="X78" i="4" s="1"/>
  <c r="T78" i="4"/>
  <c r="S78" i="4"/>
  <c r="U78" i="4" s="1"/>
  <c r="Q78" i="4"/>
  <c r="P78" i="4"/>
  <c r="O78" i="4"/>
  <c r="N78" i="4"/>
  <c r="M78" i="4"/>
  <c r="G78" i="4"/>
  <c r="F78" i="4"/>
  <c r="L78" i="4" s="1"/>
  <c r="E78" i="4"/>
  <c r="R78" i="4" s="1"/>
  <c r="D78" i="4"/>
  <c r="I78" i="4" s="1"/>
  <c r="AI77" i="4"/>
  <c r="AH77" i="4"/>
  <c r="AF77" i="4"/>
  <c r="AE77" i="4"/>
  <c r="AG77" i="4" s="1"/>
  <c r="AC77" i="4"/>
  <c r="AB77" i="4"/>
  <c r="AD77" i="4" s="1"/>
  <c r="Z77" i="4"/>
  <c r="Y77" i="4"/>
  <c r="AA77" i="4" s="1"/>
  <c r="W77" i="4"/>
  <c r="V77" i="4"/>
  <c r="X77" i="4" s="1"/>
  <c r="T77" i="4"/>
  <c r="S77" i="4"/>
  <c r="U77" i="4" s="1"/>
  <c r="Q77" i="4"/>
  <c r="P77" i="4"/>
  <c r="O77" i="4"/>
  <c r="N77" i="4"/>
  <c r="M77" i="4"/>
  <c r="G77" i="4"/>
  <c r="F77" i="4"/>
  <c r="L77" i="4" s="1"/>
  <c r="E77" i="4"/>
  <c r="R77" i="4" s="1"/>
  <c r="D77" i="4"/>
  <c r="I77" i="4" s="1"/>
  <c r="AI76" i="4"/>
  <c r="AH76" i="4"/>
  <c r="AF76" i="4"/>
  <c r="AE76" i="4"/>
  <c r="AG76" i="4" s="1"/>
  <c r="AC76" i="4"/>
  <c r="AB76" i="4"/>
  <c r="Z76" i="4"/>
  <c r="Y76" i="4"/>
  <c r="W76" i="4"/>
  <c r="V76" i="4"/>
  <c r="T76" i="4"/>
  <c r="S76" i="4"/>
  <c r="Q76" i="4"/>
  <c r="P76" i="4"/>
  <c r="O76" i="4"/>
  <c r="N76" i="4"/>
  <c r="M76" i="4"/>
  <c r="G76" i="4"/>
  <c r="F76" i="4"/>
  <c r="E76" i="4"/>
  <c r="R76" i="4" s="1"/>
  <c r="D76" i="4"/>
  <c r="AI75" i="4"/>
  <c r="AH75" i="4"/>
  <c r="AF75" i="4"/>
  <c r="AE75" i="4"/>
  <c r="AC75" i="4"/>
  <c r="AB75" i="4"/>
  <c r="Z75" i="4"/>
  <c r="Y75" i="4"/>
  <c r="W75" i="4"/>
  <c r="V75" i="4"/>
  <c r="T75" i="4"/>
  <c r="S75" i="4"/>
  <c r="Q75" i="4"/>
  <c r="P75" i="4"/>
  <c r="O75" i="4"/>
  <c r="N75" i="4"/>
  <c r="M75" i="4"/>
  <c r="G75" i="4"/>
  <c r="F75" i="4"/>
  <c r="E75" i="4"/>
  <c r="R75" i="4" s="1"/>
  <c r="D75" i="4"/>
  <c r="AI73" i="4"/>
  <c r="AH73" i="4"/>
  <c r="AJ73" i="4" s="1"/>
  <c r="AF73" i="4"/>
  <c r="AE73" i="4"/>
  <c r="AG73" i="4" s="1"/>
  <c r="AC73" i="4"/>
  <c r="AB73" i="4"/>
  <c r="AD73" i="4" s="1"/>
  <c r="Z73" i="4"/>
  <c r="Y73" i="4"/>
  <c r="AA73" i="4" s="1"/>
  <c r="W73" i="4"/>
  <c r="V73" i="4"/>
  <c r="X73" i="4" s="1"/>
  <c r="T73" i="4"/>
  <c r="S73" i="4"/>
  <c r="U73" i="4" s="1"/>
  <c r="Q73" i="4"/>
  <c r="P73" i="4"/>
  <c r="O73" i="4"/>
  <c r="N73" i="4"/>
  <c r="M73" i="4"/>
  <c r="G73" i="4"/>
  <c r="F73" i="4"/>
  <c r="L73" i="4" s="1"/>
  <c r="E73" i="4"/>
  <c r="R73" i="4" s="1"/>
  <c r="D73" i="4"/>
  <c r="AI72" i="4"/>
  <c r="AH72" i="4"/>
  <c r="AJ72" i="4" s="1"/>
  <c r="AF72" i="4"/>
  <c r="AE72" i="4"/>
  <c r="AG72" i="4" s="1"/>
  <c r="AC72" i="4"/>
  <c r="AB72" i="4"/>
  <c r="AD72" i="4" s="1"/>
  <c r="Z72" i="4"/>
  <c r="Y72" i="4"/>
  <c r="AA72" i="4" s="1"/>
  <c r="W72" i="4"/>
  <c r="V72" i="4"/>
  <c r="X72" i="4" s="1"/>
  <c r="T72" i="4"/>
  <c r="S72" i="4"/>
  <c r="U72" i="4" s="1"/>
  <c r="Q72" i="4"/>
  <c r="P72" i="4"/>
  <c r="O72" i="4"/>
  <c r="N72" i="4"/>
  <c r="M72" i="4"/>
  <c r="G72" i="4"/>
  <c r="F72" i="4"/>
  <c r="L72" i="4" s="1"/>
  <c r="E72" i="4"/>
  <c r="R72" i="4" s="1"/>
  <c r="D72" i="4"/>
  <c r="K72" i="4" s="1"/>
  <c r="AI71" i="4"/>
  <c r="AH71" i="4"/>
  <c r="AJ71" i="4" s="1"/>
  <c r="AF71" i="4"/>
  <c r="AE71" i="4"/>
  <c r="AG71" i="4" s="1"/>
  <c r="AC71" i="4"/>
  <c r="AB71" i="4"/>
  <c r="AD71" i="4" s="1"/>
  <c r="Z71" i="4"/>
  <c r="Y71" i="4"/>
  <c r="AA71" i="4" s="1"/>
  <c r="W71" i="4"/>
  <c r="V71" i="4"/>
  <c r="X71" i="4" s="1"/>
  <c r="T71" i="4"/>
  <c r="S71" i="4"/>
  <c r="U71" i="4" s="1"/>
  <c r="Q71" i="4"/>
  <c r="P71" i="4"/>
  <c r="O71" i="4"/>
  <c r="N71" i="4"/>
  <c r="M71" i="4"/>
  <c r="G71" i="4"/>
  <c r="F71" i="4"/>
  <c r="L71" i="4" s="1"/>
  <c r="E71" i="4"/>
  <c r="R71" i="4" s="1"/>
  <c r="D71" i="4"/>
  <c r="I71" i="4" s="1"/>
  <c r="AI70" i="4"/>
  <c r="AH70" i="4"/>
  <c r="AJ70" i="4" s="1"/>
  <c r="AF70" i="4"/>
  <c r="AE70" i="4"/>
  <c r="AG70" i="4" s="1"/>
  <c r="AC70" i="4"/>
  <c r="AB70" i="4"/>
  <c r="AD70" i="4" s="1"/>
  <c r="Z70" i="4"/>
  <c r="Y70" i="4"/>
  <c r="AA70" i="4" s="1"/>
  <c r="W70" i="4"/>
  <c r="V70" i="4"/>
  <c r="X70" i="4" s="1"/>
  <c r="T70" i="4"/>
  <c r="S70" i="4"/>
  <c r="U70" i="4" s="1"/>
  <c r="Q70" i="4"/>
  <c r="P70" i="4"/>
  <c r="O70" i="4"/>
  <c r="N70" i="4"/>
  <c r="M70" i="4"/>
  <c r="G70" i="4"/>
  <c r="F70" i="4"/>
  <c r="L70" i="4" s="1"/>
  <c r="E70" i="4"/>
  <c r="R70" i="4" s="1"/>
  <c r="D70" i="4"/>
  <c r="K70" i="4" s="1"/>
  <c r="AI69" i="4"/>
  <c r="AH69" i="4"/>
  <c r="AF69" i="4"/>
  <c r="AE69" i="4"/>
  <c r="AC69" i="4"/>
  <c r="AB69" i="4"/>
  <c r="AD69" i="4" s="1"/>
  <c r="Z69" i="4"/>
  <c r="Y69" i="4"/>
  <c r="AA69" i="4" s="1"/>
  <c r="W69" i="4"/>
  <c r="V69" i="4"/>
  <c r="T69" i="4"/>
  <c r="S69" i="4"/>
  <c r="Q69" i="4"/>
  <c r="P69" i="4"/>
  <c r="O69" i="4"/>
  <c r="N69" i="4"/>
  <c r="M69" i="4"/>
  <c r="G69" i="4"/>
  <c r="F69" i="4"/>
  <c r="E69" i="4"/>
  <c r="R69" i="4" s="1"/>
  <c r="D69" i="4"/>
  <c r="AI68" i="4"/>
  <c r="AH68" i="4"/>
  <c r="AJ68" i="4" s="1"/>
  <c r="AF68" i="4"/>
  <c r="AE68" i="4"/>
  <c r="AG68" i="4" s="1"/>
  <c r="AC68" i="4"/>
  <c r="AB68" i="4"/>
  <c r="AD68" i="4" s="1"/>
  <c r="Z68" i="4"/>
  <c r="Y68" i="4"/>
  <c r="AA68" i="4" s="1"/>
  <c r="W68" i="4"/>
  <c r="V68" i="4"/>
  <c r="X68" i="4" s="1"/>
  <c r="T68" i="4"/>
  <c r="S68" i="4"/>
  <c r="U68" i="4" s="1"/>
  <c r="Q68" i="4"/>
  <c r="P68" i="4"/>
  <c r="O68" i="4"/>
  <c r="N68" i="4"/>
  <c r="M68" i="4"/>
  <c r="G68" i="4"/>
  <c r="F68" i="4"/>
  <c r="L68" i="4" s="1"/>
  <c r="E68" i="4"/>
  <c r="R68" i="4" s="1"/>
  <c r="D68" i="4"/>
  <c r="I68" i="4" s="1"/>
  <c r="AI67" i="4"/>
  <c r="AH67" i="4"/>
  <c r="AJ67" i="4" s="1"/>
  <c r="AF67" i="4"/>
  <c r="AE67" i="4"/>
  <c r="AG67" i="4" s="1"/>
  <c r="AC67" i="4"/>
  <c r="AB67" i="4"/>
  <c r="AD67" i="4" s="1"/>
  <c r="Z67" i="4"/>
  <c r="Y67" i="4"/>
  <c r="AA67" i="4" s="1"/>
  <c r="W67" i="4"/>
  <c r="V67" i="4"/>
  <c r="X67" i="4" s="1"/>
  <c r="T67" i="4"/>
  <c r="S67" i="4"/>
  <c r="U67" i="4" s="1"/>
  <c r="Q67" i="4"/>
  <c r="P67" i="4"/>
  <c r="O67" i="4"/>
  <c r="N67" i="4"/>
  <c r="M67" i="4"/>
  <c r="G67" i="4"/>
  <c r="F67" i="4"/>
  <c r="L67" i="4" s="1"/>
  <c r="E67" i="4"/>
  <c r="R67" i="4" s="1"/>
  <c r="D67" i="4"/>
  <c r="I67" i="4" s="1"/>
  <c r="AI66" i="4"/>
  <c r="AH66" i="4"/>
  <c r="AJ66" i="4" s="1"/>
  <c r="AF66" i="4"/>
  <c r="AE66" i="4"/>
  <c r="AG66" i="4" s="1"/>
  <c r="AC66" i="4"/>
  <c r="AB66" i="4"/>
  <c r="AD66" i="4" s="1"/>
  <c r="Z66" i="4"/>
  <c r="Y66" i="4"/>
  <c r="AA66" i="4" s="1"/>
  <c r="W66" i="4"/>
  <c r="V66" i="4"/>
  <c r="X66" i="4" s="1"/>
  <c r="T66" i="4"/>
  <c r="S66" i="4"/>
  <c r="U66" i="4" s="1"/>
  <c r="Q66" i="4"/>
  <c r="P66" i="4"/>
  <c r="O66" i="4"/>
  <c r="N66" i="4"/>
  <c r="M66" i="4"/>
  <c r="G66" i="4"/>
  <c r="F66" i="4"/>
  <c r="L66" i="4" s="1"/>
  <c r="E66" i="4"/>
  <c r="R66" i="4" s="1"/>
  <c r="D66" i="4"/>
  <c r="K66" i="4" s="1"/>
  <c r="AI65" i="4"/>
  <c r="AH65" i="4"/>
  <c r="AJ65" i="4" s="1"/>
  <c r="AF65" i="4"/>
  <c r="AE65" i="4"/>
  <c r="AG65" i="4" s="1"/>
  <c r="AC65" i="4"/>
  <c r="AB65" i="4"/>
  <c r="AD65" i="4" s="1"/>
  <c r="Z65" i="4"/>
  <c r="Y65" i="4"/>
  <c r="AA65" i="4" s="1"/>
  <c r="W65" i="4"/>
  <c r="V65" i="4"/>
  <c r="X65" i="4" s="1"/>
  <c r="T65" i="4"/>
  <c r="S65" i="4"/>
  <c r="U65" i="4" s="1"/>
  <c r="Q65" i="4"/>
  <c r="P65" i="4"/>
  <c r="O65" i="4"/>
  <c r="N65" i="4"/>
  <c r="M65" i="4"/>
  <c r="G65" i="4"/>
  <c r="F65" i="4"/>
  <c r="L65" i="4" s="1"/>
  <c r="E65" i="4"/>
  <c r="R65" i="4" s="1"/>
  <c r="D65" i="4"/>
  <c r="I65" i="4" s="1"/>
  <c r="AI64" i="4"/>
  <c r="AH64" i="4"/>
  <c r="AJ64" i="4" s="1"/>
  <c r="AF64" i="4"/>
  <c r="AE64" i="4"/>
  <c r="AG64" i="4" s="1"/>
  <c r="AC64" i="4"/>
  <c r="AB64" i="4"/>
  <c r="AD64" i="4" s="1"/>
  <c r="Z64" i="4"/>
  <c r="Y64" i="4"/>
  <c r="AA64" i="4" s="1"/>
  <c r="W64" i="4"/>
  <c r="V64" i="4"/>
  <c r="X64" i="4" s="1"/>
  <c r="T64" i="4"/>
  <c r="S64" i="4"/>
  <c r="U64" i="4" s="1"/>
  <c r="Q64" i="4"/>
  <c r="P64" i="4"/>
  <c r="O64" i="4"/>
  <c r="N64" i="4"/>
  <c r="M64" i="4"/>
  <c r="G64" i="4"/>
  <c r="F64" i="4"/>
  <c r="L64" i="4" s="1"/>
  <c r="E64" i="4"/>
  <c r="R64" i="4" s="1"/>
  <c r="D64" i="4"/>
  <c r="K64" i="4" s="1"/>
  <c r="AI63" i="4"/>
  <c r="AH63" i="4"/>
  <c r="AJ63" i="4" s="1"/>
  <c r="AF63" i="4"/>
  <c r="AE63" i="4"/>
  <c r="AG63" i="4" s="1"/>
  <c r="AC63" i="4"/>
  <c r="AB63" i="4"/>
  <c r="AD63" i="4" s="1"/>
  <c r="Z63" i="4"/>
  <c r="Y63" i="4"/>
  <c r="AA63" i="4" s="1"/>
  <c r="W63" i="4"/>
  <c r="V63" i="4"/>
  <c r="X63" i="4" s="1"/>
  <c r="T63" i="4"/>
  <c r="S63" i="4"/>
  <c r="U63" i="4" s="1"/>
  <c r="Q63" i="4"/>
  <c r="P63" i="4"/>
  <c r="O63" i="4"/>
  <c r="N63" i="4"/>
  <c r="M63" i="4"/>
  <c r="G63" i="4"/>
  <c r="F63" i="4"/>
  <c r="L63" i="4" s="1"/>
  <c r="E63" i="4"/>
  <c r="R63" i="4" s="1"/>
  <c r="D63" i="4"/>
  <c r="K63" i="4" s="1"/>
  <c r="AI62" i="4"/>
  <c r="AH62" i="4"/>
  <c r="AJ62" i="4" s="1"/>
  <c r="AF62" i="4"/>
  <c r="AE62" i="4"/>
  <c r="AG62" i="4" s="1"/>
  <c r="AC62" i="4"/>
  <c r="AB62" i="4"/>
  <c r="AD62" i="4" s="1"/>
  <c r="Z62" i="4"/>
  <c r="Y62" i="4"/>
  <c r="AA62" i="4" s="1"/>
  <c r="W62" i="4"/>
  <c r="V62" i="4"/>
  <c r="X62" i="4" s="1"/>
  <c r="T62" i="4"/>
  <c r="S62" i="4"/>
  <c r="U62" i="4" s="1"/>
  <c r="Q62" i="4"/>
  <c r="P62" i="4"/>
  <c r="O62" i="4"/>
  <c r="N62" i="4"/>
  <c r="M62" i="4"/>
  <c r="G62" i="4"/>
  <c r="F62" i="4"/>
  <c r="L62" i="4" s="1"/>
  <c r="E62" i="4"/>
  <c r="R62" i="4" s="1"/>
  <c r="D62" i="4"/>
  <c r="I62" i="4" s="1"/>
  <c r="AI61" i="4"/>
  <c r="AH61" i="4"/>
  <c r="AJ61" i="4" s="1"/>
  <c r="AF61" i="4"/>
  <c r="AE61" i="4"/>
  <c r="AG61" i="4" s="1"/>
  <c r="AC61" i="4"/>
  <c r="AB61" i="4"/>
  <c r="AD61" i="4" s="1"/>
  <c r="Z61" i="4"/>
  <c r="Y61" i="4"/>
  <c r="AA61" i="4" s="1"/>
  <c r="W61" i="4"/>
  <c r="V61" i="4"/>
  <c r="X61" i="4" s="1"/>
  <c r="T61" i="4"/>
  <c r="S61" i="4"/>
  <c r="U61" i="4" s="1"/>
  <c r="Q61" i="4"/>
  <c r="P61" i="4"/>
  <c r="O61" i="4"/>
  <c r="N61" i="4"/>
  <c r="M61" i="4"/>
  <c r="G61" i="4"/>
  <c r="F61" i="4"/>
  <c r="L61" i="4" s="1"/>
  <c r="E61" i="4"/>
  <c r="R61" i="4" s="1"/>
  <c r="D61" i="4"/>
  <c r="K61" i="4" s="1"/>
  <c r="AI60" i="4"/>
  <c r="AH60" i="4"/>
  <c r="AJ60" i="4" s="1"/>
  <c r="AF60" i="4"/>
  <c r="AE60" i="4"/>
  <c r="AG60" i="4" s="1"/>
  <c r="AC60" i="4"/>
  <c r="AB60" i="4"/>
  <c r="AD60" i="4" s="1"/>
  <c r="Z60" i="4"/>
  <c r="Y60" i="4"/>
  <c r="AA60" i="4" s="1"/>
  <c r="W60" i="4"/>
  <c r="V60" i="4"/>
  <c r="X60" i="4" s="1"/>
  <c r="T60" i="4"/>
  <c r="S60" i="4"/>
  <c r="U60" i="4" s="1"/>
  <c r="Q60" i="4"/>
  <c r="P60" i="4"/>
  <c r="O60" i="4"/>
  <c r="N60" i="4"/>
  <c r="M60" i="4"/>
  <c r="G60" i="4"/>
  <c r="F60" i="4"/>
  <c r="L60" i="4" s="1"/>
  <c r="E60" i="4"/>
  <c r="R60" i="4" s="1"/>
  <c r="D60" i="4"/>
  <c r="I60" i="4" s="1"/>
  <c r="AI59" i="4"/>
  <c r="AH59" i="4"/>
  <c r="AJ59" i="4" s="1"/>
  <c r="AF59" i="4"/>
  <c r="AE59" i="4"/>
  <c r="AG59" i="4" s="1"/>
  <c r="AC59" i="4"/>
  <c r="AB59" i="4"/>
  <c r="AD59" i="4" s="1"/>
  <c r="Z59" i="4"/>
  <c r="Y59" i="4"/>
  <c r="AA59" i="4" s="1"/>
  <c r="W59" i="4"/>
  <c r="V59" i="4"/>
  <c r="X59" i="4" s="1"/>
  <c r="T59" i="4"/>
  <c r="S59" i="4"/>
  <c r="U59" i="4" s="1"/>
  <c r="Q59" i="4"/>
  <c r="P59" i="4"/>
  <c r="O59" i="4"/>
  <c r="N59" i="4"/>
  <c r="M59" i="4"/>
  <c r="G59" i="4"/>
  <c r="F59" i="4"/>
  <c r="L59" i="4" s="1"/>
  <c r="E59" i="4"/>
  <c r="R59" i="4" s="1"/>
  <c r="D59" i="4"/>
  <c r="AI58" i="4"/>
  <c r="AH58" i="4"/>
  <c r="AJ58" i="4" s="1"/>
  <c r="AF58" i="4"/>
  <c r="AE58" i="4"/>
  <c r="AG58" i="4" s="1"/>
  <c r="AC58" i="4"/>
  <c r="AB58" i="4"/>
  <c r="AD58" i="4" s="1"/>
  <c r="Z58" i="4"/>
  <c r="Y58" i="4"/>
  <c r="AA58" i="4" s="1"/>
  <c r="W58" i="4"/>
  <c r="V58" i="4"/>
  <c r="X58" i="4" s="1"/>
  <c r="T58" i="4"/>
  <c r="S58" i="4"/>
  <c r="U58" i="4" s="1"/>
  <c r="Q58" i="4"/>
  <c r="P58" i="4"/>
  <c r="O58" i="4"/>
  <c r="N58" i="4"/>
  <c r="M58" i="4"/>
  <c r="G58" i="4"/>
  <c r="F58" i="4"/>
  <c r="L58" i="4" s="1"/>
  <c r="E58" i="4"/>
  <c r="R58" i="4" s="1"/>
  <c r="D58" i="4"/>
  <c r="K58" i="4" s="1"/>
  <c r="AI57" i="4"/>
  <c r="AH57" i="4"/>
  <c r="AJ57" i="4" s="1"/>
  <c r="AF57" i="4"/>
  <c r="AE57" i="4"/>
  <c r="AG57" i="4" s="1"/>
  <c r="AC57" i="4"/>
  <c r="AB57" i="4"/>
  <c r="AD57" i="4" s="1"/>
  <c r="Z57" i="4"/>
  <c r="Y57" i="4"/>
  <c r="AA57" i="4" s="1"/>
  <c r="W57" i="4"/>
  <c r="V57" i="4"/>
  <c r="X57" i="4" s="1"/>
  <c r="T57" i="4"/>
  <c r="S57" i="4"/>
  <c r="U57" i="4" s="1"/>
  <c r="Q57" i="4"/>
  <c r="P57" i="4"/>
  <c r="O57" i="4"/>
  <c r="N57" i="4"/>
  <c r="M57" i="4"/>
  <c r="G57" i="4"/>
  <c r="F57" i="4"/>
  <c r="L57" i="4" s="1"/>
  <c r="E57" i="4"/>
  <c r="R57" i="4" s="1"/>
  <c r="D57" i="4"/>
  <c r="I57" i="4" s="1"/>
  <c r="AI56" i="4"/>
  <c r="AH56" i="4"/>
  <c r="AF56" i="4"/>
  <c r="AE56" i="4"/>
  <c r="AC56" i="4"/>
  <c r="AB56" i="4"/>
  <c r="AD56" i="4" s="1"/>
  <c r="Z56" i="4"/>
  <c r="Y56" i="4"/>
  <c r="AA56" i="4" s="1"/>
  <c r="W56" i="4"/>
  <c r="V56" i="4"/>
  <c r="T56" i="4"/>
  <c r="S56" i="4"/>
  <c r="Q56" i="4"/>
  <c r="P56" i="4"/>
  <c r="O56" i="4"/>
  <c r="N56" i="4"/>
  <c r="M56" i="4"/>
  <c r="G56" i="4"/>
  <c r="F56" i="4"/>
  <c r="E56" i="4"/>
  <c r="R56" i="4" s="1"/>
  <c r="D56" i="4"/>
  <c r="AI55" i="4"/>
  <c r="AH55" i="4"/>
  <c r="AJ55" i="4" s="1"/>
  <c r="AF55" i="4"/>
  <c r="AE55" i="4"/>
  <c r="AG55" i="4" s="1"/>
  <c r="AC55" i="4"/>
  <c r="AB55" i="4"/>
  <c r="AD55" i="4" s="1"/>
  <c r="Z55" i="4"/>
  <c r="Y55" i="4"/>
  <c r="AA55" i="4" s="1"/>
  <c r="W55" i="4"/>
  <c r="V55" i="4"/>
  <c r="X55" i="4" s="1"/>
  <c r="T55" i="4"/>
  <c r="S55" i="4"/>
  <c r="U55" i="4" s="1"/>
  <c r="Q55" i="4"/>
  <c r="P55" i="4"/>
  <c r="O55" i="4"/>
  <c r="N55" i="4"/>
  <c r="M55" i="4"/>
  <c r="G55" i="4"/>
  <c r="F55" i="4"/>
  <c r="L55" i="4" s="1"/>
  <c r="E55" i="4"/>
  <c r="R55" i="4" s="1"/>
  <c r="D55" i="4"/>
  <c r="K55" i="4" s="1"/>
  <c r="AI54" i="4"/>
  <c r="AH54" i="4"/>
  <c r="AJ54" i="4" s="1"/>
  <c r="AF54" i="4"/>
  <c r="AE54" i="4"/>
  <c r="AC54" i="4"/>
  <c r="AB54" i="4"/>
  <c r="AD54" i="4" s="1"/>
  <c r="Z54" i="4"/>
  <c r="Y54" i="4"/>
  <c r="W54" i="4"/>
  <c r="V54" i="4"/>
  <c r="X54" i="4" s="1"/>
  <c r="T54" i="4"/>
  <c r="S54" i="4"/>
  <c r="Q54" i="4"/>
  <c r="P54" i="4"/>
  <c r="O54" i="4"/>
  <c r="N54" i="4"/>
  <c r="M54" i="4"/>
  <c r="G54" i="4"/>
  <c r="F54" i="4"/>
  <c r="L54" i="4" s="1"/>
  <c r="E54" i="4"/>
  <c r="R54" i="4" s="1"/>
  <c r="D54" i="4"/>
  <c r="I54" i="4" s="1"/>
  <c r="AI53" i="4"/>
  <c r="AH53" i="4"/>
  <c r="AF53" i="4"/>
  <c r="AE53" i="4"/>
  <c r="AC53" i="4"/>
  <c r="AB53" i="4"/>
  <c r="AD53" i="4" s="1"/>
  <c r="Z53" i="4"/>
  <c r="Y53" i="4"/>
  <c r="AA53" i="4" s="1"/>
  <c r="W53" i="4"/>
  <c r="V53" i="4"/>
  <c r="T53" i="4"/>
  <c r="S53" i="4"/>
  <c r="Q53" i="4"/>
  <c r="P53" i="4"/>
  <c r="O53" i="4"/>
  <c r="N53" i="4"/>
  <c r="M53" i="4"/>
  <c r="G53" i="4"/>
  <c r="F53" i="4"/>
  <c r="E53" i="4"/>
  <c r="D53" i="4"/>
  <c r="AI51" i="4"/>
  <c r="AH51" i="4"/>
  <c r="AJ51" i="4" s="1"/>
  <c r="AF51" i="4"/>
  <c r="AE51" i="4"/>
  <c r="AG51" i="4" s="1"/>
  <c r="AC51" i="4"/>
  <c r="AB51" i="4"/>
  <c r="AD51" i="4" s="1"/>
  <c r="Z51" i="4"/>
  <c r="Y51" i="4"/>
  <c r="AA51" i="4" s="1"/>
  <c r="W51" i="4"/>
  <c r="V51" i="4"/>
  <c r="X51" i="4" s="1"/>
  <c r="T51" i="4"/>
  <c r="S51" i="4"/>
  <c r="U51" i="4" s="1"/>
  <c r="Q51" i="4"/>
  <c r="P51" i="4"/>
  <c r="O51" i="4"/>
  <c r="N51" i="4"/>
  <c r="M51" i="4"/>
  <c r="G51" i="4"/>
  <c r="F51" i="4"/>
  <c r="L51" i="4" s="1"/>
  <c r="E51" i="4"/>
  <c r="R51" i="4" s="1"/>
  <c r="D51" i="4"/>
  <c r="I51" i="4" s="1"/>
  <c r="AI50" i="4"/>
  <c r="AH50" i="4"/>
  <c r="AJ50" i="4" s="1"/>
  <c r="AF50" i="4"/>
  <c r="AE50" i="4"/>
  <c r="AG50" i="4" s="1"/>
  <c r="AC50" i="4"/>
  <c r="AB50" i="4"/>
  <c r="AD50" i="4" s="1"/>
  <c r="Z50" i="4"/>
  <c r="Y50" i="4"/>
  <c r="AA50" i="4" s="1"/>
  <c r="W50" i="4"/>
  <c r="V50" i="4"/>
  <c r="X50" i="4" s="1"/>
  <c r="T50" i="4"/>
  <c r="S50" i="4"/>
  <c r="U50" i="4" s="1"/>
  <c r="Q50" i="4"/>
  <c r="P50" i="4"/>
  <c r="O50" i="4"/>
  <c r="N50" i="4"/>
  <c r="M50" i="4"/>
  <c r="G50" i="4"/>
  <c r="F50" i="4"/>
  <c r="L50" i="4" s="1"/>
  <c r="E50" i="4"/>
  <c r="R50" i="4" s="1"/>
  <c r="D50" i="4"/>
  <c r="I50" i="4" s="1"/>
  <c r="AI49" i="4"/>
  <c r="AH49" i="4"/>
  <c r="AJ49" i="4" s="1"/>
  <c r="AF49" i="4"/>
  <c r="AE49" i="4"/>
  <c r="AG49" i="4" s="1"/>
  <c r="AC49" i="4"/>
  <c r="AB49" i="4"/>
  <c r="AD49" i="4" s="1"/>
  <c r="Z49" i="4"/>
  <c r="Y49" i="4"/>
  <c r="AA49" i="4" s="1"/>
  <c r="W49" i="4"/>
  <c r="V49" i="4"/>
  <c r="X49" i="4" s="1"/>
  <c r="T49" i="4"/>
  <c r="S49" i="4"/>
  <c r="U49" i="4" s="1"/>
  <c r="Q49" i="4"/>
  <c r="P49" i="4"/>
  <c r="O49" i="4"/>
  <c r="N49" i="4"/>
  <c r="M49" i="4"/>
  <c r="G49" i="4"/>
  <c r="F49" i="4"/>
  <c r="L49" i="4" s="1"/>
  <c r="E49" i="4"/>
  <c r="R49" i="4" s="1"/>
  <c r="D49" i="4"/>
  <c r="K49" i="4" s="1"/>
  <c r="AI48" i="4"/>
  <c r="AH48" i="4"/>
  <c r="AJ48" i="4" s="1"/>
  <c r="AF48" i="4"/>
  <c r="AE48" i="4"/>
  <c r="AG48" i="4" s="1"/>
  <c r="AC48" i="4"/>
  <c r="AB48" i="4"/>
  <c r="AD48" i="4" s="1"/>
  <c r="Z48" i="4"/>
  <c r="Y48" i="4"/>
  <c r="AA48" i="4" s="1"/>
  <c r="W48" i="4"/>
  <c r="V48" i="4"/>
  <c r="X48" i="4" s="1"/>
  <c r="T48" i="4"/>
  <c r="S48" i="4"/>
  <c r="U48" i="4" s="1"/>
  <c r="Q48" i="4"/>
  <c r="P48" i="4"/>
  <c r="O48" i="4"/>
  <c r="N48" i="4"/>
  <c r="M48" i="4"/>
  <c r="G48" i="4"/>
  <c r="F48" i="4"/>
  <c r="L48" i="4" s="1"/>
  <c r="E48" i="4"/>
  <c r="R48" i="4" s="1"/>
  <c r="D48" i="4"/>
  <c r="I48" i="4" s="1"/>
  <c r="AI47" i="4"/>
  <c r="AH47" i="4"/>
  <c r="AJ47" i="4" s="1"/>
  <c r="AF47" i="4"/>
  <c r="AE47" i="4"/>
  <c r="AG47" i="4" s="1"/>
  <c r="AC47" i="4"/>
  <c r="AB47" i="4"/>
  <c r="AD47" i="4" s="1"/>
  <c r="Z47" i="4"/>
  <c r="Y47" i="4"/>
  <c r="AA47" i="4" s="1"/>
  <c r="W47" i="4"/>
  <c r="V47" i="4"/>
  <c r="X47" i="4" s="1"/>
  <c r="T47" i="4"/>
  <c r="S47" i="4"/>
  <c r="U47" i="4" s="1"/>
  <c r="Q47" i="4"/>
  <c r="P47" i="4"/>
  <c r="O47" i="4"/>
  <c r="N47" i="4"/>
  <c r="M47" i="4"/>
  <c r="G47" i="4"/>
  <c r="F47" i="4"/>
  <c r="L47" i="4" s="1"/>
  <c r="E47" i="4"/>
  <c r="R47" i="4" s="1"/>
  <c r="D47" i="4"/>
  <c r="I47" i="4" s="1"/>
  <c r="AI46" i="4"/>
  <c r="AH46" i="4"/>
  <c r="AJ46" i="4" s="1"/>
  <c r="AF46" i="4"/>
  <c r="AE46" i="4"/>
  <c r="AG46" i="4" s="1"/>
  <c r="AC46" i="4"/>
  <c r="AB46" i="4"/>
  <c r="AD46" i="4" s="1"/>
  <c r="Z46" i="4"/>
  <c r="Y46" i="4"/>
  <c r="AA46" i="4" s="1"/>
  <c r="W46" i="4"/>
  <c r="V46" i="4"/>
  <c r="X46" i="4" s="1"/>
  <c r="T46" i="4"/>
  <c r="S46" i="4"/>
  <c r="U46" i="4" s="1"/>
  <c r="Q46" i="4"/>
  <c r="P46" i="4"/>
  <c r="O46" i="4"/>
  <c r="N46" i="4"/>
  <c r="M46" i="4"/>
  <c r="G46" i="4"/>
  <c r="F46" i="4"/>
  <c r="L46" i="4" s="1"/>
  <c r="E46" i="4"/>
  <c r="R46" i="4" s="1"/>
  <c r="D46" i="4"/>
  <c r="K46" i="4" s="1"/>
  <c r="AI45" i="4"/>
  <c r="AH45" i="4"/>
  <c r="AJ45" i="4" s="1"/>
  <c r="AF45" i="4"/>
  <c r="AE45" i="4"/>
  <c r="AG45" i="4" s="1"/>
  <c r="AC45" i="4"/>
  <c r="AB45" i="4"/>
  <c r="AD45" i="4" s="1"/>
  <c r="Z45" i="4"/>
  <c r="Y45" i="4"/>
  <c r="AA45" i="4" s="1"/>
  <c r="W45" i="4"/>
  <c r="V45" i="4"/>
  <c r="X45" i="4" s="1"/>
  <c r="T45" i="4"/>
  <c r="S45" i="4"/>
  <c r="U45" i="4" s="1"/>
  <c r="Q45" i="4"/>
  <c r="P45" i="4"/>
  <c r="O45" i="4"/>
  <c r="N45" i="4"/>
  <c r="M45" i="4"/>
  <c r="G45" i="4"/>
  <c r="F45" i="4"/>
  <c r="L45" i="4" s="1"/>
  <c r="E45" i="4"/>
  <c r="R45" i="4" s="1"/>
  <c r="D45" i="4"/>
  <c r="I45" i="4" s="1"/>
  <c r="AI44" i="4"/>
  <c r="AH44" i="4"/>
  <c r="AJ44" i="4" s="1"/>
  <c r="AF44" i="4"/>
  <c r="AE44" i="4"/>
  <c r="AG44" i="4" s="1"/>
  <c r="AC44" i="4"/>
  <c r="AB44" i="4"/>
  <c r="AD44" i="4" s="1"/>
  <c r="Z44" i="4"/>
  <c r="Y44" i="4"/>
  <c r="AA44" i="4" s="1"/>
  <c r="W44" i="4"/>
  <c r="V44" i="4"/>
  <c r="X44" i="4" s="1"/>
  <c r="T44" i="4"/>
  <c r="S44" i="4"/>
  <c r="U44" i="4" s="1"/>
  <c r="Q44" i="4"/>
  <c r="P44" i="4"/>
  <c r="O44" i="4"/>
  <c r="N44" i="4"/>
  <c r="M44" i="4"/>
  <c r="G44" i="4"/>
  <c r="F44" i="4"/>
  <c r="L44" i="4" s="1"/>
  <c r="E44" i="4"/>
  <c r="R44" i="4" s="1"/>
  <c r="D44" i="4"/>
  <c r="I44" i="4" s="1"/>
  <c r="AI43" i="4"/>
  <c r="AH43" i="4"/>
  <c r="AJ43" i="4" s="1"/>
  <c r="AF43" i="4"/>
  <c r="AE43" i="4"/>
  <c r="AG43" i="4" s="1"/>
  <c r="AC43" i="4"/>
  <c r="AB43" i="4"/>
  <c r="AD43" i="4" s="1"/>
  <c r="Z43" i="4"/>
  <c r="Y43" i="4"/>
  <c r="AA43" i="4" s="1"/>
  <c r="W43" i="4"/>
  <c r="V43" i="4"/>
  <c r="X43" i="4" s="1"/>
  <c r="T43" i="4"/>
  <c r="S43" i="4"/>
  <c r="U43" i="4" s="1"/>
  <c r="Q43" i="4"/>
  <c r="P43" i="4"/>
  <c r="O43" i="4"/>
  <c r="N43" i="4"/>
  <c r="M43" i="4"/>
  <c r="G43" i="4"/>
  <c r="F43" i="4"/>
  <c r="L43" i="4" s="1"/>
  <c r="E43" i="4"/>
  <c r="R43" i="4" s="1"/>
  <c r="D43" i="4"/>
  <c r="K43" i="4" s="1"/>
  <c r="AI42" i="4"/>
  <c r="AH42" i="4"/>
  <c r="AJ42" i="4" s="1"/>
  <c r="AF42" i="4"/>
  <c r="AE42" i="4"/>
  <c r="AG42" i="4" s="1"/>
  <c r="AC42" i="4"/>
  <c r="AB42" i="4"/>
  <c r="AD42" i="4" s="1"/>
  <c r="Z42" i="4"/>
  <c r="Y42" i="4"/>
  <c r="AA42" i="4" s="1"/>
  <c r="W42" i="4"/>
  <c r="V42" i="4"/>
  <c r="X42" i="4" s="1"/>
  <c r="T42" i="4"/>
  <c r="S42" i="4"/>
  <c r="U42" i="4" s="1"/>
  <c r="Q42" i="4"/>
  <c r="P42" i="4"/>
  <c r="O42" i="4"/>
  <c r="N42" i="4"/>
  <c r="M42" i="4"/>
  <c r="G42" i="4"/>
  <c r="F42" i="4"/>
  <c r="L42" i="4" s="1"/>
  <c r="E42" i="4"/>
  <c r="R42" i="4" s="1"/>
  <c r="D42" i="4"/>
  <c r="I42" i="4" s="1"/>
  <c r="AI41" i="4"/>
  <c r="AH41" i="4"/>
  <c r="AJ41" i="4" s="1"/>
  <c r="AF41" i="4"/>
  <c r="AE41" i="4"/>
  <c r="AG41" i="4" s="1"/>
  <c r="AC41" i="4"/>
  <c r="AB41" i="4"/>
  <c r="AD41" i="4" s="1"/>
  <c r="Z41" i="4"/>
  <c r="Y41" i="4"/>
  <c r="AA41" i="4" s="1"/>
  <c r="W41" i="4"/>
  <c r="V41" i="4"/>
  <c r="X41" i="4" s="1"/>
  <c r="T41" i="4"/>
  <c r="S41" i="4"/>
  <c r="U41" i="4" s="1"/>
  <c r="Q41" i="4"/>
  <c r="P41" i="4"/>
  <c r="O41" i="4"/>
  <c r="N41" i="4"/>
  <c r="M41" i="4"/>
  <c r="G41" i="4"/>
  <c r="F41" i="4"/>
  <c r="L41" i="4" s="1"/>
  <c r="E41" i="4"/>
  <c r="R41" i="4" s="1"/>
  <c r="D41" i="4"/>
  <c r="I41" i="4" s="1"/>
  <c r="AI40" i="4"/>
  <c r="AH40" i="4"/>
  <c r="AJ40" i="4" s="1"/>
  <c r="AF40" i="4"/>
  <c r="AE40" i="4"/>
  <c r="AG40" i="4" s="1"/>
  <c r="AC40" i="4"/>
  <c r="AB40" i="4"/>
  <c r="AD40" i="4" s="1"/>
  <c r="Z40" i="4"/>
  <c r="Y40" i="4"/>
  <c r="AA40" i="4" s="1"/>
  <c r="W40" i="4"/>
  <c r="V40" i="4"/>
  <c r="X40" i="4" s="1"/>
  <c r="T40" i="4"/>
  <c r="S40" i="4"/>
  <c r="U40" i="4" s="1"/>
  <c r="Q40" i="4"/>
  <c r="P40" i="4"/>
  <c r="O40" i="4"/>
  <c r="N40" i="4"/>
  <c r="M40" i="4"/>
  <c r="G40" i="4"/>
  <c r="F40" i="4"/>
  <c r="L40" i="4" s="1"/>
  <c r="E40" i="4"/>
  <c r="R40" i="4" s="1"/>
  <c r="D40" i="4"/>
  <c r="I40" i="4" s="1"/>
  <c r="AI39" i="4"/>
  <c r="AH39" i="4"/>
  <c r="AJ39" i="4" s="1"/>
  <c r="AF39" i="4"/>
  <c r="AE39" i="4"/>
  <c r="AG39" i="4" s="1"/>
  <c r="AC39" i="4"/>
  <c r="AB39" i="4"/>
  <c r="AD39" i="4" s="1"/>
  <c r="Z39" i="4"/>
  <c r="Y39" i="4"/>
  <c r="AA39" i="4" s="1"/>
  <c r="W39" i="4"/>
  <c r="V39" i="4"/>
  <c r="X39" i="4" s="1"/>
  <c r="T39" i="4"/>
  <c r="S39" i="4"/>
  <c r="U39" i="4" s="1"/>
  <c r="Q39" i="4"/>
  <c r="P39" i="4"/>
  <c r="O39" i="4"/>
  <c r="N39" i="4"/>
  <c r="M39" i="4"/>
  <c r="G39" i="4"/>
  <c r="F39" i="4"/>
  <c r="L39" i="4" s="1"/>
  <c r="E39" i="4"/>
  <c r="D39" i="4"/>
  <c r="K39" i="4" s="1"/>
  <c r="AI38" i="4"/>
  <c r="AH38" i="4"/>
  <c r="AJ38" i="4" s="1"/>
  <c r="AF38" i="4"/>
  <c r="AE38" i="4"/>
  <c r="AG38" i="4" s="1"/>
  <c r="AC38" i="4"/>
  <c r="AB38" i="4"/>
  <c r="AD38" i="4" s="1"/>
  <c r="Z38" i="4"/>
  <c r="Y38" i="4"/>
  <c r="AA38" i="4" s="1"/>
  <c r="W38" i="4"/>
  <c r="V38" i="4"/>
  <c r="X38" i="4" s="1"/>
  <c r="T38" i="4"/>
  <c r="S38" i="4"/>
  <c r="U38" i="4" s="1"/>
  <c r="Q38" i="4"/>
  <c r="P38" i="4"/>
  <c r="O38" i="4"/>
  <c r="N38" i="4"/>
  <c r="M38" i="4"/>
  <c r="G38" i="4"/>
  <c r="F38" i="4"/>
  <c r="L38" i="4" s="1"/>
  <c r="E38" i="4"/>
  <c r="R38" i="4" s="1"/>
  <c r="D38" i="4"/>
  <c r="I38" i="4" s="1"/>
  <c r="AI37" i="4"/>
  <c r="AH37" i="4"/>
  <c r="AJ37" i="4" s="1"/>
  <c r="AF37" i="4"/>
  <c r="AE37" i="4"/>
  <c r="AG37" i="4" s="1"/>
  <c r="AC37" i="4"/>
  <c r="AB37" i="4"/>
  <c r="AD37" i="4" s="1"/>
  <c r="Z37" i="4"/>
  <c r="Y37" i="4"/>
  <c r="AA37" i="4" s="1"/>
  <c r="W37" i="4"/>
  <c r="V37" i="4"/>
  <c r="X37" i="4" s="1"/>
  <c r="T37" i="4"/>
  <c r="S37" i="4"/>
  <c r="U37" i="4" s="1"/>
  <c r="Q37" i="4"/>
  <c r="P37" i="4"/>
  <c r="O37" i="4"/>
  <c r="N37" i="4"/>
  <c r="M37" i="4"/>
  <c r="G37" i="4"/>
  <c r="F37" i="4"/>
  <c r="L37" i="4" s="1"/>
  <c r="E37" i="4"/>
  <c r="R37" i="4" s="1"/>
  <c r="D37" i="4"/>
  <c r="K37" i="4" s="1"/>
  <c r="AI36" i="4"/>
  <c r="AH36" i="4"/>
  <c r="AF36" i="4"/>
  <c r="AE36" i="4"/>
  <c r="AC36" i="4"/>
  <c r="AB36" i="4"/>
  <c r="AD36" i="4" s="1"/>
  <c r="Z36" i="4"/>
  <c r="Y36" i="4"/>
  <c r="AA36" i="4" s="1"/>
  <c r="W36" i="4"/>
  <c r="V36" i="4"/>
  <c r="T36" i="4"/>
  <c r="S36" i="4"/>
  <c r="Q36" i="4"/>
  <c r="P36" i="4"/>
  <c r="O36" i="4"/>
  <c r="N36" i="4"/>
  <c r="M36" i="4"/>
  <c r="G36" i="4"/>
  <c r="F36" i="4"/>
  <c r="E36" i="4"/>
  <c r="R36" i="4" s="1"/>
  <c r="D36" i="4"/>
  <c r="AI35" i="4"/>
  <c r="AH35" i="4"/>
  <c r="AJ35" i="4" s="1"/>
  <c r="AF35" i="4"/>
  <c r="AE35" i="4"/>
  <c r="AG35" i="4" s="1"/>
  <c r="AC35" i="4"/>
  <c r="AB35" i="4"/>
  <c r="AD35" i="4" s="1"/>
  <c r="Z35" i="4"/>
  <c r="Y35" i="4"/>
  <c r="AA35" i="4" s="1"/>
  <c r="W35" i="4"/>
  <c r="V35" i="4"/>
  <c r="X35" i="4" s="1"/>
  <c r="T35" i="4"/>
  <c r="S35" i="4"/>
  <c r="U35" i="4" s="1"/>
  <c r="Q35" i="4"/>
  <c r="P35" i="4"/>
  <c r="O35" i="4"/>
  <c r="N35" i="4"/>
  <c r="M35" i="4"/>
  <c r="G35" i="4"/>
  <c r="F35" i="4"/>
  <c r="L35" i="4" s="1"/>
  <c r="E35" i="4"/>
  <c r="R35" i="4" s="1"/>
  <c r="D35" i="4"/>
  <c r="I35" i="4" s="1"/>
  <c r="AI34" i="4"/>
  <c r="AH34" i="4"/>
  <c r="AJ34" i="4" s="1"/>
  <c r="AF34" i="4"/>
  <c r="AE34" i="4"/>
  <c r="AG34" i="4" s="1"/>
  <c r="AC34" i="4"/>
  <c r="AB34" i="4"/>
  <c r="AD34" i="4" s="1"/>
  <c r="Z34" i="4"/>
  <c r="Y34" i="4"/>
  <c r="AA34" i="4" s="1"/>
  <c r="W34" i="4"/>
  <c r="V34" i="4"/>
  <c r="X34" i="4" s="1"/>
  <c r="T34" i="4"/>
  <c r="S34" i="4"/>
  <c r="U34" i="4" s="1"/>
  <c r="Q34" i="4"/>
  <c r="P34" i="4"/>
  <c r="O34" i="4"/>
  <c r="N34" i="4"/>
  <c r="M34" i="4"/>
  <c r="G34" i="4"/>
  <c r="F34" i="4"/>
  <c r="L34" i="4" s="1"/>
  <c r="E34" i="4"/>
  <c r="R34" i="4" s="1"/>
  <c r="D34" i="4"/>
  <c r="K34" i="4" s="1"/>
  <c r="AI33" i="4"/>
  <c r="AH33" i="4"/>
  <c r="AJ33" i="4" s="1"/>
  <c r="AF33" i="4"/>
  <c r="AE33" i="4"/>
  <c r="AG33" i="4" s="1"/>
  <c r="AC33" i="4"/>
  <c r="AB33" i="4"/>
  <c r="AD33" i="4" s="1"/>
  <c r="Z33" i="4"/>
  <c r="Y33" i="4"/>
  <c r="AA33" i="4" s="1"/>
  <c r="W33" i="4"/>
  <c r="V33" i="4"/>
  <c r="X33" i="4" s="1"/>
  <c r="T33" i="4"/>
  <c r="S33" i="4"/>
  <c r="U33" i="4" s="1"/>
  <c r="Q33" i="4"/>
  <c r="P33" i="4"/>
  <c r="O33" i="4"/>
  <c r="N33" i="4"/>
  <c r="M33" i="4"/>
  <c r="G33" i="4"/>
  <c r="F33" i="4"/>
  <c r="L33" i="4" s="1"/>
  <c r="E33" i="4"/>
  <c r="R33" i="4" s="1"/>
  <c r="D33" i="4"/>
  <c r="AI32" i="4"/>
  <c r="AH32" i="4"/>
  <c r="AF32" i="4"/>
  <c r="AE32" i="4"/>
  <c r="AC32" i="4"/>
  <c r="AB32" i="4"/>
  <c r="AD32" i="4" s="1"/>
  <c r="Z32" i="4"/>
  <c r="Y32" i="4"/>
  <c r="AA32" i="4" s="1"/>
  <c r="W32" i="4"/>
  <c r="V32" i="4"/>
  <c r="T32" i="4"/>
  <c r="S32" i="4"/>
  <c r="Q32" i="4"/>
  <c r="P32" i="4"/>
  <c r="O32" i="4"/>
  <c r="N32" i="4"/>
  <c r="M32" i="4"/>
  <c r="G32" i="4"/>
  <c r="F32" i="4"/>
  <c r="E32" i="4"/>
  <c r="D32" i="4"/>
  <c r="AI30" i="4"/>
  <c r="AH30" i="4"/>
  <c r="AF30" i="4"/>
  <c r="AE30" i="4"/>
  <c r="AC30" i="4"/>
  <c r="AB30" i="4"/>
  <c r="AD30" i="4" s="1"/>
  <c r="Z30" i="4"/>
  <c r="Y30" i="4"/>
  <c r="AA30" i="4" s="1"/>
  <c r="W30" i="4"/>
  <c r="V30" i="4"/>
  <c r="T30" i="4"/>
  <c r="S30" i="4"/>
  <c r="Q30" i="4"/>
  <c r="P30" i="4"/>
  <c r="O30" i="4"/>
  <c r="N30" i="4"/>
  <c r="M30" i="4"/>
  <c r="G30" i="4"/>
  <c r="F30" i="4"/>
  <c r="E30" i="4"/>
  <c r="R30" i="4" s="1"/>
  <c r="D30" i="4"/>
  <c r="AI29" i="4"/>
  <c r="AH29" i="4"/>
  <c r="AJ29" i="4" s="1"/>
  <c r="AF29" i="4"/>
  <c r="AE29" i="4"/>
  <c r="AG29" i="4" s="1"/>
  <c r="AC29" i="4"/>
  <c r="AB29" i="4"/>
  <c r="AD29" i="4" s="1"/>
  <c r="Z29" i="4"/>
  <c r="Y29" i="4"/>
  <c r="AA29" i="4" s="1"/>
  <c r="W29" i="4"/>
  <c r="V29" i="4"/>
  <c r="X29" i="4" s="1"/>
  <c r="T29" i="4"/>
  <c r="S29" i="4"/>
  <c r="U29" i="4" s="1"/>
  <c r="Q29" i="4"/>
  <c r="P29" i="4"/>
  <c r="O29" i="4"/>
  <c r="N29" i="4"/>
  <c r="M29" i="4"/>
  <c r="G29" i="4"/>
  <c r="F29" i="4"/>
  <c r="L29" i="4" s="1"/>
  <c r="E29" i="4"/>
  <c r="R29" i="4" s="1"/>
  <c r="D29" i="4"/>
  <c r="I29" i="4" s="1"/>
  <c r="AI28" i="4"/>
  <c r="AH28" i="4"/>
  <c r="AJ28" i="4" s="1"/>
  <c r="AF28" i="4"/>
  <c r="AE28" i="4"/>
  <c r="AG28" i="4" s="1"/>
  <c r="AC28" i="4"/>
  <c r="AB28" i="4"/>
  <c r="AD28" i="4" s="1"/>
  <c r="Z28" i="4"/>
  <c r="Y28" i="4"/>
  <c r="AA28" i="4" s="1"/>
  <c r="W28" i="4"/>
  <c r="V28" i="4"/>
  <c r="X28" i="4" s="1"/>
  <c r="T28" i="4"/>
  <c r="S28" i="4"/>
  <c r="U28" i="4" s="1"/>
  <c r="Q28" i="4"/>
  <c r="P28" i="4"/>
  <c r="O28" i="4"/>
  <c r="N28" i="4"/>
  <c r="M28" i="4"/>
  <c r="G28" i="4"/>
  <c r="F28" i="4"/>
  <c r="L28" i="4" s="1"/>
  <c r="E28" i="4"/>
  <c r="R28" i="4" s="1"/>
  <c r="D28" i="4"/>
  <c r="I28" i="4" s="1"/>
  <c r="AI27" i="4"/>
  <c r="AH27" i="4"/>
  <c r="AJ27" i="4" s="1"/>
  <c r="AF27" i="4"/>
  <c r="AE27" i="4"/>
  <c r="AG27" i="4" s="1"/>
  <c r="AC27" i="4"/>
  <c r="AB27" i="4"/>
  <c r="AD27" i="4" s="1"/>
  <c r="Z27" i="4"/>
  <c r="Y27" i="4"/>
  <c r="AA27" i="4" s="1"/>
  <c r="W27" i="4"/>
  <c r="V27" i="4"/>
  <c r="X27" i="4" s="1"/>
  <c r="T27" i="4"/>
  <c r="S27" i="4"/>
  <c r="U27" i="4" s="1"/>
  <c r="Q27" i="4"/>
  <c r="P27" i="4"/>
  <c r="O27" i="4"/>
  <c r="N27" i="4"/>
  <c r="M27" i="4"/>
  <c r="G27" i="4"/>
  <c r="F27" i="4"/>
  <c r="L27" i="4" s="1"/>
  <c r="E27" i="4"/>
  <c r="R27" i="4" s="1"/>
  <c r="D27" i="4"/>
  <c r="I27" i="4" s="1"/>
  <c r="AI26" i="4"/>
  <c r="AH26" i="4"/>
  <c r="AJ26" i="4" s="1"/>
  <c r="AF26" i="4"/>
  <c r="AE26" i="4"/>
  <c r="AG26" i="4" s="1"/>
  <c r="AC26" i="4"/>
  <c r="AB26" i="4"/>
  <c r="AD26" i="4" s="1"/>
  <c r="Z26" i="4"/>
  <c r="Y26" i="4"/>
  <c r="AA26" i="4" s="1"/>
  <c r="W26" i="4"/>
  <c r="V26" i="4"/>
  <c r="X26" i="4" s="1"/>
  <c r="T26" i="4"/>
  <c r="S26" i="4"/>
  <c r="U26" i="4" s="1"/>
  <c r="Q26" i="4"/>
  <c r="P26" i="4"/>
  <c r="O26" i="4"/>
  <c r="N26" i="4"/>
  <c r="M26" i="4"/>
  <c r="G26" i="4"/>
  <c r="F26" i="4"/>
  <c r="L26" i="4" s="1"/>
  <c r="E26" i="4"/>
  <c r="R26" i="4" s="1"/>
  <c r="D26" i="4"/>
  <c r="I26" i="4" s="1"/>
  <c r="AI25" i="4"/>
  <c r="AH25" i="4"/>
  <c r="AJ25" i="4" s="1"/>
  <c r="AF25" i="4"/>
  <c r="AE25" i="4"/>
  <c r="AG25" i="4" s="1"/>
  <c r="AC25" i="4"/>
  <c r="AB25" i="4"/>
  <c r="AD25" i="4" s="1"/>
  <c r="Z25" i="4"/>
  <c r="Y25" i="4"/>
  <c r="AA25" i="4" s="1"/>
  <c r="W25" i="4"/>
  <c r="V25" i="4"/>
  <c r="X25" i="4" s="1"/>
  <c r="T25" i="4"/>
  <c r="S25" i="4"/>
  <c r="U25" i="4" s="1"/>
  <c r="Q25" i="4"/>
  <c r="P25" i="4"/>
  <c r="O25" i="4"/>
  <c r="N25" i="4"/>
  <c r="M25" i="4"/>
  <c r="G25" i="4"/>
  <c r="F25" i="4"/>
  <c r="L25" i="4" s="1"/>
  <c r="E25" i="4"/>
  <c r="R25" i="4" s="1"/>
  <c r="D25" i="4"/>
  <c r="I25" i="4" s="1"/>
  <c r="AI24" i="4"/>
  <c r="AH24" i="4"/>
  <c r="AJ24" i="4" s="1"/>
  <c r="AF24" i="4"/>
  <c r="AE24" i="4"/>
  <c r="AG24" i="4" s="1"/>
  <c r="AC24" i="4"/>
  <c r="AB24" i="4"/>
  <c r="AD24" i="4" s="1"/>
  <c r="Z24" i="4"/>
  <c r="Y24" i="4"/>
  <c r="AA24" i="4" s="1"/>
  <c r="W24" i="4"/>
  <c r="V24" i="4"/>
  <c r="X24" i="4" s="1"/>
  <c r="T24" i="4"/>
  <c r="S24" i="4"/>
  <c r="U24" i="4" s="1"/>
  <c r="Q24" i="4"/>
  <c r="P24" i="4"/>
  <c r="O24" i="4"/>
  <c r="N24" i="4"/>
  <c r="M24" i="4"/>
  <c r="G24" i="4"/>
  <c r="F24" i="4"/>
  <c r="L24" i="4" s="1"/>
  <c r="E24" i="4"/>
  <c r="R24" i="4" s="1"/>
  <c r="D24" i="4"/>
  <c r="I24" i="4" s="1"/>
  <c r="AI23" i="4"/>
  <c r="AH23" i="4"/>
  <c r="AJ23" i="4" s="1"/>
  <c r="AF23" i="4"/>
  <c r="AE23" i="4"/>
  <c r="AG23" i="4" s="1"/>
  <c r="AC23" i="4"/>
  <c r="AB23" i="4"/>
  <c r="AD23" i="4" s="1"/>
  <c r="Z23" i="4"/>
  <c r="Y23" i="4"/>
  <c r="AA23" i="4" s="1"/>
  <c r="W23" i="4"/>
  <c r="V23" i="4"/>
  <c r="X23" i="4" s="1"/>
  <c r="T23" i="4"/>
  <c r="S23" i="4"/>
  <c r="U23" i="4" s="1"/>
  <c r="Q23" i="4"/>
  <c r="P23" i="4"/>
  <c r="O23" i="4"/>
  <c r="N23" i="4"/>
  <c r="M23" i="4"/>
  <c r="G23" i="4"/>
  <c r="F23" i="4"/>
  <c r="L23" i="4" s="1"/>
  <c r="E23" i="4"/>
  <c r="R23" i="4" s="1"/>
  <c r="D23" i="4"/>
  <c r="I23" i="4" s="1"/>
  <c r="AI22" i="4"/>
  <c r="AH22" i="4"/>
  <c r="AJ22" i="4" s="1"/>
  <c r="AF22" i="4"/>
  <c r="AE22" i="4"/>
  <c r="AG22" i="4" s="1"/>
  <c r="AC22" i="4"/>
  <c r="AB22" i="4"/>
  <c r="AD22" i="4" s="1"/>
  <c r="Z22" i="4"/>
  <c r="Y22" i="4"/>
  <c r="AA22" i="4" s="1"/>
  <c r="W22" i="4"/>
  <c r="V22" i="4"/>
  <c r="X22" i="4" s="1"/>
  <c r="T22" i="4"/>
  <c r="S22" i="4"/>
  <c r="U22" i="4" s="1"/>
  <c r="Q22" i="4"/>
  <c r="P22" i="4"/>
  <c r="O22" i="4"/>
  <c r="N22" i="4"/>
  <c r="M22" i="4"/>
  <c r="G22" i="4"/>
  <c r="F22" i="4"/>
  <c r="L22" i="4" s="1"/>
  <c r="E22" i="4"/>
  <c r="D22" i="4"/>
  <c r="I22" i="4" s="1"/>
  <c r="AI21" i="4"/>
  <c r="AH21" i="4"/>
  <c r="AJ21" i="4" s="1"/>
  <c r="AF21" i="4"/>
  <c r="AE21" i="4"/>
  <c r="AG21" i="4" s="1"/>
  <c r="AC21" i="4"/>
  <c r="AB21" i="4"/>
  <c r="AD21" i="4" s="1"/>
  <c r="Z21" i="4"/>
  <c r="Y21" i="4"/>
  <c r="AA21" i="4" s="1"/>
  <c r="W21" i="4"/>
  <c r="V21" i="4"/>
  <c r="X21" i="4" s="1"/>
  <c r="T21" i="4"/>
  <c r="S21" i="4"/>
  <c r="U21" i="4" s="1"/>
  <c r="Q21" i="4"/>
  <c r="P21" i="4"/>
  <c r="O21" i="4"/>
  <c r="N21" i="4"/>
  <c r="M21" i="4"/>
  <c r="G21" i="4"/>
  <c r="F21" i="4"/>
  <c r="L21" i="4" s="1"/>
  <c r="E21" i="4"/>
  <c r="R21" i="4" s="1"/>
  <c r="D21" i="4"/>
  <c r="I21" i="4" s="1"/>
  <c r="AI20" i="4"/>
  <c r="AH20" i="4"/>
  <c r="AJ20" i="4" s="1"/>
  <c r="AF20" i="4"/>
  <c r="AE20" i="4"/>
  <c r="AG20" i="4" s="1"/>
  <c r="AC20" i="4"/>
  <c r="AB20" i="4"/>
  <c r="AD20" i="4" s="1"/>
  <c r="Z20" i="4"/>
  <c r="Y20" i="4"/>
  <c r="AA20" i="4" s="1"/>
  <c r="W20" i="4"/>
  <c r="V20" i="4"/>
  <c r="X20" i="4" s="1"/>
  <c r="T20" i="4"/>
  <c r="S20" i="4"/>
  <c r="U20" i="4" s="1"/>
  <c r="Q20" i="4"/>
  <c r="P20" i="4"/>
  <c r="O20" i="4"/>
  <c r="N20" i="4"/>
  <c r="M20" i="4"/>
  <c r="G20" i="4"/>
  <c r="F20" i="4"/>
  <c r="L20" i="4" s="1"/>
  <c r="E20" i="4"/>
  <c r="R20" i="4" s="1"/>
  <c r="D20" i="4"/>
  <c r="I20" i="4" s="1"/>
  <c r="AI19" i="4"/>
  <c r="AH19" i="4"/>
  <c r="AJ19" i="4" s="1"/>
  <c r="AF19" i="4"/>
  <c r="AE19" i="4"/>
  <c r="AG19" i="4" s="1"/>
  <c r="AC19" i="4"/>
  <c r="AB19" i="4"/>
  <c r="AD19" i="4" s="1"/>
  <c r="Z19" i="4"/>
  <c r="Y19" i="4"/>
  <c r="AA19" i="4" s="1"/>
  <c r="W19" i="4"/>
  <c r="V19" i="4"/>
  <c r="X19" i="4" s="1"/>
  <c r="T19" i="4"/>
  <c r="S19" i="4"/>
  <c r="U19" i="4" s="1"/>
  <c r="Q19" i="4"/>
  <c r="P19" i="4"/>
  <c r="O19" i="4"/>
  <c r="N19" i="4"/>
  <c r="M19" i="4"/>
  <c r="G19" i="4"/>
  <c r="F19" i="4"/>
  <c r="L19" i="4" s="1"/>
  <c r="E19" i="4"/>
  <c r="R19" i="4" s="1"/>
  <c r="D19" i="4"/>
  <c r="AI18" i="4"/>
  <c r="AH18" i="4"/>
  <c r="AJ18" i="4" s="1"/>
  <c r="AF18" i="4"/>
  <c r="AE18" i="4"/>
  <c r="AG18" i="4" s="1"/>
  <c r="AC18" i="4"/>
  <c r="AB18" i="4"/>
  <c r="AD18" i="4" s="1"/>
  <c r="Z18" i="4"/>
  <c r="Y18" i="4"/>
  <c r="AA18" i="4" s="1"/>
  <c r="W18" i="4"/>
  <c r="V18" i="4"/>
  <c r="X18" i="4" s="1"/>
  <c r="T18" i="4"/>
  <c r="S18" i="4"/>
  <c r="U18" i="4" s="1"/>
  <c r="Q18" i="4"/>
  <c r="P18" i="4"/>
  <c r="O18" i="4"/>
  <c r="N18" i="4"/>
  <c r="M18" i="4"/>
  <c r="G18" i="4"/>
  <c r="F18" i="4"/>
  <c r="L18" i="4" s="1"/>
  <c r="E18" i="4"/>
  <c r="R18" i="4" s="1"/>
  <c r="D18" i="4"/>
  <c r="I18" i="4" s="1"/>
  <c r="AI17" i="4"/>
  <c r="AH17" i="4"/>
  <c r="AJ17" i="4" s="1"/>
  <c r="AF17" i="4"/>
  <c r="AE17" i="4"/>
  <c r="AG17" i="4" s="1"/>
  <c r="AC17" i="4"/>
  <c r="AB17" i="4"/>
  <c r="AD17" i="4" s="1"/>
  <c r="Z17" i="4"/>
  <c r="Y17" i="4"/>
  <c r="AA17" i="4" s="1"/>
  <c r="W17" i="4"/>
  <c r="V17" i="4"/>
  <c r="X17" i="4" s="1"/>
  <c r="T17" i="4"/>
  <c r="S17" i="4"/>
  <c r="U17" i="4" s="1"/>
  <c r="Q17" i="4"/>
  <c r="P17" i="4"/>
  <c r="O17" i="4"/>
  <c r="N17" i="4"/>
  <c r="M17" i="4"/>
  <c r="G17" i="4"/>
  <c r="F17" i="4"/>
  <c r="L17" i="4" s="1"/>
  <c r="E17" i="4"/>
  <c r="R17" i="4" s="1"/>
  <c r="D17" i="4"/>
  <c r="K17" i="4" s="1"/>
  <c r="AI16" i="4"/>
  <c r="AH16" i="4"/>
  <c r="AJ16" i="4" s="1"/>
  <c r="AF16" i="4"/>
  <c r="AE16" i="4"/>
  <c r="AG16" i="4" s="1"/>
  <c r="AC16" i="4"/>
  <c r="AB16" i="4"/>
  <c r="AD16" i="4" s="1"/>
  <c r="Z16" i="4"/>
  <c r="Y16" i="4"/>
  <c r="AA16" i="4" s="1"/>
  <c r="W16" i="4"/>
  <c r="V16" i="4"/>
  <c r="X16" i="4" s="1"/>
  <c r="T16" i="4"/>
  <c r="S16" i="4"/>
  <c r="U16" i="4" s="1"/>
  <c r="Q16" i="4"/>
  <c r="P16" i="4"/>
  <c r="O16" i="4"/>
  <c r="N16" i="4"/>
  <c r="M16" i="4"/>
  <c r="G16" i="4"/>
  <c r="F16" i="4"/>
  <c r="L16" i="4" s="1"/>
  <c r="E16" i="4"/>
  <c r="R16" i="4" s="1"/>
  <c r="D16" i="4"/>
  <c r="K16" i="4" s="1"/>
  <c r="AI15" i="4"/>
  <c r="AH15" i="4"/>
  <c r="AJ15" i="4" s="1"/>
  <c r="AF15" i="4"/>
  <c r="AE15" i="4"/>
  <c r="AG15" i="4" s="1"/>
  <c r="AC15" i="4"/>
  <c r="AB15" i="4"/>
  <c r="AD15" i="4" s="1"/>
  <c r="Z15" i="4"/>
  <c r="Y15" i="4"/>
  <c r="AA15" i="4" s="1"/>
  <c r="W15" i="4"/>
  <c r="V15" i="4"/>
  <c r="X15" i="4" s="1"/>
  <c r="T15" i="4"/>
  <c r="S15" i="4"/>
  <c r="U15" i="4" s="1"/>
  <c r="Q15" i="4"/>
  <c r="P15" i="4"/>
  <c r="O15" i="4"/>
  <c r="N15" i="4"/>
  <c r="M15" i="4"/>
  <c r="G15" i="4"/>
  <c r="F15" i="4"/>
  <c r="L15" i="4" s="1"/>
  <c r="E15" i="4"/>
  <c r="R15" i="4" s="1"/>
  <c r="D15" i="4"/>
  <c r="I15" i="4" s="1"/>
  <c r="AI14" i="4"/>
  <c r="AH14" i="4"/>
  <c r="AF14" i="4"/>
  <c r="AE14" i="4"/>
  <c r="AG14" i="4" s="1"/>
  <c r="AC14" i="4"/>
  <c r="AB14" i="4"/>
  <c r="Z14" i="4"/>
  <c r="Y14" i="4"/>
  <c r="AA14" i="4" s="1"/>
  <c r="W14" i="4"/>
  <c r="V14" i="4"/>
  <c r="T14" i="4"/>
  <c r="S14" i="4"/>
  <c r="U14" i="4" s="1"/>
  <c r="Q14" i="4"/>
  <c r="P14" i="4"/>
  <c r="O14" i="4"/>
  <c r="N14" i="4"/>
  <c r="M14" i="4"/>
  <c r="G14" i="4"/>
  <c r="F14" i="4"/>
  <c r="L14" i="4" s="1"/>
  <c r="E14" i="4"/>
  <c r="D14" i="4"/>
  <c r="K14" i="4" s="1"/>
  <c r="AJ12" i="4"/>
  <c r="AG12" i="4"/>
  <c r="AD12" i="4"/>
  <c r="AA12" i="4"/>
  <c r="X12" i="4"/>
  <c r="U12" i="4"/>
  <c r="I12" i="4"/>
  <c r="H12" i="4"/>
  <c r="AJ11" i="4"/>
  <c r="AG11" i="4"/>
  <c r="AD11" i="4"/>
  <c r="AA11" i="4"/>
  <c r="X11" i="4"/>
  <c r="U11" i="4"/>
  <c r="R11" i="4"/>
  <c r="I11" i="4"/>
  <c r="H11" i="4"/>
  <c r="C11" i="4"/>
  <c r="AJ10" i="4"/>
  <c r="AG10" i="4"/>
  <c r="AD10" i="4"/>
  <c r="AA10" i="4"/>
  <c r="X10" i="4"/>
  <c r="U10" i="4"/>
  <c r="Q10" i="4"/>
  <c r="P10" i="4"/>
  <c r="J10" i="4" s="1"/>
  <c r="G10" i="4"/>
  <c r="F10" i="4"/>
  <c r="F9" i="4" s="1"/>
  <c r="E10" i="4"/>
  <c r="E9" i="4" s="1"/>
  <c r="R9" i="4" s="1"/>
  <c r="D10" i="4"/>
  <c r="AI9" i="4"/>
  <c r="AH9" i="4"/>
  <c r="AJ9" i="4" s="1"/>
  <c r="AF9" i="4"/>
  <c r="AE9" i="4"/>
  <c r="AG9" i="4" s="1"/>
  <c r="AC9" i="4"/>
  <c r="AB9" i="4"/>
  <c r="AD9" i="4" s="1"/>
  <c r="Z9" i="4"/>
  <c r="Y9" i="4"/>
  <c r="AA9" i="4" s="1"/>
  <c r="W9" i="4"/>
  <c r="V9" i="4"/>
  <c r="X9" i="4" s="1"/>
  <c r="T9" i="4"/>
  <c r="S9" i="4"/>
  <c r="U9" i="4" s="1"/>
  <c r="R116" i="3"/>
  <c r="J116" i="3"/>
  <c r="I116" i="3"/>
  <c r="H116" i="3"/>
  <c r="C116" i="3"/>
  <c r="C104" i="3" s="1"/>
  <c r="C11" i="3" s="1"/>
  <c r="R115" i="3"/>
  <c r="J115" i="3"/>
  <c r="H115" i="3" s="1"/>
  <c r="I115" i="3"/>
  <c r="C115" i="3"/>
  <c r="R114" i="3"/>
  <c r="J114" i="3"/>
  <c r="I114" i="3"/>
  <c r="H114" i="3"/>
  <c r="C114" i="3"/>
  <c r="R113" i="3"/>
  <c r="J113" i="3"/>
  <c r="H113" i="3" s="1"/>
  <c r="I113" i="3"/>
  <c r="C113" i="3"/>
  <c r="R112" i="3"/>
  <c r="J112" i="3"/>
  <c r="H112" i="3" s="1"/>
  <c r="I112" i="3"/>
  <c r="C112" i="3"/>
  <c r="R111" i="3"/>
  <c r="J111" i="3"/>
  <c r="I111" i="3"/>
  <c r="H111" i="3"/>
  <c r="C111" i="3"/>
  <c r="R110" i="3"/>
  <c r="J110" i="3"/>
  <c r="I110" i="3"/>
  <c r="H110" i="3"/>
  <c r="C110" i="3"/>
  <c r="R109" i="3"/>
  <c r="J109" i="3"/>
  <c r="H109" i="3" s="1"/>
  <c r="I109" i="3"/>
  <c r="C109" i="3"/>
  <c r="R108" i="3"/>
  <c r="J108" i="3"/>
  <c r="I108" i="3"/>
  <c r="H108" i="3"/>
  <c r="C108" i="3"/>
  <c r="R107" i="3"/>
  <c r="J107" i="3"/>
  <c r="H107" i="3" s="1"/>
  <c r="I107" i="3"/>
  <c r="C107" i="3"/>
  <c r="R106" i="3"/>
  <c r="J106" i="3"/>
  <c r="I106" i="3"/>
  <c r="C106" i="3"/>
  <c r="R105" i="3"/>
  <c r="J105" i="3"/>
  <c r="I105" i="3"/>
  <c r="H105" i="3"/>
  <c r="C105" i="3"/>
  <c r="R104" i="3"/>
  <c r="I104" i="3"/>
  <c r="R103" i="3"/>
  <c r="J103" i="3"/>
  <c r="H103" i="3" s="1"/>
  <c r="I103" i="3"/>
  <c r="C103" i="3"/>
  <c r="R102" i="3"/>
  <c r="J102" i="3"/>
  <c r="H102" i="3" s="1"/>
  <c r="I102" i="3"/>
  <c r="C102" i="3"/>
  <c r="R101" i="3"/>
  <c r="J101" i="3"/>
  <c r="H101" i="3" s="1"/>
  <c r="I101" i="3"/>
  <c r="C101" i="3"/>
  <c r="R100" i="3"/>
  <c r="J100" i="3"/>
  <c r="H100" i="3" s="1"/>
  <c r="I100" i="3"/>
  <c r="C100" i="3"/>
  <c r="R99" i="3"/>
  <c r="J99" i="3"/>
  <c r="H99" i="3" s="1"/>
  <c r="I99" i="3"/>
  <c r="C99" i="3"/>
  <c r="A99" i="3"/>
  <c r="A100" i="3" s="1"/>
  <c r="A101" i="3" s="1"/>
  <c r="A102" i="3" s="1"/>
  <c r="A103" i="3" s="1"/>
  <c r="R98" i="3"/>
  <c r="J98" i="3"/>
  <c r="H98" i="3" s="1"/>
  <c r="I98" i="3"/>
  <c r="C98" i="3"/>
  <c r="R97" i="3"/>
  <c r="J97" i="3"/>
  <c r="H97" i="3" s="1"/>
  <c r="I97" i="3"/>
  <c r="C97" i="3"/>
  <c r="R96" i="3"/>
  <c r="J96" i="3"/>
  <c r="H96" i="3" s="1"/>
  <c r="I96" i="3"/>
  <c r="C96" i="3"/>
  <c r="R95" i="3"/>
  <c r="J95" i="3"/>
  <c r="H95" i="3" s="1"/>
  <c r="I95" i="3"/>
  <c r="C95" i="3"/>
  <c r="R94" i="3"/>
  <c r="J94" i="3"/>
  <c r="H94" i="3" s="1"/>
  <c r="I94" i="3"/>
  <c r="C94" i="3"/>
  <c r="R93" i="3"/>
  <c r="J93" i="3"/>
  <c r="H93" i="3" s="1"/>
  <c r="I93" i="3"/>
  <c r="C93" i="3"/>
  <c r="A93" i="3"/>
  <c r="A94" i="3" s="1"/>
  <c r="A95" i="3" s="1"/>
  <c r="A96" i="3" s="1"/>
  <c r="A97" i="3" s="1"/>
  <c r="A98" i="3" s="1"/>
  <c r="R92" i="3"/>
  <c r="J92" i="3"/>
  <c r="H92" i="3" s="1"/>
  <c r="I92" i="3"/>
  <c r="C92" i="3"/>
  <c r="R91" i="3"/>
  <c r="J91" i="3"/>
  <c r="I91" i="3"/>
  <c r="H91" i="3"/>
  <c r="C91" i="3"/>
  <c r="R90" i="3"/>
  <c r="J90" i="3"/>
  <c r="H90" i="3" s="1"/>
  <c r="I90" i="3"/>
  <c r="C90" i="3"/>
  <c r="R89" i="3"/>
  <c r="I89" i="3"/>
  <c r="AX88" i="3"/>
  <c r="AV88" i="3"/>
  <c r="AU88" i="3"/>
  <c r="AT88" i="3"/>
  <c r="AR88" i="3"/>
  <c r="AQ88" i="3"/>
  <c r="AO88" i="3"/>
  <c r="AN88" i="3"/>
  <c r="AM88" i="3"/>
  <c r="AK88" i="3"/>
  <c r="AJ88" i="3"/>
  <c r="AI88" i="3"/>
  <c r="AG88" i="3"/>
  <c r="AF88" i="3"/>
  <c r="AD88" i="3"/>
  <c r="AC88" i="3"/>
  <c r="AB88" i="3"/>
  <c r="Z88" i="3"/>
  <c r="Y88" i="3"/>
  <c r="W88" i="3"/>
  <c r="U88" i="3"/>
  <c r="T88" i="3"/>
  <c r="S88" i="3"/>
  <c r="Q88" i="3"/>
  <c r="P88" i="3"/>
  <c r="O88" i="3"/>
  <c r="N88" i="3"/>
  <c r="M88" i="3"/>
  <c r="G88" i="3"/>
  <c r="F88" i="3"/>
  <c r="E88" i="3"/>
  <c r="D88" i="3"/>
  <c r="AX87" i="3"/>
  <c r="AV87" i="3"/>
  <c r="AU87" i="3"/>
  <c r="AT87" i="3"/>
  <c r="AR87" i="3"/>
  <c r="AQ87" i="3"/>
  <c r="AO87" i="3"/>
  <c r="AN87" i="3"/>
  <c r="AM87" i="3"/>
  <c r="AK87" i="3"/>
  <c r="AJ87" i="3"/>
  <c r="AI87" i="3"/>
  <c r="AG87" i="3"/>
  <c r="AF87" i="3"/>
  <c r="AD87" i="3"/>
  <c r="AC87" i="3"/>
  <c r="AB87" i="3"/>
  <c r="Z87" i="3"/>
  <c r="Y87" i="3"/>
  <c r="W87" i="3"/>
  <c r="U87" i="3"/>
  <c r="T87" i="3"/>
  <c r="S87" i="3"/>
  <c r="Q87" i="3"/>
  <c r="P87" i="3"/>
  <c r="O87" i="3"/>
  <c r="N87" i="3"/>
  <c r="M87" i="3"/>
  <c r="G87" i="3"/>
  <c r="F87" i="3"/>
  <c r="E87" i="3"/>
  <c r="D87" i="3"/>
  <c r="AX86" i="3"/>
  <c r="AV86" i="3"/>
  <c r="AU86" i="3"/>
  <c r="AT86" i="3"/>
  <c r="AR86" i="3"/>
  <c r="AQ86" i="3"/>
  <c r="AO86" i="3"/>
  <c r="AN86" i="3"/>
  <c r="AM86" i="3"/>
  <c r="AK86" i="3"/>
  <c r="AJ86" i="3"/>
  <c r="AI86" i="3"/>
  <c r="AG86" i="3"/>
  <c r="AF86" i="3"/>
  <c r="AD86" i="3"/>
  <c r="AC86" i="3"/>
  <c r="AB86" i="3"/>
  <c r="Z86" i="3"/>
  <c r="Y86" i="3"/>
  <c r="W86" i="3"/>
  <c r="U86" i="3"/>
  <c r="T86" i="3"/>
  <c r="S86" i="3"/>
  <c r="Q86" i="3"/>
  <c r="P86" i="3"/>
  <c r="O86" i="3"/>
  <c r="N86" i="3"/>
  <c r="M86" i="3"/>
  <c r="G86" i="3"/>
  <c r="F86" i="3"/>
  <c r="E86" i="3"/>
  <c r="D86" i="3"/>
  <c r="AX85" i="3"/>
  <c r="AV85" i="3"/>
  <c r="AU85" i="3"/>
  <c r="AT85" i="3"/>
  <c r="AR85" i="3"/>
  <c r="AQ85" i="3"/>
  <c r="AO85" i="3"/>
  <c r="AN85" i="3"/>
  <c r="AM85" i="3"/>
  <c r="AK85" i="3"/>
  <c r="AJ85" i="3"/>
  <c r="AI85" i="3"/>
  <c r="AG85" i="3"/>
  <c r="AF85" i="3"/>
  <c r="AD85" i="3"/>
  <c r="AC85" i="3"/>
  <c r="AB85" i="3"/>
  <c r="Z85" i="3"/>
  <c r="Y85" i="3"/>
  <c r="W85" i="3"/>
  <c r="U85" i="3"/>
  <c r="T85" i="3"/>
  <c r="S85" i="3"/>
  <c r="Q85" i="3"/>
  <c r="P85" i="3"/>
  <c r="O85" i="3"/>
  <c r="N85" i="3"/>
  <c r="M85" i="3"/>
  <c r="G85" i="3"/>
  <c r="F85" i="3"/>
  <c r="E85" i="3"/>
  <c r="R85" i="3" s="1"/>
  <c r="D85" i="3"/>
  <c r="AX84" i="3"/>
  <c r="AV84" i="3"/>
  <c r="AU84" i="3"/>
  <c r="AT84" i="3"/>
  <c r="AR84" i="3"/>
  <c r="AQ84" i="3"/>
  <c r="AO84" i="3"/>
  <c r="AN84" i="3"/>
  <c r="AM84" i="3"/>
  <c r="AK84" i="3"/>
  <c r="AJ84" i="3"/>
  <c r="AI84" i="3"/>
  <c r="AG84" i="3"/>
  <c r="AF84" i="3"/>
  <c r="AD84" i="3"/>
  <c r="AC84" i="3"/>
  <c r="AB84" i="3"/>
  <c r="Z84" i="3"/>
  <c r="Y84" i="3"/>
  <c r="W84" i="3"/>
  <c r="U84" i="3"/>
  <c r="T84" i="3"/>
  <c r="S84" i="3"/>
  <c r="Q84" i="3"/>
  <c r="P84" i="3"/>
  <c r="O84" i="3"/>
  <c r="N84" i="3"/>
  <c r="M84" i="3"/>
  <c r="G84" i="3"/>
  <c r="F84" i="3"/>
  <c r="E84" i="3"/>
  <c r="D84" i="3"/>
  <c r="AX83" i="3"/>
  <c r="AV83" i="3"/>
  <c r="AU83" i="3"/>
  <c r="AT83" i="3"/>
  <c r="AR83" i="3"/>
  <c r="AQ83" i="3"/>
  <c r="AO83" i="3"/>
  <c r="AN83" i="3"/>
  <c r="AM83" i="3"/>
  <c r="AK83" i="3"/>
  <c r="AJ83" i="3"/>
  <c r="AI83" i="3"/>
  <c r="AG83" i="3"/>
  <c r="AF83" i="3"/>
  <c r="AD83" i="3"/>
  <c r="AC83" i="3"/>
  <c r="AB83" i="3"/>
  <c r="Z83" i="3"/>
  <c r="Y83" i="3"/>
  <c r="W83" i="3"/>
  <c r="U83" i="3"/>
  <c r="T83" i="3"/>
  <c r="S83" i="3"/>
  <c r="Q83" i="3"/>
  <c r="P83" i="3"/>
  <c r="O83" i="3"/>
  <c r="N83" i="3"/>
  <c r="M83" i="3"/>
  <c r="G83" i="3"/>
  <c r="F83" i="3"/>
  <c r="E83" i="3"/>
  <c r="D83" i="3"/>
  <c r="AX82" i="3"/>
  <c r="AV82" i="3"/>
  <c r="AU82" i="3"/>
  <c r="AT82" i="3"/>
  <c r="AR82" i="3"/>
  <c r="AQ82" i="3"/>
  <c r="AO82" i="3"/>
  <c r="AN82" i="3"/>
  <c r="AM82" i="3"/>
  <c r="AK82" i="3"/>
  <c r="AJ82" i="3"/>
  <c r="AI82" i="3"/>
  <c r="AG82" i="3"/>
  <c r="AF82" i="3"/>
  <c r="AD82" i="3"/>
  <c r="AC82" i="3"/>
  <c r="AB82" i="3"/>
  <c r="Z82" i="3"/>
  <c r="Y82" i="3"/>
  <c r="W82" i="3"/>
  <c r="U82" i="3"/>
  <c r="T82" i="3"/>
  <c r="S82" i="3"/>
  <c r="Q82" i="3"/>
  <c r="P82" i="3"/>
  <c r="O82" i="3"/>
  <c r="N82" i="3"/>
  <c r="M82" i="3"/>
  <c r="G82" i="3"/>
  <c r="F82" i="3"/>
  <c r="E82" i="3"/>
  <c r="R82" i="3" s="1"/>
  <c r="D82" i="3"/>
  <c r="AX81" i="3"/>
  <c r="AV81" i="3"/>
  <c r="AU81" i="3"/>
  <c r="AT81" i="3"/>
  <c r="AR81" i="3"/>
  <c r="AQ81" i="3"/>
  <c r="AO81" i="3"/>
  <c r="AN81" i="3"/>
  <c r="AM81" i="3"/>
  <c r="AK81" i="3"/>
  <c r="AJ81" i="3"/>
  <c r="AI81" i="3"/>
  <c r="AG81" i="3"/>
  <c r="AF81" i="3"/>
  <c r="AD81" i="3"/>
  <c r="AC81" i="3"/>
  <c r="AB81" i="3"/>
  <c r="Z81" i="3"/>
  <c r="Y81" i="3"/>
  <c r="W81" i="3"/>
  <c r="U81" i="3"/>
  <c r="T81" i="3"/>
  <c r="S81" i="3"/>
  <c r="Q81" i="3"/>
  <c r="P81" i="3"/>
  <c r="O81" i="3"/>
  <c r="N81" i="3"/>
  <c r="M81" i="3"/>
  <c r="G81" i="3"/>
  <c r="F81" i="3"/>
  <c r="E81" i="3"/>
  <c r="R81" i="3" s="1"/>
  <c r="D81" i="3"/>
  <c r="AX80" i="3"/>
  <c r="AV80" i="3"/>
  <c r="AU80" i="3"/>
  <c r="AT80" i="3"/>
  <c r="AR80" i="3"/>
  <c r="AQ80" i="3"/>
  <c r="AO80" i="3"/>
  <c r="AN80" i="3"/>
  <c r="AM80" i="3"/>
  <c r="AK80" i="3"/>
  <c r="AJ80" i="3"/>
  <c r="AI80" i="3"/>
  <c r="AG80" i="3"/>
  <c r="AF80" i="3"/>
  <c r="AD80" i="3"/>
  <c r="AC80" i="3"/>
  <c r="AB80" i="3"/>
  <c r="Z80" i="3"/>
  <c r="Y80" i="3"/>
  <c r="W80" i="3"/>
  <c r="U80" i="3"/>
  <c r="T80" i="3"/>
  <c r="S80" i="3"/>
  <c r="Q80" i="3"/>
  <c r="P80" i="3"/>
  <c r="O80" i="3"/>
  <c r="N80" i="3"/>
  <c r="M80" i="3"/>
  <c r="G80" i="3"/>
  <c r="F80" i="3"/>
  <c r="E80" i="3"/>
  <c r="R80" i="3" s="1"/>
  <c r="D80" i="3"/>
  <c r="AX79" i="3"/>
  <c r="AV79" i="3"/>
  <c r="AU79" i="3"/>
  <c r="AT79" i="3"/>
  <c r="AR79" i="3"/>
  <c r="AQ79" i="3"/>
  <c r="AO79" i="3"/>
  <c r="AN79" i="3"/>
  <c r="AM79" i="3"/>
  <c r="AK79" i="3"/>
  <c r="AJ79" i="3"/>
  <c r="AI79" i="3"/>
  <c r="AG79" i="3"/>
  <c r="AF79" i="3"/>
  <c r="AD79" i="3"/>
  <c r="AC79" i="3"/>
  <c r="AB79" i="3"/>
  <c r="Z79" i="3"/>
  <c r="Y79" i="3"/>
  <c r="W79" i="3"/>
  <c r="U79" i="3"/>
  <c r="T79" i="3"/>
  <c r="S79" i="3"/>
  <c r="Q79" i="3"/>
  <c r="P79" i="3"/>
  <c r="O79" i="3"/>
  <c r="N79" i="3"/>
  <c r="M79" i="3"/>
  <c r="G79" i="3"/>
  <c r="F79" i="3"/>
  <c r="E79" i="3"/>
  <c r="R79" i="3" s="1"/>
  <c r="D79" i="3"/>
  <c r="AX78" i="3"/>
  <c r="AV78" i="3"/>
  <c r="AU78" i="3"/>
  <c r="AT78" i="3"/>
  <c r="AR78" i="3"/>
  <c r="AQ78" i="3"/>
  <c r="AO78" i="3"/>
  <c r="AN78" i="3"/>
  <c r="AM78" i="3"/>
  <c r="AK78" i="3"/>
  <c r="AJ78" i="3"/>
  <c r="AI78" i="3"/>
  <c r="AG78" i="3"/>
  <c r="AF78" i="3"/>
  <c r="AD78" i="3"/>
  <c r="AC78" i="3"/>
  <c r="AB78" i="3"/>
  <c r="Z78" i="3"/>
  <c r="Y78" i="3"/>
  <c r="W78" i="3"/>
  <c r="U78" i="3"/>
  <c r="T78" i="3"/>
  <c r="S78" i="3"/>
  <c r="Q78" i="3"/>
  <c r="P78" i="3"/>
  <c r="O78" i="3"/>
  <c r="N78" i="3"/>
  <c r="M78" i="3"/>
  <c r="G78" i="3"/>
  <c r="F78" i="3"/>
  <c r="E78" i="3"/>
  <c r="R78" i="3" s="1"/>
  <c r="D78" i="3"/>
  <c r="AX77" i="3"/>
  <c r="AV77" i="3"/>
  <c r="AU77" i="3"/>
  <c r="AT77" i="3"/>
  <c r="AR77" i="3"/>
  <c r="AQ77" i="3"/>
  <c r="AO77" i="3"/>
  <c r="AN77" i="3"/>
  <c r="AM77" i="3"/>
  <c r="AK77" i="3"/>
  <c r="AJ77" i="3"/>
  <c r="AI77" i="3"/>
  <c r="AG77" i="3"/>
  <c r="AF77" i="3"/>
  <c r="AD77" i="3"/>
  <c r="AC77" i="3"/>
  <c r="AB77" i="3"/>
  <c r="Z77" i="3"/>
  <c r="Y77" i="3"/>
  <c r="W77" i="3"/>
  <c r="U77" i="3"/>
  <c r="T77" i="3"/>
  <c r="S77" i="3"/>
  <c r="Q77" i="3"/>
  <c r="P77" i="3"/>
  <c r="O77" i="3"/>
  <c r="N77" i="3"/>
  <c r="M77" i="3"/>
  <c r="G77" i="3"/>
  <c r="F77" i="3"/>
  <c r="E77" i="3"/>
  <c r="R77" i="3" s="1"/>
  <c r="D77" i="3"/>
  <c r="AX76" i="3"/>
  <c r="AV76" i="3"/>
  <c r="AU76" i="3"/>
  <c r="AT76" i="3"/>
  <c r="AR76" i="3"/>
  <c r="AQ76" i="3"/>
  <c r="AO76" i="3"/>
  <c r="AN76" i="3"/>
  <c r="AM76" i="3"/>
  <c r="AK76" i="3"/>
  <c r="AJ76" i="3"/>
  <c r="AI76" i="3"/>
  <c r="AG76" i="3"/>
  <c r="AF76" i="3"/>
  <c r="AD76" i="3"/>
  <c r="AC76" i="3"/>
  <c r="AB76" i="3"/>
  <c r="Z76" i="3"/>
  <c r="Y76" i="3"/>
  <c r="W76" i="3"/>
  <c r="U76" i="3"/>
  <c r="T76" i="3"/>
  <c r="S76" i="3"/>
  <c r="Q76" i="3"/>
  <c r="P76" i="3"/>
  <c r="O76" i="3"/>
  <c r="N76" i="3"/>
  <c r="M76" i="3"/>
  <c r="G76" i="3"/>
  <c r="F76" i="3"/>
  <c r="E76" i="3"/>
  <c r="R76" i="3" s="1"/>
  <c r="D76" i="3"/>
  <c r="AX75" i="3"/>
  <c r="AV75" i="3"/>
  <c r="AU75" i="3"/>
  <c r="AT75" i="3"/>
  <c r="AR75" i="3"/>
  <c r="AQ75" i="3"/>
  <c r="AO75" i="3"/>
  <c r="AN75" i="3"/>
  <c r="AM75" i="3"/>
  <c r="AK75" i="3"/>
  <c r="AJ75" i="3"/>
  <c r="AI75" i="3"/>
  <c r="AG75" i="3"/>
  <c r="AF75" i="3"/>
  <c r="AD75" i="3"/>
  <c r="AC75" i="3"/>
  <c r="AB75" i="3"/>
  <c r="Z75" i="3"/>
  <c r="Y75" i="3"/>
  <c r="W75" i="3"/>
  <c r="U75" i="3"/>
  <c r="T75" i="3"/>
  <c r="S75" i="3"/>
  <c r="Q75" i="3"/>
  <c r="P75" i="3"/>
  <c r="O75" i="3"/>
  <c r="N75" i="3"/>
  <c r="M75" i="3"/>
  <c r="G75" i="3"/>
  <c r="F75" i="3"/>
  <c r="E75" i="3"/>
  <c r="R75" i="3" s="1"/>
  <c r="D75" i="3"/>
  <c r="AX73" i="3"/>
  <c r="AV73" i="3"/>
  <c r="AU73" i="3"/>
  <c r="AW73" i="3" s="1"/>
  <c r="AT73" i="3"/>
  <c r="AR73" i="3"/>
  <c r="AQ73" i="3"/>
  <c r="AS73" i="3" s="1"/>
  <c r="AO73" i="3"/>
  <c r="AN73" i="3"/>
  <c r="AP73" i="3" s="1"/>
  <c r="AM73" i="3"/>
  <c r="AK73" i="3"/>
  <c r="AJ73" i="3"/>
  <c r="AL73" i="3" s="1"/>
  <c r="AI73" i="3"/>
  <c r="AG73" i="3"/>
  <c r="AF73" i="3"/>
  <c r="AH73" i="3" s="1"/>
  <c r="AD73" i="3"/>
  <c r="AC73" i="3"/>
  <c r="AE73" i="3" s="1"/>
  <c r="AB73" i="3"/>
  <c r="Z73" i="3"/>
  <c r="Y73" i="3"/>
  <c r="AA73" i="3" s="1"/>
  <c r="W73" i="3"/>
  <c r="U73" i="3"/>
  <c r="T73" i="3"/>
  <c r="X73" i="3" s="1"/>
  <c r="S73" i="3"/>
  <c r="V73" i="3" s="1"/>
  <c r="Q73" i="3"/>
  <c r="P73" i="3"/>
  <c r="O73" i="3"/>
  <c r="N73" i="3"/>
  <c r="M73" i="3"/>
  <c r="G73" i="3"/>
  <c r="F73" i="3"/>
  <c r="L73" i="3" s="1"/>
  <c r="E73" i="3"/>
  <c r="R73" i="3" s="1"/>
  <c r="D73" i="3"/>
  <c r="AX72" i="3"/>
  <c r="AV72" i="3"/>
  <c r="AU72" i="3"/>
  <c r="AT72" i="3"/>
  <c r="AR72" i="3"/>
  <c r="AQ72" i="3"/>
  <c r="AO72" i="3"/>
  <c r="AN72" i="3"/>
  <c r="AM72" i="3"/>
  <c r="AK72" i="3"/>
  <c r="AJ72" i="3"/>
  <c r="AI72" i="3"/>
  <c r="AG72" i="3"/>
  <c r="AF72" i="3"/>
  <c r="AD72" i="3"/>
  <c r="AC72" i="3"/>
  <c r="AB72" i="3"/>
  <c r="Z72" i="3"/>
  <c r="Y72" i="3"/>
  <c r="W72" i="3"/>
  <c r="U72" i="3"/>
  <c r="T72" i="3"/>
  <c r="S72" i="3"/>
  <c r="Q72" i="3"/>
  <c r="P72" i="3"/>
  <c r="O72" i="3"/>
  <c r="N72" i="3"/>
  <c r="M72" i="3"/>
  <c r="G72" i="3"/>
  <c r="F72" i="3"/>
  <c r="E72" i="3"/>
  <c r="R72" i="3" s="1"/>
  <c r="D72" i="3"/>
  <c r="AX71" i="3"/>
  <c r="AV71" i="3"/>
  <c r="AU71" i="3"/>
  <c r="AW71" i="3" s="1"/>
  <c r="AT71" i="3"/>
  <c r="AR71" i="3"/>
  <c r="AQ71" i="3"/>
  <c r="AS71" i="3" s="1"/>
  <c r="AO71" i="3"/>
  <c r="AN71" i="3"/>
  <c r="AP71" i="3" s="1"/>
  <c r="AM71" i="3"/>
  <c r="AK71" i="3"/>
  <c r="AJ71" i="3"/>
  <c r="AL71" i="3" s="1"/>
  <c r="AI71" i="3"/>
  <c r="AG71" i="3"/>
  <c r="AF71" i="3"/>
  <c r="AH71" i="3" s="1"/>
  <c r="AD71" i="3"/>
  <c r="AC71" i="3"/>
  <c r="AE71" i="3" s="1"/>
  <c r="AB71" i="3"/>
  <c r="Z71" i="3"/>
  <c r="Y71" i="3"/>
  <c r="AA71" i="3" s="1"/>
  <c r="W71" i="3"/>
  <c r="U71" i="3"/>
  <c r="T71" i="3"/>
  <c r="X71" i="3" s="1"/>
  <c r="S71" i="3"/>
  <c r="V71" i="3" s="1"/>
  <c r="Q71" i="3"/>
  <c r="P71" i="3"/>
  <c r="O71" i="3"/>
  <c r="N71" i="3"/>
  <c r="M71" i="3"/>
  <c r="G71" i="3"/>
  <c r="F71" i="3"/>
  <c r="L71" i="3" s="1"/>
  <c r="E71" i="3"/>
  <c r="R71" i="3" s="1"/>
  <c r="D71" i="3"/>
  <c r="I71" i="3" s="1"/>
  <c r="AX70" i="3"/>
  <c r="AV70" i="3"/>
  <c r="AU70" i="3"/>
  <c r="AT70" i="3"/>
  <c r="AR70" i="3"/>
  <c r="AQ70" i="3"/>
  <c r="AO70" i="3"/>
  <c r="AN70" i="3"/>
  <c r="AM70" i="3"/>
  <c r="AK70" i="3"/>
  <c r="AJ70" i="3"/>
  <c r="AI70" i="3"/>
  <c r="AG70" i="3"/>
  <c r="AF70" i="3"/>
  <c r="AD70" i="3"/>
  <c r="AC70" i="3"/>
  <c r="AB70" i="3"/>
  <c r="Z70" i="3"/>
  <c r="Y70" i="3"/>
  <c r="W70" i="3"/>
  <c r="U70" i="3"/>
  <c r="T70" i="3"/>
  <c r="S70" i="3"/>
  <c r="Q70" i="3"/>
  <c r="P70" i="3"/>
  <c r="O70" i="3"/>
  <c r="N70" i="3"/>
  <c r="M70" i="3"/>
  <c r="G70" i="3"/>
  <c r="F70" i="3"/>
  <c r="E70" i="3"/>
  <c r="R70" i="3" s="1"/>
  <c r="D70" i="3"/>
  <c r="AX69" i="3"/>
  <c r="AV69" i="3"/>
  <c r="AU69" i="3"/>
  <c r="AT69" i="3"/>
  <c r="AR69" i="3"/>
  <c r="AQ69" i="3"/>
  <c r="AO69" i="3"/>
  <c r="AN69" i="3"/>
  <c r="AM69" i="3"/>
  <c r="AK69" i="3"/>
  <c r="AJ69" i="3"/>
  <c r="AI69" i="3"/>
  <c r="AG69" i="3"/>
  <c r="AF69" i="3"/>
  <c r="AD69" i="3"/>
  <c r="AC69" i="3"/>
  <c r="AB69" i="3"/>
  <c r="Z69" i="3"/>
  <c r="Y69" i="3"/>
  <c r="W69" i="3"/>
  <c r="U69" i="3"/>
  <c r="T69" i="3"/>
  <c r="S69" i="3"/>
  <c r="Q69" i="3"/>
  <c r="P69" i="3"/>
  <c r="O69" i="3"/>
  <c r="N69" i="3"/>
  <c r="M69" i="3"/>
  <c r="G69" i="3"/>
  <c r="F69" i="3"/>
  <c r="E69" i="3"/>
  <c r="R69" i="3" s="1"/>
  <c r="D69" i="3"/>
  <c r="AX68" i="3"/>
  <c r="AV68" i="3"/>
  <c r="AU68" i="3"/>
  <c r="AT68" i="3"/>
  <c r="AR68" i="3"/>
  <c r="AQ68" i="3"/>
  <c r="AO68" i="3"/>
  <c r="AN68" i="3"/>
  <c r="AM68" i="3"/>
  <c r="AK68" i="3"/>
  <c r="AJ68" i="3"/>
  <c r="AI68" i="3"/>
  <c r="AG68" i="3"/>
  <c r="AF68" i="3"/>
  <c r="AD68" i="3"/>
  <c r="AC68" i="3"/>
  <c r="AB68" i="3"/>
  <c r="Z68" i="3"/>
  <c r="Y68" i="3"/>
  <c r="W68" i="3"/>
  <c r="U68" i="3"/>
  <c r="T68" i="3"/>
  <c r="S68" i="3"/>
  <c r="Q68" i="3"/>
  <c r="P68" i="3"/>
  <c r="O68" i="3"/>
  <c r="N68" i="3"/>
  <c r="M68" i="3"/>
  <c r="G68" i="3"/>
  <c r="F68" i="3"/>
  <c r="E68" i="3"/>
  <c r="R68" i="3" s="1"/>
  <c r="D68" i="3"/>
  <c r="AX67" i="3"/>
  <c r="AV67" i="3"/>
  <c r="AU67" i="3"/>
  <c r="AT67" i="3"/>
  <c r="AR67" i="3"/>
  <c r="AQ67" i="3"/>
  <c r="AO67" i="3"/>
  <c r="AN67" i="3"/>
  <c r="AM67" i="3"/>
  <c r="AK67" i="3"/>
  <c r="AJ67" i="3"/>
  <c r="AI67" i="3"/>
  <c r="AG67" i="3"/>
  <c r="AF67" i="3"/>
  <c r="AD67" i="3"/>
  <c r="AC67" i="3"/>
  <c r="AB67" i="3"/>
  <c r="Z67" i="3"/>
  <c r="Y67" i="3"/>
  <c r="W67" i="3"/>
  <c r="U67" i="3"/>
  <c r="T67" i="3"/>
  <c r="S67" i="3"/>
  <c r="Q67" i="3"/>
  <c r="P67" i="3"/>
  <c r="O67" i="3"/>
  <c r="N67" i="3"/>
  <c r="M67" i="3"/>
  <c r="G67" i="3"/>
  <c r="F67" i="3"/>
  <c r="E67" i="3"/>
  <c r="R67" i="3" s="1"/>
  <c r="D67" i="3"/>
  <c r="AX66" i="3"/>
  <c r="AV66" i="3"/>
  <c r="AU66" i="3"/>
  <c r="AT66" i="3"/>
  <c r="AR66" i="3"/>
  <c r="AQ66" i="3"/>
  <c r="AO66" i="3"/>
  <c r="AN66" i="3"/>
  <c r="AM66" i="3"/>
  <c r="AK66" i="3"/>
  <c r="AJ66" i="3"/>
  <c r="AI66" i="3"/>
  <c r="AG66" i="3"/>
  <c r="AF66" i="3"/>
  <c r="AD66" i="3"/>
  <c r="AC66" i="3"/>
  <c r="AB66" i="3"/>
  <c r="Z66" i="3"/>
  <c r="Y66" i="3"/>
  <c r="W66" i="3"/>
  <c r="U66" i="3"/>
  <c r="T66" i="3"/>
  <c r="S66" i="3"/>
  <c r="Q66" i="3"/>
  <c r="P66" i="3"/>
  <c r="O66" i="3"/>
  <c r="N66" i="3"/>
  <c r="M66" i="3"/>
  <c r="G66" i="3"/>
  <c r="F66" i="3"/>
  <c r="E66" i="3"/>
  <c r="R66" i="3" s="1"/>
  <c r="D66" i="3"/>
  <c r="AX65" i="3"/>
  <c r="AV65" i="3"/>
  <c r="AU65" i="3"/>
  <c r="AT65" i="3"/>
  <c r="AR65" i="3"/>
  <c r="AQ65" i="3"/>
  <c r="AO65" i="3"/>
  <c r="AN65" i="3"/>
  <c r="AM65" i="3"/>
  <c r="AK65" i="3"/>
  <c r="AJ65" i="3"/>
  <c r="AI65" i="3"/>
  <c r="AG65" i="3"/>
  <c r="AF65" i="3"/>
  <c r="AD65" i="3"/>
  <c r="AC65" i="3"/>
  <c r="AB65" i="3"/>
  <c r="Z65" i="3"/>
  <c r="Y65" i="3"/>
  <c r="W65" i="3"/>
  <c r="U65" i="3"/>
  <c r="T65" i="3"/>
  <c r="S65" i="3"/>
  <c r="Q65" i="3"/>
  <c r="P65" i="3"/>
  <c r="O65" i="3"/>
  <c r="N65" i="3"/>
  <c r="M65" i="3"/>
  <c r="G65" i="3"/>
  <c r="F65" i="3"/>
  <c r="E65" i="3"/>
  <c r="R65" i="3" s="1"/>
  <c r="D65" i="3"/>
  <c r="AX64" i="3"/>
  <c r="AV64" i="3"/>
  <c r="AU64" i="3"/>
  <c r="AW64" i="3" s="1"/>
  <c r="AT64" i="3"/>
  <c r="AR64" i="3"/>
  <c r="AQ64" i="3"/>
  <c r="AS64" i="3" s="1"/>
  <c r="AO64" i="3"/>
  <c r="AN64" i="3"/>
  <c r="AP64" i="3" s="1"/>
  <c r="AM64" i="3"/>
  <c r="AK64" i="3"/>
  <c r="AJ64" i="3"/>
  <c r="AL64" i="3" s="1"/>
  <c r="AI64" i="3"/>
  <c r="AG64" i="3"/>
  <c r="AF64" i="3"/>
  <c r="AH64" i="3" s="1"/>
  <c r="AD64" i="3"/>
  <c r="AC64" i="3"/>
  <c r="AE64" i="3" s="1"/>
  <c r="AB64" i="3"/>
  <c r="Z64" i="3"/>
  <c r="Y64" i="3"/>
  <c r="AA64" i="3" s="1"/>
  <c r="W64" i="3"/>
  <c r="U64" i="3"/>
  <c r="T64" i="3"/>
  <c r="X64" i="3" s="1"/>
  <c r="S64" i="3"/>
  <c r="V64" i="3" s="1"/>
  <c r="Q64" i="3"/>
  <c r="P64" i="3"/>
  <c r="O64" i="3"/>
  <c r="N64" i="3"/>
  <c r="M64" i="3"/>
  <c r="G64" i="3"/>
  <c r="F64" i="3"/>
  <c r="L64" i="3" s="1"/>
  <c r="E64" i="3"/>
  <c r="R64" i="3" s="1"/>
  <c r="D64" i="3"/>
  <c r="AX63" i="3"/>
  <c r="AV63" i="3"/>
  <c r="AU63" i="3"/>
  <c r="AT63" i="3"/>
  <c r="AR63" i="3"/>
  <c r="AQ63" i="3"/>
  <c r="AO63" i="3"/>
  <c r="AN63" i="3"/>
  <c r="AM63" i="3"/>
  <c r="AK63" i="3"/>
  <c r="AJ63" i="3"/>
  <c r="AI63" i="3"/>
  <c r="AG63" i="3"/>
  <c r="AF63" i="3"/>
  <c r="AD63" i="3"/>
  <c r="AC63" i="3"/>
  <c r="AB63" i="3"/>
  <c r="Z63" i="3"/>
  <c r="Y63" i="3"/>
  <c r="W63" i="3"/>
  <c r="U63" i="3"/>
  <c r="T63" i="3"/>
  <c r="S63" i="3"/>
  <c r="Q63" i="3"/>
  <c r="P63" i="3"/>
  <c r="O63" i="3"/>
  <c r="N63" i="3"/>
  <c r="M63" i="3"/>
  <c r="G63" i="3"/>
  <c r="F63" i="3"/>
  <c r="E63" i="3"/>
  <c r="R63" i="3" s="1"/>
  <c r="D63" i="3"/>
  <c r="AX62" i="3"/>
  <c r="AV62" i="3"/>
  <c r="AU62" i="3"/>
  <c r="AT62" i="3"/>
  <c r="AR62" i="3"/>
  <c r="AQ62" i="3"/>
  <c r="AO62" i="3"/>
  <c r="AN62" i="3"/>
  <c r="AM62" i="3"/>
  <c r="AK62" i="3"/>
  <c r="AJ62" i="3"/>
  <c r="AI62" i="3"/>
  <c r="AG62" i="3"/>
  <c r="AF62" i="3"/>
  <c r="AD62" i="3"/>
  <c r="AC62" i="3"/>
  <c r="AB62" i="3"/>
  <c r="Z62" i="3"/>
  <c r="Y62" i="3"/>
  <c r="W62" i="3"/>
  <c r="U62" i="3"/>
  <c r="T62" i="3"/>
  <c r="S62" i="3"/>
  <c r="Q62" i="3"/>
  <c r="P62" i="3"/>
  <c r="O62" i="3"/>
  <c r="N62" i="3"/>
  <c r="M62" i="3"/>
  <c r="G62" i="3"/>
  <c r="F62" i="3"/>
  <c r="E62" i="3"/>
  <c r="R62" i="3" s="1"/>
  <c r="D62" i="3"/>
  <c r="AX61" i="3"/>
  <c r="AV61" i="3"/>
  <c r="AU61" i="3"/>
  <c r="AW61" i="3" s="1"/>
  <c r="AT61" i="3"/>
  <c r="AR61" i="3"/>
  <c r="AQ61" i="3"/>
  <c r="AS61" i="3" s="1"/>
  <c r="AO61" i="3"/>
  <c r="AN61" i="3"/>
  <c r="AP61" i="3" s="1"/>
  <c r="AM61" i="3"/>
  <c r="AK61" i="3"/>
  <c r="AJ61" i="3"/>
  <c r="AL61" i="3" s="1"/>
  <c r="AI61" i="3"/>
  <c r="AG61" i="3"/>
  <c r="AF61" i="3"/>
  <c r="AH61" i="3" s="1"/>
  <c r="AD61" i="3"/>
  <c r="AC61" i="3"/>
  <c r="AE61" i="3" s="1"/>
  <c r="AB61" i="3"/>
  <c r="Z61" i="3"/>
  <c r="Y61" i="3"/>
  <c r="AA61" i="3" s="1"/>
  <c r="W61" i="3"/>
  <c r="U61" i="3"/>
  <c r="T61" i="3"/>
  <c r="X61" i="3" s="1"/>
  <c r="S61" i="3"/>
  <c r="V61" i="3" s="1"/>
  <c r="Q61" i="3"/>
  <c r="P61" i="3"/>
  <c r="O61" i="3"/>
  <c r="N61" i="3"/>
  <c r="M61" i="3"/>
  <c r="G61" i="3"/>
  <c r="F61" i="3"/>
  <c r="L61" i="3" s="1"/>
  <c r="E61" i="3"/>
  <c r="R61" i="3" s="1"/>
  <c r="D61" i="3"/>
  <c r="AX60" i="3"/>
  <c r="AV60" i="3"/>
  <c r="AU60" i="3"/>
  <c r="AW60" i="3" s="1"/>
  <c r="AT60" i="3"/>
  <c r="AR60" i="3"/>
  <c r="AQ60" i="3"/>
  <c r="AS60" i="3" s="1"/>
  <c r="AO60" i="3"/>
  <c r="AN60" i="3"/>
  <c r="AP60" i="3" s="1"/>
  <c r="AM60" i="3"/>
  <c r="AK60" i="3"/>
  <c r="AJ60" i="3"/>
  <c r="AL60" i="3" s="1"/>
  <c r="AI60" i="3"/>
  <c r="AG60" i="3"/>
  <c r="AF60" i="3"/>
  <c r="AH60" i="3" s="1"/>
  <c r="AD60" i="3"/>
  <c r="AC60" i="3"/>
  <c r="AE60" i="3" s="1"/>
  <c r="AB60" i="3"/>
  <c r="Z60" i="3"/>
  <c r="Y60" i="3"/>
  <c r="AA60" i="3" s="1"/>
  <c r="W60" i="3"/>
  <c r="U60" i="3"/>
  <c r="T60" i="3"/>
  <c r="X60" i="3" s="1"/>
  <c r="S60" i="3"/>
  <c r="V60" i="3" s="1"/>
  <c r="Q60" i="3"/>
  <c r="P60" i="3"/>
  <c r="O60" i="3"/>
  <c r="N60" i="3"/>
  <c r="M60" i="3"/>
  <c r="G60" i="3"/>
  <c r="F60" i="3"/>
  <c r="L60" i="3" s="1"/>
  <c r="E60" i="3"/>
  <c r="R60" i="3" s="1"/>
  <c r="D60" i="3"/>
  <c r="AX59" i="3"/>
  <c r="AV59" i="3"/>
  <c r="AU59" i="3"/>
  <c r="AW59" i="3" s="1"/>
  <c r="AT59" i="3"/>
  <c r="AR59" i="3"/>
  <c r="AQ59" i="3"/>
  <c r="AS59" i="3" s="1"/>
  <c r="AO59" i="3"/>
  <c r="AN59" i="3"/>
  <c r="AP59" i="3" s="1"/>
  <c r="AM59" i="3"/>
  <c r="AK59" i="3"/>
  <c r="AJ59" i="3"/>
  <c r="AL59" i="3" s="1"/>
  <c r="AI59" i="3"/>
  <c r="AG59" i="3"/>
  <c r="AF59" i="3"/>
  <c r="AH59" i="3" s="1"/>
  <c r="AD59" i="3"/>
  <c r="AC59" i="3"/>
  <c r="AE59" i="3" s="1"/>
  <c r="AB59" i="3"/>
  <c r="Z59" i="3"/>
  <c r="Y59" i="3"/>
  <c r="AA59" i="3" s="1"/>
  <c r="W59" i="3"/>
  <c r="U59" i="3"/>
  <c r="T59" i="3"/>
  <c r="X59" i="3" s="1"/>
  <c r="S59" i="3"/>
  <c r="V59" i="3" s="1"/>
  <c r="Q59" i="3"/>
  <c r="P59" i="3"/>
  <c r="O59" i="3"/>
  <c r="N59" i="3"/>
  <c r="M59" i="3"/>
  <c r="G59" i="3"/>
  <c r="F59" i="3"/>
  <c r="L59" i="3" s="1"/>
  <c r="E59" i="3"/>
  <c r="R59" i="3" s="1"/>
  <c r="D59" i="3"/>
  <c r="K59" i="3" s="1"/>
  <c r="AX58" i="3"/>
  <c r="AV58" i="3"/>
  <c r="AU58" i="3"/>
  <c r="AT58" i="3"/>
  <c r="AR58" i="3"/>
  <c r="AQ58" i="3"/>
  <c r="AO58" i="3"/>
  <c r="AN58" i="3"/>
  <c r="AM58" i="3"/>
  <c r="AK58" i="3"/>
  <c r="AJ58" i="3"/>
  <c r="AI58" i="3"/>
  <c r="AG58" i="3"/>
  <c r="AF58" i="3"/>
  <c r="AD58" i="3"/>
  <c r="AC58" i="3"/>
  <c r="AB58" i="3"/>
  <c r="Z58" i="3"/>
  <c r="Y58" i="3"/>
  <c r="W58" i="3"/>
  <c r="U58" i="3"/>
  <c r="T58" i="3"/>
  <c r="S58" i="3"/>
  <c r="Q58" i="3"/>
  <c r="P58" i="3"/>
  <c r="O58" i="3"/>
  <c r="N58" i="3"/>
  <c r="M58" i="3"/>
  <c r="G58" i="3"/>
  <c r="F58" i="3"/>
  <c r="E58" i="3"/>
  <c r="R58" i="3" s="1"/>
  <c r="D58" i="3"/>
  <c r="AX57" i="3"/>
  <c r="AV57" i="3"/>
  <c r="AU57" i="3"/>
  <c r="AT57" i="3"/>
  <c r="AR57" i="3"/>
  <c r="AQ57" i="3"/>
  <c r="AO57" i="3"/>
  <c r="AN57" i="3"/>
  <c r="AM57" i="3"/>
  <c r="AK57" i="3"/>
  <c r="AJ57" i="3"/>
  <c r="AI57" i="3"/>
  <c r="AG57" i="3"/>
  <c r="AF57" i="3"/>
  <c r="AD57" i="3"/>
  <c r="AC57" i="3"/>
  <c r="AB57" i="3"/>
  <c r="Z57" i="3"/>
  <c r="Y57" i="3"/>
  <c r="W57" i="3"/>
  <c r="U57" i="3"/>
  <c r="T57" i="3"/>
  <c r="S57" i="3"/>
  <c r="Q57" i="3"/>
  <c r="P57" i="3"/>
  <c r="O57" i="3"/>
  <c r="N57" i="3"/>
  <c r="M57" i="3"/>
  <c r="G57" i="3"/>
  <c r="F57" i="3"/>
  <c r="E57" i="3"/>
  <c r="R57" i="3" s="1"/>
  <c r="D57" i="3"/>
  <c r="AX56" i="3"/>
  <c r="AV56" i="3"/>
  <c r="AU56" i="3"/>
  <c r="AT56" i="3"/>
  <c r="AR56" i="3"/>
  <c r="AQ56" i="3"/>
  <c r="AO56" i="3"/>
  <c r="AN56" i="3"/>
  <c r="AM56" i="3"/>
  <c r="AK56" i="3"/>
  <c r="AJ56" i="3"/>
  <c r="AI56" i="3"/>
  <c r="AG56" i="3"/>
  <c r="AF56" i="3"/>
  <c r="AD56" i="3"/>
  <c r="AC56" i="3"/>
  <c r="AB56" i="3"/>
  <c r="Z56" i="3"/>
  <c r="Y56" i="3"/>
  <c r="W56" i="3"/>
  <c r="U56" i="3"/>
  <c r="T56" i="3"/>
  <c r="S56" i="3"/>
  <c r="Q56" i="3"/>
  <c r="P56" i="3"/>
  <c r="O56" i="3"/>
  <c r="N56" i="3"/>
  <c r="M56" i="3"/>
  <c r="G56" i="3"/>
  <c r="F56" i="3"/>
  <c r="E56" i="3"/>
  <c r="R56" i="3" s="1"/>
  <c r="D56" i="3"/>
  <c r="AX55" i="3"/>
  <c r="AV55" i="3"/>
  <c r="AU55" i="3"/>
  <c r="AT55" i="3"/>
  <c r="AR55" i="3"/>
  <c r="AQ55" i="3"/>
  <c r="AO55" i="3"/>
  <c r="AN55" i="3"/>
  <c r="AM55" i="3"/>
  <c r="AK55" i="3"/>
  <c r="AJ55" i="3"/>
  <c r="AI55" i="3"/>
  <c r="AG55" i="3"/>
  <c r="AF55" i="3"/>
  <c r="AD55" i="3"/>
  <c r="AC55" i="3"/>
  <c r="AB55" i="3"/>
  <c r="Z55" i="3"/>
  <c r="Y55" i="3"/>
  <c r="W55" i="3"/>
  <c r="U55" i="3"/>
  <c r="T55" i="3"/>
  <c r="S55" i="3"/>
  <c r="Q55" i="3"/>
  <c r="P55" i="3"/>
  <c r="O55" i="3"/>
  <c r="N55" i="3"/>
  <c r="M55" i="3"/>
  <c r="G55" i="3"/>
  <c r="F55" i="3"/>
  <c r="E55" i="3"/>
  <c r="D55" i="3"/>
  <c r="AX54" i="3"/>
  <c r="AV54" i="3"/>
  <c r="AU54" i="3"/>
  <c r="AT54" i="3"/>
  <c r="AR54" i="3"/>
  <c r="AQ54" i="3"/>
  <c r="AO54" i="3"/>
  <c r="AN54" i="3"/>
  <c r="AM54" i="3"/>
  <c r="AK54" i="3"/>
  <c r="AJ54" i="3"/>
  <c r="AI54" i="3"/>
  <c r="AG54" i="3"/>
  <c r="AF54" i="3"/>
  <c r="AD54" i="3"/>
  <c r="AC54" i="3"/>
  <c r="AB54" i="3"/>
  <c r="Z54" i="3"/>
  <c r="Y54" i="3"/>
  <c r="W54" i="3"/>
  <c r="U54" i="3"/>
  <c r="T54" i="3"/>
  <c r="S54" i="3"/>
  <c r="Q54" i="3"/>
  <c r="P54" i="3"/>
  <c r="O54" i="3"/>
  <c r="N54" i="3"/>
  <c r="M54" i="3"/>
  <c r="G54" i="3"/>
  <c r="F54" i="3"/>
  <c r="E54" i="3"/>
  <c r="R54" i="3" s="1"/>
  <c r="D54" i="3"/>
  <c r="AX53" i="3"/>
  <c r="AV53" i="3"/>
  <c r="AU53" i="3"/>
  <c r="AT53" i="3"/>
  <c r="AR53" i="3"/>
  <c r="AQ53" i="3"/>
  <c r="AO53" i="3"/>
  <c r="AN53" i="3"/>
  <c r="AM53" i="3"/>
  <c r="AK53" i="3"/>
  <c r="AJ53" i="3"/>
  <c r="AI53" i="3"/>
  <c r="AG53" i="3"/>
  <c r="AF53" i="3"/>
  <c r="AD53" i="3"/>
  <c r="AC53" i="3"/>
  <c r="AB53" i="3"/>
  <c r="Z53" i="3"/>
  <c r="Y53" i="3"/>
  <c r="W53" i="3"/>
  <c r="U53" i="3"/>
  <c r="T53" i="3"/>
  <c r="S53" i="3"/>
  <c r="Q53" i="3"/>
  <c r="P53" i="3"/>
  <c r="O53" i="3"/>
  <c r="N53" i="3"/>
  <c r="M53" i="3"/>
  <c r="G53" i="3"/>
  <c r="F53" i="3"/>
  <c r="E53" i="3"/>
  <c r="R53" i="3" s="1"/>
  <c r="D53" i="3"/>
  <c r="AX51" i="3"/>
  <c r="AV51" i="3"/>
  <c r="AU51" i="3"/>
  <c r="AT51" i="3"/>
  <c r="AR51" i="3"/>
  <c r="AQ51" i="3"/>
  <c r="AO51" i="3"/>
  <c r="AN51" i="3"/>
  <c r="AM51" i="3"/>
  <c r="AK51" i="3"/>
  <c r="AJ51" i="3"/>
  <c r="AI51" i="3"/>
  <c r="AG51" i="3"/>
  <c r="AF51" i="3"/>
  <c r="AD51" i="3"/>
  <c r="AC51" i="3"/>
  <c r="AB51" i="3"/>
  <c r="Z51" i="3"/>
  <c r="Y51" i="3"/>
  <c r="W51" i="3"/>
  <c r="U51" i="3"/>
  <c r="T51" i="3"/>
  <c r="S51" i="3"/>
  <c r="Q51" i="3"/>
  <c r="P51" i="3"/>
  <c r="O51" i="3"/>
  <c r="N51" i="3"/>
  <c r="M51" i="3"/>
  <c r="G51" i="3"/>
  <c r="F51" i="3"/>
  <c r="E51" i="3"/>
  <c r="R51" i="3" s="1"/>
  <c r="D51" i="3"/>
  <c r="AX50" i="3"/>
  <c r="AV50" i="3"/>
  <c r="AU50" i="3"/>
  <c r="AT50" i="3"/>
  <c r="AR50" i="3"/>
  <c r="AQ50" i="3"/>
  <c r="AO50" i="3"/>
  <c r="AN50" i="3"/>
  <c r="AM50" i="3"/>
  <c r="AK50" i="3"/>
  <c r="AJ50" i="3"/>
  <c r="AI50" i="3"/>
  <c r="AG50" i="3"/>
  <c r="AF50" i="3"/>
  <c r="AD50" i="3"/>
  <c r="AC50" i="3"/>
  <c r="AB50" i="3"/>
  <c r="Z50" i="3"/>
  <c r="Y50" i="3"/>
  <c r="W50" i="3"/>
  <c r="U50" i="3"/>
  <c r="T50" i="3"/>
  <c r="S50" i="3"/>
  <c r="Q50" i="3"/>
  <c r="P50" i="3"/>
  <c r="O50" i="3"/>
  <c r="N50" i="3"/>
  <c r="M50" i="3"/>
  <c r="G50" i="3"/>
  <c r="F50" i="3"/>
  <c r="E50" i="3"/>
  <c r="R50" i="3" s="1"/>
  <c r="D50" i="3"/>
  <c r="AX49" i="3"/>
  <c r="AV49" i="3"/>
  <c r="AU49" i="3"/>
  <c r="AT49" i="3"/>
  <c r="AR49" i="3"/>
  <c r="AQ49" i="3"/>
  <c r="AO49" i="3"/>
  <c r="AN49" i="3"/>
  <c r="AM49" i="3"/>
  <c r="AK49" i="3"/>
  <c r="AJ49" i="3"/>
  <c r="AI49" i="3"/>
  <c r="AG49" i="3"/>
  <c r="AF49" i="3"/>
  <c r="AD49" i="3"/>
  <c r="AC49" i="3"/>
  <c r="AB49" i="3"/>
  <c r="Z49" i="3"/>
  <c r="Y49" i="3"/>
  <c r="W49" i="3"/>
  <c r="U49" i="3"/>
  <c r="T49" i="3"/>
  <c r="S49" i="3"/>
  <c r="Q49" i="3"/>
  <c r="P49" i="3"/>
  <c r="O49" i="3"/>
  <c r="N49" i="3"/>
  <c r="M49" i="3"/>
  <c r="G49" i="3"/>
  <c r="F49" i="3"/>
  <c r="E49" i="3"/>
  <c r="R49" i="3" s="1"/>
  <c r="D49" i="3"/>
  <c r="AX48" i="3"/>
  <c r="AV48" i="3"/>
  <c r="AU48" i="3"/>
  <c r="AT48" i="3"/>
  <c r="AR48" i="3"/>
  <c r="AQ48" i="3"/>
  <c r="AO48" i="3"/>
  <c r="AN48" i="3"/>
  <c r="AM48" i="3"/>
  <c r="AK48" i="3"/>
  <c r="AJ48" i="3"/>
  <c r="AI48" i="3"/>
  <c r="AG48" i="3"/>
  <c r="AF48" i="3"/>
  <c r="AD48" i="3"/>
  <c r="AC48" i="3"/>
  <c r="AB48" i="3"/>
  <c r="Z48" i="3"/>
  <c r="Y48" i="3"/>
  <c r="W48" i="3"/>
  <c r="U48" i="3"/>
  <c r="T48" i="3"/>
  <c r="S48" i="3"/>
  <c r="Q48" i="3"/>
  <c r="P48" i="3"/>
  <c r="O48" i="3"/>
  <c r="N48" i="3"/>
  <c r="M48" i="3"/>
  <c r="G48" i="3"/>
  <c r="F48" i="3"/>
  <c r="E48" i="3"/>
  <c r="D48" i="3"/>
  <c r="AX47" i="3"/>
  <c r="AV47" i="3"/>
  <c r="AU47" i="3"/>
  <c r="AT47" i="3"/>
  <c r="AR47" i="3"/>
  <c r="AQ47" i="3"/>
  <c r="AO47" i="3"/>
  <c r="AN47" i="3"/>
  <c r="AM47" i="3"/>
  <c r="AK47" i="3"/>
  <c r="AJ47" i="3"/>
  <c r="AI47" i="3"/>
  <c r="AG47" i="3"/>
  <c r="AF47" i="3"/>
  <c r="AD47" i="3"/>
  <c r="AC47" i="3"/>
  <c r="AB47" i="3"/>
  <c r="Z47" i="3"/>
  <c r="Y47" i="3"/>
  <c r="W47" i="3"/>
  <c r="U47" i="3"/>
  <c r="T47" i="3"/>
  <c r="S47" i="3"/>
  <c r="Q47" i="3"/>
  <c r="P47" i="3"/>
  <c r="O47" i="3"/>
  <c r="N47" i="3"/>
  <c r="M47" i="3"/>
  <c r="G47" i="3"/>
  <c r="F47" i="3"/>
  <c r="E47" i="3"/>
  <c r="R47" i="3" s="1"/>
  <c r="D47" i="3"/>
  <c r="AX46" i="3"/>
  <c r="AV46" i="3"/>
  <c r="AU46" i="3"/>
  <c r="AT46" i="3"/>
  <c r="AR46" i="3"/>
  <c r="AQ46" i="3"/>
  <c r="AO46" i="3"/>
  <c r="AN46" i="3"/>
  <c r="AM46" i="3"/>
  <c r="AK46" i="3"/>
  <c r="AJ46" i="3"/>
  <c r="AI46" i="3"/>
  <c r="AG46" i="3"/>
  <c r="AF46" i="3"/>
  <c r="AD46" i="3"/>
  <c r="AC46" i="3"/>
  <c r="AB46" i="3"/>
  <c r="Z46" i="3"/>
  <c r="Y46" i="3"/>
  <c r="W46" i="3"/>
  <c r="U46" i="3"/>
  <c r="T46" i="3"/>
  <c r="S46" i="3"/>
  <c r="Q46" i="3"/>
  <c r="P46" i="3"/>
  <c r="O46" i="3"/>
  <c r="N46" i="3"/>
  <c r="M46" i="3"/>
  <c r="G46" i="3"/>
  <c r="F46" i="3"/>
  <c r="E46" i="3"/>
  <c r="R46" i="3" s="1"/>
  <c r="D46" i="3"/>
  <c r="AX45" i="3"/>
  <c r="AV45" i="3"/>
  <c r="AU45" i="3"/>
  <c r="AT45" i="3"/>
  <c r="AR45" i="3"/>
  <c r="AQ45" i="3"/>
  <c r="AO45" i="3"/>
  <c r="AN45" i="3"/>
  <c r="AM45" i="3"/>
  <c r="AK45" i="3"/>
  <c r="AJ45" i="3"/>
  <c r="AI45" i="3"/>
  <c r="AG45" i="3"/>
  <c r="AF45" i="3"/>
  <c r="AD45" i="3"/>
  <c r="AC45" i="3"/>
  <c r="AB45" i="3"/>
  <c r="Z45" i="3"/>
  <c r="Y45" i="3"/>
  <c r="W45" i="3"/>
  <c r="U45" i="3"/>
  <c r="T45" i="3"/>
  <c r="S45" i="3"/>
  <c r="Q45" i="3"/>
  <c r="P45" i="3"/>
  <c r="O45" i="3"/>
  <c r="N45" i="3"/>
  <c r="M45" i="3"/>
  <c r="G45" i="3"/>
  <c r="F45" i="3"/>
  <c r="E45" i="3"/>
  <c r="R45" i="3" s="1"/>
  <c r="D45" i="3"/>
  <c r="AX44" i="3"/>
  <c r="AV44" i="3"/>
  <c r="AU44" i="3"/>
  <c r="AT44" i="3"/>
  <c r="AR44" i="3"/>
  <c r="AQ44" i="3"/>
  <c r="AO44" i="3"/>
  <c r="AN44" i="3"/>
  <c r="AM44" i="3"/>
  <c r="AK44" i="3"/>
  <c r="AJ44" i="3"/>
  <c r="AI44" i="3"/>
  <c r="AG44" i="3"/>
  <c r="AF44" i="3"/>
  <c r="AD44" i="3"/>
  <c r="AC44" i="3"/>
  <c r="AB44" i="3"/>
  <c r="Z44" i="3"/>
  <c r="Y44" i="3"/>
  <c r="W44" i="3"/>
  <c r="U44" i="3"/>
  <c r="T44" i="3"/>
  <c r="S44" i="3"/>
  <c r="Q44" i="3"/>
  <c r="P44" i="3"/>
  <c r="O44" i="3"/>
  <c r="N44" i="3"/>
  <c r="M44" i="3"/>
  <c r="G44" i="3"/>
  <c r="F44" i="3"/>
  <c r="E44" i="3"/>
  <c r="R44" i="3" s="1"/>
  <c r="D44" i="3"/>
  <c r="AX43" i="3"/>
  <c r="AV43" i="3"/>
  <c r="AU43" i="3"/>
  <c r="AT43" i="3"/>
  <c r="AR43" i="3"/>
  <c r="AQ43" i="3"/>
  <c r="AO43" i="3"/>
  <c r="AN43" i="3"/>
  <c r="AM43" i="3"/>
  <c r="AK43" i="3"/>
  <c r="AJ43" i="3"/>
  <c r="AI43" i="3"/>
  <c r="AG43" i="3"/>
  <c r="AF43" i="3"/>
  <c r="AD43" i="3"/>
  <c r="AC43" i="3"/>
  <c r="AB43" i="3"/>
  <c r="Z43" i="3"/>
  <c r="Y43" i="3"/>
  <c r="W43" i="3"/>
  <c r="U43" i="3"/>
  <c r="T43" i="3"/>
  <c r="S43" i="3"/>
  <c r="Q43" i="3"/>
  <c r="P43" i="3"/>
  <c r="O43" i="3"/>
  <c r="N43" i="3"/>
  <c r="M43" i="3"/>
  <c r="G43" i="3"/>
  <c r="F43" i="3"/>
  <c r="E43" i="3"/>
  <c r="R43" i="3" s="1"/>
  <c r="D43" i="3"/>
  <c r="AX42" i="3"/>
  <c r="AV42" i="3"/>
  <c r="AU42" i="3"/>
  <c r="AT42" i="3"/>
  <c r="AR42" i="3"/>
  <c r="AQ42" i="3"/>
  <c r="AO42" i="3"/>
  <c r="AN42" i="3"/>
  <c r="AM42" i="3"/>
  <c r="AK42" i="3"/>
  <c r="AJ42" i="3"/>
  <c r="AI42" i="3"/>
  <c r="AG42" i="3"/>
  <c r="AF42" i="3"/>
  <c r="AD42" i="3"/>
  <c r="AC42" i="3"/>
  <c r="AB42" i="3"/>
  <c r="Z42" i="3"/>
  <c r="Y42" i="3"/>
  <c r="W42" i="3"/>
  <c r="U42" i="3"/>
  <c r="T42" i="3"/>
  <c r="S42" i="3"/>
  <c r="Q42" i="3"/>
  <c r="P42" i="3"/>
  <c r="O42" i="3"/>
  <c r="N42" i="3"/>
  <c r="M42" i="3"/>
  <c r="G42" i="3"/>
  <c r="F42" i="3"/>
  <c r="E42" i="3"/>
  <c r="R42" i="3" s="1"/>
  <c r="D42" i="3"/>
  <c r="AX41" i="3"/>
  <c r="AV41" i="3"/>
  <c r="AU41" i="3"/>
  <c r="AT41" i="3"/>
  <c r="AR41" i="3"/>
  <c r="AQ41" i="3"/>
  <c r="AO41" i="3"/>
  <c r="AN41" i="3"/>
  <c r="AM41" i="3"/>
  <c r="AK41" i="3"/>
  <c r="AJ41" i="3"/>
  <c r="AI41" i="3"/>
  <c r="AG41" i="3"/>
  <c r="AF41" i="3"/>
  <c r="AD41" i="3"/>
  <c r="AC41" i="3"/>
  <c r="AB41" i="3"/>
  <c r="Z41" i="3"/>
  <c r="Y41" i="3"/>
  <c r="W41" i="3"/>
  <c r="U41" i="3"/>
  <c r="T41" i="3"/>
  <c r="S41" i="3"/>
  <c r="Q41" i="3"/>
  <c r="P41" i="3"/>
  <c r="O41" i="3"/>
  <c r="N41" i="3"/>
  <c r="M41" i="3"/>
  <c r="G41" i="3"/>
  <c r="F41" i="3"/>
  <c r="E41" i="3"/>
  <c r="R41" i="3" s="1"/>
  <c r="D41" i="3"/>
  <c r="AX40" i="3"/>
  <c r="AV40" i="3"/>
  <c r="AU40" i="3"/>
  <c r="AT40" i="3"/>
  <c r="AR40" i="3"/>
  <c r="AQ40" i="3"/>
  <c r="AO40" i="3"/>
  <c r="AN40" i="3"/>
  <c r="AM40" i="3"/>
  <c r="AK40" i="3"/>
  <c r="AJ40" i="3"/>
  <c r="AI40" i="3"/>
  <c r="AG40" i="3"/>
  <c r="AF40" i="3"/>
  <c r="AD40" i="3"/>
  <c r="AC40" i="3"/>
  <c r="AB40" i="3"/>
  <c r="Z40" i="3"/>
  <c r="Y40" i="3"/>
  <c r="W40" i="3"/>
  <c r="U40" i="3"/>
  <c r="T40" i="3"/>
  <c r="S40" i="3"/>
  <c r="Q40" i="3"/>
  <c r="P40" i="3"/>
  <c r="O40" i="3"/>
  <c r="N40" i="3"/>
  <c r="M40" i="3"/>
  <c r="G40" i="3"/>
  <c r="F40" i="3"/>
  <c r="E40" i="3"/>
  <c r="R40" i="3" s="1"/>
  <c r="D40" i="3"/>
  <c r="AX39" i="3"/>
  <c r="AV39" i="3"/>
  <c r="AU39" i="3"/>
  <c r="AT39" i="3"/>
  <c r="AR39" i="3"/>
  <c r="AQ39" i="3"/>
  <c r="AO39" i="3"/>
  <c r="AN39" i="3"/>
  <c r="AM39" i="3"/>
  <c r="AK39" i="3"/>
  <c r="AJ39" i="3"/>
  <c r="AI39" i="3"/>
  <c r="AG39" i="3"/>
  <c r="AF39" i="3"/>
  <c r="AD39" i="3"/>
  <c r="AC39" i="3"/>
  <c r="AB39" i="3"/>
  <c r="Z39" i="3"/>
  <c r="Y39" i="3"/>
  <c r="W39" i="3"/>
  <c r="U39" i="3"/>
  <c r="T39" i="3"/>
  <c r="S39" i="3"/>
  <c r="Q39" i="3"/>
  <c r="P39" i="3"/>
  <c r="O39" i="3"/>
  <c r="N39" i="3"/>
  <c r="M39" i="3"/>
  <c r="G39" i="3"/>
  <c r="F39" i="3"/>
  <c r="E39" i="3"/>
  <c r="R39" i="3" s="1"/>
  <c r="D39" i="3"/>
  <c r="AX38" i="3"/>
  <c r="AV38" i="3"/>
  <c r="AU38" i="3"/>
  <c r="AT38" i="3"/>
  <c r="AR38" i="3"/>
  <c r="AQ38" i="3"/>
  <c r="AO38" i="3"/>
  <c r="AN38" i="3"/>
  <c r="AM38" i="3"/>
  <c r="AK38" i="3"/>
  <c r="AJ38" i="3"/>
  <c r="AI38" i="3"/>
  <c r="AG38" i="3"/>
  <c r="AF38" i="3"/>
  <c r="AD38" i="3"/>
  <c r="AC38" i="3"/>
  <c r="AB38" i="3"/>
  <c r="Z38" i="3"/>
  <c r="Y38" i="3"/>
  <c r="W38" i="3"/>
  <c r="U38" i="3"/>
  <c r="T38" i="3"/>
  <c r="S38" i="3"/>
  <c r="Q38" i="3"/>
  <c r="P38" i="3"/>
  <c r="O38" i="3"/>
  <c r="N38" i="3"/>
  <c r="M38" i="3"/>
  <c r="G38" i="3"/>
  <c r="F38" i="3"/>
  <c r="E38" i="3"/>
  <c r="D38" i="3"/>
  <c r="AX37" i="3"/>
  <c r="AV37" i="3"/>
  <c r="AU37" i="3"/>
  <c r="AT37" i="3"/>
  <c r="AR37" i="3"/>
  <c r="AQ37" i="3"/>
  <c r="AO37" i="3"/>
  <c r="AN37" i="3"/>
  <c r="AM37" i="3"/>
  <c r="AK37" i="3"/>
  <c r="AJ37" i="3"/>
  <c r="AI37" i="3"/>
  <c r="AG37" i="3"/>
  <c r="AF37" i="3"/>
  <c r="AD37" i="3"/>
  <c r="AC37" i="3"/>
  <c r="AB37" i="3"/>
  <c r="Z37" i="3"/>
  <c r="Y37" i="3"/>
  <c r="W37" i="3"/>
  <c r="U37" i="3"/>
  <c r="T37" i="3"/>
  <c r="S37" i="3"/>
  <c r="Q37" i="3"/>
  <c r="P37" i="3"/>
  <c r="O37" i="3"/>
  <c r="N37" i="3"/>
  <c r="M37" i="3"/>
  <c r="G37" i="3"/>
  <c r="F37" i="3"/>
  <c r="E37" i="3"/>
  <c r="R37" i="3" s="1"/>
  <c r="D37" i="3"/>
  <c r="AX36" i="3"/>
  <c r="AV36" i="3"/>
  <c r="AU36" i="3"/>
  <c r="AT36" i="3"/>
  <c r="AR36" i="3"/>
  <c r="AQ36" i="3"/>
  <c r="AO36" i="3"/>
  <c r="AN36" i="3"/>
  <c r="AM36" i="3"/>
  <c r="AK36" i="3"/>
  <c r="AJ36" i="3"/>
  <c r="AI36" i="3"/>
  <c r="AG36" i="3"/>
  <c r="AF36" i="3"/>
  <c r="AD36" i="3"/>
  <c r="AC36" i="3"/>
  <c r="AB36" i="3"/>
  <c r="Z36" i="3"/>
  <c r="Y36" i="3"/>
  <c r="W36" i="3"/>
  <c r="U36" i="3"/>
  <c r="T36" i="3"/>
  <c r="S36" i="3"/>
  <c r="Q36" i="3"/>
  <c r="P36" i="3"/>
  <c r="O36" i="3"/>
  <c r="N36" i="3"/>
  <c r="M36" i="3"/>
  <c r="G36" i="3"/>
  <c r="F36" i="3"/>
  <c r="E36" i="3"/>
  <c r="R36" i="3" s="1"/>
  <c r="D36" i="3"/>
  <c r="AX35" i="3"/>
  <c r="AV35" i="3"/>
  <c r="AU35" i="3"/>
  <c r="AT35" i="3"/>
  <c r="AR35" i="3"/>
  <c r="AQ35" i="3"/>
  <c r="AO35" i="3"/>
  <c r="AN35" i="3"/>
  <c r="AM35" i="3"/>
  <c r="AK35" i="3"/>
  <c r="AJ35" i="3"/>
  <c r="AI35" i="3"/>
  <c r="AG35" i="3"/>
  <c r="AF35" i="3"/>
  <c r="AD35" i="3"/>
  <c r="AC35" i="3"/>
  <c r="AB35" i="3"/>
  <c r="Z35" i="3"/>
  <c r="Y35" i="3"/>
  <c r="W35" i="3"/>
  <c r="U35" i="3"/>
  <c r="T35" i="3"/>
  <c r="S35" i="3"/>
  <c r="Q35" i="3"/>
  <c r="P35" i="3"/>
  <c r="O35" i="3"/>
  <c r="N35" i="3"/>
  <c r="M35" i="3"/>
  <c r="G35" i="3"/>
  <c r="F35" i="3"/>
  <c r="E35" i="3"/>
  <c r="R35" i="3" s="1"/>
  <c r="D35" i="3"/>
  <c r="AX34" i="3"/>
  <c r="AV34" i="3"/>
  <c r="AU34" i="3"/>
  <c r="AT34" i="3"/>
  <c r="AR34" i="3"/>
  <c r="AQ34" i="3"/>
  <c r="AO34" i="3"/>
  <c r="AN34" i="3"/>
  <c r="AM34" i="3"/>
  <c r="AK34" i="3"/>
  <c r="AJ34" i="3"/>
  <c r="AI34" i="3"/>
  <c r="AG34" i="3"/>
  <c r="AF34" i="3"/>
  <c r="AD34" i="3"/>
  <c r="AC34" i="3"/>
  <c r="AB34" i="3"/>
  <c r="Z34" i="3"/>
  <c r="Y34" i="3"/>
  <c r="W34" i="3"/>
  <c r="U34" i="3"/>
  <c r="T34" i="3"/>
  <c r="S34" i="3"/>
  <c r="Q34" i="3"/>
  <c r="P34" i="3"/>
  <c r="O34" i="3"/>
  <c r="N34" i="3"/>
  <c r="M34" i="3"/>
  <c r="G34" i="3"/>
  <c r="F34" i="3"/>
  <c r="E34" i="3"/>
  <c r="R34" i="3" s="1"/>
  <c r="D34" i="3"/>
  <c r="AX33" i="3"/>
  <c r="AV33" i="3"/>
  <c r="AU33" i="3"/>
  <c r="AT33" i="3"/>
  <c r="AR33" i="3"/>
  <c r="AQ33" i="3"/>
  <c r="AO33" i="3"/>
  <c r="AN33" i="3"/>
  <c r="AM33" i="3"/>
  <c r="AK33" i="3"/>
  <c r="AJ33" i="3"/>
  <c r="AI33" i="3"/>
  <c r="AG33" i="3"/>
  <c r="AF33" i="3"/>
  <c r="AD33" i="3"/>
  <c r="AC33" i="3"/>
  <c r="AB33" i="3"/>
  <c r="Z33" i="3"/>
  <c r="Y33" i="3"/>
  <c r="W33" i="3"/>
  <c r="U33" i="3"/>
  <c r="T33" i="3"/>
  <c r="S33" i="3"/>
  <c r="Q33" i="3"/>
  <c r="P33" i="3"/>
  <c r="O33" i="3"/>
  <c r="N33" i="3"/>
  <c r="M33" i="3"/>
  <c r="G33" i="3"/>
  <c r="F33" i="3"/>
  <c r="E33" i="3"/>
  <c r="R33" i="3" s="1"/>
  <c r="D33" i="3"/>
  <c r="AX32" i="3"/>
  <c r="AV32" i="3"/>
  <c r="AU32" i="3"/>
  <c r="AT32" i="3"/>
  <c r="AR32" i="3"/>
  <c r="AQ32" i="3"/>
  <c r="AO32" i="3"/>
  <c r="AN32" i="3"/>
  <c r="AM32" i="3"/>
  <c r="AK32" i="3"/>
  <c r="AJ32" i="3"/>
  <c r="AI32" i="3"/>
  <c r="AG32" i="3"/>
  <c r="AF32" i="3"/>
  <c r="AD32" i="3"/>
  <c r="AC32" i="3"/>
  <c r="AB32" i="3"/>
  <c r="Z32" i="3"/>
  <c r="Y32" i="3"/>
  <c r="W32" i="3"/>
  <c r="U32" i="3"/>
  <c r="T32" i="3"/>
  <c r="S32" i="3"/>
  <c r="Q32" i="3"/>
  <c r="P32" i="3"/>
  <c r="O32" i="3"/>
  <c r="N32" i="3"/>
  <c r="M32" i="3"/>
  <c r="G32" i="3"/>
  <c r="F32" i="3"/>
  <c r="E32" i="3"/>
  <c r="R32" i="3" s="1"/>
  <c r="D32" i="3"/>
  <c r="AX30" i="3"/>
  <c r="AV30" i="3"/>
  <c r="AU30" i="3"/>
  <c r="AT30" i="3"/>
  <c r="AR30" i="3"/>
  <c r="AQ30" i="3"/>
  <c r="AO30" i="3"/>
  <c r="AN30" i="3"/>
  <c r="AM30" i="3"/>
  <c r="AK30" i="3"/>
  <c r="AJ30" i="3"/>
  <c r="AI30" i="3"/>
  <c r="AG30" i="3"/>
  <c r="AF30" i="3"/>
  <c r="AD30" i="3"/>
  <c r="AC30" i="3"/>
  <c r="AB30" i="3"/>
  <c r="Z30" i="3"/>
  <c r="Y30" i="3"/>
  <c r="W30" i="3"/>
  <c r="U30" i="3"/>
  <c r="T30" i="3"/>
  <c r="S30" i="3"/>
  <c r="Q30" i="3"/>
  <c r="P30" i="3"/>
  <c r="O30" i="3"/>
  <c r="N30" i="3"/>
  <c r="M30" i="3"/>
  <c r="G30" i="3"/>
  <c r="F30" i="3"/>
  <c r="E30" i="3"/>
  <c r="D30" i="3"/>
  <c r="AX29" i="3"/>
  <c r="AV29" i="3"/>
  <c r="AU29" i="3"/>
  <c r="AT29" i="3"/>
  <c r="AR29" i="3"/>
  <c r="AQ29" i="3"/>
  <c r="AO29" i="3"/>
  <c r="AN29" i="3"/>
  <c r="AM29" i="3"/>
  <c r="AK29" i="3"/>
  <c r="AJ29" i="3"/>
  <c r="AI29" i="3"/>
  <c r="AG29" i="3"/>
  <c r="AF29" i="3"/>
  <c r="AD29" i="3"/>
  <c r="AC29" i="3"/>
  <c r="AB29" i="3"/>
  <c r="Z29" i="3"/>
  <c r="Y29" i="3"/>
  <c r="W29" i="3"/>
  <c r="U29" i="3"/>
  <c r="T29" i="3"/>
  <c r="S29" i="3"/>
  <c r="Q29" i="3"/>
  <c r="P29" i="3"/>
  <c r="O29" i="3"/>
  <c r="N29" i="3"/>
  <c r="M29" i="3"/>
  <c r="G29" i="3"/>
  <c r="F29" i="3"/>
  <c r="E29" i="3"/>
  <c r="R29" i="3" s="1"/>
  <c r="D29" i="3"/>
  <c r="AX28" i="3"/>
  <c r="AV28" i="3"/>
  <c r="AU28" i="3"/>
  <c r="AT28" i="3"/>
  <c r="AR28" i="3"/>
  <c r="AQ28" i="3"/>
  <c r="AO28" i="3"/>
  <c r="AN28" i="3"/>
  <c r="AM28" i="3"/>
  <c r="AK28" i="3"/>
  <c r="AJ28" i="3"/>
  <c r="AI28" i="3"/>
  <c r="AG28" i="3"/>
  <c r="AF28" i="3"/>
  <c r="AD28" i="3"/>
  <c r="AC28" i="3"/>
  <c r="AB28" i="3"/>
  <c r="Z28" i="3"/>
  <c r="Y28" i="3"/>
  <c r="W28" i="3"/>
  <c r="U28" i="3"/>
  <c r="T28" i="3"/>
  <c r="S28" i="3"/>
  <c r="Q28" i="3"/>
  <c r="P28" i="3"/>
  <c r="O28" i="3"/>
  <c r="N28" i="3"/>
  <c r="M28" i="3"/>
  <c r="G28" i="3"/>
  <c r="F28" i="3"/>
  <c r="E28" i="3"/>
  <c r="R28" i="3" s="1"/>
  <c r="D28" i="3"/>
  <c r="AX27" i="3"/>
  <c r="AV27" i="3"/>
  <c r="AU27" i="3"/>
  <c r="AT27" i="3"/>
  <c r="AR27" i="3"/>
  <c r="AQ27" i="3"/>
  <c r="AO27" i="3"/>
  <c r="AN27" i="3"/>
  <c r="AM27" i="3"/>
  <c r="AK27" i="3"/>
  <c r="AJ27" i="3"/>
  <c r="AI27" i="3"/>
  <c r="AG27" i="3"/>
  <c r="AF27" i="3"/>
  <c r="AD27" i="3"/>
  <c r="AC27" i="3"/>
  <c r="AB27" i="3"/>
  <c r="Z27" i="3"/>
  <c r="Y27" i="3"/>
  <c r="W27" i="3"/>
  <c r="U27" i="3"/>
  <c r="T27" i="3"/>
  <c r="S27" i="3"/>
  <c r="Q27" i="3"/>
  <c r="P27" i="3"/>
  <c r="O27" i="3"/>
  <c r="N27" i="3"/>
  <c r="M27" i="3"/>
  <c r="G27" i="3"/>
  <c r="F27" i="3"/>
  <c r="E27" i="3"/>
  <c r="R27" i="3" s="1"/>
  <c r="D27" i="3"/>
  <c r="AX26" i="3"/>
  <c r="AV26" i="3"/>
  <c r="AU26" i="3"/>
  <c r="AT26" i="3"/>
  <c r="AR26" i="3"/>
  <c r="AQ26" i="3"/>
  <c r="AO26" i="3"/>
  <c r="AN26" i="3"/>
  <c r="AM26" i="3"/>
  <c r="AK26" i="3"/>
  <c r="AJ26" i="3"/>
  <c r="AI26" i="3"/>
  <c r="AG26" i="3"/>
  <c r="AF26" i="3"/>
  <c r="AD26" i="3"/>
  <c r="AC26" i="3"/>
  <c r="AB26" i="3"/>
  <c r="Z26" i="3"/>
  <c r="Y26" i="3"/>
  <c r="W26" i="3"/>
  <c r="U26" i="3"/>
  <c r="T26" i="3"/>
  <c r="S26" i="3"/>
  <c r="Q26" i="3"/>
  <c r="P26" i="3"/>
  <c r="O26" i="3"/>
  <c r="N26" i="3"/>
  <c r="M26" i="3"/>
  <c r="G26" i="3"/>
  <c r="F26" i="3"/>
  <c r="E26" i="3"/>
  <c r="R26" i="3" s="1"/>
  <c r="D26" i="3"/>
  <c r="AX25" i="3"/>
  <c r="AV25" i="3"/>
  <c r="AU25" i="3"/>
  <c r="AT25" i="3"/>
  <c r="AR25" i="3"/>
  <c r="AQ25" i="3"/>
  <c r="AO25" i="3"/>
  <c r="AN25" i="3"/>
  <c r="AM25" i="3"/>
  <c r="AK25" i="3"/>
  <c r="AJ25" i="3"/>
  <c r="AI25" i="3"/>
  <c r="AG25" i="3"/>
  <c r="AF25" i="3"/>
  <c r="AD25" i="3"/>
  <c r="AC25" i="3"/>
  <c r="AB25" i="3"/>
  <c r="Z25" i="3"/>
  <c r="Y25" i="3"/>
  <c r="W25" i="3"/>
  <c r="U25" i="3"/>
  <c r="T25" i="3"/>
  <c r="S25" i="3"/>
  <c r="Q25" i="3"/>
  <c r="P25" i="3"/>
  <c r="O25" i="3"/>
  <c r="N25" i="3"/>
  <c r="M25" i="3"/>
  <c r="G25" i="3"/>
  <c r="F25" i="3"/>
  <c r="E25" i="3"/>
  <c r="R25" i="3" s="1"/>
  <c r="D25" i="3"/>
  <c r="AX24" i="3"/>
  <c r="AV24" i="3"/>
  <c r="AU24" i="3"/>
  <c r="AT24" i="3"/>
  <c r="AR24" i="3"/>
  <c r="AQ24" i="3"/>
  <c r="AO24" i="3"/>
  <c r="AN24" i="3"/>
  <c r="AM24" i="3"/>
  <c r="AK24" i="3"/>
  <c r="AJ24" i="3"/>
  <c r="AI24" i="3"/>
  <c r="AG24" i="3"/>
  <c r="AF24" i="3"/>
  <c r="AD24" i="3"/>
  <c r="AC24" i="3"/>
  <c r="AB24" i="3"/>
  <c r="Z24" i="3"/>
  <c r="Y24" i="3"/>
  <c r="W24" i="3"/>
  <c r="U24" i="3"/>
  <c r="T24" i="3"/>
  <c r="S24" i="3"/>
  <c r="Q24" i="3"/>
  <c r="P24" i="3"/>
  <c r="O24" i="3"/>
  <c r="N24" i="3"/>
  <c r="M24" i="3"/>
  <c r="G24" i="3"/>
  <c r="F24" i="3"/>
  <c r="E24" i="3"/>
  <c r="D24" i="3"/>
  <c r="AX23" i="3"/>
  <c r="AV23" i="3"/>
  <c r="AU23" i="3"/>
  <c r="AT23" i="3"/>
  <c r="AR23" i="3"/>
  <c r="AQ23" i="3"/>
  <c r="AO23" i="3"/>
  <c r="AN23" i="3"/>
  <c r="AM23" i="3"/>
  <c r="AK23" i="3"/>
  <c r="AJ23" i="3"/>
  <c r="AI23" i="3"/>
  <c r="AG23" i="3"/>
  <c r="AF23" i="3"/>
  <c r="AD23" i="3"/>
  <c r="AC23" i="3"/>
  <c r="AB23" i="3"/>
  <c r="Z23" i="3"/>
  <c r="Y23" i="3"/>
  <c r="W23" i="3"/>
  <c r="U23" i="3"/>
  <c r="T23" i="3"/>
  <c r="S23" i="3"/>
  <c r="Q23" i="3"/>
  <c r="P23" i="3"/>
  <c r="O23" i="3"/>
  <c r="N23" i="3"/>
  <c r="M23" i="3"/>
  <c r="G23" i="3"/>
  <c r="F23" i="3"/>
  <c r="E23" i="3"/>
  <c r="R23" i="3" s="1"/>
  <c r="D23" i="3"/>
  <c r="AX22" i="3"/>
  <c r="AV22" i="3"/>
  <c r="AU22" i="3"/>
  <c r="AT22" i="3"/>
  <c r="AR22" i="3"/>
  <c r="AQ22" i="3"/>
  <c r="AO22" i="3"/>
  <c r="AN22" i="3"/>
  <c r="AM22" i="3"/>
  <c r="AK22" i="3"/>
  <c r="AJ22" i="3"/>
  <c r="AI22" i="3"/>
  <c r="AG22" i="3"/>
  <c r="AF22" i="3"/>
  <c r="AD22" i="3"/>
  <c r="AC22" i="3"/>
  <c r="AB22" i="3"/>
  <c r="Z22" i="3"/>
  <c r="Y22" i="3"/>
  <c r="W22" i="3"/>
  <c r="U22" i="3"/>
  <c r="T22" i="3"/>
  <c r="S22" i="3"/>
  <c r="Q22" i="3"/>
  <c r="P22" i="3"/>
  <c r="O22" i="3"/>
  <c r="N22" i="3"/>
  <c r="M22" i="3"/>
  <c r="G22" i="3"/>
  <c r="F22" i="3"/>
  <c r="E22" i="3"/>
  <c r="R22" i="3" s="1"/>
  <c r="D22" i="3"/>
  <c r="AX21" i="3"/>
  <c r="AV21" i="3"/>
  <c r="AU21" i="3"/>
  <c r="AT21" i="3"/>
  <c r="AR21" i="3"/>
  <c r="AQ21" i="3"/>
  <c r="AO21" i="3"/>
  <c r="AN21" i="3"/>
  <c r="AM21" i="3"/>
  <c r="AK21" i="3"/>
  <c r="AJ21" i="3"/>
  <c r="AI21" i="3"/>
  <c r="AG21" i="3"/>
  <c r="AF21" i="3"/>
  <c r="AD21" i="3"/>
  <c r="AC21" i="3"/>
  <c r="AB21" i="3"/>
  <c r="Z21" i="3"/>
  <c r="Y21" i="3"/>
  <c r="W21" i="3"/>
  <c r="U21" i="3"/>
  <c r="T21" i="3"/>
  <c r="S21" i="3"/>
  <c r="Q21" i="3"/>
  <c r="P21" i="3"/>
  <c r="O21" i="3"/>
  <c r="N21" i="3"/>
  <c r="M21" i="3"/>
  <c r="G21" i="3"/>
  <c r="F21" i="3"/>
  <c r="E21" i="3"/>
  <c r="R21" i="3" s="1"/>
  <c r="D21" i="3"/>
  <c r="AX20" i="3"/>
  <c r="AV20" i="3"/>
  <c r="AU20" i="3"/>
  <c r="AT20" i="3"/>
  <c r="AR20" i="3"/>
  <c r="AQ20" i="3"/>
  <c r="AO20" i="3"/>
  <c r="AN20" i="3"/>
  <c r="AM20" i="3"/>
  <c r="AK20" i="3"/>
  <c r="AJ20" i="3"/>
  <c r="AI20" i="3"/>
  <c r="AG20" i="3"/>
  <c r="AF20" i="3"/>
  <c r="AD20" i="3"/>
  <c r="AC20" i="3"/>
  <c r="AB20" i="3"/>
  <c r="Z20" i="3"/>
  <c r="Y20" i="3"/>
  <c r="W20" i="3"/>
  <c r="U20" i="3"/>
  <c r="T20" i="3"/>
  <c r="S20" i="3"/>
  <c r="Q20" i="3"/>
  <c r="P20" i="3"/>
  <c r="O20" i="3"/>
  <c r="N20" i="3"/>
  <c r="M20" i="3"/>
  <c r="G20" i="3"/>
  <c r="F20" i="3"/>
  <c r="E20" i="3"/>
  <c r="R20" i="3" s="1"/>
  <c r="D20" i="3"/>
  <c r="AX19" i="3"/>
  <c r="AV19" i="3"/>
  <c r="AU19" i="3"/>
  <c r="AT19" i="3"/>
  <c r="AR19" i="3"/>
  <c r="AQ19" i="3"/>
  <c r="AO19" i="3"/>
  <c r="AN19" i="3"/>
  <c r="AM19" i="3"/>
  <c r="AK19" i="3"/>
  <c r="AJ19" i="3"/>
  <c r="AI19" i="3"/>
  <c r="AG19" i="3"/>
  <c r="AF19" i="3"/>
  <c r="AD19" i="3"/>
  <c r="AC19" i="3"/>
  <c r="AB19" i="3"/>
  <c r="Z19" i="3"/>
  <c r="Y19" i="3"/>
  <c r="W19" i="3"/>
  <c r="U19" i="3"/>
  <c r="T19" i="3"/>
  <c r="S19" i="3"/>
  <c r="Q19" i="3"/>
  <c r="P19" i="3"/>
  <c r="O19" i="3"/>
  <c r="N19" i="3"/>
  <c r="M19" i="3"/>
  <c r="G19" i="3"/>
  <c r="F19" i="3"/>
  <c r="E19" i="3"/>
  <c r="R19" i="3" s="1"/>
  <c r="D19" i="3"/>
  <c r="AX18" i="3"/>
  <c r="AV18" i="3"/>
  <c r="AU18" i="3"/>
  <c r="AT18" i="3"/>
  <c r="AR18" i="3"/>
  <c r="AQ18" i="3"/>
  <c r="AO18" i="3"/>
  <c r="AN18" i="3"/>
  <c r="AM18" i="3"/>
  <c r="AK18" i="3"/>
  <c r="AJ18" i="3"/>
  <c r="AI18" i="3"/>
  <c r="AG18" i="3"/>
  <c r="AF18" i="3"/>
  <c r="AD18" i="3"/>
  <c r="AC18" i="3"/>
  <c r="AB18" i="3"/>
  <c r="Z18" i="3"/>
  <c r="Y18" i="3"/>
  <c r="W18" i="3"/>
  <c r="U18" i="3"/>
  <c r="T18" i="3"/>
  <c r="S18" i="3"/>
  <c r="Q18" i="3"/>
  <c r="P18" i="3"/>
  <c r="O18" i="3"/>
  <c r="N18" i="3"/>
  <c r="M18" i="3"/>
  <c r="G18" i="3"/>
  <c r="F18" i="3"/>
  <c r="E18" i="3"/>
  <c r="R18" i="3" s="1"/>
  <c r="D18" i="3"/>
  <c r="AX17" i="3"/>
  <c r="AV17" i="3"/>
  <c r="AU17" i="3"/>
  <c r="AT17" i="3"/>
  <c r="AR17" i="3"/>
  <c r="AQ17" i="3"/>
  <c r="AO17" i="3"/>
  <c r="AN17" i="3"/>
  <c r="AM17" i="3"/>
  <c r="AK17" i="3"/>
  <c r="AJ17" i="3"/>
  <c r="AI17" i="3"/>
  <c r="AG17" i="3"/>
  <c r="AF17" i="3"/>
  <c r="AD17" i="3"/>
  <c r="AC17" i="3"/>
  <c r="AB17" i="3"/>
  <c r="Z17" i="3"/>
  <c r="Y17" i="3"/>
  <c r="W17" i="3"/>
  <c r="U17" i="3"/>
  <c r="T17" i="3"/>
  <c r="S17" i="3"/>
  <c r="Q17" i="3"/>
  <c r="P17" i="3"/>
  <c r="O17" i="3"/>
  <c r="N17" i="3"/>
  <c r="M17" i="3"/>
  <c r="G17" i="3"/>
  <c r="F17" i="3"/>
  <c r="E17" i="3"/>
  <c r="R17" i="3" s="1"/>
  <c r="D17" i="3"/>
  <c r="AX16" i="3"/>
  <c r="AV16" i="3"/>
  <c r="AU16" i="3"/>
  <c r="AT16" i="3"/>
  <c r="AR16" i="3"/>
  <c r="AQ16" i="3"/>
  <c r="AO16" i="3"/>
  <c r="AN16" i="3"/>
  <c r="AM16" i="3"/>
  <c r="AK16" i="3"/>
  <c r="AJ16" i="3"/>
  <c r="AI16" i="3"/>
  <c r="AG16" i="3"/>
  <c r="AF16" i="3"/>
  <c r="AD16" i="3"/>
  <c r="AC16" i="3"/>
  <c r="AB16" i="3"/>
  <c r="Z16" i="3"/>
  <c r="Y16" i="3"/>
  <c r="W16" i="3"/>
  <c r="U16" i="3"/>
  <c r="T16" i="3"/>
  <c r="S16" i="3"/>
  <c r="Q16" i="3"/>
  <c r="P16" i="3"/>
  <c r="O16" i="3"/>
  <c r="N16" i="3"/>
  <c r="M16" i="3"/>
  <c r="G16" i="3"/>
  <c r="F16" i="3"/>
  <c r="E16" i="3"/>
  <c r="R16" i="3" s="1"/>
  <c r="D16" i="3"/>
  <c r="AX15" i="3"/>
  <c r="AV15" i="3"/>
  <c r="AU15" i="3"/>
  <c r="AT15" i="3"/>
  <c r="AR15" i="3"/>
  <c r="AQ15" i="3"/>
  <c r="AO15" i="3"/>
  <c r="AN15" i="3"/>
  <c r="AM15" i="3"/>
  <c r="AK15" i="3"/>
  <c r="AJ15" i="3"/>
  <c r="AI15" i="3"/>
  <c r="AG15" i="3"/>
  <c r="AF15" i="3"/>
  <c r="AD15" i="3"/>
  <c r="AC15" i="3"/>
  <c r="AB15" i="3"/>
  <c r="Z15" i="3"/>
  <c r="Y15" i="3"/>
  <c r="W15" i="3"/>
  <c r="U15" i="3"/>
  <c r="T15" i="3"/>
  <c r="S15" i="3"/>
  <c r="Q15" i="3"/>
  <c r="P15" i="3"/>
  <c r="O15" i="3"/>
  <c r="N15" i="3"/>
  <c r="M15" i="3"/>
  <c r="G15" i="3"/>
  <c r="F15" i="3"/>
  <c r="E15" i="3"/>
  <c r="D15" i="3"/>
  <c r="AX14" i="3"/>
  <c r="AV14" i="3"/>
  <c r="AU14" i="3"/>
  <c r="AT14" i="3"/>
  <c r="AR14" i="3"/>
  <c r="AQ14" i="3"/>
  <c r="AO14" i="3"/>
  <c r="AN14" i="3"/>
  <c r="AM14" i="3"/>
  <c r="AK14" i="3"/>
  <c r="AJ14" i="3"/>
  <c r="AI14" i="3"/>
  <c r="AG14" i="3"/>
  <c r="AF14" i="3"/>
  <c r="AD14" i="3"/>
  <c r="AC14" i="3"/>
  <c r="AB14" i="3"/>
  <c r="Z14" i="3"/>
  <c r="Y14" i="3"/>
  <c r="W14" i="3"/>
  <c r="U14" i="3"/>
  <c r="T14" i="3"/>
  <c r="S14" i="3"/>
  <c r="Q14" i="3"/>
  <c r="P14" i="3"/>
  <c r="O14" i="3"/>
  <c r="N14" i="3"/>
  <c r="M14" i="3"/>
  <c r="G14" i="3"/>
  <c r="F14" i="3"/>
  <c r="E14" i="3"/>
  <c r="R14" i="3" s="1"/>
  <c r="D14" i="3"/>
  <c r="AW12" i="3"/>
  <c r="AS12" i="3"/>
  <c r="AP12" i="3"/>
  <c r="AL12" i="3"/>
  <c r="AH12" i="3"/>
  <c r="AE12" i="3"/>
  <c r="AA12" i="3"/>
  <c r="X12" i="3"/>
  <c r="V12" i="3"/>
  <c r="I12" i="3"/>
  <c r="H12" i="3"/>
  <c r="X11" i="3"/>
  <c r="V11" i="3"/>
  <c r="R11" i="3"/>
  <c r="I11" i="3"/>
  <c r="H11" i="3"/>
  <c r="X10" i="3"/>
  <c r="V10" i="3"/>
  <c r="Q10" i="3"/>
  <c r="Q9" i="3" s="1"/>
  <c r="P10" i="3"/>
  <c r="P9" i="3" s="1"/>
  <c r="G10" i="3"/>
  <c r="G9" i="3" s="1"/>
  <c r="F10" i="3"/>
  <c r="F9" i="3" s="1"/>
  <c r="E10" i="3"/>
  <c r="D10" i="3"/>
  <c r="D9" i="3" s="1"/>
  <c r="X9" i="3"/>
  <c r="V9" i="3"/>
  <c r="R116" i="2"/>
  <c r="J116" i="2"/>
  <c r="H116" i="2" s="1"/>
  <c r="I116" i="2"/>
  <c r="C116" i="2"/>
  <c r="R115" i="2"/>
  <c r="J115" i="2"/>
  <c r="H115" i="2" s="1"/>
  <c r="I115" i="2"/>
  <c r="C115" i="2"/>
  <c r="R114" i="2"/>
  <c r="J114" i="2"/>
  <c r="H114" i="2" s="1"/>
  <c r="I114" i="2"/>
  <c r="C114" i="2"/>
  <c r="R113" i="2"/>
  <c r="J113" i="2"/>
  <c r="I113" i="2"/>
  <c r="H113" i="2"/>
  <c r="C113" i="2"/>
  <c r="R112" i="2"/>
  <c r="J112" i="2"/>
  <c r="I112" i="2"/>
  <c r="H112" i="2"/>
  <c r="C112" i="2"/>
  <c r="R111" i="2"/>
  <c r="J111" i="2"/>
  <c r="H111" i="2" s="1"/>
  <c r="I111" i="2"/>
  <c r="C111" i="2"/>
  <c r="R110" i="2"/>
  <c r="J110" i="2"/>
  <c r="H110" i="2" s="1"/>
  <c r="I110" i="2"/>
  <c r="C110" i="2"/>
  <c r="R109" i="2"/>
  <c r="J109" i="2"/>
  <c r="H109" i="2" s="1"/>
  <c r="I109" i="2"/>
  <c r="C109" i="2"/>
  <c r="R108" i="2"/>
  <c r="J108" i="2"/>
  <c r="I108" i="2"/>
  <c r="C108" i="2"/>
  <c r="R107" i="2"/>
  <c r="J107" i="2"/>
  <c r="I107" i="2"/>
  <c r="H107" i="2"/>
  <c r="C107" i="2"/>
  <c r="R106" i="2"/>
  <c r="J106" i="2"/>
  <c r="I106" i="2"/>
  <c r="H106" i="2"/>
  <c r="C106" i="2"/>
  <c r="R105" i="2"/>
  <c r="J105" i="2"/>
  <c r="H105" i="2" s="1"/>
  <c r="I105" i="2"/>
  <c r="C105" i="2"/>
  <c r="R104" i="2"/>
  <c r="I104" i="2"/>
  <c r="R103" i="2"/>
  <c r="J103" i="2"/>
  <c r="H103" i="2" s="1"/>
  <c r="I103" i="2"/>
  <c r="C103" i="2"/>
  <c r="R102" i="2"/>
  <c r="J102" i="2"/>
  <c r="H102" i="2" s="1"/>
  <c r="I102" i="2"/>
  <c r="C102" i="2"/>
  <c r="R101" i="2"/>
  <c r="J101" i="2"/>
  <c r="H101" i="2" s="1"/>
  <c r="I101" i="2"/>
  <c r="C101" i="2"/>
  <c r="R100" i="2"/>
  <c r="J100" i="2"/>
  <c r="H100" i="2" s="1"/>
  <c r="I100" i="2"/>
  <c r="C100" i="2"/>
  <c r="R99" i="2"/>
  <c r="J99" i="2"/>
  <c r="H99" i="2" s="1"/>
  <c r="I99" i="2"/>
  <c r="C99" i="2"/>
  <c r="R98" i="2"/>
  <c r="J98" i="2"/>
  <c r="H98" i="2" s="1"/>
  <c r="I98" i="2"/>
  <c r="C98" i="2"/>
  <c r="R97" i="2"/>
  <c r="J97" i="2"/>
  <c r="H97" i="2" s="1"/>
  <c r="I97" i="2"/>
  <c r="C97" i="2"/>
  <c r="R96" i="2"/>
  <c r="J96" i="2"/>
  <c r="H96" i="2" s="1"/>
  <c r="I96" i="2"/>
  <c r="C96" i="2"/>
  <c r="R95" i="2"/>
  <c r="J95" i="2"/>
  <c r="H95" i="2" s="1"/>
  <c r="I95" i="2"/>
  <c r="C95" i="2"/>
  <c r="R94" i="2"/>
  <c r="J94" i="2"/>
  <c r="H94" i="2" s="1"/>
  <c r="I94" i="2"/>
  <c r="C94" i="2"/>
  <c r="R93" i="2"/>
  <c r="J93" i="2"/>
  <c r="H93" i="2" s="1"/>
  <c r="I93" i="2"/>
  <c r="C93" i="2"/>
  <c r="A93" i="2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R92" i="2"/>
  <c r="J92" i="2"/>
  <c r="H92" i="2" s="1"/>
  <c r="I92" i="2"/>
  <c r="C92" i="2"/>
  <c r="R91" i="2"/>
  <c r="J91" i="2"/>
  <c r="H91" i="2" s="1"/>
  <c r="I91" i="2"/>
  <c r="C91" i="2"/>
  <c r="R90" i="2"/>
  <c r="J90" i="2"/>
  <c r="I90" i="2"/>
  <c r="H90" i="2"/>
  <c r="C90" i="2"/>
  <c r="R89" i="2"/>
  <c r="I89" i="2"/>
  <c r="C89" i="2"/>
  <c r="AF88" i="2"/>
  <c r="AD88" i="2"/>
  <c r="AC88" i="2"/>
  <c r="AB88" i="2"/>
  <c r="Z88" i="2"/>
  <c r="Y88" i="2"/>
  <c r="W88" i="2"/>
  <c r="V88" i="2"/>
  <c r="T88" i="2"/>
  <c r="S88" i="2"/>
  <c r="U88" i="2" s="1"/>
  <c r="Q88" i="2"/>
  <c r="P88" i="2"/>
  <c r="O88" i="2"/>
  <c r="N88" i="2"/>
  <c r="M88" i="2"/>
  <c r="G88" i="2"/>
  <c r="F88" i="2"/>
  <c r="E88" i="2"/>
  <c r="R88" i="2" s="1"/>
  <c r="D88" i="2"/>
  <c r="AF87" i="2"/>
  <c r="AD87" i="2"/>
  <c r="AC87" i="2"/>
  <c r="AG87" i="2" s="1"/>
  <c r="AB87" i="2"/>
  <c r="AE87" i="2" s="1"/>
  <c r="Z87" i="2"/>
  <c r="Y87" i="2"/>
  <c r="AA87" i="2" s="1"/>
  <c r="W87" i="2"/>
  <c r="V87" i="2"/>
  <c r="X87" i="2" s="1"/>
  <c r="T87" i="2"/>
  <c r="S87" i="2"/>
  <c r="U87" i="2" s="1"/>
  <c r="Q87" i="2"/>
  <c r="P87" i="2"/>
  <c r="O87" i="2"/>
  <c r="N87" i="2"/>
  <c r="M87" i="2"/>
  <c r="G87" i="2"/>
  <c r="F87" i="2"/>
  <c r="L87" i="2" s="1"/>
  <c r="E87" i="2"/>
  <c r="R87" i="2" s="1"/>
  <c r="D87" i="2"/>
  <c r="I87" i="2" s="1"/>
  <c r="AF86" i="2"/>
  <c r="AD86" i="2"/>
  <c r="AC86" i="2"/>
  <c r="AB86" i="2"/>
  <c r="Z86" i="2"/>
  <c r="Y86" i="2"/>
  <c r="W86" i="2"/>
  <c r="V86" i="2"/>
  <c r="T86" i="2"/>
  <c r="S86" i="2"/>
  <c r="U86" i="2" s="1"/>
  <c r="Q86" i="2"/>
  <c r="P86" i="2"/>
  <c r="O86" i="2"/>
  <c r="N86" i="2"/>
  <c r="M86" i="2"/>
  <c r="G86" i="2"/>
  <c r="F86" i="2"/>
  <c r="E86" i="2"/>
  <c r="R86" i="2" s="1"/>
  <c r="D86" i="2"/>
  <c r="AF85" i="2"/>
  <c r="AD85" i="2"/>
  <c r="AC85" i="2"/>
  <c r="AB85" i="2"/>
  <c r="Z85" i="2"/>
  <c r="Y85" i="2"/>
  <c r="W85" i="2"/>
  <c r="V85" i="2"/>
  <c r="T85" i="2"/>
  <c r="S85" i="2"/>
  <c r="U85" i="2" s="1"/>
  <c r="Q85" i="2"/>
  <c r="P85" i="2"/>
  <c r="O85" i="2"/>
  <c r="N85" i="2"/>
  <c r="M85" i="2"/>
  <c r="G85" i="2"/>
  <c r="F85" i="2"/>
  <c r="E85" i="2"/>
  <c r="R85" i="2" s="1"/>
  <c r="D85" i="2"/>
  <c r="AF84" i="2"/>
  <c r="AD84" i="2"/>
  <c r="AC84" i="2"/>
  <c r="AG84" i="2" s="1"/>
  <c r="AB84" i="2"/>
  <c r="AE84" i="2" s="1"/>
  <c r="Z84" i="2"/>
  <c r="Y84" i="2"/>
  <c r="AA84" i="2" s="1"/>
  <c r="W84" i="2"/>
  <c r="V84" i="2"/>
  <c r="X84" i="2" s="1"/>
  <c r="T84" i="2"/>
  <c r="S84" i="2"/>
  <c r="U84" i="2" s="1"/>
  <c r="Q84" i="2"/>
  <c r="P84" i="2"/>
  <c r="O84" i="2"/>
  <c r="N84" i="2"/>
  <c r="M84" i="2"/>
  <c r="G84" i="2"/>
  <c r="F84" i="2"/>
  <c r="L84" i="2" s="1"/>
  <c r="E84" i="2"/>
  <c r="R84" i="2" s="1"/>
  <c r="D84" i="2"/>
  <c r="K84" i="2" s="1"/>
  <c r="AF83" i="2"/>
  <c r="AD83" i="2"/>
  <c r="AC83" i="2"/>
  <c r="AB83" i="2"/>
  <c r="Z83" i="2"/>
  <c r="Y83" i="2"/>
  <c r="W83" i="2"/>
  <c r="V83" i="2"/>
  <c r="T83" i="2"/>
  <c r="S83" i="2"/>
  <c r="U83" i="2" s="1"/>
  <c r="Q83" i="2"/>
  <c r="P83" i="2"/>
  <c r="O83" i="2"/>
  <c r="N83" i="2"/>
  <c r="M83" i="2"/>
  <c r="G83" i="2"/>
  <c r="F83" i="2"/>
  <c r="E83" i="2"/>
  <c r="R83" i="2" s="1"/>
  <c r="D83" i="2"/>
  <c r="AF82" i="2"/>
  <c r="AD82" i="2"/>
  <c r="AC82" i="2"/>
  <c r="AB82" i="2"/>
  <c r="Z82" i="2"/>
  <c r="Y82" i="2"/>
  <c r="W82" i="2"/>
  <c r="V82" i="2"/>
  <c r="T82" i="2"/>
  <c r="S82" i="2"/>
  <c r="U82" i="2" s="1"/>
  <c r="Q82" i="2"/>
  <c r="P82" i="2"/>
  <c r="O82" i="2"/>
  <c r="N82" i="2"/>
  <c r="M82" i="2"/>
  <c r="G82" i="2"/>
  <c r="F82" i="2"/>
  <c r="E82" i="2"/>
  <c r="R82" i="2" s="1"/>
  <c r="D82" i="2"/>
  <c r="AF81" i="2"/>
  <c r="AD81" i="2"/>
  <c r="AC81" i="2"/>
  <c r="AB81" i="2"/>
  <c r="Z81" i="2"/>
  <c r="Y81" i="2"/>
  <c r="W81" i="2"/>
  <c r="V81" i="2"/>
  <c r="T81" i="2"/>
  <c r="S81" i="2"/>
  <c r="U81" i="2" s="1"/>
  <c r="Q81" i="2"/>
  <c r="P81" i="2"/>
  <c r="O81" i="2"/>
  <c r="N81" i="2"/>
  <c r="M81" i="2"/>
  <c r="G81" i="2"/>
  <c r="F81" i="2"/>
  <c r="E81" i="2"/>
  <c r="R81" i="2" s="1"/>
  <c r="D81" i="2"/>
  <c r="AF80" i="2"/>
  <c r="AD80" i="2"/>
  <c r="AC80" i="2"/>
  <c r="AB80" i="2"/>
  <c r="Z80" i="2"/>
  <c r="Y80" i="2"/>
  <c r="W80" i="2"/>
  <c r="V80" i="2"/>
  <c r="T80" i="2"/>
  <c r="S80" i="2"/>
  <c r="U80" i="2" s="1"/>
  <c r="Q80" i="2"/>
  <c r="P80" i="2"/>
  <c r="O80" i="2"/>
  <c r="N80" i="2"/>
  <c r="M80" i="2"/>
  <c r="G80" i="2"/>
  <c r="F80" i="2"/>
  <c r="E80" i="2"/>
  <c r="D80" i="2"/>
  <c r="AF79" i="2"/>
  <c r="AD79" i="2"/>
  <c r="AC79" i="2"/>
  <c r="AG79" i="2" s="1"/>
  <c r="AB79" i="2"/>
  <c r="AE79" i="2" s="1"/>
  <c r="Z79" i="2"/>
  <c r="Y79" i="2"/>
  <c r="AA79" i="2" s="1"/>
  <c r="W79" i="2"/>
  <c r="V79" i="2"/>
  <c r="X79" i="2" s="1"/>
  <c r="T79" i="2"/>
  <c r="S79" i="2"/>
  <c r="U79" i="2" s="1"/>
  <c r="Q79" i="2"/>
  <c r="P79" i="2"/>
  <c r="O79" i="2"/>
  <c r="N79" i="2"/>
  <c r="M79" i="2"/>
  <c r="G79" i="2"/>
  <c r="F79" i="2"/>
  <c r="L79" i="2" s="1"/>
  <c r="E79" i="2"/>
  <c r="R79" i="2" s="1"/>
  <c r="D79" i="2"/>
  <c r="I79" i="2" s="1"/>
  <c r="AF78" i="2"/>
  <c r="AD78" i="2"/>
  <c r="AC78" i="2"/>
  <c r="AG78" i="2" s="1"/>
  <c r="AB78" i="2"/>
  <c r="AE78" i="2" s="1"/>
  <c r="Z78" i="2"/>
  <c r="Y78" i="2"/>
  <c r="AA78" i="2" s="1"/>
  <c r="W78" i="2"/>
  <c r="V78" i="2"/>
  <c r="X78" i="2" s="1"/>
  <c r="T78" i="2"/>
  <c r="S78" i="2"/>
  <c r="U78" i="2" s="1"/>
  <c r="Q78" i="2"/>
  <c r="P78" i="2"/>
  <c r="O78" i="2"/>
  <c r="N78" i="2"/>
  <c r="M78" i="2"/>
  <c r="G78" i="2"/>
  <c r="F78" i="2"/>
  <c r="L78" i="2" s="1"/>
  <c r="E78" i="2"/>
  <c r="R78" i="2" s="1"/>
  <c r="D78" i="2"/>
  <c r="K78" i="2" s="1"/>
  <c r="AF77" i="2"/>
  <c r="AD77" i="2"/>
  <c r="AC77" i="2"/>
  <c r="AB77" i="2"/>
  <c r="Z77" i="2"/>
  <c r="Y77" i="2"/>
  <c r="W77" i="2"/>
  <c r="V77" i="2"/>
  <c r="T77" i="2"/>
  <c r="S77" i="2"/>
  <c r="Q77" i="2"/>
  <c r="P77" i="2"/>
  <c r="O77" i="2"/>
  <c r="N77" i="2"/>
  <c r="M77" i="2"/>
  <c r="G77" i="2"/>
  <c r="F77" i="2"/>
  <c r="E77" i="2"/>
  <c r="R77" i="2" s="1"/>
  <c r="D77" i="2"/>
  <c r="AF76" i="2"/>
  <c r="AD76" i="2"/>
  <c r="AC76" i="2"/>
  <c r="AB76" i="2"/>
  <c r="Z76" i="2"/>
  <c r="Y76" i="2"/>
  <c r="W76" i="2"/>
  <c r="V76" i="2"/>
  <c r="T76" i="2"/>
  <c r="S76" i="2"/>
  <c r="U76" i="2" s="1"/>
  <c r="Q76" i="2"/>
  <c r="P76" i="2"/>
  <c r="O76" i="2"/>
  <c r="N76" i="2"/>
  <c r="M76" i="2"/>
  <c r="G76" i="2"/>
  <c r="F76" i="2"/>
  <c r="E76" i="2"/>
  <c r="R76" i="2" s="1"/>
  <c r="D76" i="2"/>
  <c r="AF75" i="2"/>
  <c r="AD75" i="2"/>
  <c r="AC75" i="2"/>
  <c r="AB75" i="2"/>
  <c r="AE75" i="2" s="1"/>
  <c r="Z75" i="2"/>
  <c r="Y75" i="2"/>
  <c r="AA75" i="2" s="1"/>
  <c r="W75" i="2"/>
  <c r="V75" i="2"/>
  <c r="X75" i="2" s="1"/>
  <c r="T75" i="2"/>
  <c r="S75" i="2"/>
  <c r="U75" i="2" s="1"/>
  <c r="Q75" i="2"/>
  <c r="P75" i="2"/>
  <c r="O75" i="2"/>
  <c r="N75" i="2"/>
  <c r="M75" i="2"/>
  <c r="G75" i="2"/>
  <c r="F75" i="2"/>
  <c r="L75" i="2" s="1"/>
  <c r="E75" i="2"/>
  <c r="D75" i="2"/>
  <c r="I75" i="2" s="1"/>
  <c r="AF73" i="2"/>
  <c r="AD73" i="2"/>
  <c r="AC73" i="2"/>
  <c r="AB73" i="2"/>
  <c r="Z73" i="2"/>
  <c r="Y73" i="2"/>
  <c r="W73" i="2"/>
  <c r="V73" i="2"/>
  <c r="T73" i="2"/>
  <c r="S73" i="2"/>
  <c r="U73" i="2" s="1"/>
  <c r="Q73" i="2"/>
  <c r="P73" i="2"/>
  <c r="O73" i="2"/>
  <c r="N73" i="2"/>
  <c r="M73" i="2"/>
  <c r="G73" i="2"/>
  <c r="F73" i="2"/>
  <c r="E73" i="2"/>
  <c r="R73" i="2" s="1"/>
  <c r="D73" i="2"/>
  <c r="AF72" i="2"/>
  <c r="AD72" i="2"/>
  <c r="AC72" i="2"/>
  <c r="AB72" i="2"/>
  <c r="Z72" i="2"/>
  <c r="Y72" i="2"/>
  <c r="W72" i="2"/>
  <c r="V72" i="2"/>
  <c r="T72" i="2"/>
  <c r="S72" i="2"/>
  <c r="U72" i="2" s="1"/>
  <c r="Q72" i="2"/>
  <c r="P72" i="2"/>
  <c r="O72" i="2"/>
  <c r="N72" i="2"/>
  <c r="M72" i="2"/>
  <c r="G72" i="2"/>
  <c r="F72" i="2"/>
  <c r="E72" i="2"/>
  <c r="R72" i="2" s="1"/>
  <c r="D72" i="2"/>
  <c r="AF71" i="2"/>
  <c r="AD71" i="2"/>
  <c r="AC71" i="2"/>
  <c r="AG71" i="2" s="1"/>
  <c r="AB71" i="2"/>
  <c r="AE71" i="2" s="1"/>
  <c r="Z71" i="2"/>
  <c r="Y71" i="2"/>
  <c r="AA71" i="2" s="1"/>
  <c r="W71" i="2"/>
  <c r="V71" i="2"/>
  <c r="X71" i="2" s="1"/>
  <c r="T71" i="2"/>
  <c r="S71" i="2"/>
  <c r="U71" i="2" s="1"/>
  <c r="Q71" i="2"/>
  <c r="P71" i="2"/>
  <c r="O71" i="2"/>
  <c r="N71" i="2"/>
  <c r="M71" i="2"/>
  <c r="G71" i="2"/>
  <c r="F71" i="2"/>
  <c r="L71" i="2" s="1"/>
  <c r="E71" i="2"/>
  <c r="R71" i="2" s="1"/>
  <c r="D71" i="2"/>
  <c r="AF70" i="2"/>
  <c r="AD70" i="2"/>
  <c r="AC70" i="2"/>
  <c r="AB70" i="2"/>
  <c r="Z70" i="2"/>
  <c r="Y70" i="2"/>
  <c r="W70" i="2"/>
  <c r="V70" i="2"/>
  <c r="T70" i="2"/>
  <c r="S70" i="2"/>
  <c r="U70" i="2" s="1"/>
  <c r="Q70" i="2"/>
  <c r="P70" i="2"/>
  <c r="O70" i="2"/>
  <c r="N70" i="2"/>
  <c r="M70" i="2"/>
  <c r="G70" i="2"/>
  <c r="F70" i="2"/>
  <c r="E70" i="2"/>
  <c r="R70" i="2" s="1"/>
  <c r="D70" i="2"/>
  <c r="AF69" i="2"/>
  <c r="AD69" i="2"/>
  <c r="AC69" i="2"/>
  <c r="AG69" i="2" s="1"/>
  <c r="AB69" i="2"/>
  <c r="AE69" i="2" s="1"/>
  <c r="Z69" i="2"/>
  <c r="Y69" i="2"/>
  <c r="AA69" i="2" s="1"/>
  <c r="W69" i="2"/>
  <c r="V69" i="2"/>
  <c r="X69" i="2" s="1"/>
  <c r="T69" i="2"/>
  <c r="S69" i="2"/>
  <c r="U69" i="2" s="1"/>
  <c r="Q69" i="2"/>
  <c r="P69" i="2"/>
  <c r="O69" i="2"/>
  <c r="N69" i="2"/>
  <c r="M69" i="2"/>
  <c r="G69" i="2"/>
  <c r="F69" i="2"/>
  <c r="L69" i="2" s="1"/>
  <c r="E69" i="2"/>
  <c r="R69" i="2" s="1"/>
  <c r="D69" i="2"/>
  <c r="I69" i="2" s="1"/>
  <c r="AF68" i="2"/>
  <c r="AD68" i="2"/>
  <c r="AC68" i="2"/>
  <c r="AB68" i="2"/>
  <c r="Z68" i="2"/>
  <c r="Y68" i="2"/>
  <c r="W68" i="2"/>
  <c r="V68" i="2"/>
  <c r="T68" i="2"/>
  <c r="S68" i="2"/>
  <c r="U68" i="2" s="1"/>
  <c r="Q68" i="2"/>
  <c r="P68" i="2"/>
  <c r="O68" i="2"/>
  <c r="N68" i="2"/>
  <c r="M68" i="2"/>
  <c r="G68" i="2"/>
  <c r="F68" i="2"/>
  <c r="E68" i="2"/>
  <c r="D68" i="2"/>
  <c r="AF67" i="2"/>
  <c r="AD67" i="2"/>
  <c r="AC67" i="2"/>
  <c r="AG67" i="2" s="1"/>
  <c r="AB67" i="2"/>
  <c r="AE67" i="2" s="1"/>
  <c r="Z67" i="2"/>
  <c r="Y67" i="2"/>
  <c r="AA67" i="2" s="1"/>
  <c r="W67" i="2"/>
  <c r="V67" i="2"/>
  <c r="X67" i="2" s="1"/>
  <c r="T67" i="2"/>
  <c r="S67" i="2"/>
  <c r="U67" i="2" s="1"/>
  <c r="Q67" i="2"/>
  <c r="P67" i="2"/>
  <c r="O67" i="2"/>
  <c r="N67" i="2"/>
  <c r="M67" i="2"/>
  <c r="G67" i="2"/>
  <c r="F67" i="2"/>
  <c r="L67" i="2" s="1"/>
  <c r="E67" i="2"/>
  <c r="R67" i="2" s="1"/>
  <c r="D67" i="2"/>
  <c r="I67" i="2" s="1"/>
  <c r="AF66" i="2"/>
  <c r="AD66" i="2"/>
  <c r="AC66" i="2"/>
  <c r="AB66" i="2"/>
  <c r="Z66" i="2"/>
  <c r="Y66" i="2"/>
  <c r="W66" i="2"/>
  <c r="V66" i="2"/>
  <c r="T66" i="2"/>
  <c r="S66" i="2"/>
  <c r="U66" i="2" s="1"/>
  <c r="Q66" i="2"/>
  <c r="P66" i="2"/>
  <c r="O66" i="2"/>
  <c r="N66" i="2"/>
  <c r="M66" i="2"/>
  <c r="G66" i="2"/>
  <c r="F66" i="2"/>
  <c r="E66" i="2"/>
  <c r="R66" i="2" s="1"/>
  <c r="D66" i="2"/>
  <c r="AF65" i="2"/>
  <c r="AD65" i="2"/>
  <c r="AC65" i="2"/>
  <c r="AG65" i="2" s="1"/>
  <c r="AB65" i="2"/>
  <c r="AE65" i="2" s="1"/>
  <c r="Z65" i="2"/>
  <c r="Y65" i="2"/>
  <c r="AA65" i="2" s="1"/>
  <c r="W65" i="2"/>
  <c r="V65" i="2"/>
  <c r="X65" i="2" s="1"/>
  <c r="T65" i="2"/>
  <c r="S65" i="2"/>
  <c r="U65" i="2" s="1"/>
  <c r="Q65" i="2"/>
  <c r="P65" i="2"/>
  <c r="O65" i="2"/>
  <c r="N65" i="2"/>
  <c r="M65" i="2"/>
  <c r="G65" i="2"/>
  <c r="F65" i="2"/>
  <c r="L65" i="2" s="1"/>
  <c r="E65" i="2"/>
  <c r="R65" i="2" s="1"/>
  <c r="D65" i="2"/>
  <c r="K65" i="2" s="1"/>
  <c r="AF64" i="2"/>
  <c r="AD64" i="2"/>
  <c r="AC64" i="2"/>
  <c r="AG64" i="2" s="1"/>
  <c r="AB64" i="2"/>
  <c r="AE64" i="2" s="1"/>
  <c r="Z64" i="2"/>
  <c r="Y64" i="2"/>
  <c r="AA64" i="2" s="1"/>
  <c r="W64" i="2"/>
  <c r="V64" i="2"/>
  <c r="X64" i="2" s="1"/>
  <c r="T64" i="2"/>
  <c r="S64" i="2"/>
  <c r="U64" i="2" s="1"/>
  <c r="Q64" i="2"/>
  <c r="P64" i="2"/>
  <c r="O64" i="2"/>
  <c r="N64" i="2"/>
  <c r="M64" i="2"/>
  <c r="G64" i="2"/>
  <c r="F64" i="2"/>
  <c r="L64" i="2" s="1"/>
  <c r="E64" i="2"/>
  <c r="R64" i="2" s="1"/>
  <c r="D64" i="2"/>
  <c r="K64" i="2" s="1"/>
  <c r="AF63" i="2"/>
  <c r="AD63" i="2"/>
  <c r="AC63" i="2"/>
  <c r="AB63" i="2"/>
  <c r="Z63" i="2"/>
  <c r="Y63" i="2"/>
  <c r="W63" i="2"/>
  <c r="V63" i="2"/>
  <c r="T63" i="2"/>
  <c r="S63" i="2"/>
  <c r="U63" i="2" s="1"/>
  <c r="Q63" i="2"/>
  <c r="P63" i="2"/>
  <c r="O63" i="2"/>
  <c r="N63" i="2"/>
  <c r="M63" i="2"/>
  <c r="G63" i="2"/>
  <c r="F63" i="2"/>
  <c r="E63" i="2"/>
  <c r="R63" i="2" s="1"/>
  <c r="D63" i="2"/>
  <c r="AF62" i="2"/>
  <c r="AD62" i="2"/>
  <c r="AC62" i="2"/>
  <c r="AG62" i="2" s="1"/>
  <c r="AB62" i="2"/>
  <c r="AE62" i="2" s="1"/>
  <c r="Z62" i="2"/>
  <c r="Y62" i="2"/>
  <c r="AA62" i="2" s="1"/>
  <c r="W62" i="2"/>
  <c r="V62" i="2"/>
  <c r="X62" i="2" s="1"/>
  <c r="T62" i="2"/>
  <c r="S62" i="2"/>
  <c r="U62" i="2" s="1"/>
  <c r="Q62" i="2"/>
  <c r="P62" i="2"/>
  <c r="O62" i="2"/>
  <c r="N62" i="2"/>
  <c r="M62" i="2"/>
  <c r="G62" i="2"/>
  <c r="F62" i="2"/>
  <c r="L62" i="2" s="1"/>
  <c r="E62" i="2"/>
  <c r="R62" i="2" s="1"/>
  <c r="D62" i="2"/>
  <c r="I62" i="2" s="1"/>
  <c r="AF61" i="2"/>
  <c r="AD61" i="2"/>
  <c r="AC61" i="2"/>
  <c r="AB61" i="2"/>
  <c r="Z61" i="2"/>
  <c r="Y61" i="2"/>
  <c r="W61" i="2"/>
  <c r="V61" i="2"/>
  <c r="T61" i="2"/>
  <c r="S61" i="2"/>
  <c r="U61" i="2" s="1"/>
  <c r="Q61" i="2"/>
  <c r="P61" i="2"/>
  <c r="O61" i="2"/>
  <c r="N61" i="2"/>
  <c r="M61" i="2"/>
  <c r="G61" i="2"/>
  <c r="F61" i="2"/>
  <c r="E61" i="2"/>
  <c r="R61" i="2" s="1"/>
  <c r="D61" i="2"/>
  <c r="AF60" i="2"/>
  <c r="AD60" i="2"/>
  <c r="AC60" i="2"/>
  <c r="AG60" i="2" s="1"/>
  <c r="AB60" i="2"/>
  <c r="AE60" i="2" s="1"/>
  <c r="Z60" i="2"/>
  <c r="Y60" i="2"/>
  <c r="AA60" i="2" s="1"/>
  <c r="W60" i="2"/>
  <c r="V60" i="2"/>
  <c r="X60" i="2" s="1"/>
  <c r="T60" i="2"/>
  <c r="S60" i="2"/>
  <c r="U60" i="2" s="1"/>
  <c r="Q60" i="2"/>
  <c r="P60" i="2"/>
  <c r="O60" i="2"/>
  <c r="N60" i="2"/>
  <c r="M60" i="2"/>
  <c r="G60" i="2"/>
  <c r="F60" i="2"/>
  <c r="L60" i="2" s="1"/>
  <c r="E60" i="2"/>
  <c r="R60" i="2" s="1"/>
  <c r="D60" i="2"/>
  <c r="K60" i="2" s="1"/>
  <c r="AF59" i="2"/>
  <c r="AD59" i="2"/>
  <c r="AC59" i="2"/>
  <c r="AB59" i="2"/>
  <c r="Z59" i="2"/>
  <c r="Y59" i="2"/>
  <c r="W59" i="2"/>
  <c r="V59" i="2"/>
  <c r="T59" i="2"/>
  <c r="S59" i="2"/>
  <c r="U59" i="2" s="1"/>
  <c r="Q59" i="2"/>
  <c r="P59" i="2"/>
  <c r="O59" i="2"/>
  <c r="N59" i="2"/>
  <c r="M59" i="2"/>
  <c r="G59" i="2"/>
  <c r="F59" i="2"/>
  <c r="E59" i="2"/>
  <c r="R59" i="2" s="1"/>
  <c r="D59" i="2"/>
  <c r="AF58" i="2"/>
  <c r="AD58" i="2"/>
  <c r="AC58" i="2"/>
  <c r="AG58" i="2" s="1"/>
  <c r="AB58" i="2"/>
  <c r="AE58" i="2" s="1"/>
  <c r="Z58" i="2"/>
  <c r="Y58" i="2"/>
  <c r="AA58" i="2" s="1"/>
  <c r="W58" i="2"/>
  <c r="V58" i="2"/>
  <c r="T58" i="2"/>
  <c r="S58" i="2"/>
  <c r="U58" i="2" s="1"/>
  <c r="Q58" i="2"/>
  <c r="P58" i="2"/>
  <c r="O58" i="2"/>
  <c r="N58" i="2"/>
  <c r="M58" i="2"/>
  <c r="G58" i="2"/>
  <c r="F58" i="2"/>
  <c r="L58" i="2" s="1"/>
  <c r="E58" i="2"/>
  <c r="R58" i="2" s="1"/>
  <c r="D58" i="2"/>
  <c r="K58" i="2" s="1"/>
  <c r="AF57" i="2"/>
  <c r="AD57" i="2"/>
  <c r="AC57" i="2"/>
  <c r="AG57" i="2" s="1"/>
  <c r="AB57" i="2"/>
  <c r="AE57" i="2" s="1"/>
  <c r="Z57" i="2"/>
  <c r="Y57" i="2"/>
  <c r="AA57" i="2" s="1"/>
  <c r="W57" i="2"/>
  <c r="V57" i="2"/>
  <c r="X57" i="2" s="1"/>
  <c r="T57" i="2"/>
  <c r="S57" i="2"/>
  <c r="U57" i="2" s="1"/>
  <c r="Q57" i="2"/>
  <c r="P57" i="2"/>
  <c r="O57" i="2"/>
  <c r="N57" i="2"/>
  <c r="M57" i="2"/>
  <c r="G57" i="2"/>
  <c r="F57" i="2"/>
  <c r="L57" i="2" s="1"/>
  <c r="E57" i="2"/>
  <c r="D57" i="2"/>
  <c r="I57" i="2" s="1"/>
  <c r="AF56" i="2"/>
  <c r="AD56" i="2"/>
  <c r="AC56" i="2"/>
  <c r="AB56" i="2"/>
  <c r="Z56" i="2"/>
  <c r="Y56" i="2"/>
  <c r="W56" i="2"/>
  <c r="V56" i="2"/>
  <c r="T56" i="2"/>
  <c r="S56" i="2"/>
  <c r="U56" i="2" s="1"/>
  <c r="Q56" i="2"/>
  <c r="P56" i="2"/>
  <c r="O56" i="2"/>
  <c r="N56" i="2"/>
  <c r="M56" i="2"/>
  <c r="G56" i="2"/>
  <c r="F56" i="2"/>
  <c r="E56" i="2"/>
  <c r="R56" i="2" s="1"/>
  <c r="D56" i="2"/>
  <c r="AF55" i="2"/>
  <c r="AD55" i="2"/>
  <c r="AC55" i="2"/>
  <c r="AB55" i="2"/>
  <c r="Z55" i="2"/>
  <c r="Y55" i="2"/>
  <c r="W55" i="2"/>
  <c r="V55" i="2"/>
  <c r="T55" i="2"/>
  <c r="S55" i="2"/>
  <c r="Q55" i="2"/>
  <c r="P55" i="2"/>
  <c r="O55" i="2"/>
  <c r="N55" i="2"/>
  <c r="M55" i="2"/>
  <c r="G55" i="2"/>
  <c r="F55" i="2"/>
  <c r="E55" i="2"/>
  <c r="D55" i="2"/>
  <c r="AF54" i="2"/>
  <c r="AD54" i="2"/>
  <c r="AC54" i="2"/>
  <c r="AG54" i="2" s="1"/>
  <c r="AB54" i="2"/>
  <c r="AE54" i="2" s="1"/>
  <c r="Z54" i="2"/>
  <c r="Y54" i="2"/>
  <c r="AA54" i="2" s="1"/>
  <c r="W54" i="2"/>
  <c r="V54" i="2"/>
  <c r="X54" i="2" s="1"/>
  <c r="T54" i="2"/>
  <c r="S54" i="2"/>
  <c r="U54" i="2" s="1"/>
  <c r="Q54" i="2"/>
  <c r="P54" i="2"/>
  <c r="O54" i="2"/>
  <c r="N54" i="2"/>
  <c r="M54" i="2"/>
  <c r="G54" i="2"/>
  <c r="F54" i="2"/>
  <c r="L54" i="2" s="1"/>
  <c r="E54" i="2"/>
  <c r="R54" i="2" s="1"/>
  <c r="D54" i="2"/>
  <c r="K54" i="2" s="1"/>
  <c r="AF53" i="2"/>
  <c r="AD53" i="2"/>
  <c r="AC53" i="2"/>
  <c r="AB53" i="2"/>
  <c r="Z53" i="2"/>
  <c r="Y53" i="2"/>
  <c r="W53" i="2"/>
  <c r="V53" i="2"/>
  <c r="T53" i="2"/>
  <c r="S53" i="2"/>
  <c r="U53" i="2" s="1"/>
  <c r="Q53" i="2"/>
  <c r="P53" i="2"/>
  <c r="O53" i="2"/>
  <c r="N53" i="2"/>
  <c r="M53" i="2"/>
  <c r="G53" i="2"/>
  <c r="F53" i="2"/>
  <c r="E53" i="2"/>
  <c r="R53" i="2" s="1"/>
  <c r="D53" i="2"/>
  <c r="AF51" i="2"/>
  <c r="AD51" i="2"/>
  <c r="AC51" i="2"/>
  <c r="AB51" i="2"/>
  <c r="Z51" i="2"/>
  <c r="Y51" i="2"/>
  <c r="W51" i="2"/>
  <c r="V51" i="2"/>
  <c r="T51" i="2"/>
  <c r="S51" i="2"/>
  <c r="U51" i="2" s="1"/>
  <c r="Q51" i="2"/>
  <c r="P51" i="2"/>
  <c r="O51" i="2"/>
  <c r="N51" i="2"/>
  <c r="M51" i="2"/>
  <c r="G51" i="2"/>
  <c r="F51" i="2"/>
  <c r="E51" i="2"/>
  <c r="R51" i="2" s="1"/>
  <c r="D51" i="2"/>
  <c r="AF50" i="2"/>
  <c r="AD50" i="2"/>
  <c r="AC50" i="2"/>
  <c r="AB50" i="2"/>
  <c r="Z50" i="2"/>
  <c r="Y50" i="2"/>
  <c r="W50" i="2"/>
  <c r="V50" i="2"/>
  <c r="T50" i="2"/>
  <c r="S50" i="2"/>
  <c r="U50" i="2" s="1"/>
  <c r="Q50" i="2"/>
  <c r="P50" i="2"/>
  <c r="O50" i="2"/>
  <c r="N50" i="2"/>
  <c r="M50" i="2"/>
  <c r="G50" i="2"/>
  <c r="F50" i="2"/>
  <c r="E50" i="2"/>
  <c r="R50" i="2" s="1"/>
  <c r="D50" i="2"/>
  <c r="AF49" i="2"/>
  <c r="AD49" i="2"/>
  <c r="AC49" i="2"/>
  <c r="AB49" i="2"/>
  <c r="Z49" i="2"/>
  <c r="Y49" i="2"/>
  <c r="W49" i="2"/>
  <c r="V49" i="2"/>
  <c r="T49" i="2"/>
  <c r="S49" i="2"/>
  <c r="U49" i="2" s="1"/>
  <c r="Q49" i="2"/>
  <c r="P49" i="2"/>
  <c r="O49" i="2"/>
  <c r="N49" i="2"/>
  <c r="M49" i="2"/>
  <c r="G49" i="2"/>
  <c r="F49" i="2"/>
  <c r="E49" i="2"/>
  <c r="D49" i="2"/>
  <c r="AF48" i="2"/>
  <c r="AD48" i="2"/>
  <c r="AC48" i="2"/>
  <c r="AB48" i="2"/>
  <c r="Z48" i="2"/>
  <c r="Y48" i="2"/>
  <c r="W48" i="2"/>
  <c r="V48" i="2"/>
  <c r="T48" i="2"/>
  <c r="S48" i="2"/>
  <c r="U48" i="2" s="1"/>
  <c r="Q48" i="2"/>
  <c r="P48" i="2"/>
  <c r="O48" i="2"/>
  <c r="N48" i="2"/>
  <c r="M48" i="2"/>
  <c r="G48" i="2"/>
  <c r="F48" i="2"/>
  <c r="E48" i="2"/>
  <c r="R48" i="2" s="1"/>
  <c r="D48" i="2"/>
  <c r="AF47" i="2"/>
  <c r="AD47" i="2"/>
  <c r="AC47" i="2"/>
  <c r="AB47" i="2"/>
  <c r="Z47" i="2"/>
  <c r="Y47" i="2"/>
  <c r="W47" i="2"/>
  <c r="V47" i="2"/>
  <c r="T47" i="2"/>
  <c r="S47" i="2"/>
  <c r="U47" i="2" s="1"/>
  <c r="Q47" i="2"/>
  <c r="P47" i="2"/>
  <c r="O47" i="2"/>
  <c r="N47" i="2"/>
  <c r="M47" i="2"/>
  <c r="G47" i="2"/>
  <c r="F47" i="2"/>
  <c r="E47" i="2"/>
  <c r="R47" i="2" s="1"/>
  <c r="D47" i="2"/>
  <c r="AF46" i="2"/>
  <c r="AD46" i="2"/>
  <c r="AC46" i="2"/>
  <c r="AB46" i="2"/>
  <c r="Z46" i="2"/>
  <c r="Y46" i="2"/>
  <c r="W46" i="2"/>
  <c r="V46" i="2"/>
  <c r="T46" i="2"/>
  <c r="S46" i="2"/>
  <c r="U46" i="2" s="1"/>
  <c r="Q46" i="2"/>
  <c r="P46" i="2"/>
  <c r="O46" i="2"/>
  <c r="N46" i="2"/>
  <c r="M46" i="2"/>
  <c r="G46" i="2"/>
  <c r="F46" i="2"/>
  <c r="E46" i="2"/>
  <c r="R46" i="2" s="1"/>
  <c r="D46" i="2"/>
  <c r="AF45" i="2"/>
  <c r="AD45" i="2"/>
  <c r="AC45" i="2"/>
  <c r="AB45" i="2"/>
  <c r="Z45" i="2"/>
  <c r="Y45" i="2"/>
  <c r="W45" i="2"/>
  <c r="V45" i="2"/>
  <c r="T45" i="2"/>
  <c r="S45" i="2"/>
  <c r="U45" i="2" s="1"/>
  <c r="Q45" i="2"/>
  <c r="P45" i="2"/>
  <c r="O45" i="2"/>
  <c r="N45" i="2"/>
  <c r="M45" i="2"/>
  <c r="G45" i="2"/>
  <c r="F45" i="2"/>
  <c r="E45" i="2"/>
  <c r="R45" i="2" s="1"/>
  <c r="D45" i="2"/>
  <c r="AF44" i="2"/>
  <c r="AD44" i="2"/>
  <c r="AC44" i="2"/>
  <c r="AB44" i="2"/>
  <c r="Z44" i="2"/>
  <c r="Y44" i="2"/>
  <c r="W44" i="2"/>
  <c r="V44" i="2"/>
  <c r="T44" i="2"/>
  <c r="S44" i="2"/>
  <c r="U44" i="2" s="1"/>
  <c r="Q44" i="2"/>
  <c r="P44" i="2"/>
  <c r="O44" i="2"/>
  <c r="N44" i="2"/>
  <c r="M44" i="2"/>
  <c r="G44" i="2"/>
  <c r="F44" i="2"/>
  <c r="E44" i="2"/>
  <c r="R44" i="2" s="1"/>
  <c r="D44" i="2"/>
  <c r="AF43" i="2"/>
  <c r="AD43" i="2"/>
  <c r="AC43" i="2"/>
  <c r="AB43" i="2"/>
  <c r="Z43" i="2"/>
  <c r="Y43" i="2"/>
  <c r="W43" i="2"/>
  <c r="V43" i="2"/>
  <c r="T43" i="2"/>
  <c r="S43" i="2"/>
  <c r="U43" i="2" s="1"/>
  <c r="Q43" i="2"/>
  <c r="P43" i="2"/>
  <c r="O43" i="2"/>
  <c r="N43" i="2"/>
  <c r="M43" i="2"/>
  <c r="G43" i="2"/>
  <c r="F43" i="2"/>
  <c r="E43" i="2"/>
  <c r="D43" i="2"/>
  <c r="AF42" i="2"/>
  <c r="AD42" i="2"/>
  <c r="AC42" i="2"/>
  <c r="AB42" i="2"/>
  <c r="Z42" i="2"/>
  <c r="Y42" i="2"/>
  <c r="W42" i="2"/>
  <c r="V42" i="2"/>
  <c r="T42" i="2"/>
  <c r="S42" i="2"/>
  <c r="U42" i="2" s="1"/>
  <c r="Q42" i="2"/>
  <c r="P42" i="2"/>
  <c r="O42" i="2"/>
  <c r="N42" i="2"/>
  <c r="M42" i="2"/>
  <c r="G42" i="2"/>
  <c r="F42" i="2"/>
  <c r="E42" i="2"/>
  <c r="R42" i="2" s="1"/>
  <c r="D42" i="2"/>
  <c r="AF41" i="2"/>
  <c r="AD41" i="2"/>
  <c r="AC41" i="2"/>
  <c r="AB41" i="2"/>
  <c r="Z41" i="2"/>
  <c r="Y41" i="2"/>
  <c r="W41" i="2"/>
  <c r="V41" i="2"/>
  <c r="T41" i="2"/>
  <c r="S41" i="2"/>
  <c r="U41" i="2" s="1"/>
  <c r="Q41" i="2"/>
  <c r="P41" i="2"/>
  <c r="O41" i="2"/>
  <c r="N41" i="2"/>
  <c r="M41" i="2"/>
  <c r="G41" i="2"/>
  <c r="F41" i="2"/>
  <c r="E41" i="2"/>
  <c r="R41" i="2" s="1"/>
  <c r="D41" i="2"/>
  <c r="AF40" i="2"/>
  <c r="AD40" i="2"/>
  <c r="AC40" i="2"/>
  <c r="AB40" i="2"/>
  <c r="Z40" i="2"/>
  <c r="Y40" i="2"/>
  <c r="W40" i="2"/>
  <c r="V40" i="2"/>
  <c r="T40" i="2"/>
  <c r="S40" i="2"/>
  <c r="U40" i="2" s="1"/>
  <c r="Q40" i="2"/>
  <c r="P40" i="2"/>
  <c r="O40" i="2"/>
  <c r="N40" i="2"/>
  <c r="M40" i="2"/>
  <c r="G40" i="2"/>
  <c r="F40" i="2"/>
  <c r="E40" i="2"/>
  <c r="R40" i="2" s="1"/>
  <c r="D40" i="2"/>
  <c r="AF39" i="2"/>
  <c r="AD39" i="2"/>
  <c r="AC39" i="2"/>
  <c r="AB39" i="2"/>
  <c r="Z39" i="2"/>
  <c r="Y39" i="2"/>
  <c r="W39" i="2"/>
  <c r="V39" i="2"/>
  <c r="T39" i="2"/>
  <c r="S39" i="2"/>
  <c r="U39" i="2" s="1"/>
  <c r="Q39" i="2"/>
  <c r="P39" i="2"/>
  <c r="O39" i="2"/>
  <c r="N39" i="2"/>
  <c r="M39" i="2"/>
  <c r="G39" i="2"/>
  <c r="F39" i="2"/>
  <c r="E39" i="2"/>
  <c r="R39" i="2" s="1"/>
  <c r="D39" i="2"/>
  <c r="AF38" i="2"/>
  <c r="AD38" i="2"/>
  <c r="AC38" i="2"/>
  <c r="AB38" i="2"/>
  <c r="Z38" i="2"/>
  <c r="Y38" i="2"/>
  <c r="W38" i="2"/>
  <c r="V38" i="2"/>
  <c r="T38" i="2"/>
  <c r="S38" i="2"/>
  <c r="U38" i="2" s="1"/>
  <c r="Q38" i="2"/>
  <c r="P38" i="2"/>
  <c r="O38" i="2"/>
  <c r="N38" i="2"/>
  <c r="M38" i="2"/>
  <c r="G38" i="2"/>
  <c r="F38" i="2"/>
  <c r="E38" i="2"/>
  <c r="R38" i="2" s="1"/>
  <c r="D38" i="2"/>
  <c r="AF37" i="2"/>
  <c r="AD37" i="2"/>
  <c r="AC37" i="2"/>
  <c r="AB37" i="2"/>
  <c r="Z37" i="2"/>
  <c r="Y37" i="2"/>
  <c r="W37" i="2"/>
  <c r="V37" i="2"/>
  <c r="T37" i="2"/>
  <c r="S37" i="2"/>
  <c r="U37" i="2" s="1"/>
  <c r="Q37" i="2"/>
  <c r="P37" i="2"/>
  <c r="O37" i="2"/>
  <c r="N37" i="2"/>
  <c r="M37" i="2"/>
  <c r="G37" i="2"/>
  <c r="F37" i="2"/>
  <c r="E37" i="2"/>
  <c r="D37" i="2"/>
  <c r="AF36" i="2"/>
  <c r="AD36" i="2"/>
  <c r="AC36" i="2"/>
  <c r="AB36" i="2"/>
  <c r="Z36" i="2"/>
  <c r="Y36" i="2"/>
  <c r="W36" i="2"/>
  <c r="V36" i="2"/>
  <c r="T36" i="2"/>
  <c r="S36" i="2"/>
  <c r="U36" i="2" s="1"/>
  <c r="Q36" i="2"/>
  <c r="P36" i="2"/>
  <c r="O36" i="2"/>
  <c r="N36" i="2"/>
  <c r="M36" i="2"/>
  <c r="G36" i="2"/>
  <c r="F36" i="2"/>
  <c r="E36" i="2"/>
  <c r="R36" i="2" s="1"/>
  <c r="D36" i="2"/>
  <c r="AF35" i="2"/>
  <c r="AD35" i="2"/>
  <c r="AC35" i="2"/>
  <c r="AB35" i="2"/>
  <c r="Z35" i="2"/>
  <c r="Y35" i="2"/>
  <c r="W35" i="2"/>
  <c r="V35" i="2"/>
  <c r="T35" i="2"/>
  <c r="S35" i="2"/>
  <c r="U35" i="2" s="1"/>
  <c r="Q35" i="2"/>
  <c r="P35" i="2"/>
  <c r="O35" i="2"/>
  <c r="N35" i="2"/>
  <c r="M35" i="2"/>
  <c r="G35" i="2"/>
  <c r="F35" i="2"/>
  <c r="E35" i="2"/>
  <c r="R35" i="2" s="1"/>
  <c r="D35" i="2"/>
  <c r="AF34" i="2"/>
  <c r="AD34" i="2"/>
  <c r="AC34" i="2"/>
  <c r="AG34" i="2" s="1"/>
  <c r="AB34" i="2"/>
  <c r="Z34" i="2"/>
  <c r="Y34" i="2"/>
  <c r="AA34" i="2" s="1"/>
  <c r="W34" i="2"/>
  <c r="V34" i="2"/>
  <c r="X34" i="2" s="1"/>
  <c r="T34" i="2"/>
  <c r="S34" i="2"/>
  <c r="U34" i="2" s="1"/>
  <c r="Q34" i="2"/>
  <c r="P34" i="2"/>
  <c r="O34" i="2"/>
  <c r="N34" i="2"/>
  <c r="M34" i="2"/>
  <c r="G34" i="2"/>
  <c r="F34" i="2"/>
  <c r="L34" i="2" s="1"/>
  <c r="E34" i="2"/>
  <c r="R34" i="2" s="1"/>
  <c r="D34" i="2"/>
  <c r="K34" i="2" s="1"/>
  <c r="AF33" i="2"/>
  <c r="AD33" i="2"/>
  <c r="AC33" i="2"/>
  <c r="AB33" i="2"/>
  <c r="Z33" i="2"/>
  <c r="Y33" i="2"/>
  <c r="W33" i="2"/>
  <c r="V33" i="2"/>
  <c r="T33" i="2"/>
  <c r="S33" i="2"/>
  <c r="U33" i="2" s="1"/>
  <c r="Q33" i="2"/>
  <c r="P33" i="2"/>
  <c r="O33" i="2"/>
  <c r="N33" i="2"/>
  <c r="M33" i="2"/>
  <c r="G33" i="2"/>
  <c r="F33" i="2"/>
  <c r="E33" i="2"/>
  <c r="D33" i="2"/>
  <c r="AF32" i="2"/>
  <c r="AD32" i="2"/>
  <c r="AC32" i="2"/>
  <c r="AB32" i="2"/>
  <c r="Z32" i="2"/>
  <c r="Y32" i="2"/>
  <c r="W32" i="2"/>
  <c r="V32" i="2"/>
  <c r="T32" i="2"/>
  <c r="S32" i="2"/>
  <c r="U32" i="2" s="1"/>
  <c r="Q32" i="2"/>
  <c r="P32" i="2"/>
  <c r="O32" i="2"/>
  <c r="N32" i="2"/>
  <c r="M32" i="2"/>
  <c r="G32" i="2"/>
  <c r="F32" i="2"/>
  <c r="E32" i="2"/>
  <c r="R32" i="2" s="1"/>
  <c r="D32" i="2"/>
  <c r="AF30" i="2"/>
  <c r="AD30" i="2"/>
  <c r="AC30" i="2"/>
  <c r="AB30" i="2"/>
  <c r="Z30" i="2"/>
  <c r="Y30" i="2"/>
  <c r="W30" i="2"/>
  <c r="V30" i="2"/>
  <c r="T30" i="2"/>
  <c r="S30" i="2"/>
  <c r="U30" i="2" s="1"/>
  <c r="Q30" i="2"/>
  <c r="P30" i="2"/>
  <c r="O30" i="2"/>
  <c r="N30" i="2"/>
  <c r="M30" i="2"/>
  <c r="G30" i="2"/>
  <c r="F30" i="2"/>
  <c r="E30" i="2"/>
  <c r="R30" i="2" s="1"/>
  <c r="D30" i="2"/>
  <c r="AF29" i="2"/>
  <c r="AD29" i="2"/>
  <c r="AC29" i="2"/>
  <c r="AB29" i="2"/>
  <c r="Z29" i="2"/>
  <c r="Y29" i="2"/>
  <c r="W29" i="2"/>
  <c r="V29" i="2"/>
  <c r="T29" i="2"/>
  <c r="S29" i="2"/>
  <c r="U29" i="2" s="1"/>
  <c r="Q29" i="2"/>
  <c r="P29" i="2"/>
  <c r="O29" i="2"/>
  <c r="N29" i="2"/>
  <c r="M29" i="2"/>
  <c r="G29" i="2"/>
  <c r="F29" i="2"/>
  <c r="E29" i="2"/>
  <c r="R29" i="2" s="1"/>
  <c r="D29" i="2"/>
  <c r="AF28" i="2"/>
  <c r="AD28" i="2"/>
  <c r="AC28" i="2"/>
  <c r="AB28" i="2"/>
  <c r="Z28" i="2"/>
  <c r="Y28" i="2"/>
  <c r="W28" i="2"/>
  <c r="V28" i="2"/>
  <c r="T28" i="2"/>
  <c r="S28" i="2"/>
  <c r="U28" i="2" s="1"/>
  <c r="Q28" i="2"/>
  <c r="P28" i="2"/>
  <c r="O28" i="2"/>
  <c r="N28" i="2"/>
  <c r="M28" i="2"/>
  <c r="G28" i="2"/>
  <c r="F28" i="2"/>
  <c r="E28" i="2"/>
  <c r="R28" i="2" s="1"/>
  <c r="D28" i="2"/>
  <c r="AF27" i="2"/>
  <c r="AD27" i="2"/>
  <c r="AC27" i="2"/>
  <c r="AB27" i="2"/>
  <c r="Z27" i="2"/>
  <c r="Y27" i="2"/>
  <c r="W27" i="2"/>
  <c r="V27" i="2"/>
  <c r="T27" i="2"/>
  <c r="S27" i="2"/>
  <c r="U27" i="2" s="1"/>
  <c r="Q27" i="2"/>
  <c r="P27" i="2"/>
  <c r="O27" i="2"/>
  <c r="N27" i="2"/>
  <c r="M27" i="2"/>
  <c r="G27" i="2"/>
  <c r="F27" i="2"/>
  <c r="E27" i="2"/>
  <c r="R27" i="2" s="1"/>
  <c r="D27" i="2"/>
  <c r="AF26" i="2"/>
  <c r="AD26" i="2"/>
  <c r="AC26" i="2"/>
  <c r="AB26" i="2"/>
  <c r="Z26" i="2"/>
  <c r="Y26" i="2"/>
  <c r="W26" i="2"/>
  <c r="V26" i="2"/>
  <c r="T26" i="2"/>
  <c r="S26" i="2"/>
  <c r="U26" i="2" s="1"/>
  <c r="Q26" i="2"/>
  <c r="P26" i="2"/>
  <c r="O26" i="2"/>
  <c r="N26" i="2"/>
  <c r="M26" i="2"/>
  <c r="G26" i="2"/>
  <c r="F26" i="2"/>
  <c r="E26" i="2"/>
  <c r="R26" i="2" s="1"/>
  <c r="D26" i="2"/>
  <c r="AF25" i="2"/>
  <c r="AD25" i="2"/>
  <c r="AC25" i="2"/>
  <c r="AB25" i="2"/>
  <c r="Z25" i="2"/>
  <c r="Y25" i="2"/>
  <c r="W25" i="2"/>
  <c r="V25" i="2"/>
  <c r="T25" i="2"/>
  <c r="S25" i="2"/>
  <c r="U25" i="2" s="1"/>
  <c r="Q25" i="2"/>
  <c r="P25" i="2"/>
  <c r="O25" i="2"/>
  <c r="N25" i="2"/>
  <c r="M25" i="2"/>
  <c r="G25" i="2"/>
  <c r="F25" i="2"/>
  <c r="E25" i="2"/>
  <c r="R25" i="2" s="1"/>
  <c r="D25" i="2"/>
  <c r="AF24" i="2"/>
  <c r="AD24" i="2"/>
  <c r="AC24" i="2"/>
  <c r="AB24" i="2"/>
  <c r="Z24" i="2"/>
  <c r="Y24" i="2"/>
  <c r="W24" i="2"/>
  <c r="V24" i="2"/>
  <c r="T24" i="2"/>
  <c r="S24" i="2"/>
  <c r="U24" i="2" s="1"/>
  <c r="Q24" i="2"/>
  <c r="P24" i="2"/>
  <c r="O24" i="2"/>
  <c r="N24" i="2"/>
  <c r="M24" i="2"/>
  <c r="G24" i="2"/>
  <c r="F24" i="2"/>
  <c r="E24" i="2"/>
  <c r="R24" i="2" s="1"/>
  <c r="D24" i="2"/>
  <c r="AF23" i="2"/>
  <c r="AD23" i="2"/>
  <c r="AC23" i="2"/>
  <c r="AB23" i="2"/>
  <c r="Z23" i="2"/>
  <c r="Y23" i="2"/>
  <c r="W23" i="2"/>
  <c r="V23" i="2"/>
  <c r="T23" i="2"/>
  <c r="S23" i="2"/>
  <c r="U23" i="2" s="1"/>
  <c r="Q23" i="2"/>
  <c r="P23" i="2"/>
  <c r="O23" i="2"/>
  <c r="N23" i="2"/>
  <c r="M23" i="2"/>
  <c r="G23" i="2"/>
  <c r="F23" i="2"/>
  <c r="E23" i="2"/>
  <c r="R23" i="2" s="1"/>
  <c r="D23" i="2"/>
  <c r="AF22" i="2"/>
  <c r="AD22" i="2"/>
  <c r="AC22" i="2"/>
  <c r="AG22" i="2" s="1"/>
  <c r="AB22" i="2"/>
  <c r="AE22" i="2" s="1"/>
  <c r="Z22" i="2"/>
  <c r="Y22" i="2"/>
  <c r="AA22" i="2" s="1"/>
  <c r="W22" i="2"/>
  <c r="V22" i="2"/>
  <c r="X22" i="2" s="1"/>
  <c r="T22" i="2"/>
  <c r="S22" i="2"/>
  <c r="U22" i="2" s="1"/>
  <c r="Q22" i="2"/>
  <c r="P22" i="2"/>
  <c r="O22" i="2"/>
  <c r="N22" i="2"/>
  <c r="M22" i="2"/>
  <c r="G22" i="2"/>
  <c r="F22" i="2"/>
  <c r="L22" i="2" s="1"/>
  <c r="E22" i="2"/>
  <c r="R22" i="2" s="1"/>
  <c r="D22" i="2"/>
  <c r="K22" i="2" s="1"/>
  <c r="AF21" i="2"/>
  <c r="AD21" i="2"/>
  <c r="AC21" i="2"/>
  <c r="AB21" i="2"/>
  <c r="Z21" i="2"/>
  <c r="Y21" i="2"/>
  <c r="W21" i="2"/>
  <c r="V21" i="2"/>
  <c r="T21" i="2"/>
  <c r="S21" i="2"/>
  <c r="U21" i="2" s="1"/>
  <c r="Q21" i="2"/>
  <c r="P21" i="2"/>
  <c r="O21" i="2"/>
  <c r="N21" i="2"/>
  <c r="M21" i="2"/>
  <c r="G21" i="2"/>
  <c r="F21" i="2"/>
  <c r="E21" i="2"/>
  <c r="R21" i="2" s="1"/>
  <c r="D21" i="2"/>
  <c r="AF20" i="2"/>
  <c r="AD20" i="2"/>
  <c r="AC20" i="2"/>
  <c r="AB20" i="2"/>
  <c r="Z20" i="2"/>
  <c r="Y20" i="2"/>
  <c r="W20" i="2"/>
  <c r="V20" i="2"/>
  <c r="T20" i="2"/>
  <c r="S20" i="2"/>
  <c r="U20" i="2" s="1"/>
  <c r="Q20" i="2"/>
  <c r="P20" i="2"/>
  <c r="O20" i="2"/>
  <c r="N20" i="2"/>
  <c r="M20" i="2"/>
  <c r="G20" i="2"/>
  <c r="F20" i="2"/>
  <c r="E20" i="2"/>
  <c r="R20" i="2" s="1"/>
  <c r="D20" i="2"/>
  <c r="AF19" i="2"/>
  <c r="AD19" i="2"/>
  <c r="AC19" i="2"/>
  <c r="AB19" i="2"/>
  <c r="Z19" i="2"/>
  <c r="Y19" i="2"/>
  <c r="W19" i="2"/>
  <c r="V19" i="2"/>
  <c r="T19" i="2"/>
  <c r="S19" i="2"/>
  <c r="U19" i="2" s="1"/>
  <c r="Q19" i="2"/>
  <c r="P19" i="2"/>
  <c r="O19" i="2"/>
  <c r="N19" i="2"/>
  <c r="M19" i="2"/>
  <c r="G19" i="2"/>
  <c r="F19" i="2"/>
  <c r="E19" i="2"/>
  <c r="D19" i="2"/>
  <c r="AF18" i="2"/>
  <c r="AD18" i="2"/>
  <c r="AC18" i="2"/>
  <c r="AB18" i="2"/>
  <c r="Z18" i="2"/>
  <c r="Y18" i="2"/>
  <c r="W18" i="2"/>
  <c r="V18" i="2"/>
  <c r="T18" i="2"/>
  <c r="S18" i="2"/>
  <c r="U18" i="2" s="1"/>
  <c r="Q18" i="2"/>
  <c r="P18" i="2"/>
  <c r="O18" i="2"/>
  <c r="N18" i="2"/>
  <c r="M18" i="2"/>
  <c r="G18" i="2"/>
  <c r="F18" i="2"/>
  <c r="E18" i="2"/>
  <c r="R18" i="2" s="1"/>
  <c r="D18" i="2"/>
  <c r="AF17" i="2"/>
  <c r="AD17" i="2"/>
  <c r="AC17" i="2"/>
  <c r="AG17" i="2" s="1"/>
  <c r="AB17" i="2"/>
  <c r="AE17" i="2" s="1"/>
  <c r="Z17" i="2"/>
  <c r="Y17" i="2"/>
  <c r="AA17" i="2" s="1"/>
  <c r="W17" i="2"/>
  <c r="V17" i="2"/>
  <c r="X17" i="2" s="1"/>
  <c r="T17" i="2"/>
  <c r="S17" i="2"/>
  <c r="U17" i="2" s="1"/>
  <c r="Q17" i="2"/>
  <c r="P17" i="2"/>
  <c r="O17" i="2"/>
  <c r="N17" i="2"/>
  <c r="M17" i="2"/>
  <c r="G17" i="2"/>
  <c r="F17" i="2"/>
  <c r="L17" i="2" s="1"/>
  <c r="E17" i="2"/>
  <c r="R17" i="2" s="1"/>
  <c r="D17" i="2"/>
  <c r="K17" i="2" s="1"/>
  <c r="AF16" i="2"/>
  <c r="AD16" i="2"/>
  <c r="AC16" i="2"/>
  <c r="AB16" i="2"/>
  <c r="Z16" i="2"/>
  <c r="Y16" i="2"/>
  <c r="W16" i="2"/>
  <c r="V16" i="2"/>
  <c r="T16" i="2"/>
  <c r="S16" i="2"/>
  <c r="U16" i="2" s="1"/>
  <c r="Q16" i="2"/>
  <c r="P16" i="2"/>
  <c r="O16" i="2"/>
  <c r="N16" i="2"/>
  <c r="M16" i="2"/>
  <c r="G16" i="2"/>
  <c r="F16" i="2"/>
  <c r="E16" i="2"/>
  <c r="R16" i="2" s="1"/>
  <c r="D16" i="2"/>
  <c r="AF15" i="2"/>
  <c r="AD15" i="2"/>
  <c r="AC15" i="2"/>
  <c r="AB15" i="2"/>
  <c r="Z15" i="2"/>
  <c r="Y15" i="2"/>
  <c r="W15" i="2"/>
  <c r="V15" i="2"/>
  <c r="T15" i="2"/>
  <c r="S15" i="2"/>
  <c r="U15" i="2" s="1"/>
  <c r="Q15" i="2"/>
  <c r="P15" i="2"/>
  <c r="O15" i="2"/>
  <c r="N15" i="2"/>
  <c r="M15" i="2"/>
  <c r="G15" i="2"/>
  <c r="F15" i="2"/>
  <c r="E15" i="2"/>
  <c r="R15" i="2" s="1"/>
  <c r="D15" i="2"/>
  <c r="AF14" i="2"/>
  <c r="AD14" i="2"/>
  <c r="AC14" i="2"/>
  <c r="AG14" i="2" s="1"/>
  <c r="AB14" i="2"/>
  <c r="AE14" i="2" s="1"/>
  <c r="Z14" i="2"/>
  <c r="Y14" i="2"/>
  <c r="W14" i="2"/>
  <c r="V14" i="2"/>
  <c r="X14" i="2" s="1"/>
  <c r="T14" i="2"/>
  <c r="S14" i="2"/>
  <c r="U14" i="2" s="1"/>
  <c r="Q14" i="2"/>
  <c r="P14" i="2"/>
  <c r="O14" i="2"/>
  <c r="N14" i="2"/>
  <c r="M14" i="2"/>
  <c r="G14" i="2"/>
  <c r="F14" i="2"/>
  <c r="L14" i="2" s="1"/>
  <c r="E14" i="2"/>
  <c r="R14" i="2" s="1"/>
  <c r="D14" i="2"/>
  <c r="I14" i="2" s="1"/>
  <c r="AG12" i="2"/>
  <c r="AE12" i="2"/>
  <c r="AA12" i="2"/>
  <c r="X12" i="2"/>
  <c r="U12" i="2"/>
  <c r="I12" i="2"/>
  <c r="H12" i="2"/>
  <c r="AG11" i="2"/>
  <c r="R11" i="2"/>
  <c r="I11" i="2"/>
  <c r="H11" i="2"/>
  <c r="AG10" i="2"/>
  <c r="R10" i="2"/>
  <c r="P10" i="2"/>
  <c r="J10" i="2" s="1"/>
  <c r="J9" i="2" s="1"/>
  <c r="F10" i="2"/>
  <c r="F9" i="2" s="1"/>
  <c r="D10" i="2"/>
  <c r="AG9" i="2"/>
  <c r="Q9" i="2"/>
  <c r="O9" i="2"/>
  <c r="N9" i="2"/>
  <c r="M9" i="2"/>
  <c r="G9" i="2"/>
  <c r="E9" i="2"/>
  <c r="R9" i="2" s="1"/>
  <c r="R116" i="1"/>
  <c r="J116" i="1"/>
  <c r="H116" i="1" s="1"/>
  <c r="I116" i="1"/>
  <c r="C116" i="1"/>
  <c r="R115" i="1"/>
  <c r="J115" i="1"/>
  <c r="I115" i="1"/>
  <c r="H115" i="1"/>
  <c r="C115" i="1"/>
  <c r="R114" i="1"/>
  <c r="J114" i="1"/>
  <c r="I114" i="1"/>
  <c r="H114" i="1"/>
  <c r="C114" i="1"/>
  <c r="R113" i="1"/>
  <c r="J113" i="1"/>
  <c r="I113" i="1"/>
  <c r="H113" i="1"/>
  <c r="C113" i="1"/>
  <c r="R112" i="1"/>
  <c r="J112" i="1"/>
  <c r="H112" i="1" s="1"/>
  <c r="I112" i="1"/>
  <c r="C112" i="1"/>
  <c r="R111" i="1"/>
  <c r="J111" i="1"/>
  <c r="H111" i="1" s="1"/>
  <c r="I111" i="1"/>
  <c r="C111" i="1"/>
  <c r="R110" i="1"/>
  <c r="J110" i="1"/>
  <c r="I110" i="1"/>
  <c r="H110" i="1"/>
  <c r="C110" i="1"/>
  <c r="R109" i="1"/>
  <c r="J109" i="1"/>
  <c r="I109" i="1"/>
  <c r="H109" i="1"/>
  <c r="C109" i="1"/>
  <c r="R108" i="1"/>
  <c r="J108" i="1"/>
  <c r="I108" i="1"/>
  <c r="H108" i="1"/>
  <c r="C108" i="1"/>
  <c r="R107" i="1"/>
  <c r="J107" i="1"/>
  <c r="I107" i="1"/>
  <c r="H107" i="1"/>
  <c r="C107" i="1"/>
  <c r="R106" i="1"/>
  <c r="J106" i="1"/>
  <c r="H106" i="1" s="1"/>
  <c r="I106" i="1"/>
  <c r="C106" i="1"/>
  <c r="R105" i="1"/>
  <c r="J105" i="1"/>
  <c r="H105" i="1" s="1"/>
  <c r="I105" i="1"/>
  <c r="C105" i="1"/>
  <c r="R104" i="1"/>
  <c r="I104" i="1"/>
  <c r="R103" i="1"/>
  <c r="J103" i="1"/>
  <c r="I103" i="1"/>
  <c r="H103" i="1"/>
  <c r="C103" i="1"/>
  <c r="R102" i="1"/>
  <c r="J102" i="1"/>
  <c r="I102" i="1"/>
  <c r="H102" i="1"/>
  <c r="C102" i="1"/>
  <c r="R101" i="1"/>
  <c r="J101" i="1"/>
  <c r="I101" i="1"/>
  <c r="H101" i="1"/>
  <c r="C101" i="1"/>
  <c r="R100" i="1"/>
  <c r="J100" i="1"/>
  <c r="I100" i="1"/>
  <c r="H100" i="1"/>
  <c r="C100" i="1"/>
  <c r="R99" i="1"/>
  <c r="J99" i="1"/>
  <c r="I99" i="1"/>
  <c r="H99" i="1"/>
  <c r="C99" i="1"/>
  <c r="R98" i="1"/>
  <c r="J98" i="1"/>
  <c r="I98" i="1"/>
  <c r="H98" i="1"/>
  <c r="C98" i="1"/>
  <c r="R97" i="1"/>
  <c r="J97" i="1"/>
  <c r="I97" i="1"/>
  <c r="H97" i="1"/>
  <c r="C97" i="1"/>
  <c r="R96" i="1"/>
  <c r="J96" i="1"/>
  <c r="I96" i="1"/>
  <c r="H96" i="1"/>
  <c r="C96" i="1"/>
  <c r="R95" i="1"/>
  <c r="J95" i="1"/>
  <c r="I95" i="1"/>
  <c r="H95" i="1"/>
  <c r="C95" i="1"/>
  <c r="R94" i="1"/>
  <c r="J94" i="1"/>
  <c r="I94" i="1"/>
  <c r="H94" i="1"/>
  <c r="C94" i="1"/>
  <c r="R93" i="1"/>
  <c r="J93" i="1"/>
  <c r="I93" i="1"/>
  <c r="H93" i="1"/>
  <c r="C93" i="1"/>
  <c r="A93" i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R92" i="1"/>
  <c r="J92" i="1"/>
  <c r="I92" i="1"/>
  <c r="H92" i="1"/>
  <c r="C92" i="1"/>
  <c r="R91" i="1"/>
  <c r="J91" i="1"/>
  <c r="I91" i="1"/>
  <c r="H91" i="1"/>
  <c r="C91" i="1"/>
  <c r="R90" i="1"/>
  <c r="J90" i="1"/>
  <c r="I90" i="1"/>
  <c r="H90" i="1"/>
  <c r="C90" i="1"/>
  <c r="R89" i="1"/>
  <c r="P89" i="1"/>
  <c r="O89" i="1"/>
  <c r="N89" i="1"/>
  <c r="M89" i="1"/>
  <c r="J89" i="1"/>
  <c r="I89" i="1"/>
  <c r="H89" i="1"/>
  <c r="AO88" i="1"/>
  <c r="AN88" i="1"/>
  <c r="AP88" i="1" s="1"/>
  <c r="AL88" i="1"/>
  <c r="AJ88" i="1"/>
  <c r="AI88" i="1"/>
  <c r="AH88" i="1"/>
  <c r="AF88" i="1"/>
  <c r="AD88" i="1"/>
  <c r="AC88" i="1"/>
  <c r="AB88" i="1"/>
  <c r="Z88" i="1"/>
  <c r="Y88" i="1"/>
  <c r="W88" i="1"/>
  <c r="U88" i="1"/>
  <c r="T88" i="1"/>
  <c r="S88" i="1"/>
  <c r="Q88" i="1"/>
  <c r="P88" i="1"/>
  <c r="O88" i="1"/>
  <c r="N88" i="1"/>
  <c r="M88" i="1"/>
  <c r="G88" i="1"/>
  <c r="F88" i="1"/>
  <c r="E88" i="1"/>
  <c r="R88" i="1" s="1"/>
  <c r="D88" i="1"/>
  <c r="AO87" i="1"/>
  <c r="AN87" i="1"/>
  <c r="AP87" i="1" s="1"/>
  <c r="AL87" i="1"/>
  <c r="AJ87" i="1"/>
  <c r="AI87" i="1"/>
  <c r="AH87" i="1"/>
  <c r="AF87" i="1"/>
  <c r="AD87" i="1"/>
  <c r="AC87" i="1"/>
  <c r="AG87" i="1" s="1"/>
  <c r="AB87" i="1"/>
  <c r="AE87" i="1" s="1"/>
  <c r="Z87" i="1"/>
  <c r="Y87" i="1"/>
  <c r="W87" i="1"/>
  <c r="U87" i="1"/>
  <c r="T87" i="1"/>
  <c r="S87" i="1"/>
  <c r="Q87" i="1"/>
  <c r="P87" i="1"/>
  <c r="O87" i="1"/>
  <c r="N87" i="1"/>
  <c r="M87" i="1"/>
  <c r="G87" i="1"/>
  <c r="F87" i="1"/>
  <c r="E87" i="1"/>
  <c r="R87" i="1" s="1"/>
  <c r="D87" i="1"/>
  <c r="AO86" i="1"/>
  <c r="AN86" i="1"/>
  <c r="AP86" i="1" s="1"/>
  <c r="AL86" i="1"/>
  <c r="AJ86" i="1"/>
  <c r="AI86" i="1"/>
  <c r="AH86" i="1"/>
  <c r="AF86" i="1"/>
  <c r="AD86" i="1"/>
  <c r="AC86" i="1"/>
  <c r="AG86" i="1" s="1"/>
  <c r="AB86" i="1"/>
  <c r="AE86" i="1" s="1"/>
  <c r="Z86" i="1"/>
  <c r="Y86" i="1"/>
  <c r="W86" i="1"/>
  <c r="U86" i="1"/>
  <c r="T86" i="1"/>
  <c r="S86" i="1"/>
  <c r="Q86" i="1"/>
  <c r="P86" i="1"/>
  <c r="O86" i="1"/>
  <c r="N86" i="1"/>
  <c r="M86" i="1"/>
  <c r="G86" i="1"/>
  <c r="F86" i="1"/>
  <c r="E86" i="1"/>
  <c r="R86" i="1" s="1"/>
  <c r="D86" i="1"/>
  <c r="AO85" i="1"/>
  <c r="AN85" i="1"/>
  <c r="AP85" i="1" s="1"/>
  <c r="AL85" i="1"/>
  <c r="AJ85" i="1"/>
  <c r="AI85" i="1"/>
  <c r="AH85" i="1"/>
  <c r="AF85" i="1"/>
  <c r="AD85" i="1"/>
  <c r="AC85" i="1"/>
  <c r="AG85" i="1" s="1"/>
  <c r="AB85" i="1"/>
  <c r="AE85" i="1" s="1"/>
  <c r="Z85" i="1"/>
  <c r="Y85" i="1"/>
  <c r="W85" i="1"/>
  <c r="U85" i="1"/>
  <c r="T85" i="1"/>
  <c r="S85" i="1"/>
  <c r="Q85" i="1"/>
  <c r="P85" i="1"/>
  <c r="O85" i="1"/>
  <c r="N85" i="1"/>
  <c r="M85" i="1"/>
  <c r="G85" i="1"/>
  <c r="F85" i="1"/>
  <c r="E85" i="1"/>
  <c r="R85" i="1" s="1"/>
  <c r="D85" i="1"/>
  <c r="AO84" i="1"/>
  <c r="AN84" i="1"/>
  <c r="AP84" i="1" s="1"/>
  <c r="AL84" i="1"/>
  <c r="AJ84" i="1"/>
  <c r="AI84" i="1"/>
  <c r="AH84" i="1"/>
  <c r="AF84" i="1"/>
  <c r="AD84" i="1"/>
  <c r="AC84" i="1"/>
  <c r="AG84" i="1" s="1"/>
  <c r="AB84" i="1"/>
  <c r="AE84" i="1" s="1"/>
  <c r="Z84" i="1"/>
  <c r="Y84" i="1"/>
  <c r="W84" i="1"/>
  <c r="U84" i="1"/>
  <c r="T84" i="1"/>
  <c r="S84" i="1"/>
  <c r="Q84" i="1"/>
  <c r="P84" i="1"/>
  <c r="O84" i="1"/>
  <c r="N84" i="1"/>
  <c r="M84" i="1"/>
  <c r="G84" i="1"/>
  <c r="F84" i="1"/>
  <c r="E84" i="1"/>
  <c r="D84" i="1"/>
  <c r="AO83" i="1"/>
  <c r="AN83" i="1"/>
  <c r="AP83" i="1" s="1"/>
  <c r="AL83" i="1"/>
  <c r="AJ83" i="1"/>
  <c r="AI83" i="1"/>
  <c r="AH83" i="1"/>
  <c r="AF83" i="1"/>
  <c r="AD83" i="1"/>
  <c r="AC83" i="1"/>
  <c r="AG83" i="1" s="1"/>
  <c r="AB83" i="1"/>
  <c r="AE83" i="1" s="1"/>
  <c r="Z83" i="1"/>
  <c r="Y83" i="1"/>
  <c r="W83" i="1"/>
  <c r="U83" i="1"/>
  <c r="T83" i="1"/>
  <c r="S83" i="1"/>
  <c r="Q83" i="1"/>
  <c r="P83" i="1"/>
  <c r="O83" i="1"/>
  <c r="N83" i="1"/>
  <c r="M83" i="1"/>
  <c r="G83" i="1"/>
  <c r="F83" i="1"/>
  <c r="E83" i="1"/>
  <c r="R83" i="1" s="1"/>
  <c r="D83" i="1"/>
  <c r="AO82" i="1"/>
  <c r="AN82" i="1"/>
  <c r="AP82" i="1" s="1"/>
  <c r="AL82" i="1"/>
  <c r="AJ82" i="1"/>
  <c r="AI82" i="1"/>
  <c r="AH82" i="1"/>
  <c r="AF82" i="1"/>
  <c r="AD82" i="1"/>
  <c r="AC82" i="1"/>
  <c r="AG82" i="1" s="1"/>
  <c r="AB82" i="1"/>
  <c r="AE82" i="1" s="1"/>
  <c r="Z82" i="1"/>
  <c r="Y82" i="1"/>
  <c r="W82" i="1"/>
  <c r="U82" i="1"/>
  <c r="T82" i="1"/>
  <c r="S82" i="1"/>
  <c r="Q82" i="1"/>
  <c r="P82" i="1"/>
  <c r="O82" i="1"/>
  <c r="N82" i="1"/>
  <c r="M82" i="1"/>
  <c r="G82" i="1"/>
  <c r="F82" i="1"/>
  <c r="E82" i="1"/>
  <c r="R82" i="1" s="1"/>
  <c r="D82" i="1"/>
  <c r="AO81" i="1"/>
  <c r="AN81" i="1"/>
  <c r="AP81" i="1" s="1"/>
  <c r="AL81" i="1"/>
  <c r="AJ81" i="1"/>
  <c r="AI81" i="1"/>
  <c r="AH81" i="1"/>
  <c r="AF81" i="1"/>
  <c r="AD81" i="1"/>
  <c r="AC81" i="1"/>
  <c r="AG81" i="1" s="1"/>
  <c r="AB81" i="1"/>
  <c r="AE81" i="1" s="1"/>
  <c r="Z81" i="1"/>
  <c r="Y81" i="1"/>
  <c r="W81" i="1"/>
  <c r="U81" i="1"/>
  <c r="T81" i="1"/>
  <c r="S81" i="1"/>
  <c r="Q81" i="1"/>
  <c r="P81" i="1"/>
  <c r="O81" i="1"/>
  <c r="N81" i="1"/>
  <c r="M81" i="1"/>
  <c r="G81" i="1"/>
  <c r="F81" i="1"/>
  <c r="E81" i="1"/>
  <c r="R81" i="1" s="1"/>
  <c r="D81" i="1"/>
  <c r="AO80" i="1"/>
  <c r="AN80" i="1"/>
  <c r="AP80" i="1" s="1"/>
  <c r="AL80" i="1"/>
  <c r="AJ80" i="1"/>
  <c r="AI80" i="1"/>
  <c r="AH80" i="1"/>
  <c r="AF80" i="1"/>
  <c r="AD80" i="1"/>
  <c r="AC80" i="1"/>
  <c r="AG80" i="1" s="1"/>
  <c r="AB80" i="1"/>
  <c r="AE80" i="1" s="1"/>
  <c r="Z80" i="1"/>
  <c r="Y80" i="1"/>
  <c r="W80" i="1"/>
  <c r="U80" i="1"/>
  <c r="T80" i="1"/>
  <c r="S80" i="1"/>
  <c r="Q80" i="1"/>
  <c r="P80" i="1"/>
  <c r="O80" i="1"/>
  <c r="N80" i="1"/>
  <c r="M80" i="1"/>
  <c r="G80" i="1"/>
  <c r="F80" i="1"/>
  <c r="E80" i="1"/>
  <c r="R80" i="1" s="1"/>
  <c r="D80" i="1"/>
  <c r="AO79" i="1"/>
  <c r="AN79" i="1"/>
  <c r="AP79" i="1" s="1"/>
  <c r="AL79" i="1"/>
  <c r="AJ79" i="1"/>
  <c r="AI79" i="1"/>
  <c r="AH79" i="1"/>
  <c r="AF79" i="1"/>
  <c r="AD79" i="1"/>
  <c r="AC79" i="1"/>
  <c r="AG79" i="1" s="1"/>
  <c r="AB79" i="1"/>
  <c r="AE79" i="1" s="1"/>
  <c r="Z79" i="1"/>
  <c r="Y79" i="1"/>
  <c r="W79" i="1"/>
  <c r="U79" i="1"/>
  <c r="T79" i="1"/>
  <c r="S79" i="1"/>
  <c r="Q79" i="1"/>
  <c r="P79" i="1"/>
  <c r="O79" i="1"/>
  <c r="N79" i="1"/>
  <c r="M79" i="1"/>
  <c r="G79" i="1"/>
  <c r="F79" i="1"/>
  <c r="E79" i="1"/>
  <c r="R79" i="1" s="1"/>
  <c r="D79" i="1"/>
  <c r="AO78" i="1"/>
  <c r="AN78" i="1"/>
  <c r="AP78" i="1" s="1"/>
  <c r="AL78" i="1"/>
  <c r="AJ78" i="1"/>
  <c r="AI78" i="1"/>
  <c r="AH78" i="1"/>
  <c r="AF78" i="1"/>
  <c r="AD78" i="1"/>
  <c r="AC78" i="1"/>
  <c r="AG78" i="1" s="1"/>
  <c r="AB78" i="1"/>
  <c r="AE78" i="1" s="1"/>
  <c r="Z78" i="1"/>
  <c r="Y78" i="1"/>
  <c r="W78" i="1"/>
  <c r="U78" i="1"/>
  <c r="T78" i="1"/>
  <c r="S78" i="1"/>
  <c r="Q78" i="1"/>
  <c r="P78" i="1"/>
  <c r="O78" i="1"/>
  <c r="N78" i="1"/>
  <c r="M78" i="1"/>
  <c r="G78" i="1"/>
  <c r="F78" i="1"/>
  <c r="E78" i="1"/>
  <c r="R78" i="1" s="1"/>
  <c r="D78" i="1"/>
  <c r="AO77" i="1"/>
  <c r="AN77" i="1"/>
  <c r="AP77" i="1" s="1"/>
  <c r="AL77" i="1"/>
  <c r="AJ77" i="1"/>
  <c r="AI77" i="1"/>
  <c r="AH77" i="1"/>
  <c r="AF77" i="1"/>
  <c r="AD77" i="1"/>
  <c r="AC77" i="1"/>
  <c r="AG77" i="1" s="1"/>
  <c r="AB77" i="1"/>
  <c r="AE77" i="1" s="1"/>
  <c r="Z77" i="1"/>
  <c r="Y77" i="1"/>
  <c r="W77" i="1"/>
  <c r="U77" i="1"/>
  <c r="T77" i="1"/>
  <c r="S77" i="1"/>
  <c r="Q77" i="1"/>
  <c r="P77" i="1"/>
  <c r="O77" i="1"/>
  <c r="N77" i="1"/>
  <c r="M77" i="1"/>
  <c r="G77" i="1"/>
  <c r="F77" i="1"/>
  <c r="E77" i="1"/>
  <c r="R77" i="1" s="1"/>
  <c r="D77" i="1"/>
  <c r="AO76" i="1"/>
  <c r="AN76" i="1"/>
  <c r="AP76" i="1" s="1"/>
  <c r="AL76" i="1"/>
  <c r="AJ76" i="1"/>
  <c r="AI76" i="1"/>
  <c r="AH76" i="1"/>
  <c r="AF76" i="1"/>
  <c r="AD76" i="1"/>
  <c r="AC76" i="1"/>
  <c r="AG76" i="1" s="1"/>
  <c r="AB76" i="1"/>
  <c r="Z76" i="1"/>
  <c r="Y76" i="1"/>
  <c r="W76" i="1"/>
  <c r="U76" i="1"/>
  <c r="T76" i="1"/>
  <c r="S76" i="1"/>
  <c r="Q76" i="1"/>
  <c r="P76" i="1"/>
  <c r="O76" i="1"/>
  <c r="N76" i="1"/>
  <c r="M76" i="1"/>
  <c r="G76" i="1"/>
  <c r="F76" i="1"/>
  <c r="E76" i="1"/>
  <c r="R76" i="1" s="1"/>
  <c r="D76" i="1"/>
  <c r="AO75" i="1"/>
  <c r="AN75" i="1"/>
  <c r="AP75" i="1" s="1"/>
  <c r="AL75" i="1"/>
  <c r="AJ75" i="1"/>
  <c r="AI75" i="1"/>
  <c r="AH75" i="1"/>
  <c r="AF75" i="1"/>
  <c r="AD75" i="1"/>
  <c r="AC75" i="1"/>
  <c r="AG75" i="1" s="1"/>
  <c r="AB75" i="1"/>
  <c r="AE75" i="1" s="1"/>
  <c r="Z75" i="1"/>
  <c r="Y75" i="1"/>
  <c r="W75" i="1"/>
  <c r="U75" i="1"/>
  <c r="T75" i="1"/>
  <c r="S75" i="1"/>
  <c r="Q75" i="1"/>
  <c r="P75" i="1"/>
  <c r="O75" i="1"/>
  <c r="N75" i="1"/>
  <c r="M75" i="1"/>
  <c r="G75" i="1"/>
  <c r="F75" i="1"/>
  <c r="E75" i="1"/>
  <c r="R75" i="1" s="1"/>
  <c r="D75" i="1"/>
  <c r="AO73" i="1"/>
  <c r="AN73" i="1"/>
  <c r="AL73" i="1"/>
  <c r="AJ73" i="1"/>
  <c r="AI73" i="1"/>
  <c r="AH73" i="1"/>
  <c r="AF73" i="1"/>
  <c r="AD73" i="1"/>
  <c r="AC73" i="1"/>
  <c r="AG73" i="1" s="1"/>
  <c r="AB73" i="1"/>
  <c r="AE73" i="1" s="1"/>
  <c r="Z73" i="1"/>
  <c r="Y73" i="1"/>
  <c r="W73" i="1"/>
  <c r="U73" i="1"/>
  <c r="T73" i="1"/>
  <c r="S73" i="1"/>
  <c r="Q73" i="1"/>
  <c r="P73" i="1"/>
  <c r="O73" i="1"/>
  <c r="N73" i="1"/>
  <c r="M73" i="1"/>
  <c r="G73" i="1"/>
  <c r="F73" i="1"/>
  <c r="E73" i="1"/>
  <c r="R73" i="1" s="1"/>
  <c r="D73" i="1"/>
  <c r="AO72" i="1"/>
  <c r="AN72" i="1"/>
  <c r="AP72" i="1" s="1"/>
  <c r="AL72" i="1"/>
  <c r="AJ72" i="1"/>
  <c r="AI72" i="1"/>
  <c r="AH72" i="1"/>
  <c r="AF72" i="1"/>
  <c r="AD72" i="1"/>
  <c r="AC72" i="1"/>
  <c r="AB72" i="1"/>
  <c r="Z72" i="1"/>
  <c r="Y72" i="1"/>
  <c r="W72" i="1"/>
  <c r="U72" i="1"/>
  <c r="T72" i="1"/>
  <c r="S72" i="1"/>
  <c r="Q72" i="1"/>
  <c r="P72" i="1"/>
  <c r="O72" i="1"/>
  <c r="N72" i="1"/>
  <c r="M72" i="1"/>
  <c r="G72" i="1"/>
  <c r="F72" i="1"/>
  <c r="E72" i="1"/>
  <c r="D72" i="1"/>
  <c r="AO71" i="1"/>
  <c r="AN71" i="1"/>
  <c r="AP71" i="1" s="1"/>
  <c r="AL71" i="1"/>
  <c r="AJ71" i="1"/>
  <c r="AI71" i="1"/>
  <c r="AH71" i="1"/>
  <c r="AF71" i="1"/>
  <c r="AD71" i="1"/>
  <c r="AC71" i="1"/>
  <c r="AG71" i="1" s="1"/>
  <c r="AB71" i="1"/>
  <c r="AE71" i="1" s="1"/>
  <c r="Z71" i="1"/>
  <c r="Y71" i="1"/>
  <c r="W71" i="1"/>
  <c r="U71" i="1"/>
  <c r="T71" i="1"/>
  <c r="S71" i="1"/>
  <c r="Q71" i="1"/>
  <c r="P71" i="1"/>
  <c r="O71" i="1"/>
  <c r="N71" i="1"/>
  <c r="M71" i="1"/>
  <c r="G71" i="1"/>
  <c r="F71" i="1"/>
  <c r="E71" i="1"/>
  <c r="R71" i="1" s="1"/>
  <c r="D71" i="1"/>
  <c r="AO70" i="1"/>
  <c r="AN70" i="1"/>
  <c r="AP70" i="1" s="1"/>
  <c r="AL70" i="1"/>
  <c r="AJ70" i="1"/>
  <c r="AI70" i="1"/>
  <c r="AH70" i="1"/>
  <c r="AF70" i="1"/>
  <c r="AD70" i="1"/>
  <c r="AC70" i="1"/>
  <c r="AG70" i="1" s="1"/>
  <c r="AB70" i="1"/>
  <c r="AE70" i="1" s="1"/>
  <c r="Z70" i="1"/>
  <c r="Y70" i="1"/>
  <c r="W70" i="1"/>
  <c r="U70" i="1"/>
  <c r="T70" i="1"/>
  <c r="S70" i="1"/>
  <c r="Q70" i="1"/>
  <c r="P70" i="1"/>
  <c r="O70" i="1"/>
  <c r="N70" i="1"/>
  <c r="M70" i="1"/>
  <c r="G70" i="1"/>
  <c r="F70" i="1"/>
  <c r="E70" i="1"/>
  <c r="R70" i="1" s="1"/>
  <c r="D70" i="1"/>
  <c r="AO69" i="1"/>
  <c r="AN69" i="1"/>
  <c r="AP69" i="1" s="1"/>
  <c r="AL69" i="1"/>
  <c r="AJ69" i="1"/>
  <c r="AI69" i="1"/>
  <c r="AH69" i="1"/>
  <c r="AF69" i="1"/>
  <c r="AD69" i="1"/>
  <c r="AC69" i="1"/>
  <c r="AG69" i="1" s="1"/>
  <c r="AB69" i="1"/>
  <c r="AE69" i="1" s="1"/>
  <c r="Z69" i="1"/>
  <c r="Y69" i="1"/>
  <c r="W69" i="1"/>
  <c r="U69" i="1"/>
  <c r="T69" i="1"/>
  <c r="S69" i="1"/>
  <c r="Q69" i="1"/>
  <c r="P69" i="1"/>
  <c r="O69" i="1"/>
  <c r="N69" i="1"/>
  <c r="M69" i="1"/>
  <c r="G69" i="1"/>
  <c r="F69" i="1"/>
  <c r="E69" i="1"/>
  <c r="R69" i="1" s="1"/>
  <c r="D69" i="1"/>
  <c r="AO68" i="1"/>
  <c r="AN68" i="1"/>
  <c r="AP68" i="1" s="1"/>
  <c r="AL68" i="1"/>
  <c r="AJ68" i="1"/>
  <c r="AI68" i="1"/>
  <c r="AH68" i="1"/>
  <c r="AF68" i="1"/>
  <c r="AD68" i="1"/>
  <c r="AC68" i="1"/>
  <c r="AB68" i="1"/>
  <c r="Z68" i="1"/>
  <c r="Y68" i="1"/>
  <c r="W68" i="1"/>
  <c r="U68" i="1"/>
  <c r="T68" i="1"/>
  <c r="S68" i="1"/>
  <c r="Q68" i="1"/>
  <c r="P68" i="1"/>
  <c r="O68" i="1"/>
  <c r="N68" i="1"/>
  <c r="M68" i="1"/>
  <c r="G68" i="1"/>
  <c r="F68" i="1"/>
  <c r="E68" i="1"/>
  <c r="R68" i="1" s="1"/>
  <c r="D68" i="1"/>
  <c r="AO67" i="1"/>
  <c r="AN67" i="1"/>
  <c r="AP67" i="1" s="1"/>
  <c r="AL67" i="1"/>
  <c r="AJ67" i="1"/>
  <c r="AI67" i="1"/>
  <c r="AH67" i="1"/>
  <c r="AF67" i="1"/>
  <c r="AD67" i="1"/>
  <c r="AC67" i="1"/>
  <c r="AG67" i="1" s="1"/>
  <c r="AB67" i="1"/>
  <c r="AE67" i="1" s="1"/>
  <c r="Z67" i="1"/>
  <c r="Y67" i="1"/>
  <c r="W67" i="1"/>
  <c r="U67" i="1"/>
  <c r="T67" i="1"/>
  <c r="S67" i="1"/>
  <c r="Q67" i="1"/>
  <c r="P67" i="1"/>
  <c r="O67" i="1"/>
  <c r="N67" i="1"/>
  <c r="M67" i="1"/>
  <c r="G67" i="1"/>
  <c r="F67" i="1"/>
  <c r="E67" i="1"/>
  <c r="R67" i="1" s="1"/>
  <c r="D67" i="1"/>
  <c r="AO66" i="1"/>
  <c r="AN66" i="1"/>
  <c r="AP66" i="1" s="1"/>
  <c r="AL66" i="1"/>
  <c r="AJ66" i="1"/>
  <c r="AI66" i="1"/>
  <c r="AH66" i="1"/>
  <c r="AF66" i="1"/>
  <c r="AD66" i="1"/>
  <c r="AC66" i="1"/>
  <c r="AG66" i="1" s="1"/>
  <c r="AB66" i="1"/>
  <c r="AE66" i="1" s="1"/>
  <c r="Z66" i="1"/>
  <c r="Y66" i="1"/>
  <c r="W66" i="1"/>
  <c r="U66" i="1"/>
  <c r="T66" i="1"/>
  <c r="S66" i="1"/>
  <c r="Q66" i="1"/>
  <c r="P66" i="1"/>
  <c r="O66" i="1"/>
  <c r="N66" i="1"/>
  <c r="M66" i="1"/>
  <c r="G66" i="1"/>
  <c r="F66" i="1"/>
  <c r="E66" i="1"/>
  <c r="R66" i="1" s="1"/>
  <c r="D66" i="1"/>
  <c r="AO65" i="1"/>
  <c r="AN65" i="1"/>
  <c r="AP65" i="1" s="1"/>
  <c r="AL65" i="1"/>
  <c r="AJ65" i="1"/>
  <c r="AI65" i="1"/>
  <c r="AH65" i="1"/>
  <c r="AF65" i="1"/>
  <c r="AD65" i="1"/>
  <c r="AC65" i="1"/>
  <c r="AG65" i="1" s="1"/>
  <c r="AB65" i="1"/>
  <c r="AE65" i="1" s="1"/>
  <c r="Z65" i="1"/>
  <c r="Y65" i="1"/>
  <c r="W65" i="1"/>
  <c r="U65" i="1"/>
  <c r="T65" i="1"/>
  <c r="S65" i="1"/>
  <c r="Q65" i="1"/>
  <c r="P65" i="1"/>
  <c r="O65" i="1"/>
  <c r="N65" i="1"/>
  <c r="M65" i="1"/>
  <c r="G65" i="1"/>
  <c r="F65" i="1"/>
  <c r="E65" i="1"/>
  <c r="R65" i="1" s="1"/>
  <c r="D65" i="1"/>
  <c r="AO64" i="1"/>
  <c r="AN64" i="1"/>
  <c r="AP64" i="1" s="1"/>
  <c r="AL64" i="1"/>
  <c r="AJ64" i="1"/>
  <c r="AI64" i="1"/>
  <c r="AH64" i="1"/>
  <c r="AF64" i="1"/>
  <c r="AD64" i="1"/>
  <c r="AC64" i="1"/>
  <c r="AB64" i="1"/>
  <c r="Z64" i="1"/>
  <c r="Y64" i="1"/>
  <c r="W64" i="1"/>
  <c r="U64" i="1"/>
  <c r="T64" i="1"/>
  <c r="S64" i="1"/>
  <c r="Q64" i="1"/>
  <c r="P64" i="1"/>
  <c r="O64" i="1"/>
  <c r="N64" i="1"/>
  <c r="M64" i="1"/>
  <c r="G64" i="1"/>
  <c r="F64" i="1"/>
  <c r="E64" i="1"/>
  <c r="R64" i="1" s="1"/>
  <c r="D64" i="1"/>
  <c r="AO63" i="1"/>
  <c r="AN63" i="1"/>
  <c r="AP63" i="1" s="1"/>
  <c r="AL63" i="1"/>
  <c r="AJ63" i="1"/>
  <c r="AI63" i="1"/>
  <c r="AH63" i="1"/>
  <c r="AF63" i="1"/>
  <c r="AD63" i="1"/>
  <c r="AC63" i="1"/>
  <c r="AG63" i="1" s="1"/>
  <c r="AB63" i="1"/>
  <c r="AE63" i="1" s="1"/>
  <c r="Z63" i="1"/>
  <c r="Y63" i="1"/>
  <c r="W63" i="1"/>
  <c r="U63" i="1"/>
  <c r="T63" i="1"/>
  <c r="S63" i="1"/>
  <c r="Q63" i="1"/>
  <c r="P63" i="1"/>
  <c r="O63" i="1"/>
  <c r="N63" i="1"/>
  <c r="M63" i="1"/>
  <c r="G63" i="1"/>
  <c r="F63" i="1"/>
  <c r="E63" i="1"/>
  <c r="R63" i="1" s="1"/>
  <c r="D63" i="1"/>
  <c r="AO62" i="1"/>
  <c r="AN62" i="1"/>
  <c r="AP62" i="1" s="1"/>
  <c r="AL62" i="1"/>
  <c r="AJ62" i="1"/>
  <c r="AI62" i="1"/>
  <c r="AH62" i="1"/>
  <c r="AF62" i="1"/>
  <c r="AD62" i="1"/>
  <c r="AC62" i="1"/>
  <c r="AG62" i="1" s="1"/>
  <c r="AB62" i="1"/>
  <c r="AE62" i="1" s="1"/>
  <c r="Z62" i="1"/>
  <c r="Y62" i="1"/>
  <c r="W62" i="1"/>
  <c r="U62" i="1"/>
  <c r="T62" i="1"/>
  <c r="S62" i="1"/>
  <c r="Q62" i="1"/>
  <c r="P62" i="1"/>
  <c r="O62" i="1"/>
  <c r="N62" i="1"/>
  <c r="M62" i="1"/>
  <c r="G62" i="1"/>
  <c r="F62" i="1"/>
  <c r="E62" i="1"/>
  <c r="R62" i="1" s="1"/>
  <c r="D62" i="1"/>
  <c r="AO61" i="1"/>
  <c r="AN61" i="1"/>
  <c r="AP61" i="1" s="1"/>
  <c r="AL61" i="1"/>
  <c r="AJ61" i="1"/>
  <c r="AI61" i="1"/>
  <c r="AH61" i="1"/>
  <c r="AF61" i="1"/>
  <c r="AD61" i="1"/>
  <c r="AC61" i="1"/>
  <c r="AG61" i="1" s="1"/>
  <c r="AB61" i="1"/>
  <c r="AE61" i="1" s="1"/>
  <c r="Z61" i="1"/>
  <c r="Y61" i="1"/>
  <c r="W61" i="1"/>
  <c r="U61" i="1"/>
  <c r="T61" i="1"/>
  <c r="S61" i="1"/>
  <c r="Q61" i="1"/>
  <c r="P61" i="1"/>
  <c r="O61" i="1"/>
  <c r="N61" i="1"/>
  <c r="M61" i="1"/>
  <c r="G61" i="1"/>
  <c r="F61" i="1"/>
  <c r="E61" i="1"/>
  <c r="R61" i="1" s="1"/>
  <c r="D61" i="1"/>
  <c r="AO60" i="1"/>
  <c r="AN60" i="1"/>
  <c r="AP60" i="1" s="1"/>
  <c r="AL60" i="1"/>
  <c r="AJ60" i="1"/>
  <c r="AI60" i="1"/>
  <c r="AH60" i="1"/>
  <c r="AF60" i="1"/>
  <c r="AD60" i="1"/>
  <c r="AC60" i="1"/>
  <c r="AG60" i="1" s="1"/>
  <c r="AB60" i="1"/>
  <c r="AE60" i="1" s="1"/>
  <c r="Z60" i="1"/>
  <c r="Y60" i="1"/>
  <c r="W60" i="1"/>
  <c r="U60" i="1"/>
  <c r="T60" i="1"/>
  <c r="S60" i="1"/>
  <c r="Q60" i="1"/>
  <c r="P60" i="1"/>
  <c r="O60" i="1"/>
  <c r="N60" i="1"/>
  <c r="M60" i="1"/>
  <c r="G60" i="1"/>
  <c r="F60" i="1"/>
  <c r="E60" i="1"/>
  <c r="R60" i="1" s="1"/>
  <c r="D60" i="1"/>
  <c r="AO59" i="1"/>
  <c r="AN59" i="1"/>
  <c r="AP59" i="1" s="1"/>
  <c r="AL59" i="1"/>
  <c r="AJ59" i="1"/>
  <c r="AI59" i="1"/>
  <c r="AH59" i="1"/>
  <c r="AF59" i="1"/>
  <c r="AD59" i="1"/>
  <c r="AC59" i="1"/>
  <c r="AB59" i="1"/>
  <c r="Z59" i="1"/>
  <c r="Y59" i="1"/>
  <c r="W59" i="1"/>
  <c r="U59" i="1"/>
  <c r="T59" i="1"/>
  <c r="S59" i="1"/>
  <c r="Q59" i="1"/>
  <c r="P59" i="1"/>
  <c r="O59" i="1"/>
  <c r="N59" i="1"/>
  <c r="M59" i="1"/>
  <c r="G59" i="1"/>
  <c r="F59" i="1"/>
  <c r="E59" i="1"/>
  <c r="R59" i="1" s="1"/>
  <c r="D59" i="1"/>
  <c r="AO58" i="1"/>
  <c r="AN58" i="1"/>
  <c r="AP58" i="1" s="1"/>
  <c r="AL58" i="1"/>
  <c r="AJ58" i="1"/>
  <c r="AI58" i="1"/>
  <c r="AH58" i="1"/>
  <c r="AF58" i="1"/>
  <c r="AD58" i="1"/>
  <c r="AC58" i="1"/>
  <c r="AG58" i="1" s="1"/>
  <c r="AB58" i="1"/>
  <c r="AE58" i="1" s="1"/>
  <c r="Z58" i="1"/>
  <c r="Y58" i="1"/>
  <c r="W58" i="1"/>
  <c r="U58" i="1"/>
  <c r="T58" i="1"/>
  <c r="S58" i="1"/>
  <c r="Q58" i="1"/>
  <c r="P58" i="1"/>
  <c r="O58" i="1"/>
  <c r="N58" i="1"/>
  <c r="M58" i="1"/>
  <c r="G58" i="1"/>
  <c r="F58" i="1"/>
  <c r="E58" i="1"/>
  <c r="R58" i="1" s="1"/>
  <c r="D58" i="1"/>
  <c r="AO57" i="1"/>
  <c r="AN57" i="1"/>
  <c r="AP57" i="1" s="1"/>
  <c r="AL57" i="1"/>
  <c r="AJ57" i="1"/>
  <c r="AI57" i="1"/>
  <c r="AH57" i="1"/>
  <c r="AF57" i="1"/>
  <c r="AD57" i="1"/>
  <c r="AC57" i="1"/>
  <c r="AG57" i="1" s="1"/>
  <c r="AB57" i="1"/>
  <c r="AE57" i="1" s="1"/>
  <c r="Z57" i="1"/>
  <c r="Y57" i="1"/>
  <c r="W57" i="1"/>
  <c r="U57" i="1"/>
  <c r="T57" i="1"/>
  <c r="S57" i="1"/>
  <c r="Q57" i="1"/>
  <c r="P57" i="1"/>
  <c r="O57" i="1"/>
  <c r="N57" i="1"/>
  <c r="M57" i="1"/>
  <c r="G57" i="1"/>
  <c r="F57" i="1"/>
  <c r="E57" i="1"/>
  <c r="R57" i="1" s="1"/>
  <c r="D57" i="1"/>
  <c r="AO56" i="1"/>
  <c r="AN56" i="1"/>
  <c r="AP56" i="1" s="1"/>
  <c r="AL56" i="1"/>
  <c r="AJ56" i="1"/>
  <c r="AI56" i="1"/>
  <c r="AH56" i="1"/>
  <c r="AF56" i="1"/>
  <c r="AD56" i="1"/>
  <c r="AC56" i="1"/>
  <c r="AG56" i="1" s="1"/>
  <c r="AB56" i="1"/>
  <c r="AE56" i="1" s="1"/>
  <c r="Z56" i="1"/>
  <c r="Y56" i="1"/>
  <c r="W56" i="1"/>
  <c r="U56" i="1"/>
  <c r="T56" i="1"/>
  <c r="S56" i="1"/>
  <c r="Q56" i="1"/>
  <c r="P56" i="1"/>
  <c r="O56" i="1"/>
  <c r="N56" i="1"/>
  <c r="M56" i="1"/>
  <c r="G56" i="1"/>
  <c r="F56" i="1"/>
  <c r="E56" i="1"/>
  <c r="R56" i="1" s="1"/>
  <c r="D56" i="1"/>
  <c r="AO55" i="1"/>
  <c r="AN55" i="1"/>
  <c r="AP55" i="1" s="1"/>
  <c r="AL55" i="1"/>
  <c r="AJ55" i="1"/>
  <c r="AI55" i="1"/>
  <c r="AH55" i="1"/>
  <c r="AF55" i="1"/>
  <c r="AD55" i="1"/>
  <c r="AC55" i="1"/>
  <c r="AB55" i="1"/>
  <c r="Z55" i="1"/>
  <c r="Y55" i="1"/>
  <c r="W55" i="1"/>
  <c r="U55" i="1"/>
  <c r="T55" i="1"/>
  <c r="S55" i="1"/>
  <c r="Q55" i="1"/>
  <c r="P55" i="1"/>
  <c r="O55" i="1"/>
  <c r="N55" i="1"/>
  <c r="M55" i="1"/>
  <c r="G55" i="1"/>
  <c r="F55" i="1"/>
  <c r="E55" i="1"/>
  <c r="R55" i="1" s="1"/>
  <c r="D55" i="1"/>
  <c r="AO54" i="1"/>
  <c r="AN54" i="1"/>
  <c r="AP54" i="1" s="1"/>
  <c r="AL54" i="1"/>
  <c r="AJ54" i="1"/>
  <c r="AI54" i="1"/>
  <c r="AH54" i="1"/>
  <c r="AF54" i="1"/>
  <c r="AD54" i="1"/>
  <c r="AC54" i="1"/>
  <c r="AG54" i="1" s="1"/>
  <c r="AB54" i="1"/>
  <c r="AE54" i="1" s="1"/>
  <c r="Z54" i="1"/>
  <c r="Y54" i="1"/>
  <c r="W54" i="1"/>
  <c r="U54" i="1"/>
  <c r="T54" i="1"/>
  <c r="S54" i="1"/>
  <c r="Q54" i="1"/>
  <c r="P54" i="1"/>
  <c r="O54" i="1"/>
  <c r="N54" i="1"/>
  <c r="M54" i="1"/>
  <c r="G54" i="1"/>
  <c r="F54" i="1"/>
  <c r="E54" i="1"/>
  <c r="R54" i="1" s="1"/>
  <c r="D54" i="1"/>
  <c r="AO53" i="1"/>
  <c r="AN53" i="1"/>
  <c r="AP53" i="1" s="1"/>
  <c r="AL53" i="1"/>
  <c r="AJ53" i="1"/>
  <c r="AI53" i="1"/>
  <c r="AH53" i="1"/>
  <c r="AF53" i="1"/>
  <c r="AD53" i="1"/>
  <c r="AC53" i="1"/>
  <c r="AG53" i="1" s="1"/>
  <c r="AB53" i="1"/>
  <c r="AE53" i="1" s="1"/>
  <c r="Z53" i="1"/>
  <c r="Y53" i="1"/>
  <c r="W53" i="1"/>
  <c r="U53" i="1"/>
  <c r="T53" i="1"/>
  <c r="S53" i="1"/>
  <c r="Q53" i="1"/>
  <c r="P53" i="1"/>
  <c r="O53" i="1"/>
  <c r="N53" i="1"/>
  <c r="M53" i="1"/>
  <c r="G53" i="1"/>
  <c r="F53" i="1"/>
  <c r="E53" i="1"/>
  <c r="R53" i="1" s="1"/>
  <c r="D53" i="1"/>
  <c r="AO51" i="1"/>
  <c r="AN51" i="1"/>
  <c r="AP51" i="1" s="1"/>
  <c r="AL51" i="1"/>
  <c r="AJ51" i="1"/>
  <c r="AI51" i="1"/>
  <c r="AH51" i="1"/>
  <c r="AF51" i="1"/>
  <c r="AD51" i="1"/>
  <c r="AC51" i="1"/>
  <c r="AG51" i="1" s="1"/>
  <c r="AB51" i="1"/>
  <c r="AE51" i="1" s="1"/>
  <c r="Z51" i="1"/>
  <c r="Y51" i="1"/>
  <c r="W51" i="1"/>
  <c r="U51" i="1"/>
  <c r="T51" i="1"/>
  <c r="S51" i="1"/>
  <c r="Q51" i="1"/>
  <c r="P51" i="1"/>
  <c r="O51" i="1"/>
  <c r="N51" i="1"/>
  <c r="M51" i="1"/>
  <c r="G51" i="1"/>
  <c r="F51" i="1"/>
  <c r="E51" i="1"/>
  <c r="R51" i="1" s="1"/>
  <c r="D51" i="1"/>
  <c r="AO50" i="1"/>
  <c r="AN50" i="1"/>
  <c r="AP50" i="1" s="1"/>
  <c r="AL50" i="1"/>
  <c r="AJ50" i="1"/>
  <c r="AI50" i="1"/>
  <c r="AH50" i="1"/>
  <c r="AF50" i="1"/>
  <c r="AD50" i="1"/>
  <c r="AC50" i="1"/>
  <c r="AG50" i="1" s="1"/>
  <c r="AB50" i="1"/>
  <c r="AE50" i="1" s="1"/>
  <c r="Z50" i="1"/>
  <c r="Y50" i="1"/>
  <c r="W50" i="1"/>
  <c r="U50" i="1"/>
  <c r="T50" i="1"/>
  <c r="S50" i="1"/>
  <c r="Q50" i="1"/>
  <c r="P50" i="1"/>
  <c r="O50" i="1"/>
  <c r="N50" i="1"/>
  <c r="M50" i="1"/>
  <c r="G50" i="1"/>
  <c r="F50" i="1"/>
  <c r="E50" i="1"/>
  <c r="R50" i="1" s="1"/>
  <c r="D50" i="1"/>
  <c r="AO49" i="1"/>
  <c r="AN49" i="1"/>
  <c r="AP49" i="1" s="1"/>
  <c r="AL49" i="1"/>
  <c r="AJ49" i="1"/>
  <c r="AI49" i="1"/>
  <c r="AH49" i="1"/>
  <c r="AF49" i="1"/>
  <c r="AD49" i="1"/>
  <c r="AC49" i="1"/>
  <c r="AG49" i="1" s="1"/>
  <c r="AB49" i="1"/>
  <c r="AE49" i="1" s="1"/>
  <c r="Z49" i="1"/>
  <c r="Y49" i="1"/>
  <c r="W49" i="1"/>
  <c r="U49" i="1"/>
  <c r="T49" i="1"/>
  <c r="S49" i="1"/>
  <c r="Q49" i="1"/>
  <c r="P49" i="1"/>
  <c r="O49" i="1"/>
  <c r="N49" i="1"/>
  <c r="M49" i="1"/>
  <c r="G49" i="1"/>
  <c r="F49" i="1"/>
  <c r="E49" i="1"/>
  <c r="R49" i="1" s="1"/>
  <c r="D49" i="1"/>
  <c r="AO48" i="1"/>
  <c r="AN48" i="1"/>
  <c r="AP48" i="1" s="1"/>
  <c r="AL48" i="1"/>
  <c r="AJ48" i="1"/>
  <c r="AI48" i="1"/>
  <c r="AH48" i="1"/>
  <c r="AF48" i="1"/>
  <c r="AD48" i="1"/>
  <c r="AC48" i="1"/>
  <c r="AG48" i="1" s="1"/>
  <c r="AB48" i="1"/>
  <c r="AE48" i="1" s="1"/>
  <c r="Z48" i="1"/>
  <c r="Y48" i="1"/>
  <c r="W48" i="1"/>
  <c r="U48" i="1"/>
  <c r="T48" i="1"/>
  <c r="S48" i="1"/>
  <c r="Q48" i="1"/>
  <c r="P48" i="1"/>
  <c r="O48" i="1"/>
  <c r="N48" i="1"/>
  <c r="M48" i="1"/>
  <c r="G48" i="1"/>
  <c r="F48" i="1"/>
  <c r="E48" i="1"/>
  <c r="R48" i="1" s="1"/>
  <c r="D48" i="1"/>
  <c r="AO47" i="1"/>
  <c r="AN47" i="1"/>
  <c r="AP47" i="1" s="1"/>
  <c r="AL47" i="1"/>
  <c r="AJ47" i="1"/>
  <c r="AI47" i="1"/>
  <c r="AH47" i="1"/>
  <c r="AF47" i="1"/>
  <c r="AD47" i="1"/>
  <c r="AC47" i="1"/>
  <c r="AG47" i="1" s="1"/>
  <c r="AB47" i="1"/>
  <c r="AE47" i="1" s="1"/>
  <c r="Z47" i="1"/>
  <c r="Y47" i="1"/>
  <c r="W47" i="1"/>
  <c r="U47" i="1"/>
  <c r="T47" i="1"/>
  <c r="S47" i="1"/>
  <c r="Q47" i="1"/>
  <c r="P47" i="1"/>
  <c r="O47" i="1"/>
  <c r="N47" i="1"/>
  <c r="M47" i="1"/>
  <c r="G47" i="1"/>
  <c r="F47" i="1"/>
  <c r="E47" i="1"/>
  <c r="R47" i="1" s="1"/>
  <c r="D47" i="1"/>
  <c r="AO46" i="1"/>
  <c r="AN46" i="1"/>
  <c r="AP46" i="1" s="1"/>
  <c r="AL46" i="1"/>
  <c r="AJ46" i="1"/>
  <c r="AI46" i="1"/>
  <c r="AH46" i="1"/>
  <c r="AF46" i="1"/>
  <c r="AD46" i="1"/>
  <c r="AC46" i="1"/>
  <c r="AB46" i="1"/>
  <c r="Z46" i="1"/>
  <c r="Y46" i="1"/>
  <c r="W46" i="1"/>
  <c r="U46" i="1"/>
  <c r="T46" i="1"/>
  <c r="S46" i="1"/>
  <c r="Q46" i="1"/>
  <c r="P46" i="1"/>
  <c r="O46" i="1"/>
  <c r="N46" i="1"/>
  <c r="M46" i="1"/>
  <c r="G46" i="1"/>
  <c r="F46" i="1"/>
  <c r="E46" i="1"/>
  <c r="R46" i="1" s="1"/>
  <c r="D46" i="1"/>
  <c r="AO45" i="1"/>
  <c r="AN45" i="1"/>
  <c r="AP45" i="1" s="1"/>
  <c r="AL45" i="1"/>
  <c r="AJ45" i="1"/>
  <c r="AI45" i="1"/>
  <c r="AH45" i="1"/>
  <c r="AF45" i="1"/>
  <c r="AD45" i="1"/>
  <c r="AC45" i="1"/>
  <c r="AG45" i="1" s="1"/>
  <c r="AB45" i="1"/>
  <c r="AE45" i="1" s="1"/>
  <c r="Z45" i="1"/>
  <c r="Y45" i="1"/>
  <c r="W45" i="1"/>
  <c r="U45" i="1"/>
  <c r="T45" i="1"/>
  <c r="S45" i="1"/>
  <c r="Q45" i="1"/>
  <c r="P45" i="1"/>
  <c r="O45" i="1"/>
  <c r="N45" i="1"/>
  <c r="M45" i="1"/>
  <c r="G45" i="1"/>
  <c r="F45" i="1"/>
  <c r="E45" i="1"/>
  <c r="R45" i="1" s="1"/>
  <c r="D45" i="1"/>
  <c r="AO44" i="1"/>
  <c r="AN44" i="1"/>
  <c r="AP44" i="1" s="1"/>
  <c r="AL44" i="1"/>
  <c r="AJ44" i="1"/>
  <c r="AI44" i="1"/>
  <c r="AH44" i="1"/>
  <c r="AF44" i="1"/>
  <c r="AD44" i="1"/>
  <c r="AC44" i="1"/>
  <c r="AG44" i="1" s="1"/>
  <c r="AB44" i="1"/>
  <c r="AE44" i="1" s="1"/>
  <c r="Z44" i="1"/>
  <c r="Y44" i="1"/>
  <c r="W44" i="1"/>
  <c r="U44" i="1"/>
  <c r="T44" i="1"/>
  <c r="S44" i="1"/>
  <c r="Q44" i="1"/>
  <c r="P44" i="1"/>
  <c r="O44" i="1"/>
  <c r="N44" i="1"/>
  <c r="M44" i="1"/>
  <c r="G44" i="1"/>
  <c r="F44" i="1"/>
  <c r="E44" i="1"/>
  <c r="R44" i="1" s="1"/>
  <c r="D44" i="1"/>
  <c r="AO43" i="1"/>
  <c r="AN43" i="1"/>
  <c r="AP43" i="1" s="1"/>
  <c r="AL43" i="1"/>
  <c r="AJ43" i="1"/>
  <c r="AI43" i="1"/>
  <c r="AH43" i="1"/>
  <c r="AF43" i="1"/>
  <c r="AD43" i="1"/>
  <c r="AC43" i="1"/>
  <c r="AG43" i="1" s="1"/>
  <c r="AB43" i="1"/>
  <c r="AE43" i="1" s="1"/>
  <c r="Z43" i="1"/>
  <c r="Y43" i="1"/>
  <c r="W43" i="1"/>
  <c r="U43" i="1"/>
  <c r="T43" i="1"/>
  <c r="S43" i="1"/>
  <c r="Q43" i="1"/>
  <c r="P43" i="1"/>
  <c r="O43" i="1"/>
  <c r="N43" i="1"/>
  <c r="M43" i="1"/>
  <c r="G43" i="1"/>
  <c r="F43" i="1"/>
  <c r="E43" i="1"/>
  <c r="R43" i="1" s="1"/>
  <c r="D43" i="1"/>
  <c r="AO42" i="1"/>
  <c r="AN42" i="1"/>
  <c r="AP42" i="1" s="1"/>
  <c r="AL42" i="1"/>
  <c r="AJ42" i="1"/>
  <c r="AI42" i="1"/>
  <c r="AH42" i="1"/>
  <c r="AF42" i="1"/>
  <c r="AD42" i="1"/>
  <c r="AC42" i="1"/>
  <c r="AG42" i="1" s="1"/>
  <c r="AB42" i="1"/>
  <c r="AE42" i="1" s="1"/>
  <c r="Z42" i="1"/>
  <c r="Y42" i="1"/>
  <c r="W42" i="1"/>
  <c r="U42" i="1"/>
  <c r="T42" i="1"/>
  <c r="S42" i="1"/>
  <c r="Q42" i="1"/>
  <c r="P42" i="1"/>
  <c r="O42" i="1"/>
  <c r="N42" i="1"/>
  <c r="M42" i="1"/>
  <c r="G42" i="1"/>
  <c r="F42" i="1"/>
  <c r="E42" i="1"/>
  <c r="R42" i="1" s="1"/>
  <c r="D42" i="1"/>
  <c r="AO41" i="1"/>
  <c r="AN41" i="1"/>
  <c r="AP41" i="1" s="1"/>
  <c r="AL41" i="1"/>
  <c r="AJ41" i="1"/>
  <c r="AI41" i="1"/>
  <c r="AH41" i="1"/>
  <c r="AF41" i="1"/>
  <c r="AD41" i="1"/>
  <c r="AC41" i="1"/>
  <c r="AG41" i="1" s="1"/>
  <c r="AB41" i="1"/>
  <c r="AE41" i="1" s="1"/>
  <c r="Z41" i="1"/>
  <c r="Y41" i="1"/>
  <c r="W41" i="1"/>
  <c r="U41" i="1"/>
  <c r="T41" i="1"/>
  <c r="S41" i="1"/>
  <c r="Q41" i="1"/>
  <c r="P41" i="1"/>
  <c r="O41" i="1"/>
  <c r="N41" i="1"/>
  <c r="M41" i="1"/>
  <c r="G41" i="1"/>
  <c r="F41" i="1"/>
  <c r="E41" i="1"/>
  <c r="R41" i="1" s="1"/>
  <c r="D41" i="1"/>
  <c r="AO40" i="1"/>
  <c r="AN40" i="1"/>
  <c r="AP40" i="1" s="1"/>
  <c r="AL40" i="1"/>
  <c r="AJ40" i="1"/>
  <c r="AI40" i="1"/>
  <c r="AH40" i="1"/>
  <c r="AF40" i="1"/>
  <c r="AD40" i="1"/>
  <c r="AC40" i="1"/>
  <c r="AG40" i="1" s="1"/>
  <c r="AB40" i="1"/>
  <c r="AE40" i="1" s="1"/>
  <c r="Z40" i="1"/>
  <c r="Y40" i="1"/>
  <c r="W40" i="1"/>
  <c r="U40" i="1"/>
  <c r="T40" i="1"/>
  <c r="S40" i="1"/>
  <c r="Q40" i="1"/>
  <c r="P40" i="1"/>
  <c r="O40" i="1"/>
  <c r="N40" i="1"/>
  <c r="M40" i="1"/>
  <c r="G40" i="1"/>
  <c r="F40" i="1"/>
  <c r="E40" i="1"/>
  <c r="R40" i="1" s="1"/>
  <c r="D40" i="1"/>
  <c r="AO39" i="1"/>
  <c r="AN39" i="1"/>
  <c r="AP39" i="1" s="1"/>
  <c r="AL39" i="1"/>
  <c r="AJ39" i="1"/>
  <c r="AI39" i="1"/>
  <c r="AH39" i="1"/>
  <c r="AF39" i="1"/>
  <c r="AD39" i="1"/>
  <c r="AC39" i="1"/>
  <c r="AG39" i="1" s="1"/>
  <c r="AB39" i="1"/>
  <c r="AE39" i="1" s="1"/>
  <c r="Z39" i="1"/>
  <c r="Y39" i="1"/>
  <c r="W39" i="1"/>
  <c r="U39" i="1"/>
  <c r="T39" i="1"/>
  <c r="S39" i="1"/>
  <c r="Q39" i="1"/>
  <c r="P39" i="1"/>
  <c r="O39" i="1"/>
  <c r="N39" i="1"/>
  <c r="M39" i="1"/>
  <c r="G39" i="1"/>
  <c r="F39" i="1"/>
  <c r="E39" i="1"/>
  <c r="R39" i="1" s="1"/>
  <c r="D39" i="1"/>
  <c r="AO38" i="1"/>
  <c r="AN38" i="1"/>
  <c r="AP38" i="1" s="1"/>
  <c r="AL38" i="1"/>
  <c r="AJ38" i="1"/>
  <c r="AI38" i="1"/>
  <c r="AH38" i="1"/>
  <c r="AF38" i="1"/>
  <c r="AD38" i="1"/>
  <c r="AC38" i="1"/>
  <c r="AG38" i="1" s="1"/>
  <c r="AB38" i="1"/>
  <c r="AE38" i="1" s="1"/>
  <c r="Z38" i="1"/>
  <c r="Y38" i="1"/>
  <c r="W38" i="1"/>
  <c r="U38" i="1"/>
  <c r="T38" i="1"/>
  <c r="S38" i="1"/>
  <c r="Q38" i="1"/>
  <c r="P38" i="1"/>
  <c r="O38" i="1"/>
  <c r="N38" i="1"/>
  <c r="M38" i="1"/>
  <c r="G38" i="1"/>
  <c r="F38" i="1"/>
  <c r="E38" i="1"/>
  <c r="R38" i="1" s="1"/>
  <c r="D38" i="1"/>
  <c r="AO37" i="1"/>
  <c r="AN37" i="1"/>
  <c r="AP37" i="1" s="1"/>
  <c r="AL37" i="1"/>
  <c r="AJ37" i="1"/>
  <c r="AI37" i="1"/>
  <c r="AH37" i="1"/>
  <c r="AF37" i="1"/>
  <c r="AD37" i="1"/>
  <c r="AC37" i="1"/>
  <c r="AG37" i="1" s="1"/>
  <c r="AB37" i="1"/>
  <c r="AE37" i="1" s="1"/>
  <c r="Z37" i="1"/>
  <c r="Y37" i="1"/>
  <c r="W37" i="1"/>
  <c r="U37" i="1"/>
  <c r="T37" i="1"/>
  <c r="S37" i="1"/>
  <c r="Q37" i="1"/>
  <c r="P37" i="1"/>
  <c r="O37" i="1"/>
  <c r="N37" i="1"/>
  <c r="M37" i="1"/>
  <c r="G37" i="1"/>
  <c r="F37" i="1"/>
  <c r="E37" i="1"/>
  <c r="R37" i="1" s="1"/>
  <c r="D37" i="1"/>
  <c r="AO36" i="1"/>
  <c r="AN36" i="1"/>
  <c r="AP36" i="1" s="1"/>
  <c r="AL36" i="1"/>
  <c r="AJ36" i="1"/>
  <c r="AI36" i="1"/>
  <c r="AH36" i="1"/>
  <c r="AF36" i="1"/>
  <c r="AD36" i="1"/>
  <c r="AC36" i="1"/>
  <c r="AB36" i="1"/>
  <c r="Z36" i="1"/>
  <c r="Y36" i="1"/>
  <c r="W36" i="1"/>
  <c r="U36" i="1"/>
  <c r="T36" i="1"/>
  <c r="S36" i="1"/>
  <c r="Q36" i="1"/>
  <c r="P36" i="1"/>
  <c r="O36" i="1"/>
  <c r="N36" i="1"/>
  <c r="M36" i="1"/>
  <c r="G36" i="1"/>
  <c r="F36" i="1"/>
  <c r="E36" i="1"/>
  <c r="R36" i="1" s="1"/>
  <c r="D36" i="1"/>
  <c r="AO35" i="1"/>
  <c r="AN35" i="1"/>
  <c r="AP35" i="1" s="1"/>
  <c r="AL35" i="1"/>
  <c r="AJ35" i="1"/>
  <c r="AI35" i="1"/>
  <c r="AH35" i="1"/>
  <c r="AF35" i="1"/>
  <c r="AD35" i="1"/>
  <c r="AC35" i="1"/>
  <c r="AG35" i="1" s="1"/>
  <c r="AB35" i="1"/>
  <c r="AE35" i="1" s="1"/>
  <c r="Z35" i="1"/>
  <c r="Y35" i="1"/>
  <c r="W35" i="1"/>
  <c r="U35" i="1"/>
  <c r="T35" i="1"/>
  <c r="S35" i="1"/>
  <c r="Q35" i="1"/>
  <c r="P35" i="1"/>
  <c r="O35" i="1"/>
  <c r="N35" i="1"/>
  <c r="M35" i="1"/>
  <c r="G35" i="1"/>
  <c r="F35" i="1"/>
  <c r="E35" i="1"/>
  <c r="R35" i="1" s="1"/>
  <c r="D35" i="1"/>
  <c r="AO34" i="1"/>
  <c r="AN34" i="1"/>
  <c r="AP34" i="1" s="1"/>
  <c r="AL34" i="1"/>
  <c r="AJ34" i="1"/>
  <c r="AI34" i="1"/>
  <c r="AH34" i="1"/>
  <c r="AF34" i="1"/>
  <c r="AD34" i="1"/>
  <c r="AC34" i="1"/>
  <c r="AG34" i="1" s="1"/>
  <c r="AB34" i="1"/>
  <c r="AE34" i="1" s="1"/>
  <c r="Z34" i="1"/>
  <c r="Y34" i="1"/>
  <c r="W34" i="1"/>
  <c r="U34" i="1"/>
  <c r="T34" i="1"/>
  <c r="S34" i="1"/>
  <c r="Q34" i="1"/>
  <c r="P34" i="1"/>
  <c r="O34" i="1"/>
  <c r="N34" i="1"/>
  <c r="M34" i="1"/>
  <c r="G34" i="1"/>
  <c r="F34" i="1"/>
  <c r="E34" i="1"/>
  <c r="R34" i="1" s="1"/>
  <c r="D34" i="1"/>
  <c r="AO33" i="1"/>
  <c r="AN33" i="1"/>
  <c r="AP33" i="1" s="1"/>
  <c r="AL33" i="1"/>
  <c r="AJ33" i="1"/>
  <c r="AI33" i="1"/>
  <c r="AH33" i="1"/>
  <c r="AF33" i="1"/>
  <c r="AD33" i="1"/>
  <c r="AC33" i="1"/>
  <c r="AG33" i="1" s="1"/>
  <c r="AB33" i="1"/>
  <c r="AE33" i="1" s="1"/>
  <c r="Z33" i="1"/>
  <c r="Y33" i="1"/>
  <c r="W33" i="1"/>
  <c r="U33" i="1"/>
  <c r="T33" i="1"/>
  <c r="S33" i="1"/>
  <c r="Q33" i="1"/>
  <c r="P33" i="1"/>
  <c r="O33" i="1"/>
  <c r="N33" i="1"/>
  <c r="M33" i="1"/>
  <c r="G33" i="1"/>
  <c r="F33" i="1"/>
  <c r="E33" i="1"/>
  <c r="R33" i="1" s="1"/>
  <c r="D33" i="1"/>
  <c r="AO32" i="1"/>
  <c r="AN32" i="1"/>
  <c r="AL32" i="1"/>
  <c r="AJ32" i="1"/>
  <c r="AI32" i="1"/>
  <c r="AH32" i="1"/>
  <c r="AF32" i="1"/>
  <c r="AD32" i="1"/>
  <c r="AC32" i="1"/>
  <c r="AG32" i="1" s="1"/>
  <c r="AB32" i="1"/>
  <c r="AE32" i="1" s="1"/>
  <c r="Z32" i="1"/>
  <c r="Y32" i="1"/>
  <c r="W32" i="1"/>
  <c r="U32" i="1"/>
  <c r="T32" i="1"/>
  <c r="S32" i="1"/>
  <c r="Q32" i="1"/>
  <c r="P32" i="1"/>
  <c r="O32" i="1"/>
  <c r="N32" i="1"/>
  <c r="M32" i="1"/>
  <c r="G32" i="1"/>
  <c r="F32" i="1"/>
  <c r="E32" i="1"/>
  <c r="R32" i="1" s="1"/>
  <c r="D32" i="1"/>
  <c r="AO30" i="1"/>
  <c r="AN30" i="1"/>
  <c r="AP30" i="1" s="1"/>
  <c r="AL30" i="1"/>
  <c r="AJ30" i="1"/>
  <c r="AI30" i="1"/>
  <c r="AH30" i="1"/>
  <c r="AF30" i="1"/>
  <c r="AD30" i="1"/>
  <c r="AC30" i="1"/>
  <c r="AG30" i="1" s="1"/>
  <c r="AB30" i="1"/>
  <c r="AE30" i="1" s="1"/>
  <c r="Z30" i="1"/>
  <c r="Y30" i="1"/>
  <c r="W30" i="1"/>
  <c r="U30" i="1"/>
  <c r="T30" i="1"/>
  <c r="S30" i="1"/>
  <c r="Q30" i="1"/>
  <c r="P30" i="1"/>
  <c r="O30" i="1"/>
  <c r="N30" i="1"/>
  <c r="M30" i="1"/>
  <c r="G30" i="1"/>
  <c r="F30" i="1"/>
  <c r="E30" i="1"/>
  <c r="R30" i="1" s="1"/>
  <c r="D30" i="1"/>
  <c r="AO29" i="1"/>
  <c r="AN29" i="1"/>
  <c r="AP29" i="1" s="1"/>
  <c r="AL29" i="1"/>
  <c r="AJ29" i="1"/>
  <c r="AI29" i="1"/>
  <c r="AH29" i="1"/>
  <c r="AF29" i="1"/>
  <c r="AD29" i="1"/>
  <c r="AC29" i="1"/>
  <c r="AG29" i="1" s="1"/>
  <c r="AB29" i="1"/>
  <c r="AE29" i="1" s="1"/>
  <c r="Z29" i="1"/>
  <c r="Y29" i="1"/>
  <c r="W29" i="1"/>
  <c r="U29" i="1"/>
  <c r="T29" i="1"/>
  <c r="S29" i="1"/>
  <c r="Q29" i="1"/>
  <c r="P29" i="1"/>
  <c r="O29" i="1"/>
  <c r="N29" i="1"/>
  <c r="M29" i="1"/>
  <c r="G29" i="1"/>
  <c r="F29" i="1"/>
  <c r="E29" i="1"/>
  <c r="R29" i="1" s="1"/>
  <c r="D29" i="1"/>
  <c r="AO28" i="1"/>
  <c r="AN28" i="1"/>
  <c r="AP28" i="1" s="1"/>
  <c r="AL28" i="1"/>
  <c r="AJ28" i="1"/>
  <c r="AI28" i="1"/>
  <c r="AH28" i="1"/>
  <c r="AF28" i="1"/>
  <c r="AD28" i="1"/>
  <c r="AC28" i="1"/>
  <c r="AB28" i="1"/>
  <c r="Z28" i="1"/>
  <c r="Y28" i="1"/>
  <c r="W28" i="1"/>
  <c r="U28" i="1"/>
  <c r="T28" i="1"/>
  <c r="S28" i="1"/>
  <c r="Q28" i="1"/>
  <c r="P28" i="1"/>
  <c r="O28" i="1"/>
  <c r="N28" i="1"/>
  <c r="M28" i="1"/>
  <c r="G28" i="1"/>
  <c r="F28" i="1"/>
  <c r="E28" i="1"/>
  <c r="R28" i="1" s="1"/>
  <c r="D28" i="1"/>
  <c r="AO27" i="1"/>
  <c r="AN27" i="1"/>
  <c r="AP27" i="1" s="1"/>
  <c r="AL27" i="1"/>
  <c r="AJ27" i="1"/>
  <c r="AI27" i="1"/>
  <c r="AH27" i="1"/>
  <c r="AF27" i="1"/>
  <c r="AD27" i="1"/>
  <c r="AC27" i="1"/>
  <c r="AB27" i="1"/>
  <c r="Z27" i="1"/>
  <c r="Y27" i="1"/>
  <c r="W27" i="1"/>
  <c r="U27" i="1"/>
  <c r="T27" i="1"/>
  <c r="S27" i="1"/>
  <c r="Q27" i="1"/>
  <c r="P27" i="1"/>
  <c r="O27" i="1"/>
  <c r="N27" i="1"/>
  <c r="M27" i="1"/>
  <c r="G27" i="1"/>
  <c r="F27" i="1"/>
  <c r="E27" i="1"/>
  <c r="R27" i="1" s="1"/>
  <c r="D27" i="1"/>
  <c r="AO26" i="1"/>
  <c r="AN26" i="1"/>
  <c r="AP26" i="1" s="1"/>
  <c r="AL26" i="1"/>
  <c r="AJ26" i="1"/>
  <c r="AI26" i="1"/>
  <c r="AH26" i="1"/>
  <c r="AF26" i="1"/>
  <c r="AD26" i="1"/>
  <c r="AC26" i="1"/>
  <c r="AB26" i="1"/>
  <c r="Z26" i="1"/>
  <c r="Y26" i="1"/>
  <c r="W26" i="1"/>
  <c r="U26" i="1"/>
  <c r="T26" i="1"/>
  <c r="S26" i="1"/>
  <c r="Q26" i="1"/>
  <c r="P26" i="1"/>
  <c r="O26" i="1"/>
  <c r="N26" i="1"/>
  <c r="M26" i="1"/>
  <c r="G26" i="1"/>
  <c r="F26" i="1"/>
  <c r="E26" i="1"/>
  <c r="R26" i="1" s="1"/>
  <c r="D26" i="1"/>
  <c r="AO25" i="1"/>
  <c r="AN25" i="1"/>
  <c r="AP25" i="1" s="1"/>
  <c r="AL25" i="1"/>
  <c r="AJ25" i="1"/>
  <c r="AI25" i="1"/>
  <c r="AH25" i="1"/>
  <c r="AF25" i="1"/>
  <c r="AD25" i="1"/>
  <c r="AC25" i="1"/>
  <c r="AG25" i="1" s="1"/>
  <c r="AB25" i="1"/>
  <c r="AE25" i="1" s="1"/>
  <c r="Z25" i="1"/>
  <c r="Y25" i="1"/>
  <c r="W25" i="1"/>
  <c r="U25" i="1"/>
  <c r="T25" i="1"/>
  <c r="S25" i="1"/>
  <c r="Q25" i="1"/>
  <c r="P25" i="1"/>
  <c r="O25" i="1"/>
  <c r="N25" i="1"/>
  <c r="M25" i="1"/>
  <c r="G25" i="1"/>
  <c r="F25" i="1"/>
  <c r="E25" i="1"/>
  <c r="R25" i="1" s="1"/>
  <c r="D25" i="1"/>
  <c r="AO24" i="1"/>
  <c r="AN24" i="1"/>
  <c r="AP24" i="1" s="1"/>
  <c r="AL24" i="1"/>
  <c r="AJ24" i="1"/>
  <c r="AI24" i="1"/>
  <c r="AH24" i="1"/>
  <c r="AF24" i="1"/>
  <c r="AD24" i="1"/>
  <c r="AC24" i="1"/>
  <c r="AG24" i="1" s="1"/>
  <c r="AB24" i="1"/>
  <c r="AE24" i="1" s="1"/>
  <c r="Z24" i="1"/>
  <c r="Y24" i="1"/>
  <c r="W24" i="1"/>
  <c r="U24" i="1"/>
  <c r="T24" i="1"/>
  <c r="S24" i="1"/>
  <c r="Q24" i="1"/>
  <c r="P24" i="1"/>
  <c r="O24" i="1"/>
  <c r="N24" i="1"/>
  <c r="M24" i="1"/>
  <c r="G24" i="1"/>
  <c r="F24" i="1"/>
  <c r="E24" i="1"/>
  <c r="R24" i="1" s="1"/>
  <c r="D24" i="1"/>
  <c r="AO23" i="1"/>
  <c r="AN23" i="1"/>
  <c r="AP23" i="1" s="1"/>
  <c r="AL23" i="1"/>
  <c r="AJ23" i="1"/>
  <c r="AI23" i="1"/>
  <c r="AH23" i="1"/>
  <c r="AF23" i="1"/>
  <c r="AD23" i="1"/>
  <c r="AC23" i="1"/>
  <c r="AG23" i="1" s="1"/>
  <c r="AB23" i="1"/>
  <c r="AE23" i="1" s="1"/>
  <c r="Z23" i="1"/>
  <c r="Y23" i="1"/>
  <c r="W23" i="1"/>
  <c r="U23" i="1"/>
  <c r="T23" i="1"/>
  <c r="S23" i="1"/>
  <c r="Q23" i="1"/>
  <c r="P23" i="1"/>
  <c r="O23" i="1"/>
  <c r="N23" i="1"/>
  <c r="M23" i="1"/>
  <c r="G23" i="1"/>
  <c r="F23" i="1"/>
  <c r="E23" i="1"/>
  <c r="R23" i="1" s="1"/>
  <c r="D23" i="1"/>
  <c r="AO22" i="1"/>
  <c r="AN22" i="1"/>
  <c r="AP22" i="1" s="1"/>
  <c r="AL22" i="1"/>
  <c r="AJ22" i="1"/>
  <c r="AI22" i="1"/>
  <c r="AH22" i="1"/>
  <c r="AF22" i="1"/>
  <c r="AD22" i="1"/>
  <c r="AC22" i="1"/>
  <c r="AG22" i="1" s="1"/>
  <c r="AB22" i="1"/>
  <c r="AE22" i="1" s="1"/>
  <c r="Z22" i="1"/>
  <c r="Y22" i="1"/>
  <c r="W22" i="1"/>
  <c r="U22" i="1"/>
  <c r="T22" i="1"/>
  <c r="S22" i="1"/>
  <c r="Q22" i="1"/>
  <c r="P22" i="1"/>
  <c r="O22" i="1"/>
  <c r="N22" i="1"/>
  <c r="M22" i="1"/>
  <c r="G22" i="1"/>
  <c r="F22" i="1"/>
  <c r="E22" i="1"/>
  <c r="R22" i="1" s="1"/>
  <c r="D22" i="1"/>
  <c r="AO21" i="1"/>
  <c r="AN21" i="1"/>
  <c r="AP21" i="1" s="1"/>
  <c r="AL21" i="1"/>
  <c r="AJ21" i="1"/>
  <c r="AI21" i="1"/>
  <c r="AH21" i="1"/>
  <c r="AF21" i="1"/>
  <c r="AD21" i="1"/>
  <c r="AC21" i="1"/>
  <c r="AG21" i="1" s="1"/>
  <c r="AB21" i="1"/>
  <c r="AE21" i="1" s="1"/>
  <c r="Z21" i="1"/>
  <c r="Y21" i="1"/>
  <c r="W21" i="1"/>
  <c r="U21" i="1"/>
  <c r="T21" i="1"/>
  <c r="S21" i="1"/>
  <c r="Q21" i="1"/>
  <c r="P21" i="1"/>
  <c r="O21" i="1"/>
  <c r="N21" i="1"/>
  <c r="M21" i="1"/>
  <c r="G21" i="1"/>
  <c r="F21" i="1"/>
  <c r="E21" i="1"/>
  <c r="R21" i="1" s="1"/>
  <c r="D21" i="1"/>
  <c r="AO20" i="1"/>
  <c r="AN20" i="1"/>
  <c r="AP20" i="1" s="1"/>
  <c r="AL20" i="1"/>
  <c r="AJ20" i="1"/>
  <c r="AI20" i="1"/>
  <c r="AH20" i="1"/>
  <c r="AF20" i="1"/>
  <c r="AD20" i="1"/>
  <c r="AC20" i="1"/>
  <c r="AB20" i="1"/>
  <c r="Z20" i="1"/>
  <c r="Y20" i="1"/>
  <c r="W20" i="1"/>
  <c r="U20" i="1"/>
  <c r="T20" i="1"/>
  <c r="S20" i="1"/>
  <c r="Q20" i="1"/>
  <c r="P20" i="1"/>
  <c r="O20" i="1"/>
  <c r="N20" i="1"/>
  <c r="M20" i="1"/>
  <c r="G20" i="1"/>
  <c r="F20" i="1"/>
  <c r="E20" i="1"/>
  <c r="R20" i="1" s="1"/>
  <c r="D20" i="1"/>
  <c r="AO19" i="1"/>
  <c r="AN19" i="1"/>
  <c r="AP19" i="1" s="1"/>
  <c r="AL19" i="1"/>
  <c r="AJ19" i="1"/>
  <c r="AI19" i="1"/>
  <c r="AH19" i="1"/>
  <c r="AF19" i="1"/>
  <c r="AD19" i="1"/>
  <c r="AC19" i="1"/>
  <c r="AG19" i="1" s="1"/>
  <c r="AB19" i="1"/>
  <c r="AE19" i="1" s="1"/>
  <c r="Z19" i="1"/>
  <c r="Y19" i="1"/>
  <c r="W19" i="1"/>
  <c r="U19" i="1"/>
  <c r="T19" i="1"/>
  <c r="S19" i="1"/>
  <c r="Q19" i="1"/>
  <c r="P19" i="1"/>
  <c r="O19" i="1"/>
  <c r="N19" i="1"/>
  <c r="M19" i="1"/>
  <c r="G19" i="1"/>
  <c r="F19" i="1"/>
  <c r="E19" i="1"/>
  <c r="R19" i="1" s="1"/>
  <c r="D19" i="1"/>
  <c r="AO18" i="1"/>
  <c r="AN18" i="1"/>
  <c r="AP18" i="1" s="1"/>
  <c r="AL18" i="1"/>
  <c r="AJ18" i="1"/>
  <c r="AI18" i="1"/>
  <c r="AH18" i="1"/>
  <c r="AF18" i="1"/>
  <c r="AD18" i="1"/>
  <c r="AC18" i="1"/>
  <c r="AB18" i="1"/>
  <c r="Z18" i="1"/>
  <c r="Y18" i="1"/>
  <c r="W18" i="1"/>
  <c r="U18" i="1"/>
  <c r="T18" i="1"/>
  <c r="S18" i="1"/>
  <c r="Q18" i="1"/>
  <c r="P18" i="1"/>
  <c r="O18" i="1"/>
  <c r="N18" i="1"/>
  <c r="M18" i="1"/>
  <c r="G18" i="1"/>
  <c r="F18" i="1"/>
  <c r="E18" i="1"/>
  <c r="R18" i="1" s="1"/>
  <c r="D18" i="1"/>
  <c r="AO17" i="1"/>
  <c r="AN17" i="1"/>
  <c r="AP17" i="1" s="1"/>
  <c r="AL17" i="1"/>
  <c r="AJ17" i="1"/>
  <c r="AI17" i="1"/>
  <c r="AH17" i="1"/>
  <c r="AF17" i="1"/>
  <c r="AD17" i="1"/>
  <c r="AC17" i="1"/>
  <c r="AG17" i="1" s="1"/>
  <c r="AB17" i="1"/>
  <c r="AE17" i="1" s="1"/>
  <c r="Z17" i="1"/>
  <c r="Y17" i="1"/>
  <c r="W17" i="1"/>
  <c r="U17" i="1"/>
  <c r="T17" i="1"/>
  <c r="S17" i="1"/>
  <c r="Q17" i="1"/>
  <c r="P17" i="1"/>
  <c r="O17" i="1"/>
  <c r="N17" i="1"/>
  <c r="M17" i="1"/>
  <c r="G17" i="1"/>
  <c r="F17" i="1"/>
  <c r="E17" i="1"/>
  <c r="R17" i="1" s="1"/>
  <c r="D17" i="1"/>
  <c r="AO16" i="1"/>
  <c r="AN16" i="1"/>
  <c r="AP16" i="1" s="1"/>
  <c r="AL16" i="1"/>
  <c r="AJ16" i="1"/>
  <c r="AI16" i="1"/>
  <c r="AH16" i="1"/>
  <c r="AF16" i="1"/>
  <c r="AD16" i="1"/>
  <c r="AC16" i="1"/>
  <c r="AG16" i="1" s="1"/>
  <c r="AB16" i="1"/>
  <c r="AE16" i="1" s="1"/>
  <c r="Z16" i="1"/>
  <c r="Y16" i="1"/>
  <c r="W16" i="1"/>
  <c r="U16" i="1"/>
  <c r="T16" i="1"/>
  <c r="S16" i="1"/>
  <c r="Q16" i="1"/>
  <c r="P16" i="1"/>
  <c r="O16" i="1"/>
  <c r="N16" i="1"/>
  <c r="M16" i="1"/>
  <c r="G16" i="1"/>
  <c r="F16" i="1"/>
  <c r="E16" i="1"/>
  <c r="R16" i="1" s="1"/>
  <c r="D16" i="1"/>
  <c r="AO15" i="1"/>
  <c r="AN15" i="1"/>
  <c r="AP15" i="1" s="1"/>
  <c r="AL15" i="1"/>
  <c r="AJ15" i="1"/>
  <c r="AI15" i="1"/>
  <c r="AH15" i="1"/>
  <c r="AF15" i="1"/>
  <c r="AD15" i="1"/>
  <c r="AC15" i="1"/>
  <c r="AB15" i="1"/>
  <c r="Z15" i="1"/>
  <c r="Y15" i="1"/>
  <c r="W15" i="1"/>
  <c r="U15" i="1"/>
  <c r="T15" i="1"/>
  <c r="S15" i="1"/>
  <c r="Q15" i="1"/>
  <c r="P15" i="1"/>
  <c r="O15" i="1"/>
  <c r="N15" i="1"/>
  <c r="M15" i="1"/>
  <c r="G15" i="1"/>
  <c r="F15" i="1"/>
  <c r="E15" i="1"/>
  <c r="R15" i="1" s="1"/>
  <c r="D15" i="1"/>
  <c r="AO14" i="1"/>
  <c r="AN14" i="1"/>
  <c r="AL14" i="1"/>
  <c r="AJ14" i="1"/>
  <c r="AI14" i="1"/>
  <c r="AH14" i="1"/>
  <c r="AF14" i="1"/>
  <c r="AD14" i="1"/>
  <c r="AC14" i="1"/>
  <c r="AB14" i="1"/>
  <c r="Z14" i="1"/>
  <c r="Y14" i="1"/>
  <c r="W14" i="1"/>
  <c r="U14" i="1"/>
  <c r="T14" i="1"/>
  <c r="S14" i="1"/>
  <c r="Q14" i="1"/>
  <c r="P14" i="1"/>
  <c r="O14" i="1"/>
  <c r="N14" i="1"/>
  <c r="M14" i="1"/>
  <c r="G14" i="1"/>
  <c r="F14" i="1"/>
  <c r="E14" i="1"/>
  <c r="D14" i="1"/>
  <c r="AP12" i="1"/>
  <c r="AM12" i="1"/>
  <c r="AK12" i="1"/>
  <c r="AG12" i="1"/>
  <c r="AE12" i="1"/>
  <c r="AA12" i="1"/>
  <c r="X12" i="1"/>
  <c r="V12" i="1"/>
  <c r="I12" i="1"/>
  <c r="H12" i="1"/>
  <c r="AM11" i="1"/>
  <c r="AG11" i="1"/>
  <c r="X11" i="1"/>
  <c r="R11" i="1"/>
  <c r="I11" i="1"/>
  <c r="H11" i="1"/>
  <c r="AM10" i="1"/>
  <c r="AG10" i="1"/>
  <c r="X10" i="1"/>
  <c r="R10" i="1"/>
  <c r="P10" i="1"/>
  <c r="P9" i="1" s="1"/>
  <c r="F10" i="1"/>
  <c r="D10" i="1"/>
  <c r="C10" i="1" s="1"/>
  <c r="AM9" i="1"/>
  <c r="AG9" i="1"/>
  <c r="X9" i="1"/>
  <c r="E9" i="1"/>
  <c r="R9" i="1" s="1"/>
  <c r="AD66" i="6" l="1"/>
  <c r="AL66" i="6"/>
  <c r="AD67" i="6"/>
  <c r="U75" i="6"/>
  <c r="AC36" i="7"/>
  <c r="V83" i="1"/>
  <c r="X88" i="1"/>
  <c r="AG72" i="2"/>
  <c r="AG88" i="1"/>
  <c r="G74" i="8"/>
  <c r="BD74" i="8"/>
  <c r="AG28" i="2"/>
  <c r="AG86" i="7"/>
  <c r="AA48" i="2"/>
  <c r="AJ36" i="4"/>
  <c r="AE73" i="2"/>
  <c r="BO85" i="5"/>
  <c r="AH52" i="8"/>
  <c r="AM35" i="1"/>
  <c r="AM41" i="1"/>
  <c r="C68" i="2"/>
  <c r="C35" i="9"/>
  <c r="AA28" i="2"/>
  <c r="Y75" i="5"/>
  <c r="AA30" i="3"/>
  <c r="AH35" i="3"/>
  <c r="V35" i="3"/>
  <c r="V69" i="3"/>
  <c r="AU46" i="5"/>
  <c r="BO46" i="5"/>
  <c r="AA26" i="7"/>
  <c r="AE27" i="7"/>
  <c r="AA29" i="7"/>
  <c r="C60" i="1"/>
  <c r="C18" i="3"/>
  <c r="AS29" i="3"/>
  <c r="AH68" i="3"/>
  <c r="AH75" i="3"/>
  <c r="AP75" i="3"/>
  <c r="AS77" i="3"/>
  <c r="AH78" i="3"/>
  <c r="AP78" i="3"/>
  <c r="AH81" i="3"/>
  <c r="AP81" i="3"/>
  <c r="AS86" i="3"/>
  <c r="AP87" i="3"/>
  <c r="AA55" i="1"/>
  <c r="AS24" i="3"/>
  <c r="AE26" i="3"/>
  <c r="AE55" i="3"/>
  <c r="AJ13" i="6"/>
  <c r="AD46" i="6"/>
  <c r="AA42" i="8"/>
  <c r="AA50" i="8"/>
  <c r="AA59" i="8"/>
  <c r="C19" i="4"/>
  <c r="AG30" i="2"/>
  <c r="C33" i="6"/>
  <c r="C49" i="2"/>
  <c r="AE85" i="2"/>
  <c r="AS51" i="3"/>
  <c r="X54" i="3"/>
  <c r="CM29" i="5"/>
  <c r="CM42" i="5"/>
  <c r="AW43" i="5"/>
  <c r="BQ43" i="5"/>
  <c r="CM80" i="5"/>
  <c r="BQ81" i="5"/>
  <c r="R10" i="9"/>
  <c r="AA40" i="1"/>
  <c r="AL26" i="3"/>
  <c r="AL45" i="3"/>
  <c r="AL48" i="3"/>
  <c r="AA53" i="3"/>
  <c r="T25" i="9"/>
  <c r="X80" i="1"/>
  <c r="AA83" i="2"/>
  <c r="AJ18" i="8"/>
  <c r="AM67" i="1"/>
  <c r="X71" i="1"/>
  <c r="V79" i="1"/>
  <c r="AA27" i="2"/>
  <c r="AA33" i="1"/>
  <c r="AS41" i="3"/>
  <c r="AW20" i="5"/>
  <c r="BQ20" i="5"/>
  <c r="AB13" i="6"/>
  <c r="AD29" i="6"/>
  <c r="AL46" i="6"/>
  <c r="AK81" i="1"/>
  <c r="AL20" i="3"/>
  <c r="AU87" i="5"/>
  <c r="Z31" i="1"/>
  <c r="AK33" i="1"/>
  <c r="AG64" i="1"/>
  <c r="X66" i="1"/>
  <c r="AK88" i="1"/>
  <c r="AG29" i="2"/>
  <c r="AE30" i="2"/>
  <c r="AE81" i="2"/>
  <c r="AP35" i="3"/>
  <c r="CM34" i="5"/>
  <c r="BQ35" i="5"/>
  <c r="AK46" i="5"/>
  <c r="AW82" i="5"/>
  <c r="C33" i="8"/>
  <c r="AK15" i="1"/>
  <c r="X24" i="1"/>
  <c r="C78" i="1"/>
  <c r="X61" i="2"/>
  <c r="AA19" i="3"/>
  <c r="AL62" i="3"/>
  <c r="CM24" i="5"/>
  <c r="AA28" i="8"/>
  <c r="X32" i="1"/>
  <c r="BO14" i="5"/>
  <c r="AH79" i="6"/>
  <c r="D9" i="7"/>
  <c r="X46" i="8"/>
  <c r="BA80" i="8"/>
  <c r="T37" i="9"/>
  <c r="U37" i="9" s="1"/>
  <c r="AE45" i="2"/>
  <c r="P9" i="2"/>
  <c r="X20" i="2"/>
  <c r="X26" i="2"/>
  <c r="X30" i="2"/>
  <c r="AA36" i="2"/>
  <c r="AE27" i="3"/>
  <c r="C59" i="5"/>
  <c r="AD15" i="6"/>
  <c r="AL15" i="6"/>
  <c r="AD16" i="6"/>
  <c r="AL16" i="6"/>
  <c r="AD19" i="6"/>
  <c r="AL19" i="6"/>
  <c r="AD22" i="6"/>
  <c r="AL22" i="6"/>
  <c r="X64" i="7"/>
  <c r="X70" i="7"/>
  <c r="AA71" i="7"/>
  <c r="AE79" i="7"/>
  <c r="C50" i="8"/>
  <c r="U54" i="8"/>
  <c r="I35" i="9"/>
  <c r="BQ82" i="5"/>
  <c r="C45" i="8"/>
  <c r="BC68" i="8"/>
  <c r="V25" i="1"/>
  <c r="AK27" i="1"/>
  <c r="AA88" i="2"/>
  <c r="AH18" i="3"/>
  <c r="AH21" i="3"/>
  <c r="AA46" i="3"/>
  <c r="V48" i="3"/>
  <c r="J60" i="4"/>
  <c r="H60" i="4" s="1"/>
  <c r="AW14" i="5"/>
  <c r="CM35" i="5"/>
  <c r="BQ36" i="5"/>
  <c r="AK38" i="5"/>
  <c r="Y40" i="5"/>
  <c r="AK44" i="5"/>
  <c r="CM44" i="5"/>
  <c r="AW45" i="5"/>
  <c r="BQ45" i="5"/>
  <c r="AK47" i="5"/>
  <c r="AW51" i="5"/>
  <c r="BQ51" i="5"/>
  <c r="Y53" i="5"/>
  <c r="AA41" i="1"/>
  <c r="AE86" i="2"/>
  <c r="AW14" i="3"/>
  <c r="AS15" i="3"/>
  <c r="AS43" i="3"/>
  <c r="AS46" i="3"/>
  <c r="C47" i="3"/>
  <c r="AH47" i="3"/>
  <c r="AP47" i="3"/>
  <c r="X67" i="3"/>
  <c r="K44" i="4"/>
  <c r="AI33" i="5"/>
  <c r="AU51" i="5"/>
  <c r="CM63" i="5"/>
  <c r="AA17" i="1"/>
  <c r="C72" i="1"/>
  <c r="AW67" i="3"/>
  <c r="BQ59" i="5"/>
  <c r="BB74" i="8"/>
  <c r="BO74" i="8"/>
  <c r="BV74" i="8"/>
  <c r="AG27" i="1"/>
  <c r="AM55" i="1"/>
  <c r="V59" i="1"/>
  <c r="AG53" i="2"/>
  <c r="AG83" i="2"/>
  <c r="X18" i="3"/>
  <c r="X39" i="3"/>
  <c r="X46" i="3"/>
  <c r="AE75" i="3"/>
  <c r="AS76" i="3"/>
  <c r="AH77" i="3"/>
  <c r="AP77" i="3"/>
  <c r="AS79" i="3"/>
  <c r="AH80" i="3"/>
  <c r="AP80" i="3"/>
  <c r="AS82" i="3"/>
  <c r="AP83" i="3"/>
  <c r="AS85" i="3"/>
  <c r="AP86" i="3"/>
  <c r="AS88" i="3"/>
  <c r="CM26" i="5"/>
  <c r="AW27" i="5"/>
  <c r="CW28" i="5"/>
  <c r="AI49" i="5"/>
  <c r="AD28" i="6"/>
  <c r="AL28" i="6"/>
  <c r="AG58" i="7"/>
  <c r="X59" i="7"/>
  <c r="C57" i="1"/>
  <c r="AK75" i="1"/>
  <c r="AP15" i="3"/>
  <c r="AE16" i="3"/>
  <c r="AS17" i="3"/>
  <c r="AU13" i="3"/>
  <c r="AL32" i="3"/>
  <c r="AA33" i="3"/>
  <c r="V41" i="3"/>
  <c r="AL54" i="3"/>
  <c r="AW56" i="3"/>
  <c r="AL66" i="3"/>
  <c r="AA70" i="3"/>
  <c r="AK14" i="5"/>
  <c r="AL29" i="6"/>
  <c r="AD36" i="6"/>
  <c r="AL36" i="6"/>
  <c r="AD38" i="6"/>
  <c r="AL38" i="6"/>
  <c r="AA18" i="8"/>
  <c r="T19" i="9"/>
  <c r="T76" i="9"/>
  <c r="I88" i="9"/>
  <c r="V67" i="1"/>
  <c r="AA23" i="3"/>
  <c r="AS23" i="3"/>
  <c r="X25" i="3"/>
  <c r="AA51" i="3"/>
  <c r="X55" i="3"/>
  <c r="K71" i="3"/>
  <c r="V75" i="3"/>
  <c r="V78" i="3"/>
  <c r="V81" i="3"/>
  <c r="C67" i="4"/>
  <c r="X69" i="4"/>
  <c r="BK13" i="5"/>
  <c r="AW19" i="5"/>
  <c r="C22" i="5"/>
  <c r="AW34" i="5"/>
  <c r="BQ34" i="5"/>
  <c r="AW40" i="5"/>
  <c r="AW49" i="5"/>
  <c r="AK75" i="5"/>
  <c r="CU77" i="5"/>
  <c r="AD45" i="6"/>
  <c r="AL45" i="6"/>
  <c r="C28" i="7"/>
  <c r="AA34" i="8"/>
  <c r="C36" i="8"/>
  <c r="X57" i="8"/>
  <c r="C26" i="9"/>
  <c r="C29" i="9"/>
  <c r="X42" i="1"/>
  <c r="AM76" i="1"/>
  <c r="AA77" i="1"/>
  <c r="X79" i="1"/>
  <c r="AA21" i="3"/>
  <c r="AH37" i="3"/>
  <c r="V38" i="3"/>
  <c r="AS42" i="3"/>
  <c r="C43" i="3"/>
  <c r="AU37" i="5"/>
  <c r="BQ85" i="5"/>
  <c r="AW88" i="5"/>
  <c r="BQ88" i="5"/>
  <c r="AH84" i="6"/>
  <c r="AA15" i="7"/>
  <c r="U17" i="7"/>
  <c r="AI17" i="7" s="1"/>
  <c r="C44" i="7"/>
  <c r="X44" i="7"/>
  <c r="U82" i="7"/>
  <c r="AI82" i="7" s="1"/>
  <c r="X15" i="1"/>
  <c r="V22" i="1"/>
  <c r="AK48" i="1"/>
  <c r="AA50" i="2"/>
  <c r="AA18" i="3"/>
  <c r="AP52" i="5"/>
  <c r="J36" i="7"/>
  <c r="H36" i="7" s="1"/>
  <c r="I36" i="7" s="1"/>
  <c r="AW47" i="8"/>
  <c r="C54" i="8"/>
  <c r="J79" i="8"/>
  <c r="L79" i="8" s="1"/>
  <c r="J55" i="9"/>
  <c r="H55" i="9" s="1"/>
  <c r="V41" i="1"/>
  <c r="X57" i="1"/>
  <c r="C85" i="1"/>
  <c r="X86" i="1"/>
  <c r="AA40" i="2"/>
  <c r="AG48" i="2"/>
  <c r="AE66" i="2"/>
  <c r="AG77" i="2"/>
  <c r="AE15" i="3"/>
  <c r="J44" i="3"/>
  <c r="H44" i="3" s="1"/>
  <c r="I44" i="3" s="1"/>
  <c r="W74" i="3"/>
  <c r="X82" i="3"/>
  <c r="I39" i="4"/>
  <c r="W16" i="5"/>
  <c r="CU16" i="5"/>
  <c r="BO18" i="5"/>
  <c r="W19" i="5"/>
  <c r="AU20" i="5"/>
  <c r="AK27" i="5"/>
  <c r="CM27" i="5"/>
  <c r="AW53" i="5"/>
  <c r="Y78" i="5"/>
  <c r="AJ74" i="5"/>
  <c r="AK79" i="5"/>
  <c r="CM81" i="5"/>
  <c r="CW81" i="5"/>
  <c r="AH34" i="6"/>
  <c r="I65" i="6"/>
  <c r="AC81" i="7"/>
  <c r="AJ64" i="8"/>
  <c r="P9" i="9"/>
  <c r="T41" i="9"/>
  <c r="I44" i="9"/>
  <c r="AK36" i="1"/>
  <c r="J41" i="1"/>
  <c r="L41" i="1" s="1"/>
  <c r="C45" i="1"/>
  <c r="X77" i="1"/>
  <c r="C48" i="2"/>
  <c r="C20" i="3"/>
  <c r="AH23" i="3"/>
  <c r="AL40" i="3"/>
  <c r="AA44" i="3"/>
  <c r="AH63" i="3"/>
  <c r="AP63" i="3"/>
  <c r="J64" i="3"/>
  <c r="H64" i="3" s="1"/>
  <c r="AH66" i="3"/>
  <c r="AE67" i="3"/>
  <c r="AS68" i="3"/>
  <c r="AA84" i="3"/>
  <c r="X30" i="4"/>
  <c r="C75" i="4"/>
  <c r="U88" i="4"/>
  <c r="CM20" i="5"/>
  <c r="CU24" i="5"/>
  <c r="AU27" i="5"/>
  <c r="BO27" i="5"/>
  <c r="W28" i="5"/>
  <c r="CM41" i="5"/>
  <c r="CM43" i="5"/>
  <c r="CM45" i="5"/>
  <c r="Y49" i="5"/>
  <c r="AK49" i="5"/>
  <c r="CU53" i="5"/>
  <c r="C87" i="5"/>
  <c r="AA79" i="7"/>
  <c r="AA38" i="8"/>
  <c r="C46" i="8"/>
  <c r="C48" i="8"/>
  <c r="X48" i="8"/>
  <c r="AJ59" i="8"/>
  <c r="I66" i="8"/>
  <c r="C10" i="9"/>
  <c r="T31" i="1"/>
  <c r="S31" i="3"/>
  <c r="AR31" i="3"/>
  <c r="J25" i="5"/>
  <c r="H25" i="5" s="1"/>
  <c r="I25" i="5" s="1"/>
  <c r="F74" i="1"/>
  <c r="J34" i="1"/>
  <c r="H34" i="1" s="1"/>
  <c r="I34" i="1" s="1"/>
  <c r="AK17" i="1"/>
  <c r="AE20" i="1"/>
  <c r="AA21" i="1"/>
  <c r="AM21" i="1"/>
  <c r="AE26" i="1"/>
  <c r="X54" i="1"/>
  <c r="AK72" i="1"/>
  <c r="AG16" i="2"/>
  <c r="X19" i="2"/>
  <c r="AG21" i="2"/>
  <c r="AG41" i="2"/>
  <c r="AE42" i="2"/>
  <c r="C61" i="2"/>
  <c r="AE63" i="2"/>
  <c r="AH19" i="3"/>
  <c r="X28" i="3"/>
  <c r="AW30" i="3"/>
  <c r="AM74" i="3"/>
  <c r="AU74" i="3"/>
  <c r="Z13" i="4"/>
  <c r="AD31" i="5"/>
  <c r="AL31" i="5"/>
  <c r="C69" i="6"/>
  <c r="J10" i="8"/>
  <c r="L10" i="8" s="1"/>
  <c r="P9" i="8"/>
  <c r="W52" i="1"/>
  <c r="AG15" i="1"/>
  <c r="AM22" i="1"/>
  <c r="C43" i="1"/>
  <c r="AK51" i="1"/>
  <c r="C63" i="1"/>
  <c r="AK66" i="1"/>
  <c r="R72" i="1"/>
  <c r="X81" i="1"/>
  <c r="X85" i="1"/>
  <c r="V86" i="1"/>
  <c r="C36" i="2"/>
  <c r="C42" i="2"/>
  <c r="X42" i="2"/>
  <c r="AG42" i="2"/>
  <c r="AE43" i="2"/>
  <c r="J44" i="2"/>
  <c r="H44" i="2" s="1"/>
  <c r="I44" i="2" s="1"/>
  <c r="AA46" i="2"/>
  <c r="AA47" i="2"/>
  <c r="AH14" i="3"/>
  <c r="AH22" i="3"/>
  <c r="J50" i="3"/>
  <c r="L50" i="3" s="1"/>
  <c r="K88" i="6"/>
  <c r="C88" i="6"/>
  <c r="AM18" i="1"/>
  <c r="AK19" i="1"/>
  <c r="AK25" i="1"/>
  <c r="J28" i="1"/>
  <c r="H28" i="1" s="1"/>
  <c r="I28" i="1" s="1"/>
  <c r="AG28" i="1"/>
  <c r="AM30" i="1"/>
  <c r="AA34" i="1"/>
  <c r="X36" i="1"/>
  <c r="V37" i="1"/>
  <c r="X53" i="1"/>
  <c r="V54" i="1"/>
  <c r="AA58" i="1"/>
  <c r="AA63" i="1"/>
  <c r="AM63" i="1"/>
  <c r="AK64" i="1"/>
  <c r="AA15" i="2"/>
  <c r="X27" i="2"/>
  <c r="X33" i="2"/>
  <c r="AA42" i="2"/>
  <c r="C43" i="2"/>
  <c r="AA53" i="2"/>
  <c r="AG59" i="2"/>
  <c r="X63" i="2"/>
  <c r="X68" i="2"/>
  <c r="G13" i="3"/>
  <c r="AB13" i="3"/>
  <c r="AJ13" i="3"/>
  <c r="E13" i="3"/>
  <c r="R13" i="3" s="1"/>
  <c r="AA15" i="3"/>
  <c r="AW23" i="3"/>
  <c r="C16" i="1"/>
  <c r="C21" i="1"/>
  <c r="AA25" i="1"/>
  <c r="C36" i="1"/>
  <c r="AM48" i="1"/>
  <c r="AE72" i="1"/>
  <c r="AM73" i="1"/>
  <c r="X50" i="2"/>
  <c r="X56" i="2"/>
  <c r="AA63" i="2"/>
  <c r="V27" i="3"/>
  <c r="AO74" i="3"/>
  <c r="I87" i="4"/>
  <c r="K87" i="4"/>
  <c r="Y31" i="6"/>
  <c r="X36" i="3"/>
  <c r="AP43" i="3"/>
  <c r="AA45" i="3"/>
  <c r="V46" i="3"/>
  <c r="AS53" i="3"/>
  <c r="C54" i="3"/>
  <c r="AH56" i="3"/>
  <c r="AE69" i="3"/>
  <c r="F74" i="3"/>
  <c r="Z74" i="3"/>
  <c r="AW77" i="3"/>
  <c r="X78" i="3"/>
  <c r="AE78" i="3"/>
  <c r="AW80" i="3"/>
  <c r="X81" i="3"/>
  <c r="AE81" i="3"/>
  <c r="X83" i="3"/>
  <c r="X86" i="3"/>
  <c r="X87" i="3"/>
  <c r="F13" i="5"/>
  <c r="CZ13" i="5"/>
  <c r="BN13" i="5"/>
  <c r="AU17" i="5"/>
  <c r="W18" i="5"/>
  <c r="AY13" i="5"/>
  <c r="BY13" i="5"/>
  <c r="CU20" i="5"/>
  <c r="Y22" i="5"/>
  <c r="R13" i="5"/>
  <c r="AV13" i="5"/>
  <c r="AM13" i="5"/>
  <c r="AW24" i="5"/>
  <c r="CM25" i="5"/>
  <c r="Y27" i="5"/>
  <c r="AK28" i="5"/>
  <c r="CM28" i="5"/>
  <c r="BQ29" i="5"/>
  <c r="AK30" i="5"/>
  <c r="AW32" i="5"/>
  <c r="BO34" i="5"/>
  <c r="CU38" i="5"/>
  <c r="CB31" i="5"/>
  <c r="BO40" i="5"/>
  <c r="AI41" i="5"/>
  <c r="AW42" i="5"/>
  <c r="Y43" i="5"/>
  <c r="AI47" i="5"/>
  <c r="AU49" i="5"/>
  <c r="BO49" i="5"/>
  <c r="BO51" i="5"/>
  <c r="AU72" i="5"/>
  <c r="AW75" i="5"/>
  <c r="Z74" i="5"/>
  <c r="CU78" i="5"/>
  <c r="AL18" i="6"/>
  <c r="AH29" i="6"/>
  <c r="U84" i="6"/>
  <c r="AG47" i="7"/>
  <c r="X18" i="8"/>
  <c r="AW30" i="8"/>
  <c r="C42" i="8"/>
  <c r="AJ46" i="8"/>
  <c r="C47" i="8"/>
  <c r="BC60" i="8"/>
  <c r="AJ61" i="8"/>
  <c r="K64" i="9"/>
  <c r="C29" i="3"/>
  <c r="AH29" i="3"/>
  <c r="AP29" i="3"/>
  <c r="X34" i="3"/>
  <c r="AS35" i="3"/>
  <c r="C36" i="3"/>
  <c r="AH41" i="3"/>
  <c r="AP41" i="3"/>
  <c r="V44" i="3"/>
  <c r="AH46" i="3"/>
  <c r="X47" i="3"/>
  <c r="AS50" i="3"/>
  <c r="AP51" i="3"/>
  <c r="V67" i="3"/>
  <c r="AW69" i="3"/>
  <c r="V70" i="3"/>
  <c r="X72" i="3"/>
  <c r="AE72" i="3"/>
  <c r="AL72" i="3"/>
  <c r="AW75" i="3"/>
  <c r="V76" i="3"/>
  <c r="AW78" i="3"/>
  <c r="V79" i="3"/>
  <c r="AA80" i="3"/>
  <c r="AW81" i="3"/>
  <c r="AA83" i="3"/>
  <c r="V85" i="3"/>
  <c r="V88" i="3"/>
  <c r="H10" i="4"/>
  <c r="H9" i="4" s="1"/>
  <c r="N31" i="4"/>
  <c r="C66" i="4"/>
  <c r="AA76" i="4"/>
  <c r="BB13" i="5"/>
  <c r="AK15" i="5"/>
  <c r="CM15" i="5"/>
  <c r="W20" i="5"/>
  <c r="BO26" i="5"/>
  <c r="AU32" i="5"/>
  <c r="CT31" i="5"/>
  <c r="CM38" i="5"/>
  <c r="C43" i="5"/>
  <c r="C45" i="5"/>
  <c r="T52" i="5"/>
  <c r="BZ52" i="5"/>
  <c r="C65" i="5"/>
  <c r="AK69" i="5"/>
  <c r="AW69" i="5"/>
  <c r="CM69" i="5"/>
  <c r="AI87" i="5"/>
  <c r="AL39" i="6"/>
  <c r="AD49" i="6"/>
  <c r="AL49" i="6"/>
  <c r="U50" i="6"/>
  <c r="AD50" i="6"/>
  <c r="AL50" i="6"/>
  <c r="I87" i="6"/>
  <c r="AE21" i="7"/>
  <c r="X36" i="7"/>
  <c r="C47" i="7"/>
  <c r="AE73" i="7"/>
  <c r="BC27" i="8"/>
  <c r="C29" i="8"/>
  <c r="J35" i="8"/>
  <c r="H35" i="8" s="1"/>
  <c r="I35" i="8" s="1"/>
  <c r="C49" i="8"/>
  <c r="T15" i="9"/>
  <c r="T18" i="9"/>
  <c r="U18" i="9" s="1"/>
  <c r="C64" i="9"/>
  <c r="T64" i="9"/>
  <c r="T66" i="9"/>
  <c r="AA52" i="5"/>
  <c r="CM57" i="5"/>
  <c r="AI69" i="5"/>
  <c r="AI81" i="5"/>
  <c r="AH85" i="6"/>
  <c r="P9" i="7"/>
  <c r="X28" i="7"/>
  <c r="AE44" i="7"/>
  <c r="C86" i="7"/>
  <c r="AW42" i="8"/>
  <c r="C44" i="8"/>
  <c r="AA57" i="8"/>
  <c r="R35" i="9"/>
  <c r="T39" i="9"/>
  <c r="K40" i="9"/>
  <c r="J47" i="9"/>
  <c r="H47" i="9" s="1"/>
  <c r="X40" i="3"/>
  <c r="X45" i="3"/>
  <c r="V56" i="3"/>
  <c r="V62" i="3"/>
  <c r="J20" i="4"/>
  <c r="H20" i="4" s="1"/>
  <c r="AG88" i="4"/>
  <c r="Y14" i="5"/>
  <c r="CM14" i="5"/>
  <c r="Y16" i="5"/>
  <c r="CW16" i="5"/>
  <c r="AW18" i="5"/>
  <c r="BQ18" i="5"/>
  <c r="BO23" i="5"/>
  <c r="AB31" i="5"/>
  <c r="CD31" i="5"/>
  <c r="CJ31" i="5"/>
  <c r="Y34" i="5"/>
  <c r="CM37" i="5"/>
  <c r="AW38" i="5"/>
  <c r="BQ38" i="5"/>
  <c r="AW47" i="5"/>
  <c r="BQ47" i="5"/>
  <c r="AU50" i="5"/>
  <c r="AK51" i="5"/>
  <c r="W53" i="5"/>
  <c r="BO53" i="5"/>
  <c r="BO63" i="5"/>
  <c r="Y69" i="5"/>
  <c r="Y77" i="5"/>
  <c r="BQ84" i="5"/>
  <c r="W88" i="5"/>
  <c r="P13" i="6"/>
  <c r="AH39" i="6"/>
  <c r="AA43" i="7"/>
  <c r="U44" i="7"/>
  <c r="AI44" i="7" s="1"/>
  <c r="AC44" i="7"/>
  <c r="X49" i="7"/>
  <c r="U83" i="7"/>
  <c r="AI83" i="7" s="1"/>
  <c r="BC61" i="8"/>
  <c r="C66" i="8"/>
  <c r="AA70" i="8"/>
  <c r="T26" i="9"/>
  <c r="U26" i="9" s="1"/>
  <c r="T40" i="9"/>
  <c r="T48" i="9"/>
  <c r="U48" i="9" s="1"/>
  <c r="T63" i="9"/>
  <c r="J71" i="9"/>
  <c r="H71" i="9" s="1"/>
  <c r="T71" i="9"/>
  <c r="AE35" i="3"/>
  <c r="AS36" i="3"/>
  <c r="C37" i="3"/>
  <c r="AA39" i="3"/>
  <c r="AS44" i="3"/>
  <c r="AH53" i="3"/>
  <c r="J54" i="3"/>
  <c r="H54" i="3" s="1"/>
  <c r="I54" i="3" s="1"/>
  <c r="AS57" i="3"/>
  <c r="K28" i="4"/>
  <c r="U30" i="4"/>
  <c r="C36" i="4"/>
  <c r="X36" i="4"/>
  <c r="W14" i="5"/>
  <c r="Y23" i="5"/>
  <c r="Y36" i="5"/>
  <c r="CU37" i="5"/>
  <c r="AU47" i="5"/>
  <c r="AI51" i="5"/>
  <c r="CM55" i="5"/>
  <c r="BQ60" i="5"/>
  <c r="AI84" i="5"/>
  <c r="C28" i="6"/>
  <c r="C49" i="6"/>
  <c r="AH53" i="6"/>
  <c r="AL79" i="6"/>
  <c r="C21" i="7"/>
  <c r="AA70" i="7"/>
  <c r="U71" i="7"/>
  <c r="AI71" i="7" s="1"/>
  <c r="X72" i="7"/>
  <c r="AA73" i="7"/>
  <c r="X30" i="8"/>
  <c r="AA32" i="8"/>
  <c r="U35" i="8"/>
  <c r="U49" i="8"/>
  <c r="AJ57" i="8"/>
  <c r="AW61" i="8"/>
  <c r="BP61" i="8"/>
  <c r="K10" i="9"/>
  <c r="I25" i="9"/>
  <c r="AX31" i="3"/>
  <c r="AD31" i="3"/>
  <c r="AC31" i="3"/>
  <c r="AA41" i="2"/>
  <c r="U13" i="3"/>
  <c r="Q31" i="3"/>
  <c r="V42" i="3"/>
  <c r="G31" i="3"/>
  <c r="AO31" i="3"/>
  <c r="K84" i="4"/>
  <c r="I84" i="4"/>
  <c r="AI74" i="1"/>
  <c r="X73" i="2"/>
  <c r="AS19" i="3"/>
  <c r="R15" i="3"/>
  <c r="C15" i="3"/>
  <c r="CK56" i="5"/>
  <c r="CH52" i="5"/>
  <c r="CK52" i="5" s="1"/>
  <c r="R24" i="3"/>
  <c r="C24" i="3"/>
  <c r="X48" i="1"/>
  <c r="X62" i="1"/>
  <c r="AK13" i="3"/>
  <c r="AI13" i="3"/>
  <c r="AQ31" i="3"/>
  <c r="AD13" i="1"/>
  <c r="AA22" i="1"/>
  <c r="AM25" i="1"/>
  <c r="AA26" i="1"/>
  <c r="AK26" i="1"/>
  <c r="V42" i="1"/>
  <c r="AA43" i="1"/>
  <c r="X45" i="1"/>
  <c r="V50" i="1"/>
  <c r="AK63" i="1"/>
  <c r="AA64" i="1"/>
  <c r="P52" i="1"/>
  <c r="V80" i="1"/>
  <c r="X83" i="1"/>
  <c r="L9" i="2"/>
  <c r="J16" i="2"/>
  <c r="H16" i="2" s="1"/>
  <c r="I16" i="2" s="1"/>
  <c r="J17" i="2"/>
  <c r="H17" i="2" s="1"/>
  <c r="AA18" i="2"/>
  <c r="X21" i="2"/>
  <c r="AA23" i="2"/>
  <c r="C24" i="2"/>
  <c r="X25" i="2"/>
  <c r="J29" i="2"/>
  <c r="H29" i="2" s="1"/>
  <c r="I29" i="2" s="1"/>
  <c r="J30" i="2"/>
  <c r="H30" i="2" s="1"/>
  <c r="I30" i="2" s="1"/>
  <c r="AG36" i="2"/>
  <c r="AA51" i="2"/>
  <c r="AE55" i="2"/>
  <c r="AG61" i="2"/>
  <c r="X80" i="2"/>
  <c r="AE80" i="2"/>
  <c r="J81" i="2"/>
  <c r="H81" i="2" s="1"/>
  <c r="I81" i="2" s="1"/>
  <c r="AG81" i="2"/>
  <c r="W13" i="3"/>
  <c r="V16" i="3"/>
  <c r="V17" i="3"/>
  <c r="AL17" i="3"/>
  <c r="AW18" i="3"/>
  <c r="AE19" i="3"/>
  <c r="AE21" i="3"/>
  <c r="J26" i="3"/>
  <c r="H26" i="3" s="1"/>
  <c r="I26" i="3" s="1"/>
  <c r="X26" i="3"/>
  <c r="AS27" i="3"/>
  <c r="C28" i="3"/>
  <c r="AL29" i="3"/>
  <c r="AH30" i="3"/>
  <c r="M31" i="3"/>
  <c r="X32" i="3"/>
  <c r="AK31" i="3"/>
  <c r="AS33" i="3"/>
  <c r="AH34" i="3"/>
  <c r="AA37" i="3"/>
  <c r="AS37" i="3"/>
  <c r="X38" i="3"/>
  <c r="AP38" i="3"/>
  <c r="AS39" i="3"/>
  <c r="C40" i="3"/>
  <c r="AP40" i="3"/>
  <c r="J42" i="3"/>
  <c r="K42" i="3" s="1"/>
  <c r="AE42" i="3"/>
  <c r="V43" i="3"/>
  <c r="AG52" i="3"/>
  <c r="I79" i="4"/>
  <c r="D74" i="4"/>
  <c r="K81" i="4"/>
  <c r="I81" i="4"/>
  <c r="T13" i="5"/>
  <c r="AG52" i="5"/>
  <c r="AM52" i="5"/>
  <c r="P13" i="1"/>
  <c r="AA14" i="1"/>
  <c r="V17" i="1"/>
  <c r="C19" i="1"/>
  <c r="AK30" i="1"/>
  <c r="AB31" i="1"/>
  <c r="AM33" i="1"/>
  <c r="AA36" i="1"/>
  <c r="V38" i="1"/>
  <c r="AK40" i="1"/>
  <c r="AM42" i="1"/>
  <c r="AA44" i="1"/>
  <c r="AK44" i="1"/>
  <c r="J46" i="1"/>
  <c r="H46" i="1" s="1"/>
  <c r="I46" i="1" s="1"/>
  <c r="AK47" i="1"/>
  <c r="X60" i="1"/>
  <c r="V61" i="1"/>
  <c r="AK62" i="1"/>
  <c r="J68" i="1"/>
  <c r="H68" i="1" s="1"/>
  <c r="I68" i="1" s="1"/>
  <c r="V69" i="1"/>
  <c r="C79" i="1"/>
  <c r="AK85" i="1"/>
  <c r="J21" i="2"/>
  <c r="L21" i="2" s="1"/>
  <c r="AG25" i="2"/>
  <c r="M31" i="2"/>
  <c r="AA35" i="2"/>
  <c r="X36" i="2"/>
  <c r="J37" i="2"/>
  <c r="K37" i="2" s="1"/>
  <c r="AG37" i="2"/>
  <c r="AA39" i="2"/>
  <c r="X40" i="2"/>
  <c r="J41" i="2"/>
  <c r="H41" i="2" s="1"/>
  <c r="I41" i="2" s="1"/>
  <c r="X45" i="2"/>
  <c r="J46" i="2"/>
  <c r="H46" i="2" s="1"/>
  <c r="I46" i="2" s="1"/>
  <c r="AG46" i="2"/>
  <c r="AG73" i="2"/>
  <c r="AG76" i="2"/>
  <c r="G74" i="2"/>
  <c r="AG82" i="2"/>
  <c r="AE83" i="2"/>
  <c r="AA14" i="3"/>
  <c r="AO13" i="3"/>
  <c r="V15" i="3"/>
  <c r="AE17" i="3"/>
  <c r="V19" i="3"/>
  <c r="AA20" i="3"/>
  <c r="V21" i="3"/>
  <c r="AW21" i="3"/>
  <c r="V22" i="3"/>
  <c r="AL22" i="3"/>
  <c r="V24" i="3"/>
  <c r="AA25" i="3"/>
  <c r="AL27" i="3"/>
  <c r="AP28" i="3"/>
  <c r="AS30" i="3"/>
  <c r="N31" i="3"/>
  <c r="AA34" i="3"/>
  <c r="J37" i="3"/>
  <c r="H37" i="3" s="1"/>
  <c r="I37" i="3" s="1"/>
  <c r="V37" i="3"/>
  <c r="AL37" i="3"/>
  <c r="AA38" i="3"/>
  <c r="AL39" i="3"/>
  <c r="X42" i="3"/>
  <c r="AH42" i="3"/>
  <c r="J43" i="3"/>
  <c r="H43" i="3" s="1"/>
  <c r="I43" i="3" s="1"/>
  <c r="X43" i="3"/>
  <c r="AJ77" i="4"/>
  <c r="AH74" i="4"/>
  <c r="AA15" i="1"/>
  <c r="J22" i="1"/>
  <c r="H22" i="1" s="1"/>
  <c r="I22" i="1" s="1"/>
  <c r="C37" i="1"/>
  <c r="J38" i="1"/>
  <c r="H38" i="1" s="1"/>
  <c r="I38" i="1" s="1"/>
  <c r="X38" i="1"/>
  <c r="J61" i="1"/>
  <c r="H61" i="1" s="1"/>
  <c r="I61" i="1" s="1"/>
  <c r="J69" i="1"/>
  <c r="L69" i="1" s="1"/>
  <c r="AA71" i="1"/>
  <c r="J80" i="1"/>
  <c r="H80" i="1" s="1"/>
  <c r="I80" i="1" s="1"/>
  <c r="AE19" i="2"/>
  <c r="AE23" i="2"/>
  <c r="AA44" i="2"/>
  <c r="X46" i="2"/>
  <c r="AG47" i="2"/>
  <c r="AG50" i="2"/>
  <c r="Q52" i="2"/>
  <c r="X55" i="2"/>
  <c r="AG56" i="2"/>
  <c r="AA66" i="2"/>
  <c r="AA70" i="2"/>
  <c r="X76" i="2"/>
  <c r="K87" i="2"/>
  <c r="X15" i="3"/>
  <c r="AS18" i="3"/>
  <c r="AW19" i="3"/>
  <c r="AS20" i="3"/>
  <c r="AE22" i="3"/>
  <c r="AS25" i="3"/>
  <c r="C26" i="3"/>
  <c r="AP26" i="3"/>
  <c r="V30" i="3"/>
  <c r="AP32" i="3"/>
  <c r="C35" i="3"/>
  <c r="AA36" i="3"/>
  <c r="X37" i="3"/>
  <c r="AS38" i="3"/>
  <c r="C41" i="3"/>
  <c r="AA42" i="3"/>
  <c r="I73" i="3"/>
  <c r="K73" i="3"/>
  <c r="C39" i="4"/>
  <c r="R39" i="4"/>
  <c r="F74" i="4"/>
  <c r="N74" i="4"/>
  <c r="O13" i="5"/>
  <c r="BP74" i="5"/>
  <c r="V18" i="1"/>
  <c r="F13" i="1"/>
  <c r="AK20" i="1"/>
  <c r="V23" i="1"/>
  <c r="AM34" i="1"/>
  <c r="AK35" i="1"/>
  <c r="AE36" i="1"/>
  <c r="V44" i="1"/>
  <c r="V55" i="1"/>
  <c r="O52" i="1"/>
  <c r="X73" i="1"/>
  <c r="AM82" i="1"/>
  <c r="AK87" i="1"/>
  <c r="J88" i="1"/>
  <c r="H88" i="1" s="1"/>
  <c r="I88" i="1" s="1"/>
  <c r="AE20" i="2"/>
  <c r="AE24" i="2"/>
  <c r="J28" i="2"/>
  <c r="H28" i="2" s="1"/>
  <c r="I28" i="2" s="1"/>
  <c r="J33" i="2"/>
  <c r="K33" i="2" s="1"/>
  <c r="J34" i="2"/>
  <c r="H34" i="2" s="1"/>
  <c r="AG38" i="2"/>
  <c r="AE39" i="2"/>
  <c r="AG51" i="2"/>
  <c r="AE61" i="2"/>
  <c r="J87" i="2"/>
  <c r="H87" i="2" s="1"/>
  <c r="V14" i="3"/>
  <c r="AR13" i="3"/>
  <c r="V23" i="3"/>
  <c r="V25" i="3"/>
  <c r="X30" i="3"/>
  <c r="V36" i="3"/>
  <c r="X75" i="3"/>
  <c r="T74" i="3"/>
  <c r="R22" i="4"/>
  <c r="C22" i="4"/>
  <c r="O52" i="5"/>
  <c r="AD52" i="5"/>
  <c r="S63" i="5"/>
  <c r="C63" i="5"/>
  <c r="AA16" i="1"/>
  <c r="J18" i="1"/>
  <c r="H18" i="1" s="1"/>
  <c r="I18" i="1" s="1"/>
  <c r="V28" i="1"/>
  <c r="AA37" i="1"/>
  <c r="J40" i="1"/>
  <c r="H40" i="1" s="1"/>
  <c r="I40" i="1" s="1"/>
  <c r="AA42" i="1"/>
  <c r="J43" i="1"/>
  <c r="H43" i="1" s="1"/>
  <c r="I43" i="1" s="1"/>
  <c r="J44" i="1"/>
  <c r="H44" i="1" s="1"/>
  <c r="I44" i="1" s="1"/>
  <c r="AA46" i="1"/>
  <c r="C51" i="1"/>
  <c r="W74" i="1"/>
  <c r="C84" i="1"/>
  <c r="AA30" i="2"/>
  <c r="X38" i="2"/>
  <c r="C77" i="2"/>
  <c r="J84" i="2"/>
  <c r="H84" i="2" s="1"/>
  <c r="T13" i="3"/>
  <c r="X13" i="3" s="1"/>
  <c r="AE18" i="3"/>
  <c r="AE20" i="3"/>
  <c r="AW22" i="3"/>
  <c r="AH24" i="3"/>
  <c r="AW24" i="3"/>
  <c r="AS26" i="3"/>
  <c r="J27" i="3"/>
  <c r="H27" i="3" s="1"/>
  <c r="I27" i="3" s="1"/>
  <c r="AP27" i="3"/>
  <c r="AL28" i="3"/>
  <c r="AA29" i="3"/>
  <c r="F31" i="3"/>
  <c r="Z31" i="3"/>
  <c r="AI31" i="3"/>
  <c r="J33" i="3"/>
  <c r="H33" i="3" s="1"/>
  <c r="I33" i="3" s="1"/>
  <c r="W31" i="3"/>
  <c r="AF31" i="3"/>
  <c r="AV31" i="3"/>
  <c r="AA35" i="3"/>
  <c r="AP39" i="3"/>
  <c r="AA41" i="3"/>
  <c r="BT13" i="5"/>
  <c r="CN13" i="5"/>
  <c r="CT13" i="5"/>
  <c r="Z13" i="5"/>
  <c r="AF13" i="5"/>
  <c r="U31" i="5"/>
  <c r="BE31" i="5"/>
  <c r="BK52" i="5"/>
  <c r="CJ52" i="5"/>
  <c r="N74" i="5"/>
  <c r="AW46" i="3"/>
  <c r="AW49" i="3"/>
  <c r="AW53" i="3"/>
  <c r="AL65" i="3"/>
  <c r="AA77" i="3"/>
  <c r="J41" i="4"/>
  <c r="H41" i="4" s="1"/>
  <c r="C63" i="4"/>
  <c r="C76" i="4"/>
  <c r="C84" i="4"/>
  <c r="BH13" i="5"/>
  <c r="DA13" i="5"/>
  <c r="AK16" i="5"/>
  <c r="Y18" i="5"/>
  <c r="BO20" i="5"/>
  <c r="CX31" i="5"/>
  <c r="CW38" i="5"/>
  <c r="BO48" i="5"/>
  <c r="W49" i="5"/>
  <c r="AV52" i="5"/>
  <c r="C53" i="5"/>
  <c r="AS52" i="5"/>
  <c r="BO57" i="5"/>
  <c r="BO59" i="5"/>
  <c r="Y62" i="5"/>
  <c r="AU68" i="5"/>
  <c r="CM71" i="5"/>
  <c r="CM73" i="5"/>
  <c r="Q74" i="5"/>
  <c r="Y76" i="5"/>
  <c r="AK77" i="5"/>
  <c r="CM77" i="5"/>
  <c r="C78" i="5"/>
  <c r="W79" i="5"/>
  <c r="AK31" i="6"/>
  <c r="AC53" i="7"/>
  <c r="AG53" i="7"/>
  <c r="AG80" i="7"/>
  <c r="V47" i="3"/>
  <c r="AH49" i="3"/>
  <c r="V54" i="3"/>
  <c r="D74" i="3"/>
  <c r="AS83" i="3"/>
  <c r="AP84" i="3"/>
  <c r="C28" i="4"/>
  <c r="K65" i="4"/>
  <c r="I85" i="4"/>
  <c r="AB13" i="5"/>
  <c r="AI14" i="5"/>
  <c r="BV13" i="5"/>
  <c r="CB13" i="5"/>
  <c r="CX13" i="5"/>
  <c r="BO15" i="5"/>
  <c r="J19" i="5"/>
  <c r="H19" i="5" s="1"/>
  <c r="I19" i="5" s="1"/>
  <c r="BQ19" i="5"/>
  <c r="AK24" i="5"/>
  <c r="AW26" i="5"/>
  <c r="BO30" i="5"/>
  <c r="CU32" i="5"/>
  <c r="AK33" i="5"/>
  <c r="BQ33" i="5"/>
  <c r="CM33" i="5"/>
  <c r="BO38" i="5"/>
  <c r="AW41" i="5"/>
  <c r="AI43" i="5"/>
  <c r="AI45" i="5"/>
  <c r="J46" i="5"/>
  <c r="H46" i="5" s="1"/>
  <c r="I46" i="5" s="1"/>
  <c r="BO55" i="5"/>
  <c r="J58" i="5"/>
  <c r="H58" i="5" s="1"/>
  <c r="I58" i="5" s="1"/>
  <c r="J68" i="5"/>
  <c r="H68" i="5" s="1"/>
  <c r="I68" i="5" s="1"/>
  <c r="Y68" i="5"/>
  <c r="U32" i="7"/>
  <c r="AI32" i="7" s="1"/>
  <c r="AG32" i="7"/>
  <c r="K39" i="8"/>
  <c r="C39" i="8"/>
  <c r="I39" i="8"/>
  <c r="K20" i="9"/>
  <c r="C20" i="9"/>
  <c r="X48" i="3"/>
  <c r="AS49" i="3"/>
  <c r="X53" i="3"/>
  <c r="AP56" i="3"/>
  <c r="X88" i="3"/>
  <c r="C25" i="4"/>
  <c r="F52" i="4"/>
  <c r="Z52" i="4"/>
  <c r="N52" i="4"/>
  <c r="I72" i="4"/>
  <c r="C88" i="4"/>
  <c r="AC13" i="5"/>
  <c r="CQ13" i="5"/>
  <c r="AS13" i="5"/>
  <c r="BA13" i="5"/>
  <c r="BG13" i="5"/>
  <c r="BM13" i="5"/>
  <c r="AI26" i="5"/>
  <c r="AW29" i="5"/>
  <c r="F31" i="5"/>
  <c r="Q31" i="5"/>
  <c r="X31" i="5"/>
  <c r="CO31" i="5"/>
  <c r="BR31" i="5"/>
  <c r="BX31" i="5"/>
  <c r="BQ40" i="5"/>
  <c r="BV52" i="5"/>
  <c r="CB52" i="5"/>
  <c r="CX52" i="5"/>
  <c r="T74" i="5"/>
  <c r="AX74" i="5"/>
  <c r="BD74" i="5"/>
  <c r="BJ74" i="5"/>
  <c r="AE44" i="3"/>
  <c r="AA47" i="3"/>
  <c r="V49" i="3"/>
  <c r="U52" i="3"/>
  <c r="AA54" i="3"/>
  <c r="AE57" i="3"/>
  <c r="V58" i="3"/>
  <c r="AE66" i="3"/>
  <c r="X68" i="3"/>
  <c r="AW70" i="3"/>
  <c r="AH72" i="3"/>
  <c r="AL77" i="3"/>
  <c r="AL80" i="3"/>
  <c r="AS84" i="3"/>
  <c r="AA87" i="3"/>
  <c r="BE13" i="5"/>
  <c r="AI18" i="5"/>
  <c r="AU18" i="5"/>
  <c r="CM22" i="5"/>
  <c r="BQ23" i="5"/>
  <c r="Y24" i="5"/>
  <c r="Y26" i="5"/>
  <c r="AK26" i="5"/>
  <c r="AW28" i="5"/>
  <c r="CU29" i="5"/>
  <c r="Y37" i="5"/>
  <c r="J39" i="5"/>
  <c r="H39" i="5" s="1"/>
  <c r="I39" i="5" s="1"/>
  <c r="W39" i="5"/>
  <c r="AK40" i="5"/>
  <c r="Y41" i="5"/>
  <c r="BO43" i="5"/>
  <c r="CU43" i="5"/>
  <c r="BO45" i="5"/>
  <c r="CU45" i="5"/>
  <c r="Y47" i="5"/>
  <c r="CW47" i="5"/>
  <c r="AK48" i="5"/>
  <c r="BQ48" i="5"/>
  <c r="C49" i="5"/>
  <c r="Y51" i="5"/>
  <c r="CW51" i="5"/>
  <c r="AI53" i="5"/>
  <c r="CM53" i="5"/>
  <c r="CQ52" i="5"/>
  <c r="CM59" i="5"/>
  <c r="BO67" i="5"/>
  <c r="BO71" i="5"/>
  <c r="CU72" i="5"/>
  <c r="BO73" i="5"/>
  <c r="CU75" i="5"/>
  <c r="AI76" i="5"/>
  <c r="CP74" i="5"/>
  <c r="Y79" i="5"/>
  <c r="BQ79" i="5"/>
  <c r="Y80" i="5"/>
  <c r="BP75" i="8"/>
  <c r="BN74" i="8"/>
  <c r="BP74" i="8" s="1"/>
  <c r="K77" i="8"/>
  <c r="I77" i="8"/>
  <c r="X44" i="3"/>
  <c r="AP44" i="3"/>
  <c r="AS45" i="3"/>
  <c r="C46" i="3"/>
  <c r="AS47" i="3"/>
  <c r="AH48" i="3"/>
  <c r="AP48" i="3"/>
  <c r="C53" i="3"/>
  <c r="O52" i="3"/>
  <c r="AH57" i="3"/>
  <c r="AP57" i="3"/>
  <c r="X58" i="3"/>
  <c r="AE58" i="3"/>
  <c r="AA65" i="3"/>
  <c r="AW66" i="3"/>
  <c r="AH70" i="3"/>
  <c r="AP70" i="3"/>
  <c r="AA72" i="3"/>
  <c r="AB74" i="3"/>
  <c r="AJ74" i="3"/>
  <c r="AR74" i="3"/>
  <c r="AG74" i="3"/>
  <c r="AX74" i="3"/>
  <c r="AP85" i="3"/>
  <c r="AS87" i="3"/>
  <c r="AP88" i="3"/>
  <c r="T13" i="4"/>
  <c r="T52" i="4"/>
  <c r="J56" i="4"/>
  <c r="H56" i="4" s="1"/>
  <c r="I56" i="4" s="1"/>
  <c r="J57" i="4"/>
  <c r="H57" i="4" s="1"/>
  <c r="K67" i="4"/>
  <c r="U69" i="4"/>
  <c r="AJ75" i="4"/>
  <c r="AD76" i="4"/>
  <c r="C14" i="5"/>
  <c r="AK18" i="5"/>
  <c r="Y21" i="5"/>
  <c r="CU22" i="5"/>
  <c r="Y29" i="5"/>
  <c r="AK32" i="5"/>
  <c r="AK36" i="5"/>
  <c r="Y39" i="5"/>
  <c r="BQ44" i="5"/>
  <c r="CM46" i="5"/>
  <c r="BO47" i="5"/>
  <c r="AK53" i="5"/>
  <c r="C61" i="5"/>
  <c r="BQ64" i="5"/>
  <c r="BO65" i="5"/>
  <c r="CM66" i="5"/>
  <c r="BQ67" i="5"/>
  <c r="AU69" i="5"/>
  <c r="BO69" i="5"/>
  <c r="Y72" i="5"/>
  <c r="CM72" i="5"/>
  <c r="AL74" i="5"/>
  <c r="BF74" i="5"/>
  <c r="BO75" i="5"/>
  <c r="BQ76" i="5"/>
  <c r="CM76" i="5"/>
  <c r="BQ80" i="5"/>
  <c r="Y81" i="5"/>
  <c r="AK81" i="5"/>
  <c r="CU81" i="5"/>
  <c r="AD17" i="6"/>
  <c r="AL17" i="6"/>
  <c r="AD39" i="6"/>
  <c r="C47" i="6"/>
  <c r="AD51" i="6"/>
  <c r="AL51" i="6"/>
  <c r="AD53" i="6"/>
  <c r="AL53" i="6"/>
  <c r="AA35" i="7"/>
  <c r="AA55" i="7"/>
  <c r="U61" i="7"/>
  <c r="AI61" i="7" s="1"/>
  <c r="AE63" i="7"/>
  <c r="C64" i="7"/>
  <c r="AE71" i="7"/>
  <c r="X80" i="7"/>
  <c r="AA82" i="7"/>
  <c r="K17" i="8"/>
  <c r="C19" i="8"/>
  <c r="U23" i="8"/>
  <c r="AL13" i="8"/>
  <c r="U30" i="8"/>
  <c r="AJ30" i="8"/>
  <c r="BA34" i="8"/>
  <c r="AJ42" i="8"/>
  <c r="U57" i="8"/>
  <c r="X63" i="8"/>
  <c r="AW68" i="8"/>
  <c r="BP68" i="8"/>
  <c r="BI74" i="8"/>
  <c r="AN74" i="8"/>
  <c r="H10" i="9"/>
  <c r="H9" i="9" s="1"/>
  <c r="T16" i="9"/>
  <c r="U16" i="9" s="1"/>
  <c r="I34" i="9"/>
  <c r="C40" i="9"/>
  <c r="T44" i="9"/>
  <c r="I54" i="9"/>
  <c r="T60" i="9"/>
  <c r="AK86" i="5"/>
  <c r="AL67" i="6"/>
  <c r="C23" i="7"/>
  <c r="AG44" i="7"/>
  <c r="C49" i="7"/>
  <c r="AJ27" i="8"/>
  <c r="BC28" i="8"/>
  <c r="AA33" i="8"/>
  <c r="C51" i="8"/>
  <c r="J66" i="8"/>
  <c r="H66" i="8" s="1"/>
  <c r="BA73" i="8"/>
  <c r="AB74" i="8"/>
  <c r="BH74" i="8"/>
  <c r="BU74" i="8"/>
  <c r="T28" i="9"/>
  <c r="I32" i="9"/>
  <c r="T83" i="9"/>
  <c r="BQ87" i="5"/>
  <c r="AL20" i="6"/>
  <c r="AD24" i="6"/>
  <c r="AL24" i="6"/>
  <c r="AL57" i="6"/>
  <c r="AL84" i="6"/>
  <c r="X15" i="7"/>
  <c r="U29" i="7"/>
  <c r="AI29" i="7" s="1"/>
  <c r="X43" i="7"/>
  <c r="J49" i="7"/>
  <c r="H49" i="7" s="1"/>
  <c r="I49" i="7" s="1"/>
  <c r="AA54" i="7"/>
  <c r="J60" i="7"/>
  <c r="H60" i="7" s="1"/>
  <c r="AG62" i="7"/>
  <c r="AA63" i="7"/>
  <c r="AA68" i="7"/>
  <c r="AW14" i="8"/>
  <c r="J16" i="8"/>
  <c r="K16" i="8" s="1"/>
  <c r="AW16" i="8"/>
  <c r="X23" i="8"/>
  <c r="AW28" i="8"/>
  <c r="AB52" i="8"/>
  <c r="J56" i="8"/>
  <c r="H56" i="8" s="1"/>
  <c r="T22" i="9"/>
  <c r="U22" i="9" s="1"/>
  <c r="J59" i="9"/>
  <c r="H59" i="9" s="1"/>
  <c r="CW86" i="5"/>
  <c r="X18" i="6"/>
  <c r="X53" i="6"/>
  <c r="J83" i="6"/>
  <c r="H83" i="6" s="1"/>
  <c r="I11" i="7"/>
  <c r="AH13" i="7"/>
  <c r="AC29" i="7"/>
  <c r="X35" i="7"/>
  <c r="X46" i="7"/>
  <c r="J51" i="7"/>
  <c r="H51" i="7" s="1"/>
  <c r="I51" i="7" s="1"/>
  <c r="X51" i="7"/>
  <c r="AG64" i="7"/>
  <c r="X73" i="7"/>
  <c r="U80" i="7"/>
  <c r="AI80" i="7" s="1"/>
  <c r="AE82" i="7"/>
  <c r="X27" i="8"/>
  <c r="C30" i="8"/>
  <c r="J30" i="8"/>
  <c r="H30" i="8" s="1"/>
  <c r="I30" i="8" s="1"/>
  <c r="AI31" i="8"/>
  <c r="BA47" i="8"/>
  <c r="X50" i="8"/>
  <c r="AJ55" i="8"/>
  <c r="C57" i="8"/>
  <c r="BL52" i="8"/>
  <c r="X64" i="8"/>
  <c r="BA65" i="8"/>
  <c r="U68" i="8"/>
  <c r="J75" i="8"/>
  <c r="H75" i="8" s="1"/>
  <c r="AD74" i="8"/>
  <c r="AK74" i="8"/>
  <c r="AQ74" i="8"/>
  <c r="E9" i="9"/>
  <c r="R9" i="9" s="1"/>
  <c r="T34" i="9"/>
  <c r="T59" i="9"/>
  <c r="T69" i="9"/>
  <c r="U69" i="9" s="1"/>
  <c r="T78" i="9"/>
  <c r="T81" i="9"/>
  <c r="J82" i="5"/>
  <c r="H82" i="5" s="1"/>
  <c r="I82" i="5" s="1"/>
  <c r="C86" i="5"/>
  <c r="M13" i="6"/>
  <c r="G13" i="6"/>
  <c r="S13" i="6"/>
  <c r="C19" i="6"/>
  <c r="X19" i="6"/>
  <c r="C21" i="6"/>
  <c r="AL26" i="6"/>
  <c r="AB31" i="6"/>
  <c r="AD33" i="6"/>
  <c r="AL33" i="6"/>
  <c r="AL34" i="6"/>
  <c r="C40" i="6"/>
  <c r="C43" i="6"/>
  <c r="C58" i="6"/>
  <c r="AL62" i="6"/>
  <c r="X66" i="6"/>
  <c r="X67" i="6"/>
  <c r="AD69" i="6"/>
  <c r="AL69" i="6"/>
  <c r="AL86" i="6"/>
  <c r="U19" i="7"/>
  <c r="AI19" i="7" s="1"/>
  <c r="AC19" i="7"/>
  <c r="K23" i="7"/>
  <c r="AE25" i="7"/>
  <c r="X55" i="7"/>
  <c r="C65" i="7"/>
  <c r="X82" i="7"/>
  <c r="AA84" i="7"/>
  <c r="AA21" i="8"/>
  <c r="AA23" i="8"/>
  <c r="C27" i="8"/>
  <c r="AA30" i="8"/>
  <c r="BP30" i="8"/>
  <c r="AO31" i="8"/>
  <c r="BD31" i="8"/>
  <c r="BJ31" i="8"/>
  <c r="BS31" i="8"/>
  <c r="AA47" i="8"/>
  <c r="U51" i="8"/>
  <c r="C61" i="8"/>
  <c r="BP72" i="8"/>
  <c r="U73" i="8"/>
  <c r="J69" i="9"/>
  <c r="L69" i="9" s="1"/>
  <c r="Z13" i="1"/>
  <c r="X16" i="1"/>
  <c r="V19" i="1"/>
  <c r="AM20" i="1"/>
  <c r="AK21" i="1"/>
  <c r="AM23" i="1"/>
  <c r="C24" i="1"/>
  <c r="X25" i="1"/>
  <c r="AM26" i="1"/>
  <c r="C27" i="1"/>
  <c r="AA28" i="1"/>
  <c r="AK28" i="1"/>
  <c r="X30" i="1"/>
  <c r="C33" i="1"/>
  <c r="V34" i="1"/>
  <c r="V35" i="1"/>
  <c r="X39" i="1"/>
  <c r="AM44" i="1"/>
  <c r="AM46" i="1"/>
  <c r="J50" i="1"/>
  <c r="H50" i="1" s="1"/>
  <c r="I50" i="1" s="1"/>
  <c r="X50" i="1"/>
  <c r="J54" i="1"/>
  <c r="L54" i="1" s="1"/>
  <c r="V56" i="1"/>
  <c r="X58" i="1"/>
  <c r="AM59" i="1"/>
  <c r="AE64" i="1"/>
  <c r="AM64" i="1"/>
  <c r="C66" i="1"/>
  <c r="X67" i="1"/>
  <c r="AA68" i="1"/>
  <c r="AK69" i="1"/>
  <c r="V72" i="1"/>
  <c r="C75" i="1"/>
  <c r="X75" i="1"/>
  <c r="X78" i="1"/>
  <c r="AK78" i="1"/>
  <c r="AA82" i="1"/>
  <c r="AK82" i="1"/>
  <c r="V84" i="1"/>
  <c r="J86" i="1"/>
  <c r="H86" i="1" s="1"/>
  <c r="I86" i="1" s="1"/>
  <c r="Z13" i="2"/>
  <c r="J14" i="2"/>
  <c r="H14" i="2" s="1"/>
  <c r="AG20" i="2"/>
  <c r="J22" i="2"/>
  <c r="H22" i="2" s="1"/>
  <c r="X24" i="2"/>
  <c r="AA26" i="2"/>
  <c r="AA29" i="2"/>
  <c r="X37" i="2"/>
  <c r="AE37" i="2"/>
  <c r="X43" i="2"/>
  <c r="X44" i="2"/>
  <c r="AE44" i="2"/>
  <c r="AG45" i="2"/>
  <c r="AE48" i="2"/>
  <c r="X51" i="2"/>
  <c r="AE51" i="2"/>
  <c r="AG55" i="2"/>
  <c r="J61" i="2"/>
  <c r="H61" i="2" s="1"/>
  <c r="I61" i="2" s="1"/>
  <c r="J68" i="2"/>
  <c r="H68" i="2" s="1"/>
  <c r="I68" i="2" s="1"/>
  <c r="J72" i="2"/>
  <c r="H72" i="2" s="1"/>
  <c r="I72" i="2" s="1"/>
  <c r="F74" i="2"/>
  <c r="X86" i="2"/>
  <c r="AF13" i="3"/>
  <c r="AP14" i="3"/>
  <c r="AV13" i="3"/>
  <c r="Z13" i="3"/>
  <c r="X18" i="1"/>
  <c r="AG18" i="1"/>
  <c r="AI31" i="1"/>
  <c r="J35" i="1"/>
  <c r="L35" i="1" s="1"/>
  <c r="V43" i="1"/>
  <c r="AK45" i="1"/>
  <c r="X46" i="1"/>
  <c r="AE46" i="1"/>
  <c r="AM47" i="1"/>
  <c r="C48" i="1"/>
  <c r="AH52" i="1"/>
  <c r="C54" i="1"/>
  <c r="AK54" i="1"/>
  <c r="J56" i="1"/>
  <c r="H56" i="1" s="1"/>
  <c r="I56" i="1" s="1"/>
  <c r="X56" i="1"/>
  <c r="V58" i="1"/>
  <c r="J59" i="1"/>
  <c r="H59" i="1" s="1"/>
  <c r="I59" i="1" s="1"/>
  <c r="X59" i="1"/>
  <c r="AE59" i="1"/>
  <c r="AM65" i="1"/>
  <c r="C67" i="1"/>
  <c r="X69" i="1"/>
  <c r="AM69" i="1"/>
  <c r="AM70" i="1"/>
  <c r="X72" i="1"/>
  <c r="AM84" i="1"/>
  <c r="AE25" i="2"/>
  <c r="E31" i="2"/>
  <c r="R31" i="2" s="1"/>
  <c r="Y74" i="2"/>
  <c r="U77" i="2"/>
  <c r="S74" i="2"/>
  <c r="U74" i="2" s="1"/>
  <c r="AI13" i="1"/>
  <c r="M13" i="1"/>
  <c r="X14" i="1"/>
  <c r="AM15" i="1"/>
  <c r="J17" i="1"/>
  <c r="K17" i="1" s="1"/>
  <c r="X17" i="1"/>
  <c r="AA18" i="1"/>
  <c r="J20" i="1"/>
  <c r="H20" i="1" s="1"/>
  <c r="I20" i="1" s="1"/>
  <c r="X20" i="1"/>
  <c r="AG20" i="1"/>
  <c r="J23" i="1"/>
  <c r="H23" i="1" s="1"/>
  <c r="I23" i="1" s="1"/>
  <c r="AM24" i="1"/>
  <c r="X26" i="1"/>
  <c r="AG26" i="1"/>
  <c r="AA27" i="1"/>
  <c r="AM27" i="1"/>
  <c r="C30" i="1"/>
  <c r="AM36" i="1"/>
  <c r="AK38" i="1"/>
  <c r="C39" i="1"/>
  <c r="AM40" i="1"/>
  <c r="X44" i="1"/>
  <c r="V47" i="1"/>
  <c r="AA49" i="1"/>
  <c r="E52" i="1"/>
  <c r="R52" i="1" s="1"/>
  <c r="Q52" i="1"/>
  <c r="AA57" i="1"/>
  <c r="AM57" i="1"/>
  <c r="AG59" i="1"/>
  <c r="AK61" i="1"/>
  <c r="V65" i="1"/>
  <c r="V68" i="1"/>
  <c r="AA73" i="1"/>
  <c r="AK73" i="1"/>
  <c r="Z74" i="1"/>
  <c r="AM85" i="1"/>
  <c r="J87" i="1"/>
  <c r="H87" i="1" s="1"/>
  <c r="I87" i="1" s="1"/>
  <c r="X87" i="1"/>
  <c r="AA88" i="1"/>
  <c r="AM88" i="1"/>
  <c r="AA16" i="2"/>
  <c r="C19" i="2"/>
  <c r="AA21" i="2"/>
  <c r="AE32" i="2"/>
  <c r="W31" i="2"/>
  <c r="J35" i="2"/>
  <c r="H35" i="2" s="1"/>
  <c r="I35" i="2" s="1"/>
  <c r="AG35" i="2"/>
  <c r="J39" i="2"/>
  <c r="H39" i="2" s="1"/>
  <c r="I39" i="2" s="1"/>
  <c r="AG39" i="2"/>
  <c r="J45" i="2"/>
  <c r="L45" i="2" s="1"/>
  <c r="AE47" i="2"/>
  <c r="J49" i="2"/>
  <c r="K49" i="2" s="1"/>
  <c r="AG49" i="2"/>
  <c r="I54" i="2"/>
  <c r="J63" i="2"/>
  <c r="H63" i="2" s="1"/>
  <c r="I63" i="2" s="1"/>
  <c r="AG63" i="2"/>
  <c r="F13" i="3"/>
  <c r="Q13" i="3"/>
  <c r="U13" i="1"/>
  <c r="V15" i="1"/>
  <c r="X21" i="1"/>
  <c r="AK22" i="1"/>
  <c r="AE27" i="1"/>
  <c r="AM28" i="1"/>
  <c r="V29" i="1"/>
  <c r="AN31" i="1"/>
  <c r="AP31" i="1" s="1"/>
  <c r="AM38" i="1"/>
  <c r="AK39" i="1"/>
  <c r="X40" i="1"/>
  <c r="AK41" i="1"/>
  <c r="AK42" i="1"/>
  <c r="AK43" i="1"/>
  <c r="J47" i="1"/>
  <c r="L47" i="1" s="1"/>
  <c r="AK50" i="1"/>
  <c r="X51" i="1"/>
  <c r="V53" i="1"/>
  <c r="AM61" i="1"/>
  <c r="J65" i="1"/>
  <c r="K65" i="1" s="1"/>
  <c r="X65" i="1"/>
  <c r="X68" i="1"/>
  <c r="AG68" i="1"/>
  <c r="V71" i="1"/>
  <c r="V73" i="1"/>
  <c r="V77" i="1"/>
  <c r="AM79" i="1"/>
  <c r="J82" i="1"/>
  <c r="H82" i="1" s="1"/>
  <c r="I82" i="1" s="1"/>
  <c r="V82" i="1"/>
  <c r="AA83" i="1"/>
  <c r="V85" i="1"/>
  <c r="AA86" i="1"/>
  <c r="AE88" i="1"/>
  <c r="F13" i="2"/>
  <c r="AD13" i="2"/>
  <c r="J15" i="2"/>
  <c r="L15" i="2" s="1"/>
  <c r="AE18" i="2"/>
  <c r="X23" i="2"/>
  <c r="AG23" i="2"/>
  <c r="AA24" i="2"/>
  <c r="AA25" i="2"/>
  <c r="AE27" i="2"/>
  <c r="AA33" i="2"/>
  <c r="AE36" i="2"/>
  <c r="X39" i="2"/>
  <c r="J40" i="2"/>
  <c r="H40" i="2" s="1"/>
  <c r="I40" i="2" s="1"/>
  <c r="AE40" i="2"/>
  <c r="AA45" i="2"/>
  <c r="AE49" i="2"/>
  <c r="AE50" i="2"/>
  <c r="J53" i="2"/>
  <c r="L53" i="2" s="1"/>
  <c r="J57" i="2"/>
  <c r="H57" i="2" s="1"/>
  <c r="AA59" i="2"/>
  <c r="C60" i="2"/>
  <c r="AA72" i="2"/>
  <c r="X77" i="2"/>
  <c r="C80" i="2"/>
  <c r="AA80" i="2"/>
  <c r="C84" i="2"/>
  <c r="J88" i="2"/>
  <c r="H88" i="2" s="1"/>
  <c r="I88" i="2" s="1"/>
  <c r="N13" i="3"/>
  <c r="AG14" i="1"/>
  <c r="J10" i="1"/>
  <c r="K10" i="1" s="1"/>
  <c r="W13" i="1"/>
  <c r="J15" i="1"/>
  <c r="H15" i="1" s="1"/>
  <c r="I15" i="1" s="1"/>
  <c r="AA19" i="1"/>
  <c r="AO31" i="1"/>
  <c r="C42" i="1"/>
  <c r="AA48" i="1"/>
  <c r="J53" i="1"/>
  <c r="H53" i="1" s="1"/>
  <c r="I53" i="1" s="1"/>
  <c r="J55" i="1"/>
  <c r="H55" i="1" s="1"/>
  <c r="I55" i="1" s="1"/>
  <c r="AA62" i="1"/>
  <c r="J71" i="1"/>
  <c r="H71" i="1" s="1"/>
  <c r="I71" i="1" s="1"/>
  <c r="J73" i="1"/>
  <c r="H73" i="1" s="1"/>
  <c r="I73" i="1" s="1"/>
  <c r="AH74" i="1"/>
  <c r="J77" i="1"/>
  <c r="H77" i="1" s="1"/>
  <c r="I77" i="1" s="1"/>
  <c r="AA80" i="1"/>
  <c r="C81" i="1"/>
  <c r="J83" i="1"/>
  <c r="H83" i="1" s="1"/>
  <c r="I83" i="1" s="1"/>
  <c r="C87" i="1"/>
  <c r="G13" i="2"/>
  <c r="C18" i="2"/>
  <c r="X18" i="2"/>
  <c r="J27" i="2"/>
  <c r="K27" i="2" s="1"/>
  <c r="X32" i="2"/>
  <c r="C35" i="2"/>
  <c r="AA38" i="2"/>
  <c r="P52" i="2"/>
  <c r="AA56" i="2"/>
  <c r="X70" i="2"/>
  <c r="J76" i="2"/>
  <c r="L76" i="2" s="1"/>
  <c r="X88" i="2"/>
  <c r="M13" i="3"/>
  <c r="AG66" i="2"/>
  <c r="AE68" i="2"/>
  <c r="J69" i="2"/>
  <c r="H69" i="2" s="1"/>
  <c r="AE72" i="2"/>
  <c r="J73" i="2"/>
  <c r="K73" i="2" s="1"/>
  <c r="AA77" i="2"/>
  <c r="AG85" i="2"/>
  <c r="AE88" i="2"/>
  <c r="J10" i="3"/>
  <c r="H10" i="3" s="1"/>
  <c r="H9" i="3" s="1"/>
  <c r="I9" i="3" s="1"/>
  <c r="AC13" i="3"/>
  <c r="AE14" i="3"/>
  <c r="AL15" i="3"/>
  <c r="AA16" i="3"/>
  <c r="AS16" i="3"/>
  <c r="C17" i="3"/>
  <c r="V20" i="3"/>
  <c r="AH20" i="3"/>
  <c r="AP20" i="3"/>
  <c r="AW20" i="3"/>
  <c r="AS21" i="3"/>
  <c r="X23" i="3"/>
  <c r="AA24" i="3"/>
  <c r="V29" i="3"/>
  <c r="C30" i="3"/>
  <c r="AE30" i="3"/>
  <c r="O31" i="3"/>
  <c r="X33" i="3"/>
  <c r="X35" i="3"/>
  <c r="J36" i="3"/>
  <c r="H36" i="3" s="1"/>
  <c r="I36" i="3" s="1"/>
  <c r="AE37" i="3"/>
  <c r="J39" i="3"/>
  <c r="H39" i="3" s="1"/>
  <c r="I39" i="3" s="1"/>
  <c r="V39" i="3"/>
  <c r="J45" i="3"/>
  <c r="H45" i="3" s="1"/>
  <c r="I45" i="3" s="1"/>
  <c r="V45" i="3"/>
  <c r="X49" i="3"/>
  <c r="V50" i="3"/>
  <c r="AM52" i="3"/>
  <c r="AH54" i="3"/>
  <c r="J56" i="3"/>
  <c r="H56" i="3" s="1"/>
  <c r="I56" i="3" s="1"/>
  <c r="V57" i="3"/>
  <c r="V65" i="3"/>
  <c r="J71" i="3"/>
  <c r="H71" i="3" s="1"/>
  <c r="AS72" i="3"/>
  <c r="P74" i="3"/>
  <c r="AA75" i="3"/>
  <c r="AE76" i="3"/>
  <c r="AW76" i="3"/>
  <c r="AA78" i="3"/>
  <c r="AE79" i="3"/>
  <c r="AW79" i="3"/>
  <c r="AA81" i="3"/>
  <c r="V83" i="3"/>
  <c r="V84" i="3"/>
  <c r="X85" i="3"/>
  <c r="P9" i="4"/>
  <c r="K33" i="4"/>
  <c r="C33" i="4"/>
  <c r="C66" i="2"/>
  <c r="AE70" i="2"/>
  <c r="X72" i="2"/>
  <c r="J75" i="2"/>
  <c r="H75" i="2" s="1"/>
  <c r="AE76" i="2"/>
  <c r="AG80" i="2"/>
  <c r="J82" i="2"/>
  <c r="H82" i="2" s="1"/>
  <c r="I82" i="2" s="1"/>
  <c r="AA82" i="2"/>
  <c r="C83" i="2"/>
  <c r="X85" i="2"/>
  <c r="AG88" i="2"/>
  <c r="S13" i="3"/>
  <c r="C14" i="3"/>
  <c r="AD13" i="3"/>
  <c r="AW15" i="3"/>
  <c r="AL16" i="3"/>
  <c r="J17" i="3"/>
  <c r="H17" i="3" s="1"/>
  <c r="I17" i="3" s="1"/>
  <c r="AA17" i="3"/>
  <c r="AL19" i="3"/>
  <c r="X20" i="3"/>
  <c r="X21" i="3"/>
  <c r="J22" i="3"/>
  <c r="H22" i="3" s="1"/>
  <c r="I22" i="3" s="1"/>
  <c r="X22" i="3"/>
  <c r="C25" i="3"/>
  <c r="AW25" i="3"/>
  <c r="AA26" i="3"/>
  <c r="X27" i="3"/>
  <c r="AA28" i="3"/>
  <c r="X29" i="3"/>
  <c r="Y31" i="3"/>
  <c r="AA32" i="3"/>
  <c r="V33" i="3"/>
  <c r="AS34" i="3"/>
  <c r="AE36" i="3"/>
  <c r="AW37" i="3"/>
  <c r="J38" i="3"/>
  <c r="H38" i="3" s="1"/>
  <c r="I38" i="3" s="1"/>
  <c r="AL38" i="3"/>
  <c r="AE39" i="3"/>
  <c r="AA40" i="3"/>
  <c r="X41" i="3"/>
  <c r="AL41" i="3"/>
  <c r="C42" i="3"/>
  <c r="AA43" i="3"/>
  <c r="AL44" i="3"/>
  <c r="AE45" i="3"/>
  <c r="AL47" i="3"/>
  <c r="C48" i="3"/>
  <c r="AA48" i="3"/>
  <c r="J49" i="3"/>
  <c r="H49" i="3" s="1"/>
  <c r="I49" i="3" s="1"/>
  <c r="AE49" i="3"/>
  <c r="X50" i="3"/>
  <c r="AP50" i="3"/>
  <c r="V53" i="3"/>
  <c r="AS58" i="3"/>
  <c r="AP62" i="3"/>
  <c r="J63" i="3"/>
  <c r="L63" i="3" s="1"/>
  <c r="V63" i="3"/>
  <c r="AL67" i="3"/>
  <c r="AS70" i="3"/>
  <c r="AS75" i="3"/>
  <c r="AH76" i="3"/>
  <c r="AP76" i="3"/>
  <c r="X77" i="3"/>
  <c r="AE77" i="3"/>
  <c r="AT74" i="3"/>
  <c r="AS78" i="3"/>
  <c r="AH79" i="3"/>
  <c r="AP79" i="3"/>
  <c r="X80" i="3"/>
  <c r="AE80" i="3"/>
  <c r="AS81" i="3"/>
  <c r="AP82" i="3"/>
  <c r="X84" i="3"/>
  <c r="AA85" i="3"/>
  <c r="V87" i="3"/>
  <c r="AA88" i="3"/>
  <c r="C10" i="4"/>
  <c r="C9" i="4" s="1"/>
  <c r="K22" i="4"/>
  <c r="K25" i="4"/>
  <c r="J32" i="4"/>
  <c r="K32" i="4" s="1"/>
  <c r="AS28" i="3"/>
  <c r="AP33" i="3"/>
  <c r="AL34" i="3"/>
  <c r="AH36" i="3"/>
  <c r="AP36" i="3"/>
  <c r="AS40" i="3"/>
  <c r="AP45" i="3"/>
  <c r="AS48" i="3"/>
  <c r="AA50" i="3"/>
  <c r="AW55" i="3"/>
  <c r="AA76" i="3"/>
  <c r="AA79" i="3"/>
  <c r="AA82" i="3"/>
  <c r="AW17" i="3"/>
  <c r="AA22" i="3"/>
  <c r="AS32" i="3"/>
  <c r="AE38" i="3"/>
  <c r="AL58" i="3"/>
  <c r="AW65" i="3"/>
  <c r="AL70" i="3"/>
  <c r="AA86" i="3"/>
  <c r="I19" i="4"/>
  <c r="K19" i="4"/>
  <c r="AQ13" i="3"/>
  <c r="AX13" i="3"/>
  <c r="C16" i="3"/>
  <c r="AW16" i="3"/>
  <c r="AL18" i="3"/>
  <c r="J19" i="3"/>
  <c r="H19" i="3" s="1"/>
  <c r="I19" i="3" s="1"/>
  <c r="AP21" i="3"/>
  <c r="AS22" i="3"/>
  <c r="C23" i="3"/>
  <c r="AE23" i="3"/>
  <c r="AL23" i="3"/>
  <c r="V26" i="3"/>
  <c r="AA27" i="3"/>
  <c r="T31" i="3"/>
  <c r="C38" i="3"/>
  <c r="J40" i="3"/>
  <c r="H40" i="3" s="1"/>
  <c r="I40" i="3" s="1"/>
  <c r="V40" i="3"/>
  <c r="AW42" i="3"/>
  <c r="J46" i="3"/>
  <c r="L46" i="3" s="1"/>
  <c r="J47" i="3"/>
  <c r="H47" i="3" s="1"/>
  <c r="I47" i="3" s="1"/>
  <c r="AA49" i="3"/>
  <c r="V51" i="3"/>
  <c r="AE54" i="3"/>
  <c r="AP65" i="3"/>
  <c r="V66" i="3"/>
  <c r="AL68" i="3"/>
  <c r="AE70" i="3"/>
  <c r="AW72" i="3"/>
  <c r="V18" i="3"/>
  <c r="J23" i="3"/>
  <c r="H23" i="3" s="1"/>
  <c r="I23" i="3" s="1"/>
  <c r="X24" i="3"/>
  <c r="J25" i="3"/>
  <c r="H25" i="3" s="1"/>
  <c r="I25" i="3" s="1"/>
  <c r="J28" i="3"/>
  <c r="H28" i="3" s="1"/>
  <c r="I28" i="3" s="1"/>
  <c r="V28" i="3"/>
  <c r="AE28" i="3"/>
  <c r="V32" i="3"/>
  <c r="AM31" i="3"/>
  <c r="AU31" i="3"/>
  <c r="AW34" i="3"/>
  <c r="AE40" i="3"/>
  <c r="AE46" i="3"/>
  <c r="X51" i="3"/>
  <c r="AE53" i="3"/>
  <c r="J59" i="3"/>
  <c r="H59" i="3" s="1"/>
  <c r="AC74" i="3"/>
  <c r="AL76" i="3"/>
  <c r="AL79" i="3"/>
  <c r="N13" i="4"/>
  <c r="AF13" i="4"/>
  <c r="J23" i="4"/>
  <c r="H23" i="4" s="1"/>
  <c r="AF31" i="4"/>
  <c r="Z31" i="4"/>
  <c r="J35" i="4"/>
  <c r="H35" i="4" s="1"/>
  <c r="T31" i="4"/>
  <c r="K38" i="4"/>
  <c r="J39" i="4"/>
  <c r="H39" i="4" s="1"/>
  <c r="K47" i="4"/>
  <c r="X56" i="4"/>
  <c r="AG56" i="4"/>
  <c r="I58" i="4"/>
  <c r="C69" i="4"/>
  <c r="AG69" i="4"/>
  <c r="X75" i="4"/>
  <c r="P74" i="4"/>
  <c r="K78" i="4"/>
  <c r="K79" i="4"/>
  <c r="U13" i="5"/>
  <c r="S14" i="5"/>
  <c r="BS13" i="5"/>
  <c r="CE13" i="5"/>
  <c r="CU14" i="5"/>
  <c r="Q13" i="5"/>
  <c r="AL13" i="5"/>
  <c r="AR13" i="5"/>
  <c r="BO16" i="5"/>
  <c r="BZ13" i="5"/>
  <c r="CF13" i="5"/>
  <c r="CM18" i="5"/>
  <c r="AK20" i="5"/>
  <c r="CW20" i="5"/>
  <c r="W22" i="5"/>
  <c r="BO22" i="5"/>
  <c r="AI23" i="5"/>
  <c r="CW24" i="5"/>
  <c r="Y28" i="5"/>
  <c r="AW30" i="5"/>
  <c r="AO31" i="5"/>
  <c r="BP31" i="5"/>
  <c r="BW31" i="5"/>
  <c r="CC31" i="5"/>
  <c r="CI31" i="5"/>
  <c r="AR31" i="5"/>
  <c r="AY31" i="5"/>
  <c r="BK31" i="5"/>
  <c r="CU34" i="5"/>
  <c r="J26" i="4"/>
  <c r="H26" i="4" s="1"/>
  <c r="AG30" i="4"/>
  <c r="I34" i="4"/>
  <c r="K40" i="4"/>
  <c r="I43" i="4"/>
  <c r="J44" i="4"/>
  <c r="H44" i="4" s="1"/>
  <c r="K50" i="4"/>
  <c r="D52" i="4"/>
  <c r="AF52" i="4"/>
  <c r="C58" i="4"/>
  <c r="AJ76" i="4"/>
  <c r="K77" i="4"/>
  <c r="C78" i="4"/>
  <c r="C79" i="4"/>
  <c r="I82" i="4"/>
  <c r="J83" i="4"/>
  <c r="H83" i="4" s="1"/>
  <c r="T74" i="4"/>
  <c r="U86" i="4"/>
  <c r="AD86" i="4"/>
  <c r="X88" i="4"/>
  <c r="AN13" i="5"/>
  <c r="AU14" i="5"/>
  <c r="BQ14" i="5"/>
  <c r="C16" i="5"/>
  <c r="AW16" i="5"/>
  <c r="AA13" i="5"/>
  <c r="AG13" i="5"/>
  <c r="AW17" i="5"/>
  <c r="BQ17" i="5"/>
  <c r="Y19" i="5"/>
  <c r="BO19" i="5"/>
  <c r="AW22" i="5"/>
  <c r="BQ22" i="5"/>
  <c r="J23" i="5"/>
  <c r="H23" i="5" s="1"/>
  <c r="I23" i="5" s="1"/>
  <c r="AW23" i="5"/>
  <c r="C24" i="5"/>
  <c r="AU24" i="5"/>
  <c r="BO24" i="5"/>
  <c r="AU26" i="5"/>
  <c r="J27" i="5"/>
  <c r="H27" i="5" s="1"/>
  <c r="I27" i="5" s="1"/>
  <c r="AU28" i="5"/>
  <c r="BO28" i="5"/>
  <c r="AU30" i="5"/>
  <c r="Y32" i="5"/>
  <c r="AX31" i="5"/>
  <c r="BD31" i="5"/>
  <c r="BJ31" i="5"/>
  <c r="Y33" i="5"/>
  <c r="AA31" i="5"/>
  <c r="AK35" i="5"/>
  <c r="AW35" i="5"/>
  <c r="J29" i="4"/>
  <c r="H29" i="4" s="1"/>
  <c r="C34" i="4"/>
  <c r="I37" i="4"/>
  <c r="C40" i="4"/>
  <c r="I46" i="4"/>
  <c r="J47" i="4"/>
  <c r="H47" i="4" s="1"/>
  <c r="J63" i="4"/>
  <c r="H63" i="4" s="1"/>
  <c r="J66" i="4"/>
  <c r="H66" i="4" s="1"/>
  <c r="AJ69" i="4"/>
  <c r="U76" i="4"/>
  <c r="J86" i="4"/>
  <c r="H86" i="4" s="1"/>
  <c r="I86" i="4" s="1"/>
  <c r="C11" i="5"/>
  <c r="AX13" i="5"/>
  <c r="BD13" i="5"/>
  <c r="CU15" i="5"/>
  <c r="CU18" i="5"/>
  <c r="Y20" i="5"/>
  <c r="AJ13" i="5"/>
  <c r="CM30" i="5"/>
  <c r="AZ31" i="5"/>
  <c r="BO33" i="5"/>
  <c r="BT31" i="5"/>
  <c r="BZ31" i="5"/>
  <c r="CF31" i="5"/>
  <c r="CW33" i="5"/>
  <c r="DA31" i="5"/>
  <c r="R31" i="5"/>
  <c r="AU36" i="5"/>
  <c r="BO36" i="5"/>
  <c r="AJ30" i="4"/>
  <c r="U32" i="4"/>
  <c r="J38" i="4"/>
  <c r="H38" i="4" s="1"/>
  <c r="I49" i="4"/>
  <c r="J50" i="4"/>
  <c r="H50" i="4" s="1"/>
  <c r="K62" i="4"/>
  <c r="I70" i="4"/>
  <c r="J15" i="5"/>
  <c r="H15" i="5" s="1"/>
  <c r="I15" i="5" s="1"/>
  <c r="AO13" i="5"/>
  <c r="BP13" i="5"/>
  <c r="BW13" i="5"/>
  <c r="CC13" i="5"/>
  <c r="CI13" i="5"/>
  <c r="CW18" i="5"/>
  <c r="AU21" i="5"/>
  <c r="BO21" i="5"/>
  <c r="J22" i="5"/>
  <c r="H22" i="5" s="1"/>
  <c r="I22" i="5" s="1"/>
  <c r="AK22" i="5"/>
  <c r="CP13" i="5"/>
  <c r="CU27" i="5"/>
  <c r="AI28" i="5"/>
  <c r="AK29" i="5"/>
  <c r="Y30" i="5"/>
  <c r="BO32" i="5"/>
  <c r="AM31" i="5"/>
  <c r="AS31" i="5"/>
  <c r="W34" i="5"/>
  <c r="AK34" i="5"/>
  <c r="N31" i="5"/>
  <c r="Y35" i="5"/>
  <c r="AW36" i="5"/>
  <c r="J37" i="5"/>
  <c r="H37" i="5" s="1"/>
  <c r="I37" i="5" s="1"/>
  <c r="U53" i="4"/>
  <c r="C54" i="4"/>
  <c r="J69" i="4"/>
  <c r="H69" i="4" s="1"/>
  <c r="I69" i="4" s="1"/>
  <c r="C70" i="4"/>
  <c r="J73" i="4"/>
  <c r="H73" i="4" s="1"/>
  <c r="AD75" i="4"/>
  <c r="D13" i="5"/>
  <c r="BJ13" i="5"/>
  <c r="AD13" i="5"/>
  <c r="AP13" i="5"/>
  <c r="J24" i="5"/>
  <c r="H24" i="5" s="1"/>
  <c r="I24" i="5" s="1"/>
  <c r="W26" i="5"/>
  <c r="Z31" i="5"/>
  <c r="Z74" i="4"/>
  <c r="AC74" i="4"/>
  <c r="CO13" i="5"/>
  <c r="CV13" i="5"/>
  <c r="DC13" i="5"/>
  <c r="CL13" i="5"/>
  <c r="Y17" i="5"/>
  <c r="Y38" i="5"/>
  <c r="AI40" i="5"/>
  <c r="CN31" i="5"/>
  <c r="O31" i="5"/>
  <c r="AU44" i="5"/>
  <c r="BO44" i="5"/>
  <c r="J47" i="5"/>
  <c r="K47" i="5" s="1"/>
  <c r="CM48" i="5"/>
  <c r="BO50" i="5"/>
  <c r="J51" i="5"/>
  <c r="H51" i="5" s="1"/>
  <c r="I51" i="5" s="1"/>
  <c r="BJ52" i="5"/>
  <c r="N52" i="5"/>
  <c r="CM65" i="5"/>
  <c r="BO66" i="5"/>
  <c r="CU68" i="5"/>
  <c r="AK72" i="5"/>
  <c r="AW76" i="5"/>
  <c r="J78" i="5"/>
  <c r="K78" i="5" s="1"/>
  <c r="AU86" i="5"/>
  <c r="BO86" i="5"/>
  <c r="BO87" i="5"/>
  <c r="Y13" i="6"/>
  <c r="I25" i="6"/>
  <c r="C29" i="6"/>
  <c r="G52" i="6"/>
  <c r="S52" i="6"/>
  <c r="C62" i="6"/>
  <c r="C63" i="6"/>
  <c r="AH69" i="6"/>
  <c r="I73" i="6"/>
  <c r="K76" i="6"/>
  <c r="K81" i="6"/>
  <c r="K10" i="7"/>
  <c r="AG21" i="7"/>
  <c r="V74" i="7"/>
  <c r="BR52" i="8"/>
  <c r="C63" i="8"/>
  <c r="C81" i="8"/>
  <c r="D74" i="8"/>
  <c r="I86" i="8"/>
  <c r="C86" i="8"/>
  <c r="K86" i="8"/>
  <c r="K41" i="9"/>
  <c r="C41" i="9"/>
  <c r="I78" i="9"/>
  <c r="K78" i="9"/>
  <c r="AK37" i="5"/>
  <c r="BQ42" i="5"/>
  <c r="Y45" i="5"/>
  <c r="AL52" i="5"/>
  <c r="AR52" i="5"/>
  <c r="BO61" i="5"/>
  <c r="BQ62" i="5"/>
  <c r="BQ66" i="5"/>
  <c r="CW69" i="5"/>
  <c r="CV74" i="5"/>
  <c r="CN74" i="5"/>
  <c r="CT74" i="5"/>
  <c r="BQ86" i="5"/>
  <c r="AK87" i="5"/>
  <c r="U19" i="6"/>
  <c r="AD20" i="6"/>
  <c r="G31" i="6"/>
  <c r="F31" i="6"/>
  <c r="AH36" i="6"/>
  <c r="C38" i="6"/>
  <c r="AD40" i="6"/>
  <c r="AL40" i="6"/>
  <c r="J54" i="6"/>
  <c r="H54" i="6" s="1"/>
  <c r="K64" i="6"/>
  <c r="AH66" i="6"/>
  <c r="AH67" i="6"/>
  <c r="C70" i="6"/>
  <c r="C72" i="6"/>
  <c r="C76" i="6"/>
  <c r="I77" i="6"/>
  <c r="Z74" i="6"/>
  <c r="AL85" i="6"/>
  <c r="X26" i="7"/>
  <c r="AA27" i="7"/>
  <c r="J30" i="7"/>
  <c r="H30" i="7" s="1"/>
  <c r="I30" i="7" s="1"/>
  <c r="C33" i="7"/>
  <c r="K40" i="7"/>
  <c r="AE41" i="7"/>
  <c r="U41" i="7"/>
  <c r="AI41" i="7" s="1"/>
  <c r="J64" i="7"/>
  <c r="H64" i="7" s="1"/>
  <c r="I64" i="7" s="1"/>
  <c r="AA86" i="7"/>
  <c r="Z13" i="8"/>
  <c r="AJ34" i="8"/>
  <c r="BR74" i="8"/>
  <c r="C16" i="9"/>
  <c r="O52" i="9"/>
  <c r="CZ31" i="5"/>
  <c r="AP31" i="5"/>
  <c r="W41" i="5"/>
  <c r="AK41" i="5"/>
  <c r="W43" i="5"/>
  <c r="W45" i="5"/>
  <c r="Z52" i="5"/>
  <c r="BN52" i="5"/>
  <c r="CZ52" i="5"/>
  <c r="CT52" i="5"/>
  <c r="BX74" i="5"/>
  <c r="AU78" i="5"/>
  <c r="BO78" i="5"/>
  <c r="CZ74" i="5"/>
  <c r="AL21" i="6"/>
  <c r="C34" i="6"/>
  <c r="P31" i="6"/>
  <c r="AH51" i="6"/>
  <c r="V52" i="6"/>
  <c r="AL56" i="6"/>
  <c r="C64" i="6"/>
  <c r="J69" i="6"/>
  <c r="H69" i="6" s="1"/>
  <c r="I69" i="6" s="1"/>
  <c r="AH72" i="6"/>
  <c r="Y74" i="6"/>
  <c r="AD78" i="6"/>
  <c r="AL78" i="6"/>
  <c r="C84" i="6"/>
  <c r="C10" i="7"/>
  <c r="C9" i="7" s="1"/>
  <c r="C16" i="7"/>
  <c r="X16" i="7"/>
  <c r="AE20" i="7"/>
  <c r="X21" i="7"/>
  <c r="X22" i="7"/>
  <c r="X30" i="7"/>
  <c r="K50" i="7"/>
  <c r="C50" i="7"/>
  <c r="I50" i="7"/>
  <c r="X34" i="8"/>
  <c r="K56" i="8"/>
  <c r="C56" i="8"/>
  <c r="CL31" i="5"/>
  <c r="AJ31" i="5"/>
  <c r="BQ46" i="5"/>
  <c r="C47" i="5"/>
  <c r="W47" i="5"/>
  <c r="AK50" i="5"/>
  <c r="BQ50" i="5"/>
  <c r="CM50" i="5"/>
  <c r="C51" i="5"/>
  <c r="W51" i="5"/>
  <c r="S53" i="5"/>
  <c r="R52" i="5"/>
  <c r="BQ54" i="5"/>
  <c r="J60" i="5"/>
  <c r="H60" i="5" s="1"/>
  <c r="I60" i="5" s="1"/>
  <c r="BQ70" i="5"/>
  <c r="AP74" i="5"/>
  <c r="BO79" i="5"/>
  <c r="J80" i="5"/>
  <c r="K80" i="5" s="1"/>
  <c r="BO81" i="5"/>
  <c r="AC85" i="7"/>
  <c r="AE85" i="7"/>
  <c r="K88" i="7"/>
  <c r="I88" i="7"/>
  <c r="Y74" i="8"/>
  <c r="AA76" i="8"/>
  <c r="I87" i="8"/>
  <c r="C87" i="8"/>
  <c r="K87" i="8"/>
  <c r="CM36" i="5"/>
  <c r="W37" i="5"/>
  <c r="BO37" i="5"/>
  <c r="BV31" i="5"/>
  <c r="AK39" i="5"/>
  <c r="AW39" i="5"/>
  <c r="CM39" i="5"/>
  <c r="CU40" i="5"/>
  <c r="AU43" i="5"/>
  <c r="BB31" i="5"/>
  <c r="BH31" i="5"/>
  <c r="BN31" i="5"/>
  <c r="AU45" i="5"/>
  <c r="CM47" i="5"/>
  <c r="CM51" i="5"/>
  <c r="BQ53" i="5"/>
  <c r="BT52" i="5"/>
  <c r="CF52" i="5"/>
  <c r="X52" i="5"/>
  <c r="BQ58" i="5"/>
  <c r="AX52" i="5"/>
  <c r="CM61" i="5"/>
  <c r="AU75" i="5"/>
  <c r="BV74" i="5"/>
  <c r="CB74" i="5"/>
  <c r="CU82" i="5"/>
  <c r="BQ83" i="5"/>
  <c r="CM85" i="5"/>
  <c r="CM88" i="5"/>
  <c r="U23" i="6"/>
  <c r="I27" i="6"/>
  <c r="J78" i="6"/>
  <c r="H78" i="6" s="1"/>
  <c r="I78" i="6" s="1"/>
  <c r="J79" i="6"/>
  <c r="H79" i="6" s="1"/>
  <c r="I79" i="6" s="1"/>
  <c r="AG65" i="7"/>
  <c r="U65" i="7"/>
  <c r="AI65" i="7" s="1"/>
  <c r="AC84" i="7"/>
  <c r="AN31" i="8"/>
  <c r="AT31" i="8"/>
  <c r="AK52" i="8"/>
  <c r="AQ52" i="8"/>
  <c r="BF52" i="8"/>
  <c r="Q52" i="8"/>
  <c r="N52" i="8"/>
  <c r="BF74" i="8"/>
  <c r="BL74" i="8"/>
  <c r="BS74" i="8"/>
  <c r="E13" i="9"/>
  <c r="R13" i="9" s="1"/>
  <c r="R14" i="9"/>
  <c r="CU36" i="5"/>
  <c r="AW37" i="5"/>
  <c r="W38" i="5"/>
  <c r="AI39" i="5"/>
  <c r="CM40" i="5"/>
  <c r="CW40" i="5"/>
  <c r="AK43" i="5"/>
  <c r="AV31" i="5"/>
  <c r="AK45" i="5"/>
  <c r="CU47" i="5"/>
  <c r="CM49" i="5"/>
  <c r="CU51" i="5"/>
  <c r="AJ52" i="5"/>
  <c r="AY52" i="5"/>
  <c r="BE52" i="5"/>
  <c r="CL52" i="5"/>
  <c r="BB52" i="5"/>
  <c r="BH52" i="5"/>
  <c r="BP52" i="5"/>
  <c r="BW52" i="5"/>
  <c r="CC52" i="5"/>
  <c r="W68" i="5"/>
  <c r="AK68" i="5"/>
  <c r="AW68" i="5"/>
  <c r="AB74" i="5"/>
  <c r="BO76" i="5"/>
  <c r="AW77" i="5"/>
  <c r="BQ77" i="5"/>
  <c r="CW77" i="5"/>
  <c r="BQ78" i="5"/>
  <c r="C79" i="5"/>
  <c r="AU80" i="5"/>
  <c r="W81" i="5"/>
  <c r="V13" i="6"/>
  <c r="U18" i="6"/>
  <c r="AD18" i="6"/>
  <c r="C27" i="6"/>
  <c r="D31" i="6"/>
  <c r="Z52" i="6"/>
  <c r="AD58" i="6"/>
  <c r="AL58" i="6"/>
  <c r="K63" i="6"/>
  <c r="C75" i="6"/>
  <c r="AJ74" i="6"/>
  <c r="AH78" i="6"/>
  <c r="H10" i="7"/>
  <c r="H9" i="7" s="1"/>
  <c r="AA16" i="7"/>
  <c r="AG19" i="7"/>
  <c r="AC24" i="7"/>
  <c r="AG33" i="7"/>
  <c r="AE33" i="7"/>
  <c r="AC33" i="7"/>
  <c r="AD74" i="7"/>
  <c r="R64" i="8"/>
  <c r="C64" i="8"/>
  <c r="AA34" i="7"/>
  <c r="AA38" i="7"/>
  <c r="U43" i="7"/>
  <c r="AI43" i="7" s="1"/>
  <c r="C46" i="7"/>
  <c r="AA49" i="7"/>
  <c r="I56" i="7"/>
  <c r="AG56" i="7"/>
  <c r="AG61" i="7"/>
  <c r="U62" i="7"/>
  <c r="AI62" i="7" s="1"/>
  <c r="X71" i="7"/>
  <c r="D74" i="7"/>
  <c r="AE84" i="7"/>
  <c r="J19" i="8"/>
  <c r="H19" i="8" s="1"/>
  <c r="C20" i="8"/>
  <c r="V31" i="8"/>
  <c r="AC31" i="8"/>
  <c r="BC33" i="8"/>
  <c r="W31" i="8"/>
  <c r="J47" i="8"/>
  <c r="K47" i="8" s="1"/>
  <c r="D52" i="8"/>
  <c r="AJ54" i="8"/>
  <c r="W52" i="8"/>
  <c r="J62" i="8"/>
  <c r="H62" i="8" s="1"/>
  <c r="BA68" i="8"/>
  <c r="AE74" i="8"/>
  <c r="BG74" i="8"/>
  <c r="BM74" i="8"/>
  <c r="BT74" i="8"/>
  <c r="J78" i="8"/>
  <c r="H78" i="8" s="1"/>
  <c r="J30" i="9"/>
  <c r="H30" i="9" s="1"/>
  <c r="J33" i="9"/>
  <c r="H33" i="9" s="1"/>
  <c r="I49" i="9"/>
  <c r="J57" i="9"/>
  <c r="H57" i="9" s="1"/>
  <c r="G74" i="9"/>
  <c r="I84" i="9"/>
  <c r="K86" i="9"/>
  <c r="AA59" i="7"/>
  <c r="I61" i="7"/>
  <c r="J68" i="7"/>
  <c r="K68" i="7" s="1"/>
  <c r="AA80" i="7"/>
  <c r="U86" i="7"/>
  <c r="AI86" i="7" s="1"/>
  <c r="AJ14" i="8"/>
  <c r="AF13" i="8"/>
  <c r="BA23" i="8"/>
  <c r="BA27" i="8"/>
  <c r="BA30" i="8"/>
  <c r="BA32" i="8"/>
  <c r="J33" i="8"/>
  <c r="H33" i="8" s="1"/>
  <c r="I33" i="8" s="1"/>
  <c r="BA33" i="8"/>
  <c r="J44" i="8"/>
  <c r="H44" i="8" s="1"/>
  <c r="M52" i="8"/>
  <c r="AR52" i="8"/>
  <c r="BC57" i="8"/>
  <c r="BA61" i="8"/>
  <c r="J65" i="8"/>
  <c r="H65" i="8" s="1"/>
  <c r="I65" i="8" s="1"/>
  <c r="AA72" i="8"/>
  <c r="AF74" i="8"/>
  <c r="M74" i="8"/>
  <c r="AT74" i="8"/>
  <c r="AP74" i="8"/>
  <c r="AV74" i="8"/>
  <c r="C80" i="8"/>
  <c r="AA81" i="8"/>
  <c r="I83" i="8"/>
  <c r="T51" i="9"/>
  <c r="U51" i="9" s="1"/>
  <c r="T57" i="9"/>
  <c r="J61" i="9"/>
  <c r="H61" i="9" s="1"/>
  <c r="T67" i="9"/>
  <c r="I70" i="9"/>
  <c r="I72" i="9"/>
  <c r="J73" i="9"/>
  <c r="H73" i="9" s="1"/>
  <c r="J79" i="9"/>
  <c r="H79" i="9" s="1"/>
  <c r="I82" i="9"/>
  <c r="J86" i="9"/>
  <c r="H86" i="9" s="1"/>
  <c r="AC40" i="7"/>
  <c r="X42" i="7"/>
  <c r="J48" i="7"/>
  <c r="H48" i="7" s="1"/>
  <c r="I48" i="7" s="1"/>
  <c r="U56" i="7"/>
  <c r="AI56" i="7" s="1"/>
  <c r="C61" i="7"/>
  <c r="AC62" i="7"/>
  <c r="AA64" i="7"/>
  <c r="X65" i="7"/>
  <c r="AC79" i="7"/>
  <c r="K87" i="7"/>
  <c r="BA14" i="8"/>
  <c r="AA27" i="8"/>
  <c r="Q31" i="8"/>
  <c r="X32" i="8"/>
  <c r="AE31" i="8"/>
  <c r="BC34" i="8"/>
  <c r="AQ31" i="8"/>
  <c r="BC43" i="8"/>
  <c r="BP48" i="8"/>
  <c r="X54" i="8"/>
  <c r="AX52" i="8"/>
  <c r="J57" i="8"/>
  <c r="H57" i="8" s="1"/>
  <c r="I57" i="8" s="1"/>
  <c r="BA57" i="8"/>
  <c r="C59" i="8"/>
  <c r="J59" i="8"/>
  <c r="H59" i="8" s="1"/>
  <c r="BA59" i="8"/>
  <c r="BP59" i="8"/>
  <c r="AA61" i="8"/>
  <c r="I62" i="8"/>
  <c r="AW67" i="8"/>
  <c r="I75" i="8"/>
  <c r="J76" i="8"/>
  <c r="H76" i="8" s="1"/>
  <c r="J82" i="8"/>
  <c r="H82" i="8" s="1"/>
  <c r="J21" i="9"/>
  <c r="H21" i="9" s="1"/>
  <c r="I21" i="9" s="1"/>
  <c r="T21" i="9"/>
  <c r="U21" i="9" s="1"/>
  <c r="N31" i="9"/>
  <c r="I38" i="9"/>
  <c r="T45" i="9"/>
  <c r="U45" i="9" s="1"/>
  <c r="T47" i="9"/>
  <c r="J53" i="9"/>
  <c r="H53" i="9" s="1"/>
  <c r="T54" i="9"/>
  <c r="J60" i="9"/>
  <c r="H60" i="9" s="1"/>
  <c r="J68" i="9"/>
  <c r="H68" i="9" s="1"/>
  <c r="T68" i="9"/>
  <c r="C70" i="9"/>
  <c r="T75" i="9"/>
  <c r="J34" i="7"/>
  <c r="H34" i="7" s="1"/>
  <c r="I34" i="7" s="1"/>
  <c r="AE34" i="7"/>
  <c r="AA36" i="7"/>
  <c r="AC47" i="7"/>
  <c r="AE54" i="7"/>
  <c r="AC56" i="7"/>
  <c r="J57" i="7"/>
  <c r="L57" i="7" s="1"/>
  <c r="U58" i="7"/>
  <c r="AI58" i="7" s="1"/>
  <c r="J63" i="7"/>
  <c r="H63" i="7" s="1"/>
  <c r="I63" i="7" s="1"/>
  <c r="AC73" i="7"/>
  <c r="AC78" i="7"/>
  <c r="X86" i="7"/>
  <c r="BC14" i="8"/>
  <c r="T13" i="8"/>
  <c r="J28" i="8"/>
  <c r="L28" i="8" s="1"/>
  <c r="G31" i="8"/>
  <c r="AF31" i="8"/>
  <c r="C34" i="8"/>
  <c r="BU31" i="8"/>
  <c r="BG31" i="8"/>
  <c r="AU52" i="8"/>
  <c r="C62" i="8"/>
  <c r="BC65" i="8"/>
  <c r="BC73" i="8"/>
  <c r="E31" i="9"/>
  <c r="R31" i="9" s="1"/>
  <c r="W31" i="9"/>
  <c r="C38" i="9"/>
  <c r="T43" i="9"/>
  <c r="U43" i="9" s="1"/>
  <c r="J45" i="9"/>
  <c r="H45" i="9" s="1"/>
  <c r="I45" i="9" s="1"/>
  <c r="J49" i="9"/>
  <c r="H49" i="9" s="1"/>
  <c r="T50" i="9"/>
  <c r="T56" i="9"/>
  <c r="T62" i="9"/>
  <c r="C68" i="9"/>
  <c r="T70" i="9"/>
  <c r="T72" i="9"/>
  <c r="J80" i="9"/>
  <c r="H80" i="9" s="1"/>
  <c r="T80" i="9"/>
  <c r="T87" i="9"/>
  <c r="X34" i="7"/>
  <c r="U47" i="7"/>
  <c r="AI47" i="7" s="1"/>
  <c r="AG49" i="7"/>
  <c r="J58" i="7"/>
  <c r="H58" i="7" s="1"/>
  <c r="U64" i="7"/>
  <c r="AI64" i="7" s="1"/>
  <c r="AA65" i="7"/>
  <c r="U68" i="7"/>
  <c r="AI68" i="7" s="1"/>
  <c r="C71" i="7"/>
  <c r="I76" i="7"/>
  <c r="X79" i="7"/>
  <c r="U81" i="7"/>
  <c r="AI81" i="7" s="1"/>
  <c r="J88" i="7"/>
  <c r="H88" i="7" s="1"/>
  <c r="AC13" i="8"/>
  <c r="AI13" i="8"/>
  <c r="BA18" i="8"/>
  <c r="BP18" i="8"/>
  <c r="Z31" i="8"/>
  <c r="BI31" i="8"/>
  <c r="BO31" i="8"/>
  <c r="BV31" i="8"/>
  <c r="N31" i="8"/>
  <c r="T31" i="8"/>
  <c r="BL31" i="8"/>
  <c r="J41" i="8"/>
  <c r="H41" i="8" s="1"/>
  <c r="I44" i="8"/>
  <c r="AW46" i="8"/>
  <c r="AJ49" i="8"/>
  <c r="U50" i="8"/>
  <c r="X68" i="8"/>
  <c r="P74" i="8"/>
  <c r="C14" i="9"/>
  <c r="J18" i="9"/>
  <c r="H18" i="9" s="1"/>
  <c r="J43" i="9"/>
  <c r="H43" i="9" s="1"/>
  <c r="I43" i="9" s="1"/>
  <c r="Y74" i="9"/>
  <c r="J78" i="9"/>
  <c r="H78" i="9" s="1"/>
  <c r="J85" i="9"/>
  <c r="H85" i="9" s="1"/>
  <c r="E13" i="1"/>
  <c r="R13" i="1" s="1"/>
  <c r="G13" i="1"/>
  <c r="AE18" i="1"/>
  <c r="X19" i="1"/>
  <c r="AM19" i="1"/>
  <c r="V26" i="1"/>
  <c r="V27" i="1"/>
  <c r="AA29" i="1"/>
  <c r="AK29" i="1"/>
  <c r="AK34" i="1"/>
  <c r="AA35" i="1"/>
  <c r="AA38" i="1"/>
  <c r="Z52" i="1"/>
  <c r="AM60" i="1"/>
  <c r="J62" i="1"/>
  <c r="H62" i="1" s="1"/>
  <c r="I62" i="1" s="1"/>
  <c r="J64" i="1"/>
  <c r="L64" i="1" s="1"/>
  <c r="V64" i="1"/>
  <c r="AM87" i="1"/>
  <c r="H10" i="2"/>
  <c r="H9" i="2" s="1"/>
  <c r="C17" i="2"/>
  <c r="X29" i="2"/>
  <c r="X35" i="2"/>
  <c r="X41" i="2"/>
  <c r="AG44" i="2"/>
  <c r="K75" i="2"/>
  <c r="AA76" i="2"/>
  <c r="AE77" i="2"/>
  <c r="AA81" i="2"/>
  <c r="X82" i="2"/>
  <c r="I84" i="2"/>
  <c r="AG86" i="2"/>
  <c r="AP18" i="3"/>
  <c r="C21" i="3"/>
  <c r="AL24" i="3"/>
  <c r="V16" i="1"/>
  <c r="AA20" i="1"/>
  <c r="X23" i="1"/>
  <c r="AA24" i="1"/>
  <c r="J26" i="1"/>
  <c r="H26" i="1" s="1"/>
  <c r="I26" i="1" s="1"/>
  <c r="X27" i="1"/>
  <c r="AM29" i="1"/>
  <c r="X34" i="1"/>
  <c r="AL31" i="1"/>
  <c r="AM50" i="1"/>
  <c r="T52" i="1"/>
  <c r="AE55" i="1"/>
  <c r="AK58" i="1"/>
  <c r="AA59" i="1"/>
  <c r="AA67" i="1"/>
  <c r="AK67" i="1"/>
  <c r="AM68" i="1"/>
  <c r="C69" i="1"/>
  <c r="X70" i="1"/>
  <c r="AM71" i="1"/>
  <c r="AM72" i="1"/>
  <c r="X76" i="1"/>
  <c r="AM77" i="1"/>
  <c r="J79" i="1"/>
  <c r="H79" i="1" s="1"/>
  <c r="I79" i="1" s="1"/>
  <c r="V87" i="1"/>
  <c r="AA19" i="2"/>
  <c r="AF13" i="2"/>
  <c r="AE28" i="2"/>
  <c r="C37" i="2"/>
  <c r="AE46" i="2"/>
  <c r="J51" i="2"/>
  <c r="K51" i="2" s="1"/>
  <c r="C54" i="2"/>
  <c r="J56" i="2"/>
  <c r="H56" i="2" s="1"/>
  <c r="I56" i="2" s="1"/>
  <c r="W52" i="2"/>
  <c r="C59" i="2"/>
  <c r="AE59" i="2"/>
  <c r="J71" i="2"/>
  <c r="H71" i="2" s="1"/>
  <c r="N74" i="2"/>
  <c r="AE24" i="3"/>
  <c r="AH25" i="3"/>
  <c r="V20" i="1"/>
  <c r="V21" i="1"/>
  <c r="AA23" i="1"/>
  <c r="AK23" i="1"/>
  <c r="AF31" i="1"/>
  <c r="P31" i="1"/>
  <c r="V40" i="1"/>
  <c r="V46" i="1"/>
  <c r="J48" i="1"/>
  <c r="K48" i="1" s="1"/>
  <c r="V48" i="1"/>
  <c r="AK49" i="1"/>
  <c r="AM53" i="1"/>
  <c r="AA56" i="1"/>
  <c r="AK56" i="1"/>
  <c r="AM58" i="1"/>
  <c r="J60" i="1"/>
  <c r="L60" i="1" s="1"/>
  <c r="V60" i="1"/>
  <c r="AA61" i="1"/>
  <c r="AO52" i="1"/>
  <c r="V66" i="1"/>
  <c r="AE68" i="1"/>
  <c r="J70" i="1"/>
  <c r="H70" i="1" s="1"/>
  <c r="I70" i="1" s="1"/>
  <c r="V70" i="1"/>
  <c r="AG72" i="1"/>
  <c r="J76" i="1"/>
  <c r="H76" i="1" s="1"/>
  <c r="I76" i="1" s="1"/>
  <c r="V76" i="1"/>
  <c r="AM78" i="1"/>
  <c r="R84" i="1"/>
  <c r="AA85" i="1"/>
  <c r="AM86" i="1"/>
  <c r="Q13" i="2"/>
  <c r="N13" i="2"/>
  <c r="J26" i="2"/>
  <c r="H26" i="2" s="1"/>
  <c r="I26" i="2" s="1"/>
  <c r="X28" i="2"/>
  <c r="J32" i="2"/>
  <c r="L32" i="2" s="1"/>
  <c r="R33" i="2"/>
  <c r="J38" i="2"/>
  <c r="L38" i="2" s="1"/>
  <c r="AG40" i="2"/>
  <c r="J43" i="2"/>
  <c r="J48" i="2"/>
  <c r="H48" i="2" s="1"/>
  <c r="I48" i="2" s="1"/>
  <c r="X49" i="2"/>
  <c r="J50" i="2"/>
  <c r="H50" i="2" s="1"/>
  <c r="I50" i="2" s="1"/>
  <c r="C53" i="2"/>
  <c r="AE53" i="2"/>
  <c r="C55" i="2"/>
  <c r="J59" i="2"/>
  <c r="H59" i="2" s="1"/>
  <c r="I59" i="2" s="1"/>
  <c r="X59" i="2"/>
  <c r="J64" i="2"/>
  <c r="H64" i="2" s="1"/>
  <c r="I65" i="2"/>
  <c r="J66" i="2"/>
  <c r="H66" i="2" s="1"/>
  <c r="I66" i="2" s="1"/>
  <c r="AG68" i="2"/>
  <c r="J77" i="2"/>
  <c r="H77" i="2" s="1"/>
  <c r="I77" i="2" s="1"/>
  <c r="AL14" i="3"/>
  <c r="AS14" i="3"/>
  <c r="J16" i="3"/>
  <c r="H16" i="3" s="1"/>
  <c r="I16" i="3" s="1"/>
  <c r="J21" i="3"/>
  <c r="H21" i="3" s="1"/>
  <c r="I21" i="3" s="1"/>
  <c r="AJ13" i="1"/>
  <c r="AG36" i="1"/>
  <c r="J42" i="1"/>
  <c r="K42" i="1" s="1"/>
  <c r="AM51" i="1"/>
  <c r="AA65" i="1"/>
  <c r="J67" i="1"/>
  <c r="H67" i="1" s="1"/>
  <c r="I67" i="1" s="1"/>
  <c r="P74" i="1"/>
  <c r="AM81" i="1"/>
  <c r="V88" i="1"/>
  <c r="R37" i="2"/>
  <c r="J42" i="2"/>
  <c r="H42" i="2" s="1"/>
  <c r="I42" i="2" s="1"/>
  <c r="N31" i="2"/>
  <c r="X53" i="2"/>
  <c r="K62" i="2"/>
  <c r="R80" i="2"/>
  <c r="J83" i="2"/>
  <c r="H83" i="2" s="1"/>
  <c r="I83" i="2" s="1"/>
  <c r="X83" i="2"/>
  <c r="AA86" i="2"/>
  <c r="AM13" i="3"/>
  <c r="AT13" i="3"/>
  <c r="X17" i="3"/>
  <c r="AH17" i="3"/>
  <c r="AP17" i="3"/>
  <c r="J18" i="3"/>
  <c r="H18" i="3" s="1"/>
  <c r="I18" i="3" s="1"/>
  <c r="AL21" i="3"/>
  <c r="AP24" i="3"/>
  <c r="AL25" i="3"/>
  <c r="AH26" i="3"/>
  <c r="D9" i="1"/>
  <c r="J14" i="1"/>
  <c r="K14" i="1" s="1"/>
  <c r="AM16" i="1"/>
  <c r="AE28" i="1"/>
  <c r="S31" i="1"/>
  <c r="N31" i="1"/>
  <c r="X33" i="1"/>
  <c r="J36" i="1"/>
  <c r="V36" i="1"/>
  <c r="AK37" i="1"/>
  <c r="AM39" i="1"/>
  <c r="AM45" i="1"/>
  <c r="AG46" i="1"/>
  <c r="X47" i="1"/>
  <c r="AA51" i="1"/>
  <c r="AK59" i="1"/>
  <c r="Q74" i="1"/>
  <c r="J81" i="1"/>
  <c r="K81" i="1" s="1"/>
  <c r="V81" i="1"/>
  <c r="X84" i="1"/>
  <c r="J85" i="1"/>
  <c r="H85" i="1" s="1"/>
  <c r="I85" i="1" s="1"/>
  <c r="K10" i="2"/>
  <c r="J23" i="2"/>
  <c r="H23" i="2" s="1"/>
  <c r="I23" i="2" s="1"/>
  <c r="AG26" i="2"/>
  <c r="AG27" i="2"/>
  <c r="C30" i="2"/>
  <c r="AG32" i="2"/>
  <c r="G52" i="2"/>
  <c r="AD52" i="2"/>
  <c r="K57" i="2"/>
  <c r="J62" i="2"/>
  <c r="H62" i="2" s="1"/>
  <c r="X66" i="2"/>
  <c r="K69" i="2"/>
  <c r="AG70" i="2"/>
  <c r="I78" i="2"/>
  <c r="J80" i="2"/>
  <c r="L80" i="2" s="1"/>
  <c r="J86" i="2"/>
  <c r="L86" i="2" s="1"/>
  <c r="Y13" i="3"/>
  <c r="X14" i="3"/>
  <c r="J15" i="3"/>
  <c r="H15" i="3" s="1"/>
  <c r="I15" i="3" s="1"/>
  <c r="C19" i="3"/>
  <c r="X19" i="3"/>
  <c r="AP19" i="3"/>
  <c r="C22" i="3"/>
  <c r="Y13" i="1"/>
  <c r="AM14" i="1"/>
  <c r="AF13" i="1"/>
  <c r="AK24" i="1"/>
  <c r="C25" i="1"/>
  <c r="J29" i="1"/>
  <c r="L29" i="1" s="1"/>
  <c r="X29" i="1"/>
  <c r="AA30" i="1"/>
  <c r="M31" i="1"/>
  <c r="AM32" i="1"/>
  <c r="O31" i="1"/>
  <c r="U31" i="1"/>
  <c r="Q31" i="1"/>
  <c r="AA39" i="1"/>
  <c r="X41" i="1"/>
  <c r="AA45" i="1"/>
  <c r="AK46" i="1"/>
  <c r="AA47" i="1"/>
  <c r="C49" i="1"/>
  <c r="J49" i="1"/>
  <c r="H49" i="1" s="1"/>
  <c r="I49" i="1" s="1"/>
  <c r="V49" i="1"/>
  <c r="AA50" i="1"/>
  <c r="AK55" i="1"/>
  <c r="AK57" i="1"/>
  <c r="AK60" i="1"/>
  <c r="V62" i="1"/>
  <c r="AM62" i="1"/>
  <c r="X63" i="1"/>
  <c r="X64" i="1"/>
  <c r="AM66" i="1"/>
  <c r="AA70" i="1"/>
  <c r="AK70" i="1"/>
  <c r="AA76" i="1"/>
  <c r="AK76" i="1"/>
  <c r="AO74" i="1"/>
  <c r="V78" i="1"/>
  <c r="AA79" i="1"/>
  <c r="AK79" i="1"/>
  <c r="AM80" i="1"/>
  <c r="X82" i="1"/>
  <c r="AM83" i="1"/>
  <c r="AK84" i="1"/>
  <c r="D9" i="2"/>
  <c r="K9" i="2" s="1"/>
  <c r="L10" i="2"/>
  <c r="P13" i="2"/>
  <c r="I17" i="2"/>
  <c r="AG18" i="2"/>
  <c r="AA20" i="2"/>
  <c r="AG24" i="2"/>
  <c r="AE26" i="2"/>
  <c r="AE29" i="2"/>
  <c r="AE35" i="2"/>
  <c r="AE38" i="2"/>
  <c r="C41" i="2"/>
  <c r="AE41" i="2"/>
  <c r="AA43" i="2"/>
  <c r="AF31" i="2"/>
  <c r="J47" i="2"/>
  <c r="H47" i="2" s="1"/>
  <c r="I47" i="2" s="1"/>
  <c r="X47" i="2"/>
  <c r="X48" i="2"/>
  <c r="J58" i="2"/>
  <c r="H58" i="2" s="1"/>
  <c r="I60" i="2"/>
  <c r="J65" i="2"/>
  <c r="H65" i="2" s="1"/>
  <c r="R68" i="2"/>
  <c r="AA68" i="2"/>
  <c r="J70" i="2"/>
  <c r="H70" i="2" s="1"/>
  <c r="I70" i="2" s="1"/>
  <c r="C72" i="2"/>
  <c r="C78" i="2"/>
  <c r="AF74" i="2"/>
  <c r="X81" i="2"/>
  <c r="AE82" i="2"/>
  <c r="X16" i="3"/>
  <c r="AH16" i="3"/>
  <c r="AP16" i="3"/>
  <c r="J20" i="3"/>
  <c r="H20" i="3" s="1"/>
  <c r="I20" i="3" s="1"/>
  <c r="AP22" i="3"/>
  <c r="AP23" i="3"/>
  <c r="J24" i="3"/>
  <c r="H24" i="3" s="1"/>
  <c r="I24" i="3" s="1"/>
  <c r="AE25" i="3"/>
  <c r="AL33" i="3"/>
  <c r="C34" i="3"/>
  <c r="J34" i="3"/>
  <c r="H34" i="3" s="1"/>
  <c r="I34" i="3" s="1"/>
  <c r="V34" i="3"/>
  <c r="AW36" i="3"/>
  <c r="AL43" i="3"/>
  <c r="C44" i="3"/>
  <c r="J48" i="3"/>
  <c r="H48" i="3" s="1"/>
  <c r="I48" i="3" s="1"/>
  <c r="AL50" i="3"/>
  <c r="J51" i="3"/>
  <c r="H51" i="3" s="1"/>
  <c r="I51" i="3" s="1"/>
  <c r="AL51" i="3"/>
  <c r="AP54" i="3"/>
  <c r="AW57" i="3"/>
  <c r="AE63" i="3"/>
  <c r="AL63" i="3"/>
  <c r="J65" i="3"/>
  <c r="H65" i="3" s="1"/>
  <c r="I65" i="3" s="1"/>
  <c r="X65" i="3"/>
  <c r="AH65" i="3"/>
  <c r="X66" i="3"/>
  <c r="AS66" i="3"/>
  <c r="AS69" i="3"/>
  <c r="J78" i="3"/>
  <c r="H78" i="3" s="1"/>
  <c r="I78" i="3" s="1"/>
  <c r="J81" i="3"/>
  <c r="H81" i="3" s="1"/>
  <c r="I81" i="3" s="1"/>
  <c r="O74" i="3"/>
  <c r="J83" i="3"/>
  <c r="L83" i="3" s="1"/>
  <c r="J87" i="3"/>
  <c r="H87" i="3" s="1"/>
  <c r="I87" i="3" s="1"/>
  <c r="R10" i="4"/>
  <c r="W13" i="4"/>
  <c r="J17" i="4"/>
  <c r="H17" i="4" s="1"/>
  <c r="J18" i="4"/>
  <c r="H18" i="4" s="1"/>
  <c r="O13" i="4"/>
  <c r="J21" i="4"/>
  <c r="H21" i="4" s="1"/>
  <c r="J24" i="4"/>
  <c r="H24" i="4" s="1"/>
  <c r="J27" i="4"/>
  <c r="H27" i="4" s="1"/>
  <c r="J30" i="4"/>
  <c r="H30" i="4" s="1"/>
  <c r="I30" i="4" s="1"/>
  <c r="J33" i="4"/>
  <c r="H33" i="4" s="1"/>
  <c r="O31" i="4"/>
  <c r="W52" i="4"/>
  <c r="J55" i="4"/>
  <c r="H55" i="4" s="1"/>
  <c r="K73" i="4"/>
  <c r="C73" i="4"/>
  <c r="I73" i="4"/>
  <c r="J30" i="3"/>
  <c r="H30" i="3" s="1"/>
  <c r="I30" i="3" s="1"/>
  <c r="C49" i="3"/>
  <c r="AR52" i="3"/>
  <c r="J58" i="3"/>
  <c r="H58" i="3" s="1"/>
  <c r="I58" i="3" s="1"/>
  <c r="J61" i="3"/>
  <c r="H61" i="3" s="1"/>
  <c r="J66" i="3"/>
  <c r="L66" i="3" s="1"/>
  <c r="V68" i="3"/>
  <c r="J69" i="3"/>
  <c r="H69" i="3" s="1"/>
  <c r="I69" i="3" s="1"/>
  <c r="V72" i="3"/>
  <c r="J73" i="3"/>
  <c r="H73" i="3" s="1"/>
  <c r="V77" i="3"/>
  <c r="AL78" i="3"/>
  <c r="V80" i="3"/>
  <c r="AS80" i="3"/>
  <c r="AL81" i="3"/>
  <c r="C83" i="3"/>
  <c r="AL83" i="3"/>
  <c r="J84" i="3"/>
  <c r="K84" i="3" s="1"/>
  <c r="C87" i="3"/>
  <c r="L10" i="4"/>
  <c r="D31" i="4"/>
  <c r="J36" i="4"/>
  <c r="H36" i="4" s="1"/>
  <c r="I36" i="4" s="1"/>
  <c r="U36" i="4"/>
  <c r="J40" i="4"/>
  <c r="H40" i="4" s="1"/>
  <c r="C43" i="4"/>
  <c r="C46" i="4"/>
  <c r="C49" i="4"/>
  <c r="P52" i="4"/>
  <c r="I59" i="4"/>
  <c r="K59" i="4"/>
  <c r="X84" i="4"/>
  <c r="V74" i="4"/>
  <c r="AP25" i="3"/>
  <c r="AW29" i="3"/>
  <c r="AL30" i="3"/>
  <c r="E31" i="3"/>
  <c r="R31" i="3" s="1"/>
  <c r="AJ31" i="3"/>
  <c r="AE32" i="3"/>
  <c r="AE33" i="3"/>
  <c r="AE34" i="3"/>
  <c r="AW35" i="3"/>
  <c r="AL36" i="3"/>
  <c r="AP37" i="3"/>
  <c r="AW41" i="3"/>
  <c r="AL42" i="3"/>
  <c r="AE43" i="3"/>
  <c r="AL46" i="3"/>
  <c r="AW47" i="3"/>
  <c r="R48" i="3"/>
  <c r="AE48" i="3"/>
  <c r="AP49" i="3"/>
  <c r="AE50" i="3"/>
  <c r="AE51" i="3"/>
  <c r="AP53" i="3"/>
  <c r="AS54" i="3"/>
  <c r="AA56" i="3"/>
  <c r="J60" i="3"/>
  <c r="H60" i="3" s="1"/>
  <c r="AW63" i="3"/>
  <c r="AA67" i="3"/>
  <c r="AH67" i="3"/>
  <c r="AP67" i="3"/>
  <c r="J68" i="3"/>
  <c r="H68" i="3" s="1"/>
  <c r="I68" i="3" s="1"/>
  <c r="AE68" i="3"/>
  <c r="AL69" i="3"/>
  <c r="J72" i="3"/>
  <c r="L72" i="3" s="1"/>
  <c r="AN74" i="3"/>
  <c r="J77" i="3"/>
  <c r="H77" i="3" s="1"/>
  <c r="I77" i="3" s="1"/>
  <c r="J80" i="3"/>
  <c r="H80" i="3" s="1"/>
  <c r="I80" i="3" s="1"/>
  <c r="AH82" i="3"/>
  <c r="AL84" i="3"/>
  <c r="AH85" i="3"/>
  <c r="AH86" i="3"/>
  <c r="AL87" i="3"/>
  <c r="J88" i="3"/>
  <c r="H88" i="3" s="1"/>
  <c r="I88" i="3" s="1"/>
  <c r="AL88" i="3"/>
  <c r="G13" i="4"/>
  <c r="J15" i="4"/>
  <c r="H15" i="4" s="1"/>
  <c r="K20" i="4"/>
  <c r="K23" i="4"/>
  <c r="K26" i="4"/>
  <c r="K29" i="4"/>
  <c r="AG32" i="4"/>
  <c r="K35" i="4"/>
  <c r="J54" i="4"/>
  <c r="H54" i="4" s="1"/>
  <c r="AJ56" i="4"/>
  <c r="AF74" i="4"/>
  <c r="R30" i="3"/>
  <c r="J32" i="3"/>
  <c r="H32" i="3" s="1"/>
  <c r="I32" i="3" s="1"/>
  <c r="AD82" i="4"/>
  <c r="AB74" i="4"/>
  <c r="AH32" i="3"/>
  <c r="AW32" i="3"/>
  <c r="AH33" i="3"/>
  <c r="AW33" i="3"/>
  <c r="AP34" i="3"/>
  <c r="AL35" i="3"/>
  <c r="R38" i="3"/>
  <c r="AH43" i="3"/>
  <c r="AW43" i="3"/>
  <c r="AH50" i="3"/>
  <c r="AW50" i="3"/>
  <c r="AH51" i="3"/>
  <c r="AW51" i="3"/>
  <c r="AB52" i="3"/>
  <c r="AT52" i="3"/>
  <c r="AP55" i="3"/>
  <c r="X56" i="3"/>
  <c r="AL57" i="3"/>
  <c r="AW58" i="3"/>
  <c r="J62" i="3"/>
  <c r="K62" i="3" s="1"/>
  <c r="X62" i="3"/>
  <c r="AH62" i="3"/>
  <c r="AW62" i="3"/>
  <c r="AE65" i="3"/>
  <c r="AP66" i="3"/>
  <c r="J67" i="3"/>
  <c r="H67" i="3" s="1"/>
  <c r="I67" i="3" s="1"/>
  <c r="AW68" i="3"/>
  <c r="AA69" i="3"/>
  <c r="AH69" i="3"/>
  <c r="AP69" i="3"/>
  <c r="J70" i="3"/>
  <c r="K70" i="3" s="1"/>
  <c r="X70" i="3"/>
  <c r="AF74" i="3"/>
  <c r="J76" i="3"/>
  <c r="H76" i="3" s="1"/>
  <c r="I76" i="3" s="1"/>
  <c r="X76" i="3"/>
  <c r="J79" i="3"/>
  <c r="H79" i="3" s="1"/>
  <c r="I79" i="3" s="1"/>
  <c r="X79" i="3"/>
  <c r="AH83" i="3"/>
  <c r="C85" i="3"/>
  <c r="J85" i="3"/>
  <c r="K85" i="3" s="1"/>
  <c r="AC13" i="4"/>
  <c r="I16" i="4"/>
  <c r="P31" i="4"/>
  <c r="AJ32" i="4"/>
  <c r="C37" i="4"/>
  <c r="J42" i="4"/>
  <c r="H42" i="4" s="1"/>
  <c r="J45" i="4"/>
  <c r="H45" i="4" s="1"/>
  <c r="J48" i="4"/>
  <c r="H48" i="4" s="1"/>
  <c r="J51" i="4"/>
  <c r="H51" i="4" s="1"/>
  <c r="J53" i="4"/>
  <c r="K53" i="4" s="1"/>
  <c r="I55" i="4"/>
  <c r="U56" i="4"/>
  <c r="C57" i="4"/>
  <c r="K10" i="5"/>
  <c r="D9" i="5"/>
  <c r="C10" i="5"/>
  <c r="AW26" i="3"/>
  <c r="AH27" i="3"/>
  <c r="AW27" i="3"/>
  <c r="AH28" i="3"/>
  <c r="AW28" i="3"/>
  <c r="AE29" i="3"/>
  <c r="AP30" i="3"/>
  <c r="AH38" i="3"/>
  <c r="AW38" i="3"/>
  <c r="AH39" i="3"/>
  <c r="AW39" i="3"/>
  <c r="AH40" i="3"/>
  <c r="AW40" i="3"/>
  <c r="AE41" i="3"/>
  <c r="AP42" i="3"/>
  <c r="AH44" i="3"/>
  <c r="AW44" i="3"/>
  <c r="AH45" i="3"/>
  <c r="AW45" i="3"/>
  <c r="AP46" i="3"/>
  <c r="AE47" i="3"/>
  <c r="AW48" i="3"/>
  <c r="AL49" i="3"/>
  <c r="AL53" i="3"/>
  <c r="AA58" i="3"/>
  <c r="AH58" i="3"/>
  <c r="AP58" i="3"/>
  <c r="AA62" i="3"/>
  <c r="X63" i="3"/>
  <c r="AS63" i="3"/>
  <c r="AP68" i="3"/>
  <c r="AP72" i="3"/>
  <c r="N74" i="3"/>
  <c r="U74" i="3"/>
  <c r="AL82" i="3"/>
  <c r="AH84" i="3"/>
  <c r="AL85" i="3"/>
  <c r="J86" i="3"/>
  <c r="L86" i="3" s="1"/>
  <c r="V86" i="3"/>
  <c r="AL86" i="3"/>
  <c r="R87" i="3"/>
  <c r="AH87" i="3"/>
  <c r="AH88" i="3"/>
  <c r="F13" i="4"/>
  <c r="C16" i="4"/>
  <c r="I33" i="4"/>
  <c r="AG36" i="4"/>
  <c r="K41" i="4"/>
  <c r="C42" i="4"/>
  <c r="X53" i="4"/>
  <c r="AG53" i="4"/>
  <c r="C55" i="4"/>
  <c r="W74" i="4"/>
  <c r="CH13" i="5"/>
  <c r="Y15" i="5"/>
  <c r="X13" i="5"/>
  <c r="AH13" i="5"/>
  <c r="AI16" i="5"/>
  <c r="AU16" i="5"/>
  <c r="BQ16" i="5"/>
  <c r="J17" i="5"/>
  <c r="H17" i="5" s="1"/>
  <c r="I17" i="5" s="1"/>
  <c r="AZ13" i="5"/>
  <c r="J18" i="5"/>
  <c r="H18" i="5" s="1"/>
  <c r="I18" i="5" s="1"/>
  <c r="J20" i="5"/>
  <c r="H20" i="5" s="1"/>
  <c r="I20" i="5" s="1"/>
  <c r="CW22" i="5"/>
  <c r="CK78" i="5"/>
  <c r="CH74" i="5"/>
  <c r="CK74" i="5" s="1"/>
  <c r="J10" i="6"/>
  <c r="J9" i="6" s="1"/>
  <c r="L9" i="6" s="1"/>
  <c r="P9" i="6"/>
  <c r="R24" i="6"/>
  <c r="C24" i="6"/>
  <c r="L27" i="6"/>
  <c r="F13" i="6"/>
  <c r="AH33" i="6"/>
  <c r="AE31" i="6"/>
  <c r="I71" i="6"/>
  <c r="C71" i="6"/>
  <c r="K71" i="6"/>
  <c r="R20" i="7"/>
  <c r="C20" i="7"/>
  <c r="J77" i="4"/>
  <c r="H77" i="4" s="1"/>
  <c r="J78" i="4"/>
  <c r="H78" i="4" s="1"/>
  <c r="C82" i="4"/>
  <c r="J87" i="4"/>
  <c r="H87" i="4" s="1"/>
  <c r="P9" i="5"/>
  <c r="CW15" i="5"/>
  <c r="CM16" i="5"/>
  <c r="AK21" i="5"/>
  <c r="CM21" i="5"/>
  <c r="S24" i="5"/>
  <c r="BO25" i="5"/>
  <c r="BQ27" i="5"/>
  <c r="J28" i="5"/>
  <c r="L28" i="5" s="1"/>
  <c r="CU28" i="5"/>
  <c r="AI29" i="5"/>
  <c r="BO29" i="5"/>
  <c r="CW29" i="5"/>
  <c r="E31" i="5"/>
  <c r="S31" i="5" s="1"/>
  <c r="DC31" i="5"/>
  <c r="AT31" i="5"/>
  <c r="J34" i="5"/>
  <c r="H34" i="5" s="1"/>
  <c r="I34" i="5" s="1"/>
  <c r="AI34" i="5"/>
  <c r="J36" i="5"/>
  <c r="H36" i="5" s="1"/>
  <c r="I36" i="5" s="1"/>
  <c r="AI36" i="5"/>
  <c r="BQ37" i="5"/>
  <c r="AU38" i="5"/>
  <c r="BO39" i="5"/>
  <c r="BF31" i="5"/>
  <c r="BO41" i="5"/>
  <c r="J43" i="5"/>
  <c r="L43" i="5" s="1"/>
  <c r="CW43" i="5"/>
  <c r="AW44" i="5"/>
  <c r="J45" i="5"/>
  <c r="L45" i="5" s="1"/>
  <c r="CW45" i="5"/>
  <c r="AW46" i="5"/>
  <c r="CU48" i="5"/>
  <c r="BQ49" i="5"/>
  <c r="J50" i="5"/>
  <c r="H50" i="5" s="1"/>
  <c r="I50" i="5" s="1"/>
  <c r="AW50" i="5"/>
  <c r="U52" i="5"/>
  <c r="CI52" i="5"/>
  <c r="BA74" i="5"/>
  <c r="BG74" i="5"/>
  <c r="BQ75" i="5"/>
  <c r="CM78" i="5"/>
  <c r="BW74" i="5"/>
  <c r="CC74" i="5"/>
  <c r="C83" i="5"/>
  <c r="S83" i="5"/>
  <c r="J86" i="5"/>
  <c r="H86" i="5" s="1"/>
  <c r="I86" i="5" s="1"/>
  <c r="R18" i="6"/>
  <c r="C18" i="6"/>
  <c r="AL32" i="6"/>
  <c r="AJ31" i="6"/>
  <c r="R39" i="6"/>
  <c r="C39" i="6"/>
  <c r="F74" i="6"/>
  <c r="I63" i="4"/>
  <c r="I66" i="4"/>
  <c r="O74" i="4"/>
  <c r="X76" i="4"/>
  <c r="J82" i="4"/>
  <c r="H82" i="4" s="1"/>
  <c r="K83" i="4"/>
  <c r="J84" i="4"/>
  <c r="H84" i="4" s="1"/>
  <c r="X86" i="4"/>
  <c r="C87" i="4"/>
  <c r="AJ88" i="4"/>
  <c r="E13" i="5"/>
  <c r="S13" i="5" s="1"/>
  <c r="P13" i="5"/>
  <c r="V13" i="5"/>
  <c r="BF13" i="5"/>
  <c r="DB13" i="5"/>
  <c r="J16" i="5"/>
  <c r="K16" i="5" s="1"/>
  <c r="S16" i="5"/>
  <c r="AI20" i="5"/>
  <c r="J21" i="5"/>
  <c r="H21" i="5" s="1"/>
  <c r="I21" i="5" s="1"/>
  <c r="BQ25" i="5"/>
  <c r="J26" i="5"/>
  <c r="H26" i="5" s="1"/>
  <c r="I26" i="5" s="1"/>
  <c r="J30" i="5"/>
  <c r="H30" i="5" s="1"/>
  <c r="I30" i="5" s="1"/>
  <c r="AF31" i="5"/>
  <c r="BS31" i="5"/>
  <c r="BY31" i="5"/>
  <c r="CE31" i="5"/>
  <c r="CQ31" i="5"/>
  <c r="AU34" i="5"/>
  <c r="J35" i="5"/>
  <c r="H35" i="5" s="1"/>
  <c r="I35" i="5" s="1"/>
  <c r="CV31" i="5"/>
  <c r="W36" i="5"/>
  <c r="J38" i="5"/>
  <c r="H38" i="5" s="1"/>
  <c r="I38" i="5" s="1"/>
  <c r="AI38" i="5"/>
  <c r="AN31" i="5"/>
  <c r="AU39" i="5"/>
  <c r="BQ39" i="5"/>
  <c r="AU40" i="5"/>
  <c r="AU41" i="5"/>
  <c r="BQ41" i="5"/>
  <c r="Y48" i="5"/>
  <c r="CW48" i="5"/>
  <c r="BD52" i="5"/>
  <c r="BQ61" i="5"/>
  <c r="BQ65" i="5"/>
  <c r="CM67" i="5"/>
  <c r="CM68" i="5"/>
  <c r="CM70" i="5"/>
  <c r="BQ73" i="5"/>
  <c r="AF74" i="5"/>
  <c r="AA74" i="5"/>
  <c r="AG74" i="5"/>
  <c r="AK76" i="5"/>
  <c r="C85" i="5"/>
  <c r="S85" i="5"/>
  <c r="AK13" i="6"/>
  <c r="R20" i="6"/>
  <c r="C20" i="6"/>
  <c r="X32" i="6"/>
  <c r="V31" i="6"/>
  <c r="K35" i="6"/>
  <c r="I35" i="6"/>
  <c r="C35" i="6"/>
  <c r="AI24" i="5"/>
  <c r="BQ24" i="5"/>
  <c r="BQ26" i="5"/>
  <c r="BQ30" i="5"/>
  <c r="AG31" i="5"/>
  <c r="BA31" i="5"/>
  <c r="BG31" i="5"/>
  <c r="BQ32" i="5"/>
  <c r="AW33" i="5"/>
  <c r="CP31" i="5"/>
  <c r="CW34" i="5"/>
  <c r="CW36" i="5"/>
  <c r="J40" i="5"/>
  <c r="H40" i="5" s="1"/>
  <c r="I40" i="5" s="1"/>
  <c r="J42" i="5"/>
  <c r="H42" i="5" s="1"/>
  <c r="I42" i="5" s="1"/>
  <c r="J44" i="5"/>
  <c r="H44" i="5" s="1"/>
  <c r="I44" i="5" s="1"/>
  <c r="J49" i="5"/>
  <c r="L49" i="5" s="1"/>
  <c r="S49" i="5"/>
  <c r="AT52" i="5"/>
  <c r="BS52" i="5"/>
  <c r="BY52" i="5"/>
  <c r="CE52" i="5"/>
  <c r="CP52" i="5"/>
  <c r="AU61" i="5"/>
  <c r="CM75" i="5"/>
  <c r="AI77" i="5"/>
  <c r="AH74" i="5"/>
  <c r="AE13" i="6"/>
  <c r="W13" i="6"/>
  <c r="X13" i="6" s="1"/>
  <c r="I60" i="6"/>
  <c r="K60" i="6"/>
  <c r="R85" i="6"/>
  <c r="C85" i="6"/>
  <c r="AX31" i="8"/>
  <c r="BA39" i="8"/>
  <c r="C60" i="4"/>
  <c r="I61" i="4"/>
  <c r="J62" i="4"/>
  <c r="H62" i="4" s="1"/>
  <c r="I64" i="4"/>
  <c r="J65" i="4"/>
  <c r="H65" i="4" s="1"/>
  <c r="K68" i="4"/>
  <c r="K71" i="4"/>
  <c r="C72" i="4"/>
  <c r="K80" i="4"/>
  <c r="C81" i="4"/>
  <c r="C85" i="4"/>
  <c r="AA86" i="4"/>
  <c r="N13" i="5"/>
  <c r="CR13" i="5"/>
  <c r="AI15" i="5"/>
  <c r="AT13" i="5"/>
  <c r="CU17" i="5"/>
  <c r="AK19" i="5"/>
  <c r="AU22" i="5"/>
  <c r="CU23" i="5"/>
  <c r="W24" i="5"/>
  <c r="CW26" i="5"/>
  <c r="J29" i="5"/>
  <c r="H29" i="5" s="1"/>
  <c r="I29" i="5" s="1"/>
  <c r="AI30" i="5"/>
  <c r="CW30" i="5"/>
  <c r="CH31" i="5"/>
  <c r="CK31" i="5" s="1"/>
  <c r="AI32" i="5"/>
  <c r="BU31" i="5"/>
  <c r="CA31" i="5"/>
  <c r="CG31" i="5"/>
  <c r="CM32" i="5"/>
  <c r="W40" i="5"/>
  <c r="J41" i="5"/>
  <c r="H41" i="5" s="1"/>
  <c r="I41" i="5" s="1"/>
  <c r="CU42" i="5"/>
  <c r="CU44" i="5"/>
  <c r="CU46" i="5"/>
  <c r="J48" i="5"/>
  <c r="H48" i="5" s="1"/>
  <c r="I48" i="5" s="1"/>
  <c r="AW48" i="5"/>
  <c r="W50" i="5"/>
  <c r="CU50" i="5"/>
  <c r="CR52" i="5"/>
  <c r="F52" i="5"/>
  <c r="Q52" i="5"/>
  <c r="AC52" i="5"/>
  <c r="AO52" i="5"/>
  <c r="AU53" i="5"/>
  <c r="DA52" i="5"/>
  <c r="BQ57" i="5"/>
  <c r="AN52" i="5"/>
  <c r="BQ69" i="5"/>
  <c r="CU69" i="5"/>
  <c r="AZ74" i="5"/>
  <c r="R74" i="5"/>
  <c r="R15" i="6"/>
  <c r="C15" i="6"/>
  <c r="C56" i="6"/>
  <c r="D52" i="6"/>
  <c r="Y52" i="6"/>
  <c r="J59" i="4"/>
  <c r="H59" i="4" s="1"/>
  <c r="C61" i="4"/>
  <c r="C64" i="4"/>
  <c r="J68" i="4"/>
  <c r="H68" i="4" s="1"/>
  <c r="J71" i="4"/>
  <c r="H71" i="4" s="1"/>
  <c r="J72" i="4"/>
  <c r="H72" i="4" s="1"/>
  <c r="Q74" i="4"/>
  <c r="AI74" i="4"/>
  <c r="J80" i="4"/>
  <c r="H80" i="4" s="1"/>
  <c r="J81" i="4"/>
  <c r="H81" i="4" s="1"/>
  <c r="J85" i="4"/>
  <c r="H85" i="4" s="1"/>
  <c r="AJ86" i="4"/>
  <c r="AW15" i="5"/>
  <c r="BQ15" i="5"/>
  <c r="AK17" i="5"/>
  <c r="CM17" i="5"/>
  <c r="CM19" i="5"/>
  <c r="AW21" i="5"/>
  <c r="BQ21" i="5"/>
  <c r="AI22" i="5"/>
  <c r="AK23" i="5"/>
  <c r="CM23" i="5"/>
  <c r="CW23" i="5"/>
  <c r="BR13" i="5"/>
  <c r="BX13" i="5"/>
  <c r="CD13" i="5"/>
  <c r="CU26" i="5"/>
  <c r="BQ28" i="5"/>
  <c r="W30" i="5"/>
  <c r="CU30" i="5"/>
  <c r="CR31" i="5"/>
  <c r="W32" i="5"/>
  <c r="AC31" i="5"/>
  <c r="BC31" i="5"/>
  <c r="BI31" i="5"/>
  <c r="CU33" i="5"/>
  <c r="AI35" i="5"/>
  <c r="BO35" i="5"/>
  <c r="CU35" i="5"/>
  <c r="AU42" i="5"/>
  <c r="BO42" i="5"/>
  <c r="CW42" i="5"/>
  <c r="Y44" i="5"/>
  <c r="CW44" i="5"/>
  <c r="Y46" i="5"/>
  <c r="CW46" i="5"/>
  <c r="AI48" i="5"/>
  <c r="Y50" i="5"/>
  <c r="AF52" i="5"/>
  <c r="CN52" i="5"/>
  <c r="CO52" i="5"/>
  <c r="CV52" i="5"/>
  <c r="BQ63" i="5"/>
  <c r="BQ71" i="5"/>
  <c r="AW72" i="5"/>
  <c r="AQ74" i="5"/>
  <c r="J76" i="5"/>
  <c r="H76" i="5" s="1"/>
  <c r="I76" i="5" s="1"/>
  <c r="P74" i="5"/>
  <c r="V74" i="5"/>
  <c r="AR74" i="5"/>
  <c r="BO77" i="5"/>
  <c r="S82" i="5"/>
  <c r="C82" i="5"/>
  <c r="M31" i="6"/>
  <c r="BB74" i="5"/>
  <c r="BH74" i="5"/>
  <c r="J85" i="5"/>
  <c r="H85" i="5" s="1"/>
  <c r="I85" i="5" s="1"/>
  <c r="CM87" i="5"/>
  <c r="C9" i="6"/>
  <c r="J45" i="6"/>
  <c r="H45" i="6" s="1"/>
  <c r="I45" i="6" s="1"/>
  <c r="G74" i="6"/>
  <c r="Q74" i="6"/>
  <c r="AF74" i="6"/>
  <c r="K26" i="8"/>
  <c r="C26" i="8"/>
  <c r="I26" i="8"/>
  <c r="C35" i="8"/>
  <c r="U36" i="8"/>
  <c r="S31" i="8"/>
  <c r="K37" i="8"/>
  <c r="C37" i="8"/>
  <c r="I37" i="8"/>
  <c r="AJ43" i="8"/>
  <c r="AH31" i="8"/>
  <c r="AA45" i="8"/>
  <c r="Y31" i="8"/>
  <c r="BA52" i="5"/>
  <c r="BG52" i="5"/>
  <c r="P52" i="5"/>
  <c r="V52" i="5"/>
  <c r="AZ52" i="5"/>
  <c r="BF52" i="5"/>
  <c r="BO54" i="5"/>
  <c r="DB52" i="5"/>
  <c r="J55" i="5"/>
  <c r="L55" i="5" s="1"/>
  <c r="CM58" i="5"/>
  <c r="CM60" i="5"/>
  <c r="AK62" i="5"/>
  <c r="CM62" i="5"/>
  <c r="CM64" i="5"/>
  <c r="BO68" i="5"/>
  <c r="BO70" i="5"/>
  <c r="J72" i="5"/>
  <c r="H72" i="5" s="1"/>
  <c r="I72" i="5" s="1"/>
  <c r="BQ72" i="5"/>
  <c r="AI75" i="5"/>
  <c r="AO74" i="5"/>
  <c r="BU74" i="5"/>
  <c r="CA74" i="5"/>
  <c r="CG74" i="5"/>
  <c r="BR74" i="5"/>
  <c r="CD74" i="5"/>
  <c r="CJ74" i="5"/>
  <c r="W77" i="5"/>
  <c r="AM74" i="5"/>
  <c r="CW78" i="5"/>
  <c r="AY74" i="5"/>
  <c r="BE74" i="5"/>
  <c r="BK74" i="5"/>
  <c r="W80" i="5"/>
  <c r="AD74" i="5"/>
  <c r="BO80" i="5"/>
  <c r="AU81" i="5"/>
  <c r="W86" i="5"/>
  <c r="CM86" i="5"/>
  <c r="Y87" i="5"/>
  <c r="J88" i="5"/>
  <c r="L88" i="5" s="1"/>
  <c r="Y88" i="5"/>
  <c r="D9" i="6"/>
  <c r="U15" i="6"/>
  <c r="X23" i="6"/>
  <c r="J26" i="6"/>
  <c r="K26" i="6" s="1"/>
  <c r="S31" i="6"/>
  <c r="J32" i="6"/>
  <c r="K32" i="6" s="1"/>
  <c r="F52" i="6"/>
  <c r="K55" i="6"/>
  <c r="C55" i="6"/>
  <c r="I55" i="6"/>
  <c r="AD68" i="6"/>
  <c r="AL68" i="6"/>
  <c r="O74" i="6"/>
  <c r="AC74" i="6"/>
  <c r="X78" i="6"/>
  <c r="K82" i="6"/>
  <c r="C82" i="6"/>
  <c r="I82" i="6"/>
  <c r="R87" i="6"/>
  <c r="C87" i="6"/>
  <c r="S13" i="7"/>
  <c r="BU52" i="5"/>
  <c r="CA52" i="5"/>
  <c r="CG52" i="5"/>
  <c r="BQ56" i="5"/>
  <c r="CM56" i="5"/>
  <c r="C57" i="5"/>
  <c r="W62" i="5"/>
  <c r="BR52" i="5"/>
  <c r="J66" i="5"/>
  <c r="H66" i="5" s="1"/>
  <c r="I66" i="5" s="1"/>
  <c r="J69" i="5"/>
  <c r="H69" i="5" s="1"/>
  <c r="I69" i="5" s="1"/>
  <c r="J71" i="5"/>
  <c r="H71" i="5" s="1"/>
  <c r="I71" i="5" s="1"/>
  <c r="E74" i="5"/>
  <c r="S74" i="5" s="1"/>
  <c r="W75" i="5"/>
  <c r="AC74" i="5"/>
  <c r="BC74" i="5"/>
  <c r="BI74" i="5"/>
  <c r="AI78" i="5"/>
  <c r="AU79" i="5"/>
  <c r="AW81" i="5"/>
  <c r="W82" i="5"/>
  <c r="CM82" i="5"/>
  <c r="O74" i="5"/>
  <c r="J84" i="5"/>
  <c r="L84" i="5" s="1"/>
  <c r="Y84" i="5"/>
  <c r="CU86" i="5"/>
  <c r="W87" i="5"/>
  <c r="I11" i="6"/>
  <c r="J16" i="6"/>
  <c r="L16" i="6" s="1"/>
  <c r="J17" i="6"/>
  <c r="L17" i="6" s="1"/>
  <c r="AH21" i="6"/>
  <c r="J22" i="6"/>
  <c r="L22" i="6" s="1"/>
  <c r="O13" i="6"/>
  <c r="AD26" i="6"/>
  <c r="AD32" i="6"/>
  <c r="W31" i="6"/>
  <c r="AC31" i="6"/>
  <c r="U40" i="6"/>
  <c r="AL41" i="6"/>
  <c r="AL42" i="6"/>
  <c r="M52" i="6"/>
  <c r="AF52" i="6"/>
  <c r="P52" i="6"/>
  <c r="J60" i="6"/>
  <c r="H60" i="6" s="1"/>
  <c r="M74" i="6"/>
  <c r="AE74" i="6"/>
  <c r="AK74" i="6"/>
  <c r="J86" i="6"/>
  <c r="H86" i="6" s="1"/>
  <c r="I86" i="6" s="1"/>
  <c r="L10" i="7"/>
  <c r="J9" i="7"/>
  <c r="L9" i="7" s="1"/>
  <c r="J14" i="7"/>
  <c r="H14" i="7" s="1"/>
  <c r="AQ13" i="7"/>
  <c r="AP52" i="7"/>
  <c r="CM54" i="5"/>
  <c r="C55" i="5"/>
  <c r="BO58" i="5"/>
  <c r="BO60" i="5"/>
  <c r="J62" i="5"/>
  <c r="H62" i="5" s="1"/>
  <c r="I62" i="5" s="1"/>
  <c r="AU62" i="5"/>
  <c r="BO62" i="5"/>
  <c r="J64" i="5"/>
  <c r="H64" i="5" s="1"/>
  <c r="I64" i="5" s="1"/>
  <c r="BO64" i="5"/>
  <c r="BQ68" i="5"/>
  <c r="J70" i="5"/>
  <c r="H70" i="5" s="1"/>
  <c r="I70" i="5" s="1"/>
  <c r="AI72" i="5"/>
  <c r="CW72" i="5"/>
  <c r="G74" i="5"/>
  <c r="DC74" i="5"/>
  <c r="W76" i="5"/>
  <c r="AN74" i="5"/>
  <c r="AT74" i="5"/>
  <c r="DB74" i="5"/>
  <c r="J77" i="5"/>
  <c r="H77" i="5" s="1"/>
  <c r="I77" i="5" s="1"/>
  <c r="AI79" i="5"/>
  <c r="AK80" i="5"/>
  <c r="J81" i="5"/>
  <c r="H81" i="5" s="1"/>
  <c r="I81" i="5" s="1"/>
  <c r="AU82" i="5"/>
  <c r="BO82" i="5"/>
  <c r="DA74" i="5"/>
  <c r="AW84" i="5"/>
  <c r="AW86" i="5"/>
  <c r="AI88" i="5"/>
  <c r="AD14" i="6"/>
  <c r="AL14" i="6"/>
  <c r="AH15" i="6"/>
  <c r="X16" i="6"/>
  <c r="AH16" i="6"/>
  <c r="AD23" i="6"/>
  <c r="AL23" i="6"/>
  <c r="C25" i="6"/>
  <c r="AD34" i="6"/>
  <c r="C46" i="6"/>
  <c r="AL47" i="6"/>
  <c r="AL48" i="6"/>
  <c r="K54" i="6"/>
  <c r="I59" i="6"/>
  <c r="K61" i="6"/>
  <c r="C61" i="6"/>
  <c r="I61" i="6"/>
  <c r="AD72" i="6"/>
  <c r="AL72" i="6"/>
  <c r="AD84" i="6"/>
  <c r="AB13" i="7"/>
  <c r="DC52" i="5"/>
  <c r="BQ55" i="5"/>
  <c r="J56" i="5"/>
  <c r="H56" i="5" s="1"/>
  <c r="I56" i="5" s="1"/>
  <c r="BO56" i="5"/>
  <c r="J57" i="5"/>
  <c r="L57" i="5" s="1"/>
  <c r="S57" i="5"/>
  <c r="J59" i="5"/>
  <c r="L59" i="5" s="1"/>
  <c r="J61" i="5"/>
  <c r="L61" i="5" s="1"/>
  <c r="AW62" i="5"/>
  <c r="J63" i="5"/>
  <c r="K63" i="5" s="1"/>
  <c r="J65" i="5"/>
  <c r="L65" i="5" s="1"/>
  <c r="J67" i="5"/>
  <c r="H67" i="5" s="1"/>
  <c r="I67" i="5" s="1"/>
  <c r="W69" i="5"/>
  <c r="J73" i="5"/>
  <c r="H73" i="5" s="1"/>
  <c r="I73" i="5" s="1"/>
  <c r="BS74" i="5"/>
  <c r="BY74" i="5"/>
  <c r="CE74" i="5"/>
  <c r="CQ74" i="5"/>
  <c r="AU77" i="5"/>
  <c r="AK78" i="5"/>
  <c r="CX74" i="5"/>
  <c r="AW79" i="5"/>
  <c r="C80" i="5"/>
  <c r="AI80" i="5"/>
  <c r="C81" i="5"/>
  <c r="X74" i="5"/>
  <c r="BT74" i="5"/>
  <c r="BZ74" i="5"/>
  <c r="CF74" i="5"/>
  <c r="CL74" i="5"/>
  <c r="CO74" i="5"/>
  <c r="D13" i="6"/>
  <c r="AD21" i="6"/>
  <c r="AC13" i="6"/>
  <c r="AD30" i="6"/>
  <c r="AL30" i="6"/>
  <c r="AH32" i="6"/>
  <c r="O31" i="6"/>
  <c r="C41" i="6"/>
  <c r="AD43" i="6"/>
  <c r="AL43" i="6"/>
  <c r="AE52" i="6"/>
  <c r="AK52" i="6"/>
  <c r="T52" i="6"/>
  <c r="AB52" i="6"/>
  <c r="AJ52" i="6"/>
  <c r="AL70" i="6"/>
  <c r="AL75" i="6"/>
  <c r="AD79" i="6"/>
  <c r="K17" i="7"/>
  <c r="I17" i="7"/>
  <c r="AC20" i="7"/>
  <c r="J37" i="6"/>
  <c r="H37" i="6" s="1"/>
  <c r="I37" i="6" s="1"/>
  <c r="X38" i="6"/>
  <c r="X40" i="6"/>
  <c r="X50" i="6"/>
  <c r="AG74" i="6"/>
  <c r="J80" i="6"/>
  <c r="H80" i="6" s="1"/>
  <c r="J85" i="6"/>
  <c r="H85" i="6" s="1"/>
  <c r="I85" i="6" s="1"/>
  <c r="AH86" i="6"/>
  <c r="J88" i="6"/>
  <c r="H88" i="6" s="1"/>
  <c r="I10" i="7"/>
  <c r="AE14" i="7"/>
  <c r="AG14" i="7"/>
  <c r="C17" i="7"/>
  <c r="J20" i="7"/>
  <c r="H20" i="7" s="1"/>
  <c r="I20" i="7" s="1"/>
  <c r="U20" i="7"/>
  <c r="AI20" i="7" s="1"/>
  <c r="J22" i="7"/>
  <c r="K22" i="7" s="1"/>
  <c r="O31" i="7"/>
  <c r="AQ31" i="7"/>
  <c r="AC35" i="7"/>
  <c r="AG35" i="7"/>
  <c r="AC42" i="7"/>
  <c r="AE42" i="7"/>
  <c r="AO52" i="7"/>
  <c r="R70" i="7"/>
  <c r="C70" i="7"/>
  <c r="R87" i="7"/>
  <c r="C87" i="7"/>
  <c r="K40" i="8"/>
  <c r="I40" i="8"/>
  <c r="C40" i="8"/>
  <c r="AD37" i="6"/>
  <c r="AL37" i="6"/>
  <c r="AF31" i="6"/>
  <c r="AD41" i="6"/>
  <c r="AH42" i="6"/>
  <c r="AH44" i="6"/>
  <c r="AD47" i="6"/>
  <c r="AH48" i="6"/>
  <c r="J53" i="6"/>
  <c r="K53" i="6" s="1"/>
  <c r="U53" i="6"/>
  <c r="AD56" i="6"/>
  <c r="AH57" i="6"/>
  <c r="AD62" i="6"/>
  <c r="J66" i="6"/>
  <c r="H66" i="6" s="1"/>
  <c r="I66" i="6" s="1"/>
  <c r="U66" i="6"/>
  <c r="J67" i="6"/>
  <c r="H67" i="6" s="1"/>
  <c r="I67" i="6" s="1"/>
  <c r="U67" i="6"/>
  <c r="J68" i="6"/>
  <c r="K68" i="6" s="1"/>
  <c r="AH70" i="6"/>
  <c r="AD75" i="6"/>
  <c r="U78" i="6"/>
  <c r="AP13" i="7"/>
  <c r="AC17" i="7"/>
  <c r="J18" i="7"/>
  <c r="H18" i="7" s="1"/>
  <c r="AE22" i="7"/>
  <c r="J23" i="7"/>
  <c r="H23" i="7" s="1"/>
  <c r="J28" i="7"/>
  <c r="H28" i="7" s="1"/>
  <c r="I28" i="7" s="1"/>
  <c r="AE35" i="7"/>
  <c r="J40" i="7"/>
  <c r="H40" i="7" s="1"/>
  <c r="J44" i="7"/>
  <c r="L44" i="7" s="1"/>
  <c r="AH52" i="7"/>
  <c r="BD13" i="8"/>
  <c r="AK31" i="8"/>
  <c r="G13" i="7"/>
  <c r="AE15" i="7"/>
  <c r="J16" i="7"/>
  <c r="H16" i="7" s="1"/>
  <c r="I16" i="7" s="1"/>
  <c r="AC21" i="7"/>
  <c r="U21" i="7"/>
  <c r="AI21" i="7" s="1"/>
  <c r="J25" i="7"/>
  <c r="H25" i="7" s="1"/>
  <c r="C34" i="7"/>
  <c r="P31" i="7"/>
  <c r="AG37" i="7"/>
  <c r="U37" i="7"/>
  <c r="AI37" i="7" s="1"/>
  <c r="J41" i="7"/>
  <c r="H41" i="7" s="1"/>
  <c r="AC51" i="7"/>
  <c r="AE51" i="7"/>
  <c r="K62" i="7"/>
  <c r="I62" i="7"/>
  <c r="AE69" i="7"/>
  <c r="AG69" i="7"/>
  <c r="AC69" i="7"/>
  <c r="AJ74" i="7"/>
  <c r="L15" i="8"/>
  <c r="F13" i="8"/>
  <c r="R38" i="8"/>
  <c r="C38" i="8"/>
  <c r="E31" i="8"/>
  <c r="R31" i="8" s="1"/>
  <c r="J36" i="6"/>
  <c r="H36" i="6" s="1"/>
  <c r="I36" i="6" s="1"/>
  <c r="J38" i="6"/>
  <c r="K38" i="6" s="1"/>
  <c r="U38" i="6"/>
  <c r="AH41" i="6"/>
  <c r="AD42" i="6"/>
  <c r="AH47" i="6"/>
  <c r="AD48" i="6"/>
  <c r="J51" i="6"/>
  <c r="L51" i="6" s="1"/>
  <c r="AH56" i="6"/>
  <c r="AD57" i="6"/>
  <c r="AH62" i="6"/>
  <c r="AD70" i="6"/>
  <c r="X75" i="6"/>
  <c r="AH75" i="6"/>
  <c r="S74" i="6"/>
  <c r="J81" i="6"/>
  <c r="H81" i="6" s="1"/>
  <c r="X84" i="6"/>
  <c r="I88" i="6"/>
  <c r="W13" i="7"/>
  <c r="AC14" i="7"/>
  <c r="U15" i="7"/>
  <c r="AI15" i="7" s="1"/>
  <c r="AG17" i="7"/>
  <c r="AA20" i="7"/>
  <c r="AA22" i="7"/>
  <c r="J24" i="7"/>
  <c r="H24" i="7" s="1"/>
  <c r="AE26" i="7"/>
  <c r="U26" i="7"/>
  <c r="AI26" i="7" s="1"/>
  <c r="J32" i="7"/>
  <c r="H32" i="7" s="1"/>
  <c r="I32" i="7" s="1"/>
  <c r="J46" i="7"/>
  <c r="H46" i="7" s="1"/>
  <c r="I46" i="7" s="1"/>
  <c r="V52" i="7"/>
  <c r="G52" i="7"/>
  <c r="BV13" i="8"/>
  <c r="M31" i="8"/>
  <c r="X29" i="7"/>
  <c r="J33" i="7"/>
  <c r="H33" i="7" s="1"/>
  <c r="J37" i="7"/>
  <c r="H37" i="7" s="1"/>
  <c r="Q31" i="7"/>
  <c r="AE59" i="7"/>
  <c r="AQ52" i="7"/>
  <c r="X68" i="7"/>
  <c r="U69" i="7"/>
  <c r="AI69" i="7" s="1"/>
  <c r="BU13" i="8"/>
  <c r="J25" i="8"/>
  <c r="H25" i="8" s="1"/>
  <c r="J26" i="8"/>
  <c r="H26" i="8" s="1"/>
  <c r="K29" i="8"/>
  <c r="I29" i="8"/>
  <c r="J29" i="8"/>
  <c r="H29" i="8" s="1"/>
  <c r="AL31" i="8"/>
  <c r="AR31" i="8"/>
  <c r="BM31" i="8"/>
  <c r="BH31" i="8"/>
  <c r="J37" i="8"/>
  <c r="H37" i="8" s="1"/>
  <c r="AE52" i="8"/>
  <c r="AE32" i="7"/>
  <c r="AK31" i="7"/>
  <c r="J39" i="7"/>
  <c r="H39" i="7" s="1"/>
  <c r="AG41" i="7"/>
  <c r="AA44" i="7"/>
  <c r="AG50" i="7"/>
  <c r="U59" i="7"/>
  <c r="AI59" i="7" s="1"/>
  <c r="AE70" i="7"/>
  <c r="I75" i="7"/>
  <c r="C76" i="7"/>
  <c r="AK74" i="7"/>
  <c r="K78" i="7"/>
  <c r="Q74" i="7"/>
  <c r="AC80" i="7"/>
  <c r="J81" i="7"/>
  <c r="H81" i="7" s="1"/>
  <c r="I83" i="7"/>
  <c r="C88" i="7"/>
  <c r="N13" i="8"/>
  <c r="BP14" i="8"/>
  <c r="BN13" i="8"/>
  <c r="I15" i="8"/>
  <c r="BF13" i="8"/>
  <c r="BL13" i="8"/>
  <c r="J20" i="8"/>
  <c r="H20" i="8" s="1"/>
  <c r="I20" i="8" s="1"/>
  <c r="AN13" i="8"/>
  <c r="AT13" i="8"/>
  <c r="U21" i="8"/>
  <c r="J27" i="8"/>
  <c r="H27" i="8" s="1"/>
  <c r="I27" i="8" s="1"/>
  <c r="BP27" i="8"/>
  <c r="BA28" i="8"/>
  <c r="X36" i="8"/>
  <c r="J42" i="8"/>
  <c r="H42" i="8" s="1"/>
  <c r="I42" i="8" s="1"/>
  <c r="C43" i="8"/>
  <c r="J46" i="8"/>
  <c r="H46" i="8" s="1"/>
  <c r="I46" i="8" s="1"/>
  <c r="C53" i="8"/>
  <c r="R53" i="8"/>
  <c r="P52" i="8"/>
  <c r="R55" i="8"/>
  <c r="C55" i="8"/>
  <c r="AL52" i="8"/>
  <c r="G52" i="8"/>
  <c r="AC26" i="7"/>
  <c r="J27" i="7"/>
  <c r="H27" i="7" s="1"/>
  <c r="I27" i="7" s="1"/>
  <c r="U27" i="7"/>
  <c r="AI27" i="7" s="1"/>
  <c r="AA28" i="7"/>
  <c r="AG29" i="7"/>
  <c r="D31" i="7"/>
  <c r="J38" i="7"/>
  <c r="H38" i="7" s="1"/>
  <c r="I38" i="7" s="1"/>
  <c r="AG40" i="7"/>
  <c r="J45" i="7"/>
  <c r="H45" i="7" s="1"/>
  <c r="X47" i="7"/>
  <c r="U50" i="7"/>
  <c r="AI50" i="7" s="1"/>
  <c r="AR52" i="7"/>
  <c r="AC59" i="7"/>
  <c r="AC66" i="7"/>
  <c r="AG68" i="7"/>
  <c r="J70" i="7"/>
  <c r="H70" i="7" s="1"/>
  <c r="I70" i="7" s="1"/>
  <c r="U70" i="7"/>
  <c r="AI70" i="7" s="1"/>
  <c r="AA72" i="7"/>
  <c r="C75" i="7"/>
  <c r="K75" i="7"/>
  <c r="AE75" i="7"/>
  <c r="AC75" i="7"/>
  <c r="U76" i="7"/>
  <c r="AI76" i="7" s="1"/>
  <c r="J77" i="7"/>
  <c r="H77" i="7" s="1"/>
  <c r="C82" i="7"/>
  <c r="C83" i="7"/>
  <c r="X84" i="7"/>
  <c r="AE87" i="7"/>
  <c r="AC87" i="7"/>
  <c r="U88" i="7"/>
  <c r="AI88" i="7" s="1"/>
  <c r="AV13" i="8"/>
  <c r="AD13" i="8"/>
  <c r="J23" i="8"/>
  <c r="K23" i="8" s="1"/>
  <c r="C32" i="8"/>
  <c r="D31" i="8"/>
  <c r="AB31" i="8"/>
  <c r="K41" i="8"/>
  <c r="C41" i="8"/>
  <c r="AN52" i="8"/>
  <c r="AT52" i="8"/>
  <c r="BI52" i="8"/>
  <c r="BO52" i="8"/>
  <c r="AA55" i="8"/>
  <c r="BU52" i="8"/>
  <c r="AD52" i="7"/>
  <c r="J67" i="7"/>
  <c r="H67" i="7" s="1"/>
  <c r="K77" i="7"/>
  <c r="C77" i="7"/>
  <c r="AE13" i="8"/>
  <c r="AK13" i="8"/>
  <c r="AQ13" i="8"/>
  <c r="BJ13" i="8"/>
  <c r="C28" i="8"/>
  <c r="AU31" i="8"/>
  <c r="BQ31" i="8"/>
  <c r="AD31" i="8"/>
  <c r="AP31" i="8"/>
  <c r="AV31" i="8"/>
  <c r="BE31" i="8"/>
  <c r="BK31" i="8"/>
  <c r="AG31" i="8"/>
  <c r="AM31" i="8"/>
  <c r="X20" i="7"/>
  <c r="AG20" i="7"/>
  <c r="J21" i="7"/>
  <c r="L21" i="7" s="1"/>
  <c r="J26" i="7"/>
  <c r="L26" i="7" s="1"/>
  <c r="AG26" i="7"/>
  <c r="AE30" i="7"/>
  <c r="X32" i="7"/>
  <c r="I33" i="7"/>
  <c r="U35" i="7"/>
  <c r="AI35" i="7" s="1"/>
  <c r="X38" i="7"/>
  <c r="U40" i="7"/>
  <c r="AI40" i="7" s="1"/>
  <c r="AC41" i="7"/>
  <c r="J42" i="7"/>
  <c r="H42" i="7" s="1"/>
  <c r="I42" i="7" s="1"/>
  <c r="AE47" i="7"/>
  <c r="AA47" i="7"/>
  <c r="AE49" i="7"/>
  <c r="AC50" i="7"/>
  <c r="O52" i="7"/>
  <c r="J55" i="7"/>
  <c r="K55" i="7" s="1"/>
  <c r="AE55" i="7"/>
  <c r="AC67" i="7"/>
  <c r="AE72" i="7"/>
  <c r="U75" i="7"/>
  <c r="AI75" i="7" s="1"/>
  <c r="AB74" i="7"/>
  <c r="J80" i="7"/>
  <c r="K80" i="7" s="1"/>
  <c r="I81" i="7"/>
  <c r="AC86" i="7"/>
  <c r="U87" i="7"/>
  <c r="AI87" i="7" s="1"/>
  <c r="AE88" i="7"/>
  <c r="I11" i="8"/>
  <c r="AO13" i="8"/>
  <c r="AU13" i="8"/>
  <c r="BG13" i="8"/>
  <c r="BM13" i="8"/>
  <c r="BS13" i="8"/>
  <c r="C17" i="8"/>
  <c r="R17" i="8"/>
  <c r="AZ31" i="8"/>
  <c r="F31" i="8"/>
  <c r="P31" i="8"/>
  <c r="BR31" i="8"/>
  <c r="BF31" i="8"/>
  <c r="X51" i="8"/>
  <c r="Y52" i="8"/>
  <c r="AA54" i="8"/>
  <c r="AO52" i="8"/>
  <c r="C60" i="8"/>
  <c r="AE53" i="7"/>
  <c r="AJ52" i="7"/>
  <c r="AM52" i="7"/>
  <c r="AS52" i="7"/>
  <c r="AG59" i="7"/>
  <c r="C62" i="7"/>
  <c r="AA69" i="7"/>
  <c r="J73" i="7"/>
  <c r="H73" i="7" s="1"/>
  <c r="I73" i="7" s="1"/>
  <c r="J79" i="7"/>
  <c r="AG81" i="7"/>
  <c r="J18" i="8"/>
  <c r="J24" i="8"/>
  <c r="H24" i="8" s="1"/>
  <c r="BC30" i="8"/>
  <c r="J32" i="8"/>
  <c r="L32" i="8" s="1"/>
  <c r="J38" i="8"/>
  <c r="H38" i="8" s="1"/>
  <c r="I38" i="8" s="1"/>
  <c r="AW38" i="8"/>
  <c r="BA38" i="8"/>
  <c r="BP38" i="8"/>
  <c r="J43" i="8"/>
  <c r="H43" i="8" s="1"/>
  <c r="I43" i="8" s="1"/>
  <c r="BA43" i="8"/>
  <c r="S52" i="8"/>
  <c r="J55" i="8"/>
  <c r="K55" i="8" s="1"/>
  <c r="BA55" i="8"/>
  <c r="BP55" i="8"/>
  <c r="I58" i="8"/>
  <c r="J60" i="8"/>
  <c r="H60" i="8" s="1"/>
  <c r="I60" i="8" s="1"/>
  <c r="AW60" i="8"/>
  <c r="BA60" i="8"/>
  <c r="J63" i="8"/>
  <c r="H63" i="8" s="1"/>
  <c r="I63" i="8" s="1"/>
  <c r="BA63" i="8"/>
  <c r="C65" i="8"/>
  <c r="AD52" i="8"/>
  <c r="BK52" i="8"/>
  <c r="J54" i="8"/>
  <c r="H54" i="8" s="1"/>
  <c r="I54" i="8" s="1"/>
  <c r="BA54" i="8"/>
  <c r="BP54" i="8"/>
  <c r="BB52" i="8"/>
  <c r="I56" i="8"/>
  <c r="BQ52" i="8"/>
  <c r="C58" i="8"/>
  <c r="BC59" i="8"/>
  <c r="X65" i="8"/>
  <c r="I59" i="8"/>
  <c r="AW59" i="8"/>
  <c r="J36" i="8"/>
  <c r="H36" i="8" s="1"/>
  <c r="I36" i="8" s="1"/>
  <c r="J40" i="8"/>
  <c r="H40" i="8" s="1"/>
  <c r="J45" i="8"/>
  <c r="H45" i="8" s="1"/>
  <c r="I45" i="8" s="1"/>
  <c r="J51" i="8"/>
  <c r="H51" i="8" s="1"/>
  <c r="I51" i="8" s="1"/>
  <c r="J61" i="8"/>
  <c r="H61" i="8" s="1"/>
  <c r="I61" i="8" s="1"/>
  <c r="J64" i="8"/>
  <c r="H64" i="8" s="1"/>
  <c r="I64" i="8" s="1"/>
  <c r="J85" i="7"/>
  <c r="H85" i="7" s="1"/>
  <c r="J86" i="7"/>
  <c r="L86" i="7" s="1"/>
  <c r="C15" i="8"/>
  <c r="X16" i="8"/>
  <c r="J39" i="8"/>
  <c r="H39" i="8" s="1"/>
  <c r="J48" i="8"/>
  <c r="K48" i="8" s="1"/>
  <c r="J49" i="8"/>
  <c r="K49" i="8" s="1"/>
  <c r="J50" i="8"/>
  <c r="K50" i="8" s="1"/>
  <c r="BA50" i="8"/>
  <c r="BP50" i="8"/>
  <c r="AG52" i="8"/>
  <c r="AM52" i="8"/>
  <c r="BA53" i="8"/>
  <c r="BH52" i="8"/>
  <c r="AP52" i="8"/>
  <c r="AV52" i="8"/>
  <c r="J58" i="8"/>
  <c r="H58" i="8" s="1"/>
  <c r="BC67" i="8"/>
  <c r="AA68" i="8"/>
  <c r="I69" i="8"/>
  <c r="BC70" i="8"/>
  <c r="BC71" i="8"/>
  <c r="BC72" i="8"/>
  <c r="BJ74" i="8"/>
  <c r="I76" i="8"/>
  <c r="I78" i="8"/>
  <c r="J80" i="8"/>
  <c r="H80" i="8" s="1"/>
  <c r="I80" i="8" s="1"/>
  <c r="I82" i="8"/>
  <c r="J83" i="8"/>
  <c r="H83" i="8" s="1"/>
  <c r="I84" i="8"/>
  <c r="J15" i="9"/>
  <c r="H15" i="9" s="1"/>
  <c r="J16" i="9"/>
  <c r="K16" i="9" s="1"/>
  <c r="J17" i="9"/>
  <c r="H17" i="9" s="1"/>
  <c r="T17" i="9"/>
  <c r="J19" i="9"/>
  <c r="H19" i="9" s="1"/>
  <c r="J20" i="9"/>
  <c r="H20" i="9" s="1"/>
  <c r="C23" i="9"/>
  <c r="J24" i="9"/>
  <c r="H24" i="9" s="1"/>
  <c r="I28" i="9"/>
  <c r="Q13" i="9"/>
  <c r="T30" i="9"/>
  <c r="C32" i="9"/>
  <c r="R32" i="9"/>
  <c r="T33" i="9"/>
  <c r="J34" i="9"/>
  <c r="H34" i="9" s="1"/>
  <c r="J37" i="9"/>
  <c r="L37" i="9" s="1"/>
  <c r="C46" i="9"/>
  <c r="T46" i="9"/>
  <c r="U46" i="9" s="1"/>
  <c r="C49" i="9"/>
  <c r="F52" i="9"/>
  <c r="T55" i="9"/>
  <c r="T58" i="9"/>
  <c r="I60" i="9"/>
  <c r="I76" i="9"/>
  <c r="I80" i="9"/>
  <c r="J81" i="9"/>
  <c r="H81" i="9" s="1"/>
  <c r="C82" i="9"/>
  <c r="J83" i="9"/>
  <c r="H83" i="9" s="1"/>
  <c r="C88" i="9"/>
  <c r="BA67" i="8"/>
  <c r="AW70" i="8"/>
  <c r="BA70" i="8"/>
  <c r="BA71" i="8"/>
  <c r="AW72" i="8"/>
  <c r="BA72" i="8"/>
  <c r="AA73" i="8"/>
  <c r="AH74" i="8"/>
  <c r="AJ74" i="8" s="1"/>
  <c r="X80" i="8"/>
  <c r="J85" i="8"/>
  <c r="H85" i="8" s="1"/>
  <c r="I88" i="8"/>
  <c r="Y13" i="9"/>
  <c r="J23" i="9"/>
  <c r="H23" i="9" s="1"/>
  <c r="I23" i="9" s="1"/>
  <c r="T23" i="9"/>
  <c r="U23" i="9" s="1"/>
  <c r="J35" i="9"/>
  <c r="H35" i="9" s="1"/>
  <c r="T35" i="9"/>
  <c r="T38" i="9"/>
  <c r="I41" i="9"/>
  <c r="J42" i="9"/>
  <c r="H42" i="9" s="1"/>
  <c r="I42" i="9" s="1"/>
  <c r="T42" i="9"/>
  <c r="U42" i="9" s="1"/>
  <c r="J48" i="9"/>
  <c r="K48" i="9" s="1"/>
  <c r="J51" i="9"/>
  <c r="H51" i="9" s="1"/>
  <c r="I51" i="9" s="1"/>
  <c r="T65" i="9"/>
  <c r="I68" i="9"/>
  <c r="J72" i="9"/>
  <c r="H72" i="9" s="1"/>
  <c r="C76" i="9"/>
  <c r="Q74" i="9"/>
  <c r="T82" i="9"/>
  <c r="J84" i="9"/>
  <c r="H84" i="9" s="1"/>
  <c r="C87" i="9"/>
  <c r="J87" i="9"/>
  <c r="H87" i="9" s="1"/>
  <c r="T88" i="9"/>
  <c r="AZ52" i="8"/>
  <c r="BG52" i="8"/>
  <c r="BM52" i="8"/>
  <c r="BS52" i="8"/>
  <c r="S74" i="8"/>
  <c r="L9" i="9"/>
  <c r="J69" i="8"/>
  <c r="H69" i="8" s="1"/>
  <c r="J71" i="8"/>
  <c r="K71" i="8" s="1"/>
  <c r="AG74" i="8"/>
  <c r="W13" i="9"/>
  <c r="T24" i="9"/>
  <c r="J25" i="9"/>
  <c r="H25" i="9" s="1"/>
  <c r="J36" i="9"/>
  <c r="H36" i="9" s="1"/>
  <c r="I36" i="9" s="1"/>
  <c r="T36" i="9"/>
  <c r="U36" i="9" s="1"/>
  <c r="J40" i="9"/>
  <c r="H40" i="9" s="1"/>
  <c r="C44" i="9"/>
  <c r="J44" i="9"/>
  <c r="H44" i="9" s="1"/>
  <c r="I58" i="9"/>
  <c r="J63" i="9"/>
  <c r="H63" i="9" s="1"/>
  <c r="J65" i="9"/>
  <c r="H65" i="9" s="1"/>
  <c r="I66" i="9"/>
  <c r="J67" i="9"/>
  <c r="H67" i="9" s="1"/>
  <c r="T86" i="9"/>
  <c r="BA64" i="8"/>
  <c r="BP64" i="8"/>
  <c r="U67" i="8"/>
  <c r="AC52" i="8"/>
  <c r="AI52" i="8"/>
  <c r="X71" i="8"/>
  <c r="J72" i="8"/>
  <c r="L72" i="8" s="1"/>
  <c r="J73" i="8"/>
  <c r="L73" i="8" s="1"/>
  <c r="X73" i="8"/>
  <c r="F74" i="8"/>
  <c r="Z74" i="8"/>
  <c r="AM74" i="8"/>
  <c r="AZ74" i="8"/>
  <c r="C83" i="8"/>
  <c r="I85" i="8"/>
  <c r="J86" i="8"/>
  <c r="H86" i="8" s="1"/>
  <c r="J88" i="8"/>
  <c r="H88" i="8" s="1"/>
  <c r="T14" i="9"/>
  <c r="U14" i="9" s="1"/>
  <c r="K19" i="9"/>
  <c r="I20" i="9"/>
  <c r="J27" i="9"/>
  <c r="H27" i="9" s="1"/>
  <c r="T27" i="9"/>
  <c r="J29" i="9"/>
  <c r="H29" i="9" s="1"/>
  <c r="I29" i="9" s="1"/>
  <c r="J50" i="9"/>
  <c r="H50" i="9" s="1"/>
  <c r="J54" i="9"/>
  <c r="H54" i="9" s="1"/>
  <c r="C58" i="9"/>
  <c r="J70" i="9"/>
  <c r="H70" i="9" s="1"/>
  <c r="F74" i="9"/>
  <c r="L74" i="9" s="1"/>
  <c r="T79" i="9"/>
  <c r="T84" i="9"/>
  <c r="BD52" i="8"/>
  <c r="BJ52" i="8"/>
  <c r="BV52" i="8"/>
  <c r="X31" i="9"/>
  <c r="J46" i="9"/>
  <c r="L46" i="9" s="1"/>
  <c r="Q31" i="9"/>
  <c r="J58" i="9"/>
  <c r="H58" i="9" s="1"/>
  <c r="J62" i="9"/>
  <c r="H62" i="9" s="1"/>
  <c r="J66" i="9"/>
  <c r="H66" i="9" s="1"/>
  <c r="AE14" i="1"/>
  <c r="AB13" i="1"/>
  <c r="C15" i="1"/>
  <c r="C17" i="1"/>
  <c r="N13" i="1"/>
  <c r="AL13" i="1"/>
  <c r="O13" i="1"/>
  <c r="V14" i="1"/>
  <c r="AC13" i="1"/>
  <c r="AK16" i="1"/>
  <c r="J19" i="1"/>
  <c r="L19" i="1" s="1"/>
  <c r="AH31" i="1"/>
  <c r="AK32" i="1"/>
  <c r="AA54" i="1"/>
  <c r="AF52" i="1"/>
  <c r="U52" i="1"/>
  <c r="N52" i="1"/>
  <c r="J58" i="1"/>
  <c r="L58" i="1" s="1"/>
  <c r="C61" i="1"/>
  <c r="C65" i="1"/>
  <c r="AD74" i="1"/>
  <c r="J53" i="3"/>
  <c r="L53" i="3" s="1"/>
  <c r="P52" i="3"/>
  <c r="F52" i="3"/>
  <c r="AL56" i="3"/>
  <c r="AJ52" i="3"/>
  <c r="J57" i="3"/>
  <c r="K57" i="3" s="1"/>
  <c r="N52" i="3"/>
  <c r="W31" i="1"/>
  <c r="X35" i="1"/>
  <c r="C53" i="1"/>
  <c r="D52" i="1"/>
  <c r="C29" i="2"/>
  <c r="C47" i="2"/>
  <c r="D31" i="3"/>
  <c r="C32" i="3"/>
  <c r="C50" i="3"/>
  <c r="C22" i="1"/>
  <c r="S13" i="1"/>
  <c r="C14" i="1"/>
  <c r="Q13" i="1"/>
  <c r="AE15" i="1"/>
  <c r="J16" i="1"/>
  <c r="C18" i="1"/>
  <c r="AM37" i="1"/>
  <c r="AM43" i="1"/>
  <c r="AM49" i="1"/>
  <c r="AJ74" i="1"/>
  <c r="J20" i="2"/>
  <c r="K20" i="2" s="1"/>
  <c r="M13" i="2"/>
  <c r="T13" i="1"/>
  <c r="D13" i="1"/>
  <c r="AP14" i="1"/>
  <c r="AN13" i="1"/>
  <c r="AK18" i="1"/>
  <c r="J21" i="1"/>
  <c r="H21" i="1" s="1"/>
  <c r="I21" i="1" s="1"/>
  <c r="J25" i="1"/>
  <c r="L25" i="1" s="1"/>
  <c r="J37" i="1"/>
  <c r="H37" i="1" s="1"/>
  <c r="I37" i="1" s="1"/>
  <c r="AB52" i="1"/>
  <c r="C55" i="1"/>
  <c r="AG55" i="1"/>
  <c r="C59" i="1"/>
  <c r="AA60" i="1"/>
  <c r="C73" i="1"/>
  <c r="C83" i="1"/>
  <c r="C28" i="2"/>
  <c r="K71" i="2"/>
  <c r="C71" i="2"/>
  <c r="I71" i="2"/>
  <c r="H108" i="2"/>
  <c r="J104" i="2"/>
  <c r="H104" i="2" s="1"/>
  <c r="AK14" i="1"/>
  <c r="AH13" i="1"/>
  <c r="AO13" i="1"/>
  <c r="C20" i="1"/>
  <c r="AM56" i="1"/>
  <c r="AI52" i="1"/>
  <c r="C71" i="1"/>
  <c r="AA14" i="2"/>
  <c r="Y13" i="2"/>
  <c r="W13" i="2"/>
  <c r="X15" i="2"/>
  <c r="J14" i="3"/>
  <c r="L14" i="3" s="1"/>
  <c r="O13" i="3"/>
  <c r="F31" i="1"/>
  <c r="AL52" i="1"/>
  <c r="AM54" i="1"/>
  <c r="AP73" i="1"/>
  <c r="AN52" i="1"/>
  <c r="AP52" i="1" s="1"/>
  <c r="J75" i="1"/>
  <c r="M74" i="1"/>
  <c r="V75" i="1"/>
  <c r="S74" i="1"/>
  <c r="AE76" i="1"/>
  <c r="AB74" i="1"/>
  <c r="C77" i="1"/>
  <c r="C88" i="2"/>
  <c r="X22" i="1"/>
  <c r="X28" i="1"/>
  <c r="AC31" i="1"/>
  <c r="G31" i="1"/>
  <c r="AP32" i="1"/>
  <c r="C35" i="1"/>
  <c r="C41" i="1"/>
  <c r="C47" i="1"/>
  <c r="M52" i="1"/>
  <c r="S52" i="1"/>
  <c r="AA53" i="1"/>
  <c r="Y52" i="1"/>
  <c r="AK65" i="1"/>
  <c r="AK71" i="1"/>
  <c r="N74" i="1"/>
  <c r="T74" i="1"/>
  <c r="AK77" i="1"/>
  <c r="AK83" i="1"/>
  <c r="I22" i="2"/>
  <c r="C22" i="2"/>
  <c r="Z31" i="2"/>
  <c r="AC52" i="2"/>
  <c r="E9" i="3"/>
  <c r="R9" i="3" s="1"/>
  <c r="R10" i="3"/>
  <c r="P13" i="3"/>
  <c r="C33" i="3"/>
  <c r="AB31" i="3"/>
  <c r="C51" i="3"/>
  <c r="AE56" i="3"/>
  <c r="AC52" i="3"/>
  <c r="C68" i="3"/>
  <c r="F9" i="1"/>
  <c r="R14" i="1"/>
  <c r="C23" i="1"/>
  <c r="J24" i="1"/>
  <c r="K24" i="1" s="1"/>
  <c r="V24" i="1"/>
  <c r="C29" i="1"/>
  <c r="J30" i="1"/>
  <c r="V30" i="1"/>
  <c r="D31" i="1"/>
  <c r="J32" i="1"/>
  <c r="K32" i="1" s="1"/>
  <c r="V32" i="1"/>
  <c r="AJ31" i="1"/>
  <c r="F52" i="1"/>
  <c r="X55" i="1"/>
  <c r="C58" i="1"/>
  <c r="X61" i="1"/>
  <c r="C64" i="1"/>
  <c r="AA66" i="1"/>
  <c r="AA72" i="1"/>
  <c r="D74" i="1"/>
  <c r="AN74" i="1"/>
  <c r="AP74" i="1" s="1"/>
  <c r="O74" i="1"/>
  <c r="U74" i="1"/>
  <c r="AA78" i="1"/>
  <c r="AA84" i="1"/>
  <c r="C89" i="1"/>
  <c r="V13" i="2"/>
  <c r="X16" i="2"/>
  <c r="J24" i="2"/>
  <c r="H24" i="2" s="1"/>
  <c r="I24" i="2" s="1"/>
  <c r="T13" i="2"/>
  <c r="J25" i="2"/>
  <c r="H25" i="2" s="1"/>
  <c r="I25" i="2" s="1"/>
  <c r="S31" i="2"/>
  <c r="U31" i="2" s="1"/>
  <c r="G31" i="2"/>
  <c r="T31" i="2"/>
  <c r="C46" i="2"/>
  <c r="AF52" i="2"/>
  <c r="S52" i="2"/>
  <c r="U52" i="2" s="1"/>
  <c r="U55" i="2"/>
  <c r="X58" i="2"/>
  <c r="V52" i="2"/>
  <c r="AG13" i="3"/>
  <c r="P31" i="3"/>
  <c r="AS55" i="3"/>
  <c r="AQ52" i="3"/>
  <c r="C56" i="3"/>
  <c r="AM17" i="1"/>
  <c r="E31" i="1"/>
  <c r="AD31" i="1"/>
  <c r="C34" i="1"/>
  <c r="X37" i="1"/>
  <c r="C40" i="1"/>
  <c r="X43" i="1"/>
  <c r="C46" i="1"/>
  <c r="X49" i="1"/>
  <c r="AC52" i="1"/>
  <c r="G52" i="1"/>
  <c r="C56" i="1"/>
  <c r="J57" i="1"/>
  <c r="V57" i="1"/>
  <c r="C62" i="1"/>
  <c r="J63" i="1"/>
  <c r="L63" i="1" s="1"/>
  <c r="V63" i="1"/>
  <c r="J66" i="1"/>
  <c r="L66" i="1" s="1"/>
  <c r="C68" i="1"/>
  <c r="C70" i="1"/>
  <c r="J72" i="1"/>
  <c r="L72" i="1" s="1"/>
  <c r="E74" i="1"/>
  <c r="R74" i="1" s="1"/>
  <c r="AC74" i="1"/>
  <c r="G74" i="1"/>
  <c r="C76" i="1"/>
  <c r="J78" i="1"/>
  <c r="L78" i="1" s="1"/>
  <c r="C80" i="1"/>
  <c r="C82" i="1"/>
  <c r="J84" i="1"/>
  <c r="L84" i="1" s="1"/>
  <c r="C86" i="1"/>
  <c r="C88" i="1"/>
  <c r="J104" i="1"/>
  <c r="H104" i="1" s="1"/>
  <c r="C104" i="1"/>
  <c r="C11" i="1" s="1"/>
  <c r="C9" i="1" s="1"/>
  <c r="AE15" i="2"/>
  <c r="AA32" i="2"/>
  <c r="Y31" i="2"/>
  <c r="Q31" i="2"/>
  <c r="AG33" i="2"/>
  <c r="AC31" i="2"/>
  <c r="D52" i="2"/>
  <c r="C70" i="2"/>
  <c r="AA73" i="2"/>
  <c r="J85" i="2"/>
  <c r="H85" i="2" s="1"/>
  <c r="I85" i="2" s="1"/>
  <c r="M74" i="2"/>
  <c r="C27" i="3"/>
  <c r="AT31" i="3"/>
  <c r="J35" i="3"/>
  <c r="L35" i="3" s="1"/>
  <c r="C39" i="3"/>
  <c r="I59" i="3"/>
  <c r="C59" i="3"/>
  <c r="C28" i="1"/>
  <c r="C32" i="1"/>
  <c r="J33" i="1"/>
  <c r="H33" i="1" s="1"/>
  <c r="I33" i="1" s="1"/>
  <c r="V33" i="1"/>
  <c r="C38" i="1"/>
  <c r="J39" i="1"/>
  <c r="H39" i="1" s="1"/>
  <c r="I39" i="1" s="1"/>
  <c r="V39" i="1"/>
  <c r="C44" i="1"/>
  <c r="J45" i="1"/>
  <c r="H45" i="1" s="1"/>
  <c r="I45" i="1" s="1"/>
  <c r="V45" i="1"/>
  <c r="C50" i="1"/>
  <c r="J51" i="1"/>
  <c r="V51" i="1"/>
  <c r="AJ52" i="1"/>
  <c r="AK68" i="1"/>
  <c r="AK80" i="1"/>
  <c r="AK86" i="1"/>
  <c r="AG15" i="2"/>
  <c r="AC13" i="2"/>
  <c r="C23" i="2"/>
  <c r="C40" i="2"/>
  <c r="E74" i="2"/>
  <c r="R74" i="2" s="1"/>
  <c r="R75" i="2"/>
  <c r="AK52" i="3"/>
  <c r="AL55" i="3"/>
  <c r="R86" i="4"/>
  <c r="E74" i="4"/>
  <c r="R74" i="4" s="1"/>
  <c r="C26" i="1"/>
  <c r="J27" i="1"/>
  <c r="AA32" i="1"/>
  <c r="Y31" i="1"/>
  <c r="AD52" i="1"/>
  <c r="AK53" i="1"/>
  <c r="AA69" i="1"/>
  <c r="AA75" i="1"/>
  <c r="Y74" i="1"/>
  <c r="AF74" i="1"/>
  <c r="AL74" i="1"/>
  <c r="AM75" i="1"/>
  <c r="AA81" i="1"/>
  <c r="AA87" i="1"/>
  <c r="R57" i="2"/>
  <c r="E52" i="2"/>
  <c r="R52" i="2" s="1"/>
  <c r="J67" i="2"/>
  <c r="H67" i="2" s="1"/>
  <c r="J89" i="2"/>
  <c r="H89" i="2" s="1"/>
  <c r="J29" i="3"/>
  <c r="H29" i="3" s="1"/>
  <c r="I29" i="3" s="1"/>
  <c r="J41" i="3"/>
  <c r="H41" i="3" s="1"/>
  <c r="I41" i="3" s="1"/>
  <c r="C45" i="3"/>
  <c r="E52" i="3"/>
  <c r="R55" i="3"/>
  <c r="T52" i="3"/>
  <c r="X57" i="3"/>
  <c r="AL75" i="3"/>
  <c r="AK74" i="3"/>
  <c r="C86" i="3"/>
  <c r="R86" i="3"/>
  <c r="J104" i="3"/>
  <c r="H104" i="3" s="1"/>
  <c r="H106" i="3"/>
  <c r="V31" i="2"/>
  <c r="I34" i="2"/>
  <c r="C34" i="2"/>
  <c r="AG43" i="2"/>
  <c r="T52" i="2"/>
  <c r="AE56" i="2"/>
  <c r="AD74" i="2"/>
  <c r="P74" i="2"/>
  <c r="W74" i="2"/>
  <c r="C104" i="2"/>
  <c r="C11" i="2" s="1"/>
  <c r="AG31" i="3"/>
  <c r="AN31" i="3"/>
  <c r="AA55" i="3"/>
  <c r="Y52" i="3"/>
  <c r="AH55" i="3"/>
  <c r="AF52" i="3"/>
  <c r="W52" i="3"/>
  <c r="S13" i="2"/>
  <c r="E13" i="2"/>
  <c r="D13" i="2"/>
  <c r="C16" i="2"/>
  <c r="AE16" i="2"/>
  <c r="AB13" i="2"/>
  <c r="J18" i="2"/>
  <c r="H18" i="2" s="1"/>
  <c r="I18" i="2" s="1"/>
  <c r="J19" i="2"/>
  <c r="AG19" i="2"/>
  <c r="AE21" i="2"/>
  <c r="F31" i="2"/>
  <c r="P31" i="2"/>
  <c r="AD31" i="2"/>
  <c r="AE34" i="2"/>
  <c r="AB31" i="2"/>
  <c r="J36" i="2"/>
  <c r="H36" i="2" s="1"/>
  <c r="I36" i="2" s="1"/>
  <c r="AA49" i="2"/>
  <c r="O52" i="2"/>
  <c r="J54" i="2"/>
  <c r="H54" i="2" s="1"/>
  <c r="N52" i="2"/>
  <c r="I58" i="2"/>
  <c r="C58" i="2"/>
  <c r="AA61" i="2"/>
  <c r="C65" i="2"/>
  <c r="Q74" i="2"/>
  <c r="Z74" i="2"/>
  <c r="AH15" i="3"/>
  <c r="U31" i="3"/>
  <c r="L43" i="3"/>
  <c r="AX52" i="3"/>
  <c r="J55" i="3"/>
  <c r="H55" i="3" s="1"/>
  <c r="I55" i="3" s="1"/>
  <c r="M52" i="3"/>
  <c r="V55" i="3"/>
  <c r="S52" i="3"/>
  <c r="Q52" i="3"/>
  <c r="AO52" i="3"/>
  <c r="AV52" i="3"/>
  <c r="G52" i="3"/>
  <c r="C62" i="3"/>
  <c r="O13" i="2"/>
  <c r="AE33" i="2"/>
  <c r="O31" i="2"/>
  <c r="AA37" i="2"/>
  <c r="AB52" i="2"/>
  <c r="Y52" i="2"/>
  <c r="AA55" i="2"/>
  <c r="J60" i="2"/>
  <c r="H60" i="2" s="1"/>
  <c r="I64" i="2"/>
  <c r="C64" i="2"/>
  <c r="C76" i="2"/>
  <c r="O74" i="2"/>
  <c r="J78" i="2"/>
  <c r="H78" i="2" s="1"/>
  <c r="T74" i="2"/>
  <c r="J79" i="2"/>
  <c r="H79" i="2" s="1"/>
  <c r="C82" i="2"/>
  <c r="AA85" i="2"/>
  <c r="D13" i="3"/>
  <c r="AN13" i="3"/>
  <c r="D52" i="3"/>
  <c r="AN52" i="3"/>
  <c r="AI52" i="3"/>
  <c r="Z52" i="3"/>
  <c r="AE62" i="3"/>
  <c r="C65" i="3"/>
  <c r="J75" i="3"/>
  <c r="L75" i="3" s="1"/>
  <c r="M74" i="3"/>
  <c r="CW32" i="5"/>
  <c r="CS31" i="5"/>
  <c r="Z52" i="2"/>
  <c r="J55" i="2"/>
  <c r="H55" i="2" s="1"/>
  <c r="I55" i="2" s="1"/>
  <c r="M52" i="2"/>
  <c r="F52" i="2"/>
  <c r="V74" i="2"/>
  <c r="AC74" i="2"/>
  <c r="AG75" i="2"/>
  <c r="AW54" i="3"/>
  <c r="AU52" i="3"/>
  <c r="AD52" i="3"/>
  <c r="G74" i="3"/>
  <c r="C15" i="2"/>
  <c r="C21" i="2"/>
  <c r="C27" i="2"/>
  <c r="C33" i="2"/>
  <c r="C39" i="2"/>
  <c r="C45" i="2"/>
  <c r="C51" i="2"/>
  <c r="C57" i="2"/>
  <c r="C63" i="2"/>
  <c r="K67" i="2"/>
  <c r="C69" i="2"/>
  <c r="D74" i="2"/>
  <c r="AB74" i="2"/>
  <c r="C75" i="2"/>
  <c r="K79" i="2"/>
  <c r="C81" i="2"/>
  <c r="C87" i="2"/>
  <c r="C10" i="3"/>
  <c r="C9" i="3" s="1"/>
  <c r="C69" i="3"/>
  <c r="X69" i="3"/>
  <c r="AI74" i="3"/>
  <c r="AV74" i="3"/>
  <c r="Q74" i="3"/>
  <c r="C88" i="3"/>
  <c r="R88" i="3"/>
  <c r="O52" i="4"/>
  <c r="DB31" i="5"/>
  <c r="K14" i="2"/>
  <c r="R19" i="2"/>
  <c r="R43" i="2"/>
  <c r="R49" i="2"/>
  <c r="R55" i="2"/>
  <c r="C55" i="3"/>
  <c r="AA57" i="3"/>
  <c r="C58" i="3"/>
  <c r="I61" i="3"/>
  <c r="C61" i="3"/>
  <c r="K61" i="3"/>
  <c r="AA63" i="3"/>
  <c r="I64" i="3"/>
  <c r="C64" i="3"/>
  <c r="K64" i="3"/>
  <c r="AA66" i="3"/>
  <c r="C67" i="3"/>
  <c r="AS67" i="3"/>
  <c r="AA68" i="3"/>
  <c r="S74" i="3"/>
  <c r="AI37" i="5"/>
  <c r="AH31" i="5"/>
  <c r="C39" i="5"/>
  <c r="D31" i="5"/>
  <c r="R53" i="6"/>
  <c r="C53" i="6"/>
  <c r="E52" i="6"/>
  <c r="R52" i="6" s="1"/>
  <c r="P31" i="5"/>
  <c r="J33" i="5"/>
  <c r="H33" i="5" s="1"/>
  <c r="I33" i="5" s="1"/>
  <c r="V31" i="5"/>
  <c r="C25" i="2"/>
  <c r="C67" i="2"/>
  <c r="C73" i="2"/>
  <c r="C79" i="2"/>
  <c r="C85" i="2"/>
  <c r="AS56" i="3"/>
  <c r="AS62" i="3"/>
  <c r="AS65" i="3"/>
  <c r="Y74" i="3"/>
  <c r="AQ74" i="3"/>
  <c r="AA75" i="4"/>
  <c r="Y74" i="4"/>
  <c r="CJ13" i="5"/>
  <c r="BO17" i="5"/>
  <c r="BL13" i="5"/>
  <c r="C10" i="2"/>
  <c r="C9" i="2" s="1"/>
  <c r="C14" i="2"/>
  <c r="C20" i="2"/>
  <c r="C26" i="2"/>
  <c r="D31" i="2"/>
  <c r="C32" i="2"/>
  <c r="C38" i="2"/>
  <c r="C44" i="2"/>
  <c r="C50" i="2"/>
  <c r="C56" i="2"/>
  <c r="C62" i="2"/>
  <c r="C86" i="2"/>
  <c r="C57" i="3"/>
  <c r="I60" i="3"/>
  <c r="C60" i="3"/>
  <c r="K60" i="3"/>
  <c r="C63" i="3"/>
  <c r="C66" i="3"/>
  <c r="AD74" i="3"/>
  <c r="C84" i="3"/>
  <c r="R84" i="3"/>
  <c r="E74" i="3"/>
  <c r="R74" i="3" s="1"/>
  <c r="AD14" i="4"/>
  <c r="AB13" i="4"/>
  <c r="CY13" i="5"/>
  <c r="R83" i="3"/>
  <c r="D13" i="4"/>
  <c r="I14" i="4"/>
  <c r="C14" i="4"/>
  <c r="M13" i="4"/>
  <c r="M31" i="4"/>
  <c r="AC31" i="4"/>
  <c r="E52" i="4"/>
  <c r="R52" i="4" s="1"/>
  <c r="R53" i="4"/>
  <c r="AG54" i="4"/>
  <c r="AE52" i="4"/>
  <c r="G74" i="4"/>
  <c r="U75" i="4"/>
  <c r="S74" i="4"/>
  <c r="J104" i="4"/>
  <c r="H104" i="4" s="1"/>
  <c r="G13" i="5"/>
  <c r="BU13" i="5"/>
  <c r="CA13" i="5"/>
  <c r="CG13" i="5"/>
  <c r="CW14" i="5"/>
  <c r="CS13" i="5"/>
  <c r="AU15" i="5"/>
  <c r="AI19" i="5"/>
  <c r="C21" i="5"/>
  <c r="W21" i="5"/>
  <c r="AU23" i="5"/>
  <c r="AI27" i="5"/>
  <c r="CW27" i="5"/>
  <c r="C41" i="5"/>
  <c r="AB52" i="5"/>
  <c r="AH52" i="5"/>
  <c r="CD52" i="5"/>
  <c r="C62" i="5"/>
  <c r="C70" i="3"/>
  <c r="C71" i="3"/>
  <c r="C72" i="3"/>
  <c r="C73" i="3"/>
  <c r="C75" i="3"/>
  <c r="C76" i="3"/>
  <c r="C77" i="3"/>
  <c r="C78" i="3"/>
  <c r="C79" i="3"/>
  <c r="C80" i="3"/>
  <c r="C81" i="3"/>
  <c r="C82" i="3"/>
  <c r="AE82" i="3"/>
  <c r="AW83" i="3"/>
  <c r="AE84" i="3"/>
  <c r="AW85" i="3"/>
  <c r="AE86" i="3"/>
  <c r="AW87" i="3"/>
  <c r="AE88" i="3"/>
  <c r="C89" i="3"/>
  <c r="J9" i="4"/>
  <c r="L9" i="4" s="1"/>
  <c r="E13" i="4"/>
  <c r="R14" i="4"/>
  <c r="X14" i="4"/>
  <c r="V13" i="4"/>
  <c r="E31" i="4"/>
  <c r="R31" i="4" s="1"/>
  <c r="R32" i="4"/>
  <c r="X32" i="4"/>
  <c r="J43" i="4"/>
  <c r="H43" i="4" s="1"/>
  <c r="J46" i="4"/>
  <c r="H46" i="4" s="1"/>
  <c r="J49" i="4"/>
  <c r="H49" i="4" s="1"/>
  <c r="AJ53" i="4"/>
  <c r="G52" i="4"/>
  <c r="AA54" i="4"/>
  <c r="Y52" i="4"/>
  <c r="AA52" i="4" s="1"/>
  <c r="M74" i="4"/>
  <c r="J75" i="4"/>
  <c r="L75" i="4" s="1"/>
  <c r="J79" i="4"/>
  <c r="H79" i="4" s="1"/>
  <c r="J88" i="4"/>
  <c r="H88" i="4" s="1"/>
  <c r="I88" i="4" s="1"/>
  <c r="J96" i="4"/>
  <c r="H96" i="4" s="1"/>
  <c r="M89" i="4"/>
  <c r="L10" i="5"/>
  <c r="J14" i="5"/>
  <c r="M13" i="5"/>
  <c r="AE13" i="5"/>
  <c r="AQ13" i="5"/>
  <c r="BC13" i="5"/>
  <c r="BI13" i="5"/>
  <c r="AI17" i="5"/>
  <c r="C27" i="5"/>
  <c r="W27" i="5"/>
  <c r="AU29" i="5"/>
  <c r="BL31" i="5"/>
  <c r="AQ31" i="5"/>
  <c r="AU33" i="5"/>
  <c r="AU35" i="5"/>
  <c r="W42" i="5"/>
  <c r="T31" i="5"/>
  <c r="C48" i="5"/>
  <c r="C56" i="5"/>
  <c r="D52" i="5"/>
  <c r="BO72" i="5"/>
  <c r="BL52" i="5"/>
  <c r="J89" i="3"/>
  <c r="H89" i="3" s="1"/>
  <c r="I10" i="4"/>
  <c r="I17" i="4"/>
  <c r="C17" i="4"/>
  <c r="W31" i="4"/>
  <c r="Q52" i="4"/>
  <c r="AI52" i="4"/>
  <c r="U54" i="4"/>
  <c r="S52" i="4"/>
  <c r="C19" i="5"/>
  <c r="C25" i="5"/>
  <c r="G31" i="5"/>
  <c r="AE31" i="5"/>
  <c r="BX52" i="5"/>
  <c r="J28" i="9"/>
  <c r="H28" i="9" s="1"/>
  <c r="N13" i="9"/>
  <c r="P13" i="4"/>
  <c r="AJ14" i="4"/>
  <c r="AH13" i="4"/>
  <c r="J16" i="4"/>
  <c r="H16" i="4" s="1"/>
  <c r="J19" i="4"/>
  <c r="H19" i="4" s="1"/>
  <c r="J22" i="4"/>
  <c r="H22" i="4" s="1"/>
  <c r="J25" i="4"/>
  <c r="H25" i="4" s="1"/>
  <c r="J28" i="4"/>
  <c r="H28" i="4" s="1"/>
  <c r="G31" i="4"/>
  <c r="J34" i="4"/>
  <c r="H34" i="4" s="1"/>
  <c r="J61" i="4"/>
  <c r="H61" i="4" s="1"/>
  <c r="J64" i="4"/>
  <c r="H64" i="4" s="1"/>
  <c r="J76" i="4"/>
  <c r="L76" i="4" s="1"/>
  <c r="J9" i="5"/>
  <c r="H10" i="5"/>
  <c r="C17" i="5"/>
  <c r="W17" i="5"/>
  <c r="C29" i="5"/>
  <c r="W29" i="5"/>
  <c r="J32" i="5"/>
  <c r="K32" i="5" s="1"/>
  <c r="M31" i="5"/>
  <c r="C33" i="5"/>
  <c r="W33" i="5"/>
  <c r="C35" i="5"/>
  <c r="W35" i="5"/>
  <c r="CW35" i="5"/>
  <c r="J75" i="5"/>
  <c r="M74" i="5"/>
  <c r="C76" i="5"/>
  <c r="D74" i="5"/>
  <c r="J82" i="3"/>
  <c r="H82" i="3" s="1"/>
  <c r="I82" i="3" s="1"/>
  <c r="V82" i="3"/>
  <c r="AW82" i="3"/>
  <c r="AE83" i="3"/>
  <c r="AW84" i="3"/>
  <c r="AE85" i="3"/>
  <c r="AW86" i="3"/>
  <c r="AE87" i="3"/>
  <c r="AW88" i="3"/>
  <c r="K10" i="4"/>
  <c r="D9" i="4"/>
  <c r="J14" i="4"/>
  <c r="Q13" i="4"/>
  <c r="AI13" i="4"/>
  <c r="Q31" i="4"/>
  <c r="AI31" i="4"/>
  <c r="J37" i="4"/>
  <c r="H37" i="4" s="1"/>
  <c r="AC52" i="4"/>
  <c r="J58" i="4"/>
  <c r="H58" i="4" s="1"/>
  <c r="J67" i="4"/>
  <c r="H67" i="4" s="1"/>
  <c r="J70" i="4"/>
  <c r="H70" i="4" s="1"/>
  <c r="AG75" i="4"/>
  <c r="AE74" i="4"/>
  <c r="C15" i="5"/>
  <c r="W15" i="5"/>
  <c r="CW17" i="5"/>
  <c r="AU19" i="5"/>
  <c r="AI21" i="5"/>
  <c r="C23" i="5"/>
  <c r="W23" i="5"/>
  <c r="CY31" i="5"/>
  <c r="C37" i="5"/>
  <c r="CW37" i="5"/>
  <c r="C66" i="5"/>
  <c r="F31" i="4"/>
  <c r="S10" i="5"/>
  <c r="G52" i="5"/>
  <c r="CW53" i="5"/>
  <c r="CS52" i="5"/>
  <c r="C70" i="5"/>
  <c r="AS74" i="5"/>
  <c r="AW78" i="5"/>
  <c r="CI74" i="5"/>
  <c r="CM79" i="5"/>
  <c r="BN74" i="5"/>
  <c r="BO83" i="5"/>
  <c r="AG31" i="6"/>
  <c r="R59" i="6"/>
  <c r="C59" i="6"/>
  <c r="S13" i="4"/>
  <c r="Y13" i="4"/>
  <c r="AE13" i="4"/>
  <c r="K15" i="4"/>
  <c r="K18" i="4"/>
  <c r="C20" i="4"/>
  <c r="K21" i="4"/>
  <c r="C23" i="4"/>
  <c r="K24" i="4"/>
  <c r="C26" i="4"/>
  <c r="K27" i="4"/>
  <c r="C29" i="4"/>
  <c r="S31" i="4"/>
  <c r="Y31" i="4"/>
  <c r="AA31" i="4" s="1"/>
  <c r="AE31" i="4"/>
  <c r="C32" i="4"/>
  <c r="C35" i="4"/>
  <c r="C38" i="4"/>
  <c r="C41" i="4"/>
  <c r="K42" i="4"/>
  <c r="C44" i="4"/>
  <c r="K45" i="4"/>
  <c r="C47" i="4"/>
  <c r="K48" i="4"/>
  <c r="C50" i="4"/>
  <c r="K51" i="4"/>
  <c r="M52" i="4"/>
  <c r="C53" i="4"/>
  <c r="K54" i="4"/>
  <c r="C56" i="4"/>
  <c r="K57" i="4"/>
  <c r="C59" i="4"/>
  <c r="K60" i="4"/>
  <c r="C62" i="4"/>
  <c r="C65" i="4"/>
  <c r="C68" i="4"/>
  <c r="C71" i="4"/>
  <c r="C77" i="4"/>
  <c r="C80" i="4"/>
  <c r="C83" i="4"/>
  <c r="C86" i="4"/>
  <c r="AI42" i="5"/>
  <c r="C50" i="5"/>
  <c r="CW50" i="5"/>
  <c r="J53" i="5"/>
  <c r="L53" i="5" s="1"/>
  <c r="M52" i="5"/>
  <c r="AE52" i="5"/>
  <c r="AQ52" i="5"/>
  <c r="BC52" i="5"/>
  <c r="BI52" i="5"/>
  <c r="AI62" i="5"/>
  <c r="AU76" i="5"/>
  <c r="CR74" i="5"/>
  <c r="CU80" i="5"/>
  <c r="AV74" i="5"/>
  <c r="C88" i="5"/>
  <c r="Q13" i="6"/>
  <c r="R36" i="6"/>
  <c r="C36" i="6"/>
  <c r="AD44" i="6"/>
  <c r="AA31" i="6"/>
  <c r="AL44" i="6"/>
  <c r="AI31" i="6"/>
  <c r="R84" i="4"/>
  <c r="R87" i="4"/>
  <c r="AK42" i="5"/>
  <c r="AI44" i="5"/>
  <c r="AI46" i="5"/>
  <c r="W48" i="5"/>
  <c r="J54" i="5"/>
  <c r="H54" i="5" s="1"/>
  <c r="I54" i="5" s="1"/>
  <c r="C58" i="5"/>
  <c r="C60" i="5"/>
  <c r="BL74" i="5"/>
  <c r="AE74" i="5"/>
  <c r="U74" i="5"/>
  <c r="Y83" i="5"/>
  <c r="CM83" i="5"/>
  <c r="C84" i="5"/>
  <c r="C89" i="5"/>
  <c r="H92" i="5"/>
  <c r="J89" i="5"/>
  <c r="H89" i="5" s="1"/>
  <c r="R16" i="6"/>
  <c r="C16" i="6"/>
  <c r="E13" i="6"/>
  <c r="R17" i="6"/>
  <c r="C17" i="6"/>
  <c r="Q31" i="6"/>
  <c r="V31" i="4"/>
  <c r="AB31" i="4"/>
  <c r="AD31" i="4" s="1"/>
  <c r="AH31" i="4"/>
  <c r="V52" i="4"/>
  <c r="AB52" i="4"/>
  <c r="AD52" i="4" s="1"/>
  <c r="AH52" i="4"/>
  <c r="BM31" i="5"/>
  <c r="Y42" i="5"/>
  <c r="W44" i="5"/>
  <c r="W46" i="5"/>
  <c r="AU48" i="5"/>
  <c r="AI50" i="5"/>
  <c r="C54" i="5"/>
  <c r="C64" i="5"/>
  <c r="AI68" i="5"/>
  <c r="CW68" i="5"/>
  <c r="C72" i="5"/>
  <c r="W72" i="5"/>
  <c r="CY74" i="5"/>
  <c r="F74" i="5"/>
  <c r="AW87" i="5"/>
  <c r="N13" i="6"/>
  <c r="T31" i="6"/>
  <c r="Z31" i="6"/>
  <c r="C15" i="4"/>
  <c r="C18" i="4"/>
  <c r="C21" i="4"/>
  <c r="C24" i="4"/>
  <c r="C27" i="4"/>
  <c r="C30" i="4"/>
  <c r="C45" i="4"/>
  <c r="C48" i="4"/>
  <c r="C51" i="4"/>
  <c r="C18" i="5"/>
  <c r="C20" i="5"/>
  <c r="C26" i="5"/>
  <c r="C28" i="5"/>
  <c r="C30" i="5"/>
  <c r="C32" i="5"/>
  <c r="C34" i="5"/>
  <c r="C36" i="5"/>
  <c r="C38" i="5"/>
  <c r="C40" i="5"/>
  <c r="C42" i="5"/>
  <c r="C44" i="5"/>
  <c r="C46" i="5"/>
  <c r="CY52" i="5"/>
  <c r="C68" i="5"/>
  <c r="CW75" i="5"/>
  <c r="CS74" i="5"/>
  <c r="AF13" i="6"/>
  <c r="U16" i="6"/>
  <c r="T13" i="6"/>
  <c r="Z13" i="6"/>
  <c r="AG13" i="6"/>
  <c r="R26" i="6"/>
  <c r="C26" i="6"/>
  <c r="AG52" i="6"/>
  <c r="R66" i="6"/>
  <c r="C66" i="6"/>
  <c r="R78" i="6"/>
  <c r="E74" i="6"/>
  <c r="R74" i="6" s="1"/>
  <c r="C78" i="6"/>
  <c r="H105" i="5"/>
  <c r="J104" i="5"/>
  <c r="H104" i="5" s="1"/>
  <c r="N31" i="6"/>
  <c r="R51" i="6"/>
  <c r="C51" i="6"/>
  <c r="AC52" i="6"/>
  <c r="Q52" i="6"/>
  <c r="Y82" i="5"/>
  <c r="J83" i="5"/>
  <c r="H83" i="5" s="1"/>
  <c r="I83" i="5" s="1"/>
  <c r="AU84" i="5"/>
  <c r="BO84" i="5"/>
  <c r="Y86" i="5"/>
  <c r="J87" i="5"/>
  <c r="H87" i="5" s="1"/>
  <c r="I87" i="5" s="1"/>
  <c r="AU88" i="5"/>
  <c r="BO88" i="5"/>
  <c r="AA13" i="6"/>
  <c r="AI13" i="6"/>
  <c r="J14" i="6"/>
  <c r="AH17" i="6"/>
  <c r="AH18" i="6"/>
  <c r="AH19" i="6"/>
  <c r="J23" i="6"/>
  <c r="L23" i="6" s="1"/>
  <c r="J24" i="6"/>
  <c r="L24" i="6" s="1"/>
  <c r="AH26" i="6"/>
  <c r="J30" i="6"/>
  <c r="L30" i="6" s="1"/>
  <c r="E31" i="6"/>
  <c r="R31" i="6" s="1"/>
  <c r="R45" i="6"/>
  <c r="C45" i="6"/>
  <c r="AA52" i="6"/>
  <c r="R60" i="6"/>
  <c r="C60" i="6"/>
  <c r="C48" i="7"/>
  <c r="CW82" i="5"/>
  <c r="J15" i="6"/>
  <c r="AH20" i="6"/>
  <c r="J25" i="6"/>
  <c r="H25" i="6" s="1"/>
  <c r="J29" i="6"/>
  <c r="L29" i="6" s="1"/>
  <c r="R30" i="6"/>
  <c r="C30" i="6"/>
  <c r="AH40" i="6"/>
  <c r="J44" i="6"/>
  <c r="L44" i="6" s="1"/>
  <c r="AH46" i="6"/>
  <c r="J50" i="6"/>
  <c r="L50" i="6" s="1"/>
  <c r="J59" i="6"/>
  <c r="H59" i="6" s="1"/>
  <c r="C15" i="7"/>
  <c r="D13" i="7"/>
  <c r="C27" i="7"/>
  <c r="AA46" i="7"/>
  <c r="Y31" i="7"/>
  <c r="E52" i="5"/>
  <c r="BM52" i="5"/>
  <c r="BM74" i="5"/>
  <c r="W78" i="5"/>
  <c r="J79" i="5"/>
  <c r="AW80" i="5"/>
  <c r="AI82" i="5"/>
  <c r="AK84" i="5"/>
  <c r="AI86" i="5"/>
  <c r="AK88" i="5"/>
  <c r="C104" i="5"/>
  <c r="J18" i="6"/>
  <c r="J19" i="6"/>
  <c r="L19" i="6" s="1"/>
  <c r="J20" i="6"/>
  <c r="L20" i="6" s="1"/>
  <c r="C22" i="6"/>
  <c r="AH22" i="6"/>
  <c r="AH23" i="6"/>
  <c r="J27" i="6"/>
  <c r="H27" i="6" s="1"/>
  <c r="C32" i="6"/>
  <c r="R54" i="6"/>
  <c r="C54" i="6"/>
  <c r="O52" i="6"/>
  <c r="J65" i="6"/>
  <c r="H65" i="6" s="1"/>
  <c r="R67" i="6"/>
  <c r="C67" i="6"/>
  <c r="T74" i="6"/>
  <c r="R79" i="6"/>
  <c r="C79" i="6"/>
  <c r="AO13" i="7"/>
  <c r="R38" i="7"/>
  <c r="C38" i="7"/>
  <c r="C67" i="5"/>
  <c r="C69" i="5"/>
  <c r="C71" i="5"/>
  <c r="C73" i="5"/>
  <c r="C75" i="5"/>
  <c r="C77" i="5"/>
  <c r="AK82" i="5"/>
  <c r="W84" i="5"/>
  <c r="CM84" i="5"/>
  <c r="C14" i="6"/>
  <c r="AH14" i="6"/>
  <c r="J21" i="6"/>
  <c r="L21" i="6" s="1"/>
  <c r="C23" i="6"/>
  <c r="AH24" i="6"/>
  <c r="R37" i="6"/>
  <c r="C37" i="6"/>
  <c r="R44" i="6"/>
  <c r="C44" i="6"/>
  <c r="R50" i="6"/>
  <c r="C50" i="6"/>
  <c r="AI52" i="6"/>
  <c r="W52" i="6"/>
  <c r="N52" i="6"/>
  <c r="R65" i="6"/>
  <c r="C65" i="6"/>
  <c r="R68" i="6"/>
  <c r="C68" i="6"/>
  <c r="J77" i="6"/>
  <c r="H77" i="6" s="1"/>
  <c r="N74" i="6"/>
  <c r="AI74" i="6"/>
  <c r="AL77" i="6"/>
  <c r="AA21" i="7"/>
  <c r="Y13" i="7"/>
  <c r="J34" i="6"/>
  <c r="L34" i="6" s="1"/>
  <c r="J42" i="6"/>
  <c r="L42" i="6" s="1"/>
  <c r="J48" i="6"/>
  <c r="L48" i="6" s="1"/>
  <c r="J57" i="6"/>
  <c r="L57" i="6" s="1"/>
  <c r="J63" i="6"/>
  <c r="H63" i="6" s="1"/>
  <c r="J71" i="6"/>
  <c r="H71" i="6" s="1"/>
  <c r="C73" i="6"/>
  <c r="C77" i="6"/>
  <c r="C81" i="6"/>
  <c r="J84" i="6"/>
  <c r="L84" i="6" s="1"/>
  <c r="C86" i="6"/>
  <c r="Q13" i="7"/>
  <c r="AJ13" i="7"/>
  <c r="O13" i="7"/>
  <c r="J19" i="7"/>
  <c r="H19" i="7" s="1"/>
  <c r="I24" i="7"/>
  <c r="C24" i="7"/>
  <c r="AM31" i="7"/>
  <c r="AS31" i="7"/>
  <c r="AG38" i="7"/>
  <c r="U38" i="7"/>
  <c r="AI38" i="7" s="1"/>
  <c r="AE38" i="7"/>
  <c r="AC38" i="7"/>
  <c r="M52" i="7"/>
  <c r="J28" i="6"/>
  <c r="AH30" i="6"/>
  <c r="J35" i="6"/>
  <c r="H35" i="6" s="1"/>
  <c r="AH37" i="6"/>
  <c r="AH38" i="6"/>
  <c r="J43" i="6"/>
  <c r="AH45" i="6"/>
  <c r="J49" i="6"/>
  <c r="L49" i="6" s="1"/>
  <c r="J58" i="6"/>
  <c r="L58" i="6" s="1"/>
  <c r="J64" i="6"/>
  <c r="H64" i="6" s="1"/>
  <c r="AH68" i="6"/>
  <c r="J72" i="6"/>
  <c r="W74" i="6"/>
  <c r="J75" i="6"/>
  <c r="L75" i="6" s="1"/>
  <c r="J76" i="6"/>
  <c r="H76" i="6" s="1"/>
  <c r="I80" i="6"/>
  <c r="C80" i="6"/>
  <c r="D74" i="6"/>
  <c r="J82" i="6"/>
  <c r="H82" i="6" s="1"/>
  <c r="J87" i="6"/>
  <c r="H87" i="6" s="1"/>
  <c r="J89" i="6"/>
  <c r="H89" i="6" s="1"/>
  <c r="H90" i="6"/>
  <c r="V13" i="7"/>
  <c r="J15" i="7"/>
  <c r="H15" i="7" s="1"/>
  <c r="I15" i="7" s="1"/>
  <c r="M13" i="7"/>
  <c r="AG18" i="7"/>
  <c r="U18" i="7"/>
  <c r="AI18" i="7" s="1"/>
  <c r="AC18" i="7"/>
  <c r="C30" i="7"/>
  <c r="C43" i="7"/>
  <c r="J73" i="6"/>
  <c r="H73" i="6" s="1"/>
  <c r="AD85" i="6"/>
  <c r="F13" i="7"/>
  <c r="AC16" i="7"/>
  <c r="AE16" i="7"/>
  <c r="AG16" i="7"/>
  <c r="U16" i="7"/>
  <c r="AI16" i="7" s="1"/>
  <c r="AC28" i="7"/>
  <c r="AE28" i="7"/>
  <c r="U28" i="7"/>
  <c r="AI28" i="7" s="1"/>
  <c r="AG28" i="7"/>
  <c r="G31" i="7"/>
  <c r="R40" i="7"/>
  <c r="C40" i="7"/>
  <c r="Z52" i="7"/>
  <c r="AA53" i="7"/>
  <c r="J39" i="6"/>
  <c r="L39" i="6" s="1"/>
  <c r="C42" i="6"/>
  <c r="J46" i="6"/>
  <c r="C48" i="6"/>
  <c r="J55" i="6"/>
  <c r="H55" i="6" s="1"/>
  <c r="C57" i="6"/>
  <c r="J61" i="6"/>
  <c r="H61" i="6" s="1"/>
  <c r="AA74" i="6"/>
  <c r="AB74" i="6"/>
  <c r="X81" i="6"/>
  <c r="V74" i="6"/>
  <c r="I83" i="6"/>
  <c r="C83" i="6"/>
  <c r="I18" i="7"/>
  <c r="C18" i="7"/>
  <c r="K18" i="7"/>
  <c r="AC23" i="7"/>
  <c r="U23" i="7"/>
  <c r="AI23" i="7" s="1"/>
  <c r="AG23" i="7"/>
  <c r="AE23" i="7"/>
  <c r="AG30" i="7"/>
  <c r="U30" i="7"/>
  <c r="AI30" i="7" s="1"/>
  <c r="AC30" i="7"/>
  <c r="C32" i="7"/>
  <c r="AB31" i="7"/>
  <c r="AC32" i="7"/>
  <c r="F31" i="7"/>
  <c r="C35" i="7"/>
  <c r="E31" i="7"/>
  <c r="R31" i="7" s="1"/>
  <c r="R35" i="7"/>
  <c r="AJ31" i="7"/>
  <c r="AC46" i="7"/>
  <c r="AE46" i="7"/>
  <c r="U46" i="7"/>
  <c r="AI46" i="7" s="1"/>
  <c r="AG46" i="7"/>
  <c r="AH28" i="6"/>
  <c r="J33" i="6"/>
  <c r="L33" i="6" s="1"/>
  <c r="J40" i="6"/>
  <c r="L40" i="6" s="1"/>
  <c r="J41" i="6"/>
  <c r="AH43" i="6"/>
  <c r="J47" i="6"/>
  <c r="L47" i="6" s="1"/>
  <c r="AH49" i="6"/>
  <c r="AH50" i="6"/>
  <c r="J56" i="6"/>
  <c r="L56" i="6" s="1"/>
  <c r="AH58" i="6"/>
  <c r="J62" i="6"/>
  <c r="L62" i="6" s="1"/>
  <c r="J70" i="6"/>
  <c r="L70" i="6" s="1"/>
  <c r="P74" i="6"/>
  <c r="C19" i="7"/>
  <c r="I19" i="7"/>
  <c r="C22" i="7"/>
  <c r="V31" i="7"/>
  <c r="W31" i="7"/>
  <c r="K37" i="7"/>
  <c r="I37" i="7"/>
  <c r="C37" i="7"/>
  <c r="AG39" i="7"/>
  <c r="U39" i="7"/>
  <c r="AI39" i="7" s="1"/>
  <c r="AE39" i="7"/>
  <c r="AC39" i="7"/>
  <c r="I45" i="7"/>
  <c r="C45" i="7"/>
  <c r="K45" i="7"/>
  <c r="K22" i="8"/>
  <c r="C22" i="8"/>
  <c r="I22" i="8"/>
  <c r="J34" i="8"/>
  <c r="K34" i="8" s="1"/>
  <c r="O31" i="8"/>
  <c r="AW34" i="8"/>
  <c r="AS31" i="8"/>
  <c r="BP34" i="8"/>
  <c r="BN31" i="8"/>
  <c r="R17" i="7"/>
  <c r="Z31" i="7"/>
  <c r="AH31" i="7"/>
  <c r="T52" i="7"/>
  <c r="P52" i="7"/>
  <c r="R59" i="7"/>
  <c r="C59" i="7"/>
  <c r="H106" i="7"/>
  <c r="J104" i="7"/>
  <c r="H104" i="7" s="1"/>
  <c r="AD86" i="6"/>
  <c r="J104" i="6"/>
  <c r="H104" i="6" s="1"/>
  <c r="P13" i="7"/>
  <c r="AK13" i="7"/>
  <c r="R23" i="7"/>
  <c r="C25" i="7"/>
  <c r="I25" i="7"/>
  <c r="AG25" i="7"/>
  <c r="U25" i="7"/>
  <c r="AI25" i="7" s="1"/>
  <c r="C26" i="7"/>
  <c r="AC27" i="7"/>
  <c r="AG27" i="7"/>
  <c r="C29" i="7"/>
  <c r="AD31" i="7"/>
  <c r="N31" i="7"/>
  <c r="T31" i="7"/>
  <c r="AA32" i="7"/>
  <c r="AO31" i="7"/>
  <c r="J35" i="7"/>
  <c r="C36" i="7"/>
  <c r="U36" i="7"/>
  <c r="AI36" i="7" s="1"/>
  <c r="AG36" i="7"/>
  <c r="AG42" i="7"/>
  <c r="U42" i="7"/>
  <c r="AI42" i="7" s="1"/>
  <c r="AG45" i="7"/>
  <c r="U45" i="7"/>
  <c r="AI45" i="7" s="1"/>
  <c r="AE45" i="7"/>
  <c r="N52" i="7"/>
  <c r="J53" i="7"/>
  <c r="U53" i="7"/>
  <c r="AI53" i="7" s="1"/>
  <c r="AG57" i="7"/>
  <c r="U57" i="7"/>
  <c r="AI57" i="7" s="1"/>
  <c r="J69" i="7"/>
  <c r="L69" i="7" s="1"/>
  <c r="I14" i="7"/>
  <c r="C14" i="7"/>
  <c r="AD13" i="7"/>
  <c r="AR13" i="7"/>
  <c r="AM13" i="7"/>
  <c r="AS13" i="7"/>
  <c r="AC22" i="7"/>
  <c r="U22" i="7"/>
  <c r="AI22" i="7" s="1"/>
  <c r="AG22" i="7"/>
  <c r="AP31" i="7"/>
  <c r="C42" i="7"/>
  <c r="J43" i="7"/>
  <c r="H43" i="7" s="1"/>
  <c r="I43" i="7" s="1"/>
  <c r="AC43" i="7"/>
  <c r="AE43" i="7"/>
  <c r="AG43" i="7"/>
  <c r="F52" i="7"/>
  <c r="W52" i="7"/>
  <c r="X53" i="7"/>
  <c r="C68" i="7"/>
  <c r="E13" i="7"/>
  <c r="AF13" i="7"/>
  <c r="AL13" i="7"/>
  <c r="AN14" i="7"/>
  <c r="AC15" i="7"/>
  <c r="AG15" i="7"/>
  <c r="AE29" i="7"/>
  <c r="AA30" i="7"/>
  <c r="AF31" i="7"/>
  <c r="AL31" i="7"/>
  <c r="AN31" i="7" s="1"/>
  <c r="AR31" i="7"/>
  <c r="M31" i="7"/>
  <c r="AC34" i="7"/>
  <c r="U34" i="7"/>
  <c r="AI34" i="7" s="1"/>
  <c r="AG34" i="7"/>
  <c r="S31" i="7"/>
  <c r="AE36" i="7"/>
  <c r="AC37" i="7"/>
  <c r="AE37" i="7"/>
  <c r="I41" i="7"/>
  <c r="C41" i="7"/>
  <c r="AG48" i="7"/>
  <c r="U48" i="7"/>
  <c r="AI48" i="7" s="1"/>
  <c r="AE48" i="7"/>
  <c r="Q52" i="7"/>
  <c r="AE57" i="7"/>
  <c r="AC60" i="7"/>
  <c r="AG60" i="7"/>
  <c r="U60" i="7"/>
  <c r="AI60" i="7" s="1"/>
  <c r="AE60" i="7"/>
  <c r="C80" i="7"/>
  <c r="R81" i="7"/>
  <c r="C81" i="7"/>
  <c r="BQ13" i="8"/>
  <c r="C23" i="8"/>
  <c r="J53" i="8"/>
  <c r="O52" i="8"/>
  <c r="AW53" i="8"/>
  <c r="AS52" i="8"/>
  <c r="BP53" i="8"/>
  <c r="BN52" i="8"/>
  <c r="C55" i="7"/>
  <c r="AC55" i="7"/>
  <c r="AG55" i="7"/>
  <c r="C57" i="7"/>
  <c r="AE64" i="7"/>
  <c r="I67" i="7"/>
  <c r="C67" i="7"/>
  <c r="O74" i="7"/>
  <c r="J75" i="7"/>
  <c r="AX13" i="8"/>
  <c r="W13" i="8"/>
  <c r="AP13" i="8"/>
  <c r="BI13" i="8"/>
  <c r="BO13" i="8"/>
  <c r="BH13" i="8"/>
  <c r="BB31" i="8"/>
  <c r="N13" i="7"/>
  <c r="T13" i="7"/>
  <c r="Z13" i="7"/>
  <c r="J17" i="7"/>
  <c r="H17" i="7" s="1"/>
  <c r="X27" i="7"/>
  <c r="J29" i="7"/>
  <c r="X48" i="7"/>
  <c r="U49" i="7"/>
  <c r="AI49" i="7" s="1"/>
  <c r="AG51" i="7"/>
  <c r="U51" i="7"/>
  <c r="AI51" i="7" s="1"/>
  <c r="D52" i="7"/>
  <c r="Y52" i="7"/>
  <c r="AG54" i="7"/>
  <c r="U54" i="7"/>
  <c r="AI54" i="7" s="1"/>
  <c r="S52" i="7"/>
  <c r="AB52" i="7"/>
  <c r="U55" i="7"/>
  <c r="AI55" i="7" s="1"/>
  <c r="AM74" i="7"/>
  <c r="AS74" i="7"/>
  <c r="AC77" i="7"/>
  <c r="AG77" i="7"/>
  <c r="U77" i="7"/>
  <c r="AI77" i="7" s="1"/>
  <c r="AE77" i="7"/>
  <c r="AO74" i="7"/>
  <c r="J82" i="7"/>
  <c r="H82" i="7" s="1"/>
  <c r="I82" i="7" s="1"/>
  <c r="F9" i="8"/>
  <c r="C16" i="8"/>
  <c r="R16" i="8"/>
  <c r="AA17" i="8"/>
  <c r="Y13" i="8"/>
  <c r="R70" i="8"/>
  <c r="C70" i="8"/>
  <c r="R71" i="8"/>
  <c r="C71" i="8"/>
  <c r="R72" i="8"/>
  <c r="C72" i="8"/>
  <c r="AG24" i="7"/>
  <c r="U24" i="7"/>
  <c r="AI24" i="7" s="1"/>
  <c r="I39" i="7"/>
  <c r="C39" i="7"/>
  <c r="J47" i="7"/>
  <c r="J50" i="7"/>
  <c r="H50" i="7" s="1"/>
  <c r="C51" i="7"/>
  <c r="E52" i="7"/>
  <c r="R52" i="7" s="1"/>
  <c r="C53" i="7"/>
  <c r="AF52" i="7"/>
  <c r="C54" i="7"/>
  <c r="J54" i="7"/>
  <c r="H54" i="7" s="1"/>
  <c r="I54" i="7" s="1"/>
  <c r="AK52" i="7"/>
  <c r="K58" i="7"/>
  <c r="C58" i="7"/>
  <c r="I58" i="7"/>
  <c r="C63" i="7"/>
  <c r="C79" i="7"/>
  <c r="C89" i="7"/>
  <c r="U14" i="8"/>
  <c r="S13" i="8"/>
  <c r="AA42" i="7"/>
  <c r="AA48" i="7"/>
  <c r="AA51" i="7"/>
  <c r="X54" i="7"/>
  <c r="C56" i="7"/>
  <c r="X57" i="7"/>
  <c r="K60" i="7"/>
  <c r="I60" i="7"/>
  <c r="C60" i="7"/>
  <c r="J62" i="7"/>
  <c r="H62" i="7" s="1"/>
  <c r="AG63" i="7"/>
  <c r="U63" i="7"/>
  <c r="AI63" i="7" s="1"/>
  <c r="C69" i="7"/>
  <c r="C73" i="7"/>
  <c r="P74" i="7"/>
  <c r="W74" i="7"/>
  <c r="I85" i="7"/>
  <c r="C85" i="7"/>
  <c r="Q13" i="8"/>
  <c r="AR13" i="8"/>
  <c r="AA57" i="7"/>
  <c r="J59" i="7"/>
  <c r="AE61" i="7"/>
  <c r="X63" i="7"/>
  <c r="I66" i="7"/>
  <c r="C66" i="7"/>
  <c r="J66" i="7"/>
  <c r="H66" i="7" s="1"/>
  <c r="J71" i="7"/>
  <c r="K71" i="7" s="1"/>
  <c r="AC71" i="7"/>
  <c r="AG71" i="7"/>
  <c r="Z74" i="7"/>
  <c r="AP74" i="7"/>
  <c r="J83" i="7"/>
  <c r="H83" i="7" s="1"/>
  <c r="AC83" i="7"/>
  <c r="AG83" i="7"/>
  <c r="J14" i="8"/>
  <c r="L14" i="8" s="1"/>
  <c r="M13" i="8"/>
  <c r="BT13" i="8"/>
  <c r="G13" i="8"/>
  <c r="C18" i="8"/>
  <c r="R18" i="8"/>
  <c r="K25" i="8"/>
  <c r="C25" i="8"/>
  <c r="BT31" i="8"/>
  <c r="AC74" i="8"/>
  <c r="R79" i="8"/>
  <c r="C79" i="8"/>
  <c r="W74" i="8"/>
  <c r="AX74" i="8"/>
  <c r="BE74" i="8"/>
  <c r="BK74" i="8"/>
  <c r="BQ74" i="8"/>
  <c r="R85" i="8"/>
  <c r="C85" i="8"/>
  <c r="AL52" i="7"/>
  <c r="AN52" i="7" s="1"/>
  <c r="AN53" i="7"/>
  <c r="J56" i="7"/>
  <c r="H56" i="7" s="1"/>
  <c r="J61" i="7"/>
  <c r="H61" i="7" s="1"/>
  <c r="AE65" i="7"/>
  <c r="H68" i="7"/>
  <c r="I68" i="7" s="1"/>
  <c r="L68" i="7"/>
  <c r="X69" i="7"/>
  <c r="R75" i="7"/>
  <c r="E74" i="7"/>
  <c r="R74" i="7" s="1"/>
  <c r="AH74" i="7"/>
  <c r="M74" i="7"/>
  <c r="J76" i="7"/>
  <c r="H76" i="7" s="1"/>
  <c r="F74" i="7"/>
  <c r="J87" i="7"/>
  <c r="H87" i="7" s="1"/>
  <c r="C9" i="8"/>
  <c r="C14" i="8"/>
  <c r="R14" i="8"/>
  <c r="E13" i="8"/>
  <c r="BB13" i="8"/>
  <c r="J21" i="8"/>
  <c r="K21" i="8" s="1"/>
  <c r="O13" i="8"/>
  <c r="AG13" i="8"/>
  <c r="AM13" i="8"/>
  <c r="AW21" i="8"/>
  <c r="AS13" i="8"/>
  <c r="BA21" i="8"/>
  <c r="AZ13" i="8"/>
  <c r="F52" i="8"/>
  <c r="AC58" i="7"/>
  <c r="AC64" i="7"/>
  <c r="AC65" i="7"/>
  <c r="AG66" i="7"/>
  <c r="U66" i="7"/>
  <c r="AI66" i="7" s="1"/>
  <c r="AG67" i="7"/>
  <c r="U67" i="7"/>
  <c r="AI67" i="7" s="1"/>
  <c r="J72" i="7"/>
  <c r="L72" i="7" s="1"/>
  <c r="AG72" i="7"/>
  <c r="U72" i="7"/>
  <c r="AI72" i="7" s="1"/>
  <c r="AG73" i="7"/>
  <c r="U73" i="7"/>
  <c r="AI73" i="7" s="1"/>
  <c r="AF74" i="7"/>
  <c r="AL74" i="7"/>
  <c r="AN74" i="7" s="1"/>
  <c r="AR74" i="7"/>
  <c r="G74" i="7"/>
  <c r="AQ74" i="7"/>
  <c r="J78" i="7"/>
  <c r="H78" i="7" s="1"/>
  <c r="AG78" i="7"/>
  <c r="U78" i="7"/>
  <c r="AI78" i="7" s="1"/>
  <c r="AG79" i="7"/>
  <c r="U79" i="7"/>
  <c r="AI79" i="7" s="1"/>
  <c r="J84" i="7"/>
  <c r="L84" i="7" s="1"/>
  <c r="AG84" i="7"/>
  <c r="U84" i="7"/>
  <c r="AI84" i="7" s="1"/>
  <c r="AG85" i="7"/>
  <c r="U85" i="7"/>
  <c r="AI85" i="7" s="1"/>
  <c r="D9" i="8"/>
  <c r="AA14" i="8"/>
  <c r="J17" i="8"/>
  <c r="H17" i="8" s="1"/>
  <c r="BE13" i="8"/>
  <c r="BK13" i="8"/>
  <c r="BR13" i="8"/>
  <c r="K19" i="8"/>
  <c r="I19" i="8"/>
  <c r="D13" i="8"/>
  <c r="BC53" i="8"/>
  <c r="AY52" i="8"/>
  <c r="BT52" i="8"/>
  <c r="J89" i="8"/>
  <c r="H89" i="8" s="1"/>
  <c r="H90" i="8"/>
  <c r="I11" i="9"/>
  <c r="C11" i="9"/>
  <c r="D9" i="9"/>
  <c r="J65" i="7"/>
  <c r="K65" i="7" s="1"/>
  <c r="T74" i="7"/>
  <c r="Y74" i="7"/>
  <c r="R15" i="8"/>
  <c r="BC18" i="8"/>
  <c r="AY13" i="8"/>
  <c r="AB13" i="8"/>
  <c r="AJ20" i="8"/>
  <c r="AH13" i="8"/>
  <c r="BC38" i="8"/>
  <c r="BE52" i="8"/>
  <c r="O74" i="8"/>
  <c r="X77" i="8"/>
  <c r="V74" i="8"/>
  <c r="AI74" i="8"/>
  <c r="K17" i="9"/>
  <c r="C17" i="9"/>
  <c r="I17" i="9"/>
  <c r="AE68" i="7"/>
  <c r="AC70" i="7"/>
  <c r="AG70" i="7"/>
  <c r="N74" i="7"/>
  <c r="AC76" i="7"/>
  <c r="S74" i="7"/>
  <c r="AG76" i="7"/>
  <c r="AE80" i="7"/>
  <c r="AC82" i="7"/>
  <c r="AG82" i="7"/>
  <c r="AE86" i="7"/>
  <c r="AG88" i="7"/>
  <c r="J15" i="8"/>
  <c r="H15" i="8" s="1"/>
  <c r="P13" i="8"/>
  <c r="X20" i="8"/>
  <c r="V13" i="8"/>
  <c r="C21" i="8"/>
  <c r="J22" i="8"/>
  <c r="H22" i="8" s="1"/>
  <c r="K24" i="8"/>
  <c r="C24" i="8"/>
  <c r="J70" i="8"/>
  <c r="L70" i="8" s="1"/>
  <c r="R76" i="8"/>
  <c r="C76" i="8"/>
  <c r="E74" i="8"/>
  <c r="R74" i="8" s="1"/>
  <c r="C72" i="7"/>
  <c r="C78" i="7"/>
  <c r="C84" i="7"/>
  <c r="AW18" i="8"/>
  <c r="AW27" i="8"/>
  <c r="BC32" i="8"/>
  <c r="BC50" i="8"/>
  <c r="BC55" i="8"/>
  <c r="AW57" i="8"/>
  <c r="BC64" i="8"/>
  <c r="AF52" i="8"/>
  <c r="R73" i="8"/>
  <c r="C73" i="8"/>
  <c r="AS74" i="8"/>
  <c r="AW74" i="8" s="1"/>
  <c r="R77" i="8"/>
  <c r="C77" i="8"/>
  <c r="U79" i="8"/>
  <c r="T74" i="8"/>
  <c r="AO74" i="8"/>
  <c r="AU74" i="8"/>
  <c r="Q74" i="8"/>
  <c r="AL74" i="8"/>
  <c r="AR74" i="8"/>
  <c r="BC80" i="8"/>
  <c r="AY74" i="8"/>
  <c r="R82" i="8"/>
  <c r="C82" i="8"/>
  <c r="BC21" i="8"/>
  <c r="BC23" i="8"/>
  <c r="AY31" i="8"/>
  <c r="BC47" i="8"/>
  <c r="AW50" i="8"/>
  <c r="BC54" i="8"/>
  <c r="AW55" i="8"/>
  <c r="BC63" i="8"/>
  <c r="AW64" i="8"/>
  <c r="AA67" i="8"/>
  <c r="Z52" i="8"/>
  <c r="J77" i="8"/>
  <c r="H77" i="8" s="1"/>
  <c r="R22" i="9"/>
  <c r="C22" i="9"/>
  <c r="R88" i="8"/>
  <c r="C88" i="8"/>
  <c r="R67" i="8"/>
  <c r="E52" i="8"/>
  <c r="R52" i="8" s="1"/>
  <c r="C67" i="8"/>
  <c r="J67" i="8"/>
  <c r="X67" i="8"/>
  <c r="V52" i="8"/>
  <c r="R68" i="8"/>
  <c r="C68" i="8"/>
  <c r="J68" i="8"/>
  <c r="L68" i="8" s="1"/>
  <c r="R69" i="8"/>
  <c r="C69" i="8"/>
  <c r="R75" i="8"/>
  <c r="C75" i="8"/>
  <c r="R78" i="8"/>
  <c r="C78" i="8"/>
  <c r="H110" i="8"/>
  <c r="J104" i="8"/>
  <c r="H104" i="8" s="1"/>
  <c r="K15" i="9"/>
  <c r="I15" i="9"/>
  <c r="C15" i="9"/>
  <c r="C25" i="9"/>
  <c r="R25" i="9"/>
  <c r="I30" i="9"/>
  <c r="C30" i="9"/>
  <c r="K30" i="9"/>
  <c r="R34" i="9"/>
  <c r="C34" i="9"/>
  <c r="J39" i="9"/>
  <c r="H39" i="9" s="1"/>
  <c r="T52" i="8"/>
  <c r="J81" i="8"/>
  <c r="L81" i="8" s="1"/>
  <c r="C84" i="8"/>
  <c r="J87" i="8"/>
  <c r="H87" i="8" s="1"/>
  <c r="J14" i="9"/>
  <c r="K14" i="9" s="1"/>
  <c r="M13" i="9"/>
  <c r="S13" i="9"/>
  <c r="Y31" i="9"/>
  <c r="C36" i="9"/>
  <c r="O13" i="9"/>
  <c r="X13" i="9"/>
  <c r="AJ68" i="8"/>
  <c r="AJ72" i="8"/>
  <c r="AJ73" i="8"/>
  <c r="N74" i="8"/>
  <c r="X79" i="8"/>
  <c r="J84" i="8"/>
  <c r="H84" i="8" s="1"/>
  <c r="F13" i="9"/>
  <c r="C43" i="9"/>
  <c r="R43" i="9"/>
  <c r="T77" i="9"/>
  <c r="V74" i="9"/>
  <c r="G13" i="9"/>
  <c r="P13" i="9"/>
  <c r="I18" i="9"/>
  <c r="C18" i="9"/>
  <c r="K18" i="9"/>
  <c r="T20" i="9"/>
  <c r="J26" i="9"/>
  <c r="K26" i="9" s="1"/>
  <c r="K27" i="9"/>
  <c r="I27" i="9"/>
  <c r="C27" i="9"/>
  <c r="F31" i="9"/>
  <c r="O31" i="9"/>
  <c r="V31" i="9"/>
  <c r="J38" i="9"/>
  <c r="H38" i="9" s="1"/>
  <c r="K39" i="9"/>
  <c r="I39" i="9"/>
  <c r="C39" i="9"/>
  <c r="J41" i="9"/>
  <c r="H41" i="9" s="1"/>
  <c r="P74" i="9"/>
  <c r="J77" i="9"/>
  <c r="H77" i="9" s="1"/>
  <c r="U80" i="9"/>
  <c r="S74" i="9"/>
  <c r="U74" i="9" s="1"/>
  <c r="L10" i="9"/>
  <c r="J22" i="9"/>
  <c r="L22" i="9" s="1"/>
  <c r="I24" i="9"/>
  <c r="C24" i="9"/>
  <c r="K24" i="9"/>
  <c r="T29" i="9"/>
  <c r="U29" i="9" s="1"/>
  <c r="G31" i="9"/>
  <c r="P31" i="9"/>
  <c r="C37" i="9"/>
  <c r="R37" i="9"/>
  <c r="V13" i="9"/>
  <c r="C19" i="9"/>
  <c r="R19" i="9"/>
  <c r="C21" i="9"/>
  <c r="R28" i="9"/>
  <c r="C28" i="9"/>
  <c r="J32" i="9"/>
  <c r="S31" i="9"/>
  <c r="K33" i="9"/>
  <c r="I33" i="9"/>
  <c r="C33" i="9"/>
  <c r="I53" i="9"/>
  <c r="C53" i="9"/>
  <c r="K53" i="9"/>
  <c r="D52" i="9"/>
  <c r="N52" i="9"/>
  <c r="T53" i="9"/>
  <c r="V52" i="9"/>
  <c r="C66" i="9"/>
  <c r="R66" i="9"/>
  <c r="C42" i="9"/>
  <c r="C48" i="9"/>
  <c r="R48" i="9"/>
  <c r="T49" i="9"/>
  <c r="C60" i="9"/>
  <c r="R60" i="9"/>
  <c r="I65" i="9"/>
  <c r="C65" i="9"/>
  <c r="K65" i="9"/>
  <c r="J75" i="9"/>
  <c r="N74" i="9"/>
  <c r="I77" i="9"/>
  <c r="C77" i="9"/>
  <c r="D74" i="9"/>
  <c r="K77" i="9"/>
  <c r="W74" i="9"/>
  <c r="I83" i="9"/>
  <c r="C83" i="9"/>
  <c r="K83" i="9"/>
  <c r="M31" i="9"/>
  <c r="T32" i="9"/>
  <c r="I47" i="9"/>
  <c r="C47" i="9"/>
  <c r="K47" i="9"/>
  <c r="C54" i="9"/>
  <c r="E52" i="9"/>
  <c r="R52" i="9" s="1"/>
  <c r="R54" i="9"/>
  <c r="Y52" i="9"/>
  <c r="I59" i="9"/>
  <c r="C59" i="9"/>
  <c r="K59" i="9"/>
  <c r="T61" i="9"/>
  <c r="J64" i="9"/>
  <c r="H64" i="9" s="1"/>
  <c r="J76" i="9"/>
  <c r="H76" i="9" s="1"/>
  <c r="J82" i="9"/>
  <c r="H82" i="9" s="1"/>
  <c r="C104" i="9"/>
  <c r="W52" i="9"/>
  <c r="G52" i="9"/>
  <c r="S52" i="9"/>
  <c r="U56" i="9"/>
  <c r="C72" i="9"/>
  <c r="R72" i="9"/>
  <c r="M74" i="9"/>
  <c r="O74" i="9"/>
  <c r="T85" i="9"/>
  <c r="J104" i="9"/>
  <c r="H104" i="9" s="1"/>
  <c r="D13" i="9"/>
  <c r="D31" i="9"/>
  <c r="C45" i="9"/>
  <c r="P52" i="9"/>
  <c r="Q52" i="9"/>
  <c r="X52" i="9"/>
  <c r="M52" i="9"/>
  <c r="J56" i="9"/>
  <c r="H56" i="9" s="1"/>
  <c r="I71" i="9"/>
  <c r="C71" i="9"/>
  <c r="K71" i="9"/>
  <c r="T73" i="9"/>
  <c r="X74" i="9"/>
  <c r="C78" i="9"/>
  <c r="E74" i="9"/>
  <c r="R74" i="9" s="1"/>
  <c r="R78" i="9"/>
  <c r="C84" i="9"/>
  <c r="R84" i="9"/>
  <c r="J88" i="9"/>
  <c r="H88" i="9" s="1"/>
  <c r="J89" i="9"/>
  <c r="H89" i="9" s="1"/>
  <c r="C51" i="9"/>
  <c r="C57" i="9"/>
  <c r="I57" i="9"/>
  <c r="C63" i="9"/>
  <c r="I63" i="9"/>
  <c r="C69" i="9"/>
  <c r="C75" i="9"/>
  <c r="I75" i="9"/>
  <c r="C81" i="9"/>
  <c r="I81" i="9"/>
  <c r="I87" i="9"/>
  <c r="H105" i="9"/>
  <c r="C50" i="9"/>
  <c r="I50" i="9"/>
  <c r="C56" i="9"/>
  <c r="I56" i="9"/>
  <c r="C62" i="9"/>
  <c r="I62" i="9"/>
  <c r="C80" i="9"/>
  <c r="C86" i="9"/>
  <c r="C55" i="9"/>
  <c r="I55" i="9"/>
  <c r="C61" i="9"/>
  <c r="I61" i="9"/>
  <c r="C67" i="9"/>
  <c r="I67" i="9"/>
  <c r="C73" i="9"/>
  <c r="I73" i="9"/>
  <c r="C79" i="9"/>
  <c r="I79" i="9"/>
  <c r="C85" i="9"/>
  <c r="I85" i="9"/>
  <c r="L75" i="9"/>
  <c r="AJ52" i="8" l="1"/>
  <c r="L34" i="7"/>
  <c r="K44" i="5"/>
  <c r="L35" i="5"/>
  <c r="L36" i="9"/>
  <c r="O8" i="5"/>
  <c r="O7" i="5" s="1"/>
  <c r="AG31" i="4"/>
  <c r="K29" i="5"/>
  <c r="L27" i="5"/>
  <c r="L86" i="5"/>
  <c r="L44" i="5"/>
  <c r="AE52" i="2"/>
  <c r="I10" i="9"/>
  <c r="K79" i="6"/>
  <c r="K27" i="5"/>
  <c r="L23" i="5"/>
  <c r="K45" i="2"/>
  <c r="K20" i="1"/>
  <c r="L56" i="4"/>
  <c r="K28" i="3"/>
  <c r="H45" i="2"/>
  <c r="I45" i="2" s="1"/>
  <c r="K79" i="8"/>
  <c r="L28" i="3"/>
  <c r="K51" i="5"/>
  <c r="K23" i="5"/>
  <c r="K15" i="5"/>
  <c r="L37" i="5"/>
  <c r="AE74" i="3"/>
  <c r="K82" i="1"/>
  <c r="L51" i="5"/>
  <c r="K37" i="5"/>
  <c r="L20" i="1"/>
  <c r="L40" i="2"/>
  <c r="L82" i="1"/>
  <c r="K26" i="7"/>
  <c r="L60" i="5"/>
  <c r="CW74" i="5"/>
  <c r="K60" i="5"/>
  <c r="L64" i="7"/>
  <c r="CM52" i="5"/>
  <c r="AK31" i="5"/>
  <c r="K36" i="9"/>
  <c r="L47" i="3"/>
  <c r="L30" i="8"/>
  <c r="K40" i="2"/>
  <c r="AK13" i="5"/>
  <c r="AU52" i="5"/>
  <c r="K25" i="3"/>
  <c r="K47" i="3"/>
  <c r="K30" i="7"/>
  <c r="X52" i="6"/>
  <c r="K30" i="8"/>
  <c r="AG52" i="4"/>
  <c r="C9" i="5"/>
  <c r="K25" i="5"/>
  <c r="K53" i="2"/>
  <c r="H28" i="8"/>
  <c r="I28" i="8" s="1"/>
  <c r="AR8" i="5"/>
  <c r="AR7" i="5" s="1"/>
  <c r="AU31" i="5"/>
  <c r="L25" i="3"/>
  <c r="AU13" i="5"/>
  <c r="AF8" i="4"/>
  <c r="AF7" i="4" s="1"/>
  <c r="AW13" i="5"/>
  <c r="L30" i="7"/>
  <c r="L16" i="9"/>
  <c r="H86" i="7"/>
  <c r="I86" i="7" s="1"/>
  <c r="K54" i="8"/>
  <c r="BA74" i="8"/>
  <c r="H35" i="1"/>
  <c r="I35" i="1" s="1"/>
  <c r="AS31" i="3"/>
  <c r="K46" i="9"/>
  <c r="U52" i="8"/>
  <c r="L44" i="2"/>
  <c r="K35" i="1"/>
  <c r="L82" i="5"/>
  <c r="K44" i="2"/>
  <c r="AA52" i="1"/>
  <c r="K82" i="5"/>
  <c r="K60" i="1"/>
  <c r="H26" i="7"/>
  <c r="I26" i="7" s="1"/>
  <c r="K22" i="1"/>
  <c r="K46" i="2"/>
  <c r="K37" i="3"/>
  <c r="H37" i="2"/>
  <c r="I37" i="2" s="1"/>
  <c r="K44" i="1"/>
  <c r="K57" i="8"/>
  <c r="H71" i="8"/>
  <c r="I71" i="8" s="1"/>
  <c r="K30" i="2"/>
  <c r="L71" i="8"/>
  <c r="L69" i="6"/>
  <c r="K45" i="5"/>
  <c r="K18" i="1"/>
  <c r="K72" i="2"/>
  <c r="W13" i="5"/>
  <c r="L46" i="2"/>
  <c r="L86" i="6"/>
  <c r="L37" i="2"/>
  <c r="L37" i="3"/>
  <c r="L72" i="2"/>
  <c r="L18" i="1"/>
  <c r="X31" i="3"/>
  <c r="BE8" i="5"/>
  <c r="BE7" i="5" s="1"/>
  <c r="AL31" i="3"/>
  <c r="L22" i="1"/>
  <c r="U74" i="8"/>
  <c r="AA74" i="3"/>
  <c r="K49" i="3"/>
  <c r="L30" i="2"/>
  <c r="L44" i="1"/>
  <c r="L58" i="5"/>
  <c r="L68" i="2"/>
  <c r="L47" i="2"/>
  <c r="K59" i="1"/>
  <c r="BC74" i="8"/>
  <c r="K86" i="3"/>
  <c r="H86" i="3"/>
  <c r="I86" i="3" s="1"/>
  <c r="K68" i="2"/>
  <c r="H32" i="2"/>
  <c r="I32" i="2" s="1"/>
  <c r="K47" i="2"/>
  <c r="H85" i="3"/>
  <c r="I85" i="3" s="1"/>
  <c r="K45" i="3"/>
  <c r="L59" i="1"/>
  <c r="K58" i="5"/>
  <c r="K32" i="2"/>
  <c r="I10" i="3"/>
  <c r="AK52" i="1"/>
  <c r="AK52" i="5"/>
  <c r="L14" i="1"/>
  <c r="AW52" i="8"/>
  <c r="L76" i="1"/>
  <c r="H14" i="1"/>
  <c r="I14" i="1" s="1"/>
  <c r="H73" i="2"/>
  <c r="I73" i="2" s="1"/>
  <c r="H80" i="5"/>
  <c r="I80" i="5" s="1"/>
  <c r="K43" i="3"/>
  <c r="L44" i="3"/>
  <c r="L80" i="1"/>
  <c r="K44" i="3"/>
  <c r="K28" i="2"/>
  <c r="K73" i="1"/>
  <c r="K26" i="1"/>
  <c r="L28" i="2"/>
  <c r="K21" i="2"/>
  <c r="L88" i="3"/>
  <c r="AH31" i="3"/>
  <c r="L67" i="1"/>
  <c r="L73" i="1"/>
  <c r="L81" i="2"/>
  <c r="L25" i="5"/>
  <c r="K80" i="1"/>
  <c r="H21" i="2"/>
  <c r="I21" i="2" s="1"/>
  <c r="AA31" i="1"/>
  <c r="N8" i="4"/>
  <c r="N7" i="4" s="1"/>
  <c r="AE13" i="3"/>
  <c r="H76" i="2"/>
  <c r="I76" i="2" s="1"/>
  <c r="K88" i="3"/>
  <c r="L87" i="1"/>
  <c r="AJ31" i="8"/>
  <c r="K22" i="5"/>
  <c r="L70" i="7"/>
  <c r="H32" i="6"/>
  <c r="I32" i="6" s="1"/>
  <c r="H32" i="4"/>
  <c r="I32" i="4" s="1"/>
  <c r="L27" i="3"/>
  <c r="L57" i="8"/>
  <c r="L78" i="6"/>
  <c r="K69" i="6"/>
  <c r="CU52" i="5"/>
  <c r="I9" i="7"/>
  <c r="K21" i="9"/>
  <c r="V74" i="3"/>
  <c r="L81" i="3"/>
  <c r="L42" i="3"/>
  <c r="K43" i="9"/>
  <c r="L43" i="9"/>
  <c r="K78" i="6"/>
  <c r="K61" i="8"/>
  <c r="K72" i="5"/>
  <c r="L80" i="5"/>
  <c r="L21" i="9"/>
  <c r="K65" i="8"/>
  <c r="L47" i="8"/>
  <c r="L32" i="6"/>
  <c r="K43" i="5"/>
  <c r="L15" i="3"/>
  <c r="AA74" i="8"/>
  <c r="K9" i="6"/>
  <c r="K46" i="8"/>
  <c r="K73" i="5"/>
  <c r="AD31" i="6"/>
  <c r="K26" i="5"/>
  <c r="L26" i="5"/>
  <c r="J9" i="3"/>
  <c r="L9" i="3" s="1"/>
  <c r="L45" i="3"/>
  <c r="AG74" i="2"/>
  <c r="H80" i="2"/>
  <c r="I80" i="2" s="1"/>
  <c r="K83" i="1"/>
  <c r="H53" i="6"/>
  <c r="I53" i="6" s="1"/>
  <c r="K61" i="5"/>
  <c r="AJ31" i="4"/>
  <c r="I10" i="2"/>
  <c r="H41" i="1"/>
  <c r="I41" i="1" s="1"/>
  <c r="K38" i="3"/>
  <c r="H61" i="5"/>
  <c r="I61" i="5" s="1"/>
  <c r="K41" i="5"/>
  <c r="H70" i="3"/>
  <c r="I70" i="3" s="1"/>
  <c r="O8" i="4"/>
  <c r="O7" i="4" s="1"/>
  <c r="L56" i="3"/>
  <c r="AA74" i="1"/>
  <c r="H81" i="1"/>
  <c r="I81" i="1" s="1"/>
  <c r="G8" i="6"/>
  <c r="G7" i="6" s="1"/>
  <c r="L17" i="1"/>
  <c r="L16" i="8"/>
  <c r="BP31" i="8"/>
  <c r="L76" i="5"/>
  <c r="L41" i="5"/>
  <c r="K28" i="5"/>
  <c r="W8" i="3"/>
  <c r="W7" i="3" s="1"/>
  <c r="K56" i="3"/>
  <c r="AJ8" i="6"/>
  <c r="AJ7" i="6" s="1"/>
  <c r="L10" i="3"/>
  <c r="L28" i="7"/>
  <c r="AL31" i="6"/>
  <c r="K19" i="5"/>
  <c r="H28" i="5"/>
  <c r="I28" i="5" s="1"/>
  <c r="H83" i="3"/>
  <c r="I83" i="3" s="1"/>
  <c r="H27" i="2"/>
  <c r="I27" i="2" s="1"/>
  <c r="X31" i="8"/>
  <c r="L42" i="9"/>
  <c r="K70" i="5"/>
  <c r="CJ8" i="5"/>
  <c r="CJ7" i="5" s="1"/>
  <c r="L51" i="3"/>
  <c r="L73" i="2"/>
  <c r="AP31" i="3"/>
  <c r="L38" i="1"/>
  <c r="K87" i="1"/>
  <c r="AK74" i="5"/>
  <c r="H79" i="8"/>
  <c r="I79" i="8" s="1"/>
  <c r="L66" i="5"/>
  <c r="CW52" i="5"/>
  <c r="K67" i="1"/>
  <c r="L26" i="1"/>
  <c r="AK74" i="1"/>
  <c r="H50" i="3"/>
  <c r="I50" i="3" s="1"/>
  <c r="L45" i="6"/>
  <c r="L70" i="5"/>
  <c r="L77" i="2"/>
  <c r="AL74" i="3"/>
  <c r="H53" i="2"/>
  <c r="I53" i="2" s="1"/>
  <c r="K51" i="3"/>
  <c r="L28" i="1"/>
  <c r="K50" i="3"/>
  <c r="L10" i="1"/>
  <c r="AM8" i="5"/>
  <c r="AM7" i="5" s="1"/>
  <c r="W52" i="5"/>
  <c r="H63" i="3"/>
  <c r="I63" i="3" s="1"/>
  <c r="K41" i="1"/>
  <c r="AW31" i="3"/>
  <c r="K28" i="1"/>
  <c r="H16" i="5"/>
  <c r="I16" i="5" s="1"/>
  <c r="BU8" i="5"/>
  <c r="BU7" i="5" s="1"/>
  <c r="H33" i="2"/>
  <c r="I33" i="2" s="1"/>
  <c r="K77" i="2"/>
  <c r="R8" i="5"/>
  <c r="R7" i="5" s="1"/>
  <c r="X74" i="3"/>
  <c r="K45" i="6"/>
  <c r="K63" i="3"/>
  <c r="K67" i="3"/>
  <c r="AE31" i="1"/>
  <c r="L32" i="4"/>
  <c r="H10" i="1"/>
  <c r="X74" i="1"/>
  <c r="K55" i="1"/>
  <c r="L34" i="1"/>
  <c r="L15" i="1"/>
  <c r="BQ13" i="5"/>
  <c r="K81" i="2"/>
  <c r="C9" i="9"/>
  <c r="L63" i="8"/>
  <c r="K64" i="5"/>
  <c r="K39" i="3"/>
  <c r="K15" i="1"/>
  <c r="L80" i="8"/>
  <c r="BG8" i="8"/>
  <c r="BG7" i="8" s="1"/>
  <c r="K56" i="2"/>
  <c r="L54" i="3"/>
  <c r="K50" i="1"/>
  <c r="K40" i="1"/>
  <c r="J9" i="8"/>
  <c r="L9" i="8" s="1"/>
  <c r="K54" i="3"/>
  <c r="K23" i="3"/>
  <c r="L50" i="1"/>
  <c r="L56" i="2"/>
  <c r="L68" i="1"/>
  <c r="L40" i="1"/>
  <c r="AA31" i="3"/>
  <c r="K34" i="1"/>
  <c r="K63" i="8"/>
  <c r="K80" i="8"/>
  <c r="K10" i="8"/>
  <c r="H10" i="8"/>
  <c r="H9" i="8" s="1"/>
  <c r="I9" i="8" s="1"/>
  <c r="L85" i="5"/>
  <c r="BQ52" i="5"/>
  <c r="H47" i="5"/>
  <c r="I47" i="5" s="1"/>
  <c r="K66" i="3"/>
  <c r="L42" i="2"/>
  <c r="K53" i="3"/>
  <c r="K22" i="3"/>
  <c r="BA52" i="8"/>
  <c r="K68" i="1"/>
  <c r="AL13" i="3"/>
  <c r="BR8" i="8"/>
  <c r="BR7" i="8" s="1"/>
  <c r="K69" i="4"/>
  <c r="K65" i="3"/>
  <c r="K54" i="1"/>
  <c r="W74" i="5"/>
  <c r="K67" i="6"/>
  <c r="K49" i="5"/>
  <c r="U31" i="4"/>
  <c r="L69" i="4"/>
  <c r="K61" i="2"/>
  <c r="H72" i="3"/>
  <c r="I72" i="3" s="1"/>
  <c r="L23" i="3"/>
  <c r="K14" i="3"/>
  <c r="K17" i="3"/>
  <c r="L41" i="2"/>
  <c r="L26" i="2"/>
  <c r="L88" i="1"/>
  <c r="T8" i="4"/>
  <c r="T7" i="4" s="1"/>
  <c r="BP8" i="5"/>
  <c r="BP7" i="5" s="1"/>
  <c r="H42" i="3"/>
  <c r="I42" i="3" s="1"/>
  <c r="K46" i="5"/>
  <c r="L38" i="6"/>
  <c r="AA52" i="8"/>
  <c r="L36" i="7"/>
  <c r="H38" i="6"/>
  <c r="I38" i="6" s="1"/>
  <c r="L56" i="5"/>
  <c r="H49" i="5"/>
  <c r="I49" i="5" s="1"/>
  <c r="L39" i="5"/>
  <c r="K25" i="2"/>
  <c r="K72" i="3"/>
  <c r="L22" i="3"/>
  <c r="AA74" i="2"/>
  <c r="H51" i="2"/>
  <c r="I51" i="2" s="1"/>
  <c r="K16" i="3"/>
  <c r="K70" i="1"/>
  <c r="AT8" i="3"/>
  <c r="AT7" i="3" s="1"/>
  <c r="L49" i="1"/>
  <c r="L83" i="2"/>
  <c r="K33" i="3"/>
  <c r="K69" i="1"/>
  <c r="K29" i="2"/>
  <c r="K33" i="8"/>
  <c r="L84" i="3"/>
  <c r="AD74" i="4"/>
  <c r="AM8" i="3"/>
  <c r="AM7" i="3" s="1"/>
  <c r="X52" i="1"/>
  <c r="K56" i="1"/>
  <c r="AE31" i="3"/>
  <c r="L29" i="2"/>
  <c r="H17" i="1"/>
  <c r="I17" i="1" s="1"/>
  <c r="Y52" i="5"/>
  <c r="X52" i="7"/>
  <c r="L20" i="8"/>
  <c r="L46" i="7"/>
  <c r="BX8" i="5"/>
  <c r="BX7" i="5" s="1"/>
  <c r="L39" i="3"/>
  <c r="CW31" i="5"/>
  <c r="L17" i="3"/>
  <c r="L61" i="2"/>
  <c r="K16" i="2"/>
  <c r="AM74" i="1"/>
  <c r="K23" i="1"/>
  <c r="H60" i="1"/>
  <c r="I60" i="1" s="1"/>
  <c r="L56" i="1"/>
  <c r="L23" i="1"/>
  <c r="AD8" i="5"/>
  <c r="AD7" i="5" s="1"/>
  <c r="CC8" i="5"/>
  <c r="CC7" i="5" s="1"/>
  <c r="K20" i="8"/>
  <c r="H48" i="9"/>
  <c r="I48" i="9" s="1"/>
  <c r="L61" i="8"/>
  <c r="L48" i="7"/>
  <c r="K36" i="7"/>
  <c r="L67" i="6"/>
  <c r="K48" i="7"/>
  <c r="K69" i="5"/>
  <c r="L47" i="5"/>
  <c r="K66" i="5"/>
  <c r="AS74" i="3"/>
  <c r="L16" i="3"/>
  <c r="V31" i="3"/>
  <c r="L49" i="2"/>
  <c r="L55" i="1"/>
  <c r="K88" i="2"/>
  <c r="Q8" i="1"/>
  <c r="Q7" i="1" s="1"/>
  <c r="K69" i="9"/>
  <c r="K46" i="1"/>
  <c r="K43" i="1"/>
  <c r="AW13" i="3"/>
  <c r="Z8" i="5"/>
  <c r="Z7" i="5" s="1"/>
  <c r="H46" i="9"/>
  <c r="I46" i="9" s="1"/>
  <c r="H16" i="9"/>
  <c r="I16" i="9" s="1"/>
  <c r="K59" i="8"/>
  <c r="L59" i="8"/>
  <c r="K63" i="7"/>
  <c r="BI8" i="8"/>
  <c r="BI7" i="8" s="1"/>
  <c r="K46" i="7"/>
  <c r="K86" i="6"/>
  <c r="AF8" i="6"/>
  <c r="AF7" i="6" s="1"/>
  <c r="L62" i="5"/>
  <c r="L10" i="6"/>
  <c r="BO74" i="5"/>
  <c r="K20" i="5"/>
  <c r="K30" i="4"/>
  <c r="L16" i="5"/>
  <c r="L36" i="4"/>
  <c r="H68" i="6"/>
  <c r="I68" i="6" s="1"/>
  <c r="L20" i="5"/>
  <c r="L30" i="4"/>
  <c r="L30" i="5"/>
  <c r="K62" i="5"/>
  <c r="K80" i="3"/>
  <c r="K80" i="2"/>
  <c r="H66" i="3"/>
  <c r="I66" i="3" s="1"/>
  <c r="L16" i="2"/>
  <c r="L35" i="8"/>
  <c r="BZ8" i="5"/>
  <c r="BZ7" i="5" s="1"/>
  <c r="AI13" i="5"/>
  <c r="L65" i="1"/>
  <c r="H84" i="3"/>
  <c r="I84" i="3" s="1"/>
  <c r="L21" i="3"/>
  <c r="AO8" i="3"/>
  <c r="AO7" i="3" s="1"/>
  <c r="N8" i="2"/>
  <c r="N7" i="2" s="1"/>
  <c r="K21" i="3"/>
  <c r="K48" i="2"/>
  <c r="K41" i="2"/>
  <c r="AG31" i="2"/>
  <c r="K28" i="8"/>
  <c r="BT8" i="5"/>
  <c r="BT7" i="5" s="1"/>
  <c r="K35" i="8"/>
  <c r="BH8" i="5"/>
  <c r="BH7" i="5" s="1"/>
  <c r="CU31" i="5"/>
  <c r="L53" i="1"/>
  <c r="V13" i="3"/>
  <c r="K20" i="3"/>
  <c r="X52" i="8"/>
  <c r="K70" i="7"/>
  <c r="K28" i="7"/>
  <c r="AB8" i="6"/>
  <c r="AB7" i="6" s="1"/>
  <c r="L53" i="6"/>
  <c r="AD52" i="6"/>
  <c r="K17" i="6"/>
  <c r="K57" i="5"/>
  <c r="L71" i="5"/>
  <c r="K38" i="5"/>
  <c r="H55" i="5"/>
  <c r="I55" i="5" s="1"/>
  <c r="K36" i="4"/>
  <c r="K56" i="5"/>
  <c r="AB8" i="5"/>
  <c r="AB7" i="5" s="1"/>
  <c r="K81" i="3"/>
  <c r="K58" i="3"/>
  <c r="AW74" i="3"/>
  <c r="L30" i="3"/>
  <c r="L19" i="3"/>
  <c r="L26" i="3"/>
  <c r="K19" i="3"/>
  <c r="L48" i="2"/>
  <c r="X31" i="2"/>
  <c r="K88" i="1"/>
  <c r="L59" i="2"/>
  <c r="L61" i="1"/>
  <c r="H62" i="3"/>
  <c r="I62" i="3" s="1"/>
  <c r="AB8" i="3"/>
  <c r="AB7" i="3" s="1"/>
  <c r="K77" i="1"/>
  <c r="O8" i="3"/>
  <c r="O7" i="3" s="1"/>
  <c r="K61" i="1"/>
  <c r="AP74" i="3"/>
  <c r="L46" i="1"/>
  <c r="L63" i="7"/>
  <c r="H17" i="6"/>
  <c r="I17" i="6" s="1"/>
  <c r="K55" i="5"/>
  <c r="P8" i="5"/>
  <c r="P7" i="5" s="1"/>
  <c r="L20" i="3"/>
  <c r="K30" i="3"/>
  <c r="AJ74" i="4"/>
  <c r="AR8" i="3"/>
  <c r="AR7" i="3" s="1"/>
  <c r="K23" i="9"/>
  <c r="L54" i="8"/>
  <c r="H57" i="5"/>
  <c r="I57" i="5" s="1"/>
  <c r="K30" i="5"/>
  <c r="L19" i="5"/>
  <c r="AG74" i="4"/>
  <c r="K33" i="5"/>
  <c r="K17" i="5"/>
  <c r="K75" i="3"/>
  <c r="DB8" i="5"/>
  <c r="DB7" i="5" s="1"/>
  <c r="K59" i="2"/>
  <c r="K24" i="3"/>
  <c r="K27" i="3"/>
  <c r="K26" i="3"/>
  <c r="L36" i="5"/>
  <c r="Y8" i="6"/>
  <c r="Y7" i="6" s="1"/>
  <c r="AF8" i="5"/>
  <c r="AF7" i="5" s="1"/>
  <c r="AS13" i="3"/>
  <c r="AW52" i="5"/>
  <c r="Y31" i="5"/>
  <c r="K82" i="7"/>
  <c r="AE31" i="2"/>
  <c r="L62" i="1"/>
  <c r="K55" i="3"/>
  <c r="AA13" i="1"/>
  <c r="CB8" i="5"/>
  <c r="CB7" i="5" s="1"/>
  <c r="X31" i="4"/>
  <c r="L23" i="9"/>
  <c r="K86" i="7"/>
  <c r="L29" i="5"/>
  <c r="CZ8" i="5"/>
  <c r="CZ7" i="5" s="1"/>
  <c r="Z8" i="4"/>
  <c r="Z7" i="4" s="1"/>
  <c r="F8" i="2"/>
  <c r="F7" i="2" s="1"/>
  <c r="AO8" i="5"/>
  <c r="AO7" i="5" s="1"/>
  <c r="L51" i="2"/>
  <c r="AM31" i="1"/>
  <c r="AH31" i="6"/>
  <c r="L65" i="3"/>
  <c r="CN8" i="5"/>
  <c r="CN7" i="5" s="1"/>
  <c r="CV8" i="5"/>
  <c r="CV7" i="5" s="1"/>
  <c r="AF8" i="8"/>
  <c r="AF7" i="8" s="1"/>
  <c r="BC52" i="8"/>
  <c r="BK8" i="8"/>
  <c r="BK7" i="8" s="1"/>
  <c r="H47" i="8"/>
  <c r="I47" i="8" s="1"/>
  <c r="G8" i="8"/>
  <c r="G7" i="8" s="1"/>
  <c r="K64" i="7"/>
  <c r="K49" i="7"/>
  <c r="G8" i="7"/>
  <c r="G7" i="7" s="1"/>
  <c r="AL74" i="6"/>
  <c r="K86" i="5"/>
  <c r="K59" i="5"/>
  <c r="AV8" i="5"/>
  <c r="AV7" i="5" s="1"/>
  <c r="L68" i="5"/>
  <c r="H45" i="5"/>
  <c r="I45" i="5" s="1"/>
  <c r="K36" i="5"/>
  <c r="L64" i="5"/>
  <c r="U52" i="4"/>
  <c r="BO31" i="5"/>
  <c r="K51" i="6"/>
  <c r="L15" i="5"/>
  <c r="K39" i="5"/>
  <c r="Z8" i="3"/>
  <c r="Z7" i="3" s="1"/>
  <c r="K40" i="3"/>
  <c r="L35" i="2"/>
  <c r="K18" i="3"/>
  <c r="I9" i="2"/>
  <c r="H47" i="1"/>
  <c r="I47" i="1" s="1"/>
  <c r="H49" i="2"/>
  <c r="I49" i="2" s="1"/>
  <c r="AE74" i="1"/>
  <c r="K71" i="1"/>
  <c r="H54" i="1"/>
  <c r="I54" i="1" s="1"/>
  <c r="N8" i="3"/>
  <c r="N7" i="3" s="1"/>
  <c r="H69" i="9"/>
  <c r="I69" i="9" s="1"/>
  <c r="BL8" i="8"/>
  <c r="BL7" i="8" s="1"/>
  <c r="CX8" i="5"/>
  <c r="CX7" i="5" s="1"/>
  <c r="AN8" i="5"/>
  <c r="AN7" i="5" s="1"/>
  <c r="L49" i="7"/>
  <c r="BS8" i="5"/>
  <c r="BS7" i="5" s="1"/>
  <c r="K47" i="1"/>
  <c r="H16" i="8"/>
  <c r="I16" i="8" s="1"/>
  <c r="CM13" i="5"/>
  <c r="AX8" i="5"/>
  <c r="AX7" i="5" s="1"/>
  <c r="K56" i="4"/>
  <c r="K76" i="2"/>
  <c r="L27" i="2"/>
  <c r="L70" i="3"/>
  <c r="T74" i="9"/>
  <c r="N8" i="8"/>
  <c r="N7" i="8" s="1"/>
  <c r="AZ8" i="8"/>
  <c r="AZ7" i="8" s="1"/>
  <c r="BQ74" i="5"/>
  <c r="K77" i="5"/>
  <c r="K68" i="5"/>
  <c r="H59" i="5"/>
  <c r="I59" i="5" s="1"/>
  <c r="H63" i="5"/>
  <c r="I63" i="5" s="1"/>
  <c r="K76" i="5"/>
  <c r="H51" i="6"/>
  <c r="I51" i="6" s="1"/>
  <c r="K34" i="3"/>
  <c r="L38" i="3"/>
  <c r="K24" i="2"/>
  <c r="L37" i="1"/>
  <c r="L62" i="3"/>
  <c r="K38" i="1"/>
  <c r="AQ8" i="8"/>
  <c r="AQ7" i="8" s="1"/>
  <c r="U52" i="6"/>
  <c r="M8" i="6"/>
  <c r="M7" i="6" s="1"/>
  <c r="CU13" i="5"/>
  <c r="K24" i="5"/>
  <c r="L17" i="5"/>
  <c r="V31" i="1"/>
  <c r="L65" i="8"/>
  <c r="BV8" i="5"/>
  <c r="BV7" i="5" s="1"/>
  <c r="AJ8" i="5"/>
  <c r="AJ7" i="5" s="1"/>
  <c r="BA8" i="5"/>
  <c r="BA7" i="5" s="1"/>
  <c r="K86" i="1"/>
  <c r="K10" i="3"/>
  <c r="L83" i="1"/>
  <c r="BJ8" i="5"/>
  <c r="BJ7" i="5" s="1"/>
  <c r="BW8" i="5"/>
  <c r="BW7" i="5" s="1"/>
  <c r="AA8" i="5"/>
  <c r="AA7" i="5" s="1"/>
  <c r="AL8" i="5"/>
  <c r="AL7" i="5" s="1"/>
  <c r="K83" i="2"/>
  <c r="L43" i="1"/>
  <c r="AI8" i="1"/>
  <c r="AI7" i="1" s="1"/>
  <c r="H69" i="1"/>
  <c r="I69" i="1" s="1"/>
  <c r="W8" i="1"/>
  <c r="W7" i="1" s="1"/>
  <c r="AE8" i="8"/>
  <c r="AE7" i="8" s="1"/>
  <c r="AE8" i="6"/>
  <c r="AH8" i="6" s="1"/>
  <c r="CL8" i="5"/>
  <c r="CL7" i="5" s="1"/>
  <c r="AY8" i="5"/>
  <c r="AY7" i="5" s="1"/>
  <c r="AA31" i="8"/>
  <c r="L24" i="5"/>
  <c r="AH74" i="3"/>
  <c r="L86" i="4"/>
  <c r="L86" i="1"/>
  <c r="Z8" i="1"/>
  <c r="Z7" i="1" s="1"/>
  <c r="K63" i="2"/>
  <c r="L77" i="1"/>
  <c r="CT8" i="5"/>
  <c r="CT7" i="5" s="1"/>
  <c r="Q8" i="5"/>
  <c r="Q7" i="5" s="1"/>
  <c r="BN8" i="8"/>
  <c r="BN7" i="8" s="1"/>
  <c r="L20" i="7"/>
  <c r="L66" i="6"/>
  <c r="H88" i="5"/>
  <c r="I88" i="5" s="1"/>
  <c r="H43" i="5"/>
  <c r="I43" i="5" s="1"/>
  <c r="V8" i="5"/>
  <c r="V7" i="5" s="1"/>
  <c r="K50" i="2"/>
  <c r="L33" i="3"/>
  <c r="K20" i="7"/>
  <c r="K51" i="7"/>
  <c r="L51" i="7"/>
  <c r="P8" i="6"/>
  <c r="P7" i="6" s="1"/>
  <c r="AH52" i="6"/>
  <c r="U74" i="6"/>
  <c r="L46" i="5"/>
  <c r="L68" i="3"/>
  <c r="L66" i="2"/>
  <c r="K35" i="2"/>
  <c r="H15" i="2"/>
  <c r="I15" i="2" s="1"/>
  <c r="K76" i="1"/>
  <c r="K66" i="2"/>
  <c r="K68" i="3"/>
  <c r="K53" i="1"/>
  <c r="AC8" i="8"/>
  <c r="AC7" i="8" s="1"/>
  <c r="BD8" i="5"/>
  <c r="BD7" i="5" s="1"/>
  <c r="Y13" i="5"/>
  <c r="K86" i="4"/>
  <c r="AA13" i="3"/>
  <c r="K62" i="1"/>
  <c r="L63" i="2"/>
  <c r="K15" i="2"/>
  <c r="L71" i="1"/>
  <c r="L33" i="2"/>
  <c r="L87" i="3"/>
  <c r="K87" i="3"/>
  <c r="T13" i="9"/>
  <c r="U13" i="9" s="1"/>
  <c r="BC31" i="8"/>
  <c r="AI8" i="8"/>
  <c r="AI7" i="8" s="1"/>
  <c r="L80" i="7"/>
  <c r="AA52" i="7"/>
  <c r="AW31" i="8"/>
  <c r="L36" i="6"/>
  <c r="AJ52" i="4"/>
  <c r="BN8" i="5"/>
  <c r="BN7" i="5" s="1"/>
  <c r="AC8" i="4"/>
  <c r="AC7" i="4" s="1"/>
  <c r="AI31" i="5"/>
  <c r="L78" i="3"/>
  <c r="AE74" i="2"/>
  <c r="K46" i="3"/>
  <c r="K36" i="3"/>
  <c r="K82" i="2"/>
  <c r="AF8" i="2"/>
  <c r="AF7" i="2" s="1"/>
  <c r="M8" i="1"/>
  <c r="M7" i="1" s="1"/>
  <c r="K36" i="8"/>
  <c r="BS8" i="8"/>
  <c r="BS7" i="8" s="1"/>
  <c r="L42" i="8"/>
  <c r="K85" i="5"/>
  <c r="U31" i="8"/>
  <c r="BB8" i="5"/>
  <c r="BB7" i="5" s="1"/>
  <c r="AC8" i="5"/>
  <c r="AC7" i="5" s="1"/>
  <c r="DA8" i="5"/>
  <c r="DA7" i="5" s="1"/>
  <c r="F8" i="6"/>
  <c r="F7" i="6" s="1"/>
  <c r="X74" i="4"/>
  <c r="L58" i="3"/>
  <c r="H46" i="3"/>
  <c r="I46" i="3" s="1"/>
  <c r="K76" i="3"/>
  <c r="L88" i="2"/>
  <c r="L39" i="2"/>
  <c r="P8" i="1"/>
  <c r="P7" i="1" s="1"/>
  <c r="L50" i="2"/>
  <c r="J9" i="1"/>
  <c r="L9" i="1" s="1"/>
  <c r="H65" i="1"/>
  <c r="I65" i="1" s="1"/>
  <c r="L79" i="6"/>
  <c r="K39" i="2"/>
  <c r="H80" i="7"/>
  <c r="I80" i="7" s="1"/>
  <c r="K57" i="7"/>
  <c r="AL52" i="6"/>
  <c r="O8" i="6"/>
  <c r="O7" i="6" s="1"/>
  <c r="K36" i="6"/>
  <c r="L40" i="5"/>
  <c r="K35" i="5"/>
  <c r="U74" i="4"/>
  <c r="K78" i="3"/>
  <c r="L24" i="3"/>
  <c r="L18" i="3"/>
  <c r="K86" i="2"/>
  <c r="K38" i="2"/>
  <c r="K85" i="1"/>
  <c r="L45" i="1"/>
  <c r="L60" i="8"/>
  <c r="BM8" i="8"/>
  <c r="BM7" i="8" s="1"/>
  <c r="AD8" i="8"/>
  <c r="AD7" i="8" s="1"/>
  <c r="S8" i="6"/>
  <c r="S7" i="6" s="1"/>
  <c r="N8" i="5"/>
  <c r="N7" i="5" s="1"/>
  <c r="CQ8" i="5"/>
  <c r="CQ7" i="5" s="1"/>
  <c r="AW31" i="5"/>
  <c r="L40" i="3"/>
  <c r="AV8" i="8"/>
  <c r="AV7" i="8" s="1"/>
  <c r="BR8" i="5"/>
  <c r="BR7" i="5" s="1"/>
  <c r="K45" i="9"/>
  <c r="X74" i="7"/>
  <c r="K34" i="7"/>
  <c r="H57" i="7"/>
  <c r="I57" i="7" s="1"/>
  <c r="C74" i="6"/>
  <c r="L48" i="5"/>
  <c r="H10" i="6"/>
  <c r="I10" i="6" s="1"/>
  <c r="L63" i="5"/>
  <c r="X52" i="4"/>
  <c r="L78" i="5"/>
  <c r="L18" i="5"/>
  <c r="BO52" i="5"/>
  <c r="AA74" i="4"/>
  <c r="K85" i="2"/>
  <c r="H86" i="2"/>
  <c r="I86" i="2" s="1"/>
  <c r="H38" i="2"/>
  <c r="I38" i="2" s="1"/>
  <c r="AX8" i="3"/>
  <c r="AX7" i="3" s="1"/>
  <c r="K35" i="3"/>
  <c r="L45" i="9"/>
  <c r="BU8" i="8"/>
  <c r="BU7" i="8" s="1"/>
  <c r="K42" i="7"/>
  <c r="CO8" i="5"/>
  <c r="CO7" i="5" s="1"/>
  <c r="CP8" i="5"/>
  <c r="CP7" i="5" s="1"/>
  <c r="CE8" i="5"/>
  <c r="CE7" i="5" s="1"/>
  <c r="BF8" i="5"/>
  <c r="BF7" i="5" s="1"/>
  <c r="BG8" i="5"/>
  <c r="BG7" i="5" s="1"/>
  <c r="L67" i="3"/>
  <c r="L33" i="8"/>
  <c r="CM31" i="5"/>
  <c r="AI52" i="5"/>
  <c r="Z8" i="6"/>
  <c r="Z7" i="6" s="1"/>
  <c r="K10" i="6"/>
  <c r="H78" i="5"/>
  <c r="I78" i="5" s="1"/>
  <c r="L22" i="5"/>
  <c r="CA8" i="5"/>
  <c r="CA7" i="5" s="1"/>
  <c r="K18" i="5"/>
  <c r="L36" i="3"/>
  <c r="L85" i="2"/>
  <c r="L82" i="2"/>
  <c r="L85" i="1"/>
  <c r="K45" i="1"/>
  <c r="L32" i="1"/>
  <c r="AL8" i="1"/>
  <c r="AL7" i="1" s="1"/>
  <c r="C52" i="8"/>
  <c r="K60" i="8"/>
  <c r="L36" i="8"/>
  <c r="L51" i="8"/>
  <c r="AH74" i="6"/>
  <c r="BK8" i="5"/>
  <c r="BK7" i="5" s="1"/>
  <c r="BY8" i="5"/>
  <c r="BY7" i="5" s="1"/>
  <c r="L79" i="3"/>
  <c r="W8" i="4"/>
  <c r="W7" i="4" s="1"/>
  <c r="L80" i="3"/>
  <c r="AP8" i="5"/>
  <c r="AP7" i="5" s="1"/>
  <c r="BH8" i="8"/>
  <c r="BH7" i="8" s="1"/>
  <c r="L43" i="7"/>
  <c r="AC8" i="6"/>
  <c r="AC7" i="6" s="1"/>
  <c r="K48" i="5"/>
  <c r="AH8" i="5"/>
  <c r="AH7" i="5" s="1"/>
  <c r="AP52" i="3"/>
  <c r="L49" i="3"/>
  <c r="K29" i="3"/>
  <c r="AD8" i="2"/>
  <c r="AD7" i="2" s="1"/>
  <c r="H64" i="1"/>
  <c r="I64" i="1" s="1"/>
  <c r="L42" i="7"/>
  <c r="BF8" i="8"/>
  <c r="BF7" i="8" s="1"/>
  <c r="CF8" i="5"/>
  <c r="CF7" i="5" s="1"/>
  <c r="K9" i="7"/>
  <c r="L73" i="5"/>
  <c r="K79" i="3"/>
  <c r="C13" i="3"/>
  <c r="K49" i="1"/>
  <c r="K43" i="2"/>
  <c r="H43" i="2"/>
  <c r="I43" i="2" s="1"/>
  <c r="G8" i="2"/>
  <c r="G7" i="2" s="1"/>
  <c r="AG31" i="1"/>
  <c r="L51" i="9"/>
  <c r="H79" i="7"/>
  <c r="I79" i="7" s="1"/>
  <c r="L79" i="7"/>
  <c r="L43" i="2"/>
  <c r="L23" i="2"/>
  <c r="T31" i="9"/>
  <c r="U31" i="9" s="1"/>
  <c r="K42" i="8"/>
  <c r="AL8" i="8"/>
  <c r="AL7" i="8" s="1"/>
  <c r="X74" i="8"/>
  <c r="AQ8" i="7"/>
  <c r="AQ7" i="7" s="1"/>
  <c r="BB8" i="8"/>
  <c r="BB7" i="8" s="1"/>
  <c r="AP8" i="8"/>
  <c r="AP7" i="8" s="1"/>
  <c r="AP8" i="7"/>
  <c r="AP7" i="7" s="1"/>
  <c r="L16" i="7"/>
  <c r="L85" i="6"/>
  <c r="AD74" i="6"/>
  <c r="H21" i="7"/>
  <c r="I21" i="7" s="1"/>
  <c r="L26" i="6"/>
  <c r="K71" i="5"/>
  <c r="AG8" i="6"/>
  <c r="AG7" i="6" s="1"/>
  <c r="H16" i="6"/>
  <c r="I16" i="6" s="1"/>
  <c r="K54" i="5"/>
  <c r="H26" i="6"/>
  <c r="I26" i="6" s="1"/>
  <c r="K65" i="5"/>
  <c r="K50" i="5"/>
  <c r="K34" i="5"/>
  <c r="L72" i="5"/>
  <c r="H53" i="4"/>
  <c r="I53" i="4" s="1"/>
  <c r="AI8" i="4"/>
  <c r="AI7" i="4" s="1"/>
  <c r="K9" i="5"/>
  <c r="G8" i="4"/>
  <c r="G7" i="4" s="1"/>
  <c r="H84" i="5"/>
  <c r="I84" i="5" s="1"/>
  <c r="L25" i="2"/>
  <c r="L24" i="2"/>
  <c r="K21" i="1"/>
  <c r="Q8" i="2"/>
  <c r="Q7" i="2" s="1"/>
  <c r="X52" i="2"/>
  <c r="K79" i="1"/>
  <c r="AM52" i="1"/>
  <c r="L81" i="1"/>
  <c r="K64" i="1"/>
  <c r="J13" i="1"/>
  <c r="H13" i="1" s="1"/>
  <c r="I13" i="1" s="1"/>
  <c r="K29" i="1"/>
  <c r="L29" i="9"/>
  <c r="K73" i="8"/>
  <c r="H73" i="8"/>
  <c r="I73" i="8" s="1"/>
  <c r="K64" i="8"/>
  <c r="K27" i="8"/>
  <c r="K73" i="7"/>
  <c r="L73" i="7"/>
  <c r="H55" i="7"/>
  <c r="I55" i="7" s="1"/>
  <c r="L55" i="7"/>
  <c r="BJ8" i="8"/>
  <c r="BJ7" i="8" s="1"/>
  <c r="C31" i="8"/>
  <c r="AT8" i="8"/>
  <c r="AT7" i="8" s="1"/>
  <c r="L38" i="8"/>
  <c r="BV8" i="8"/>
  <c r="BV7" i="8" s="1"/>
  <c r="K66" i="6"/>
  <c r="K81" i="5"/>
  <c r="L69" i="5"/>
  <c r="DC8" i="5"/>
  <c r="DC7" i="5" s="1"/>
  <c r="L76" i="3"/>
  <c r="L34" i="3"/>
  <c r="K83" i="3"/>
  <c r="K42" i="2"/>
  <c r="Z8" i="7"/>
  <c r="Z7" i="7" s="1"/>
  <c r="C52" i="5"/>
  <c r="J52" i="1"/>
  <c r="H52" i="1" s="1"/>
  <c r="I52" i="1" s="1"/>
  <c r="K69" i="3"/>
  <c r="L32" i="7"/>
  <c r="X31" i="7"/>
  <c r="C13" i="5"/>
  <c r="J52" i="2"/>
  <c r="H52" i="2" s="1"/>
  <c r="I52" i="2" s="1"/>
  <c r="K79" i="7"/>
  <c r="L45" i="8"/>
  <c r="L27" i="7"/>
  <c r="AK8" i="7"/>
  <c r="AK7" i="7" s="1"/>
  <c r="K21" i="7"/>
  <c r="L68" i="6"/>
  <c r="L37" i="6"/>
  <c r="K38" i="7"/>
  <c r="K16" i="6"/>
  <c r="U31" i="6"/>
  <c r="K84" i="5"/>
  <c r="L77" i="5"/>
  <c r="H65" i="5"/>
  <c r="I65" i="5" s="1"/>
  <c r="C74" i="4"/>
  <c r="L21" i="5"/>
  <c r="K21" i="5"/>
  <c r="AI8" i="3"/>
  <c r="AI7" i="3" s="1"/>
  <c r="G8" i="3"/>
  <c r="G7" i="3" s="1"/>
  <c r="M8" i="3"/>
  <c r="M7" i="3" s="1"/>
  <c r="L32" i="3"/>
  <c r="AA31" i="2"/>
  <c r="C74" i="1"/>
  <c r="G8" i="1"/>
  <c r="G7" i="1" s="1"/>
  <c r="AJ8" i="1"/>
  <c r="AJ7" i="1" s="1"/>
  <c r="K26" i="2"/>
  <c r="H29" i="1"/>
  <c r="I29" i="1" s="1"/>
  <c r="K72" i="8"/>
  <c r="H72" i="8"/>
  <c r="I72" i="8" s="1"/>
  <c r="H50" i="8"/>
  <c r="I50" i="8" s="1"/>
  <c r="L50" i="8"/>
  <c r="H55" i="8"/>
  <c r="I55" i="8" s="1"/>
  <c r="L55" i="8"/>
  <c r="K32" i="8"/>
  <c r="AN8" i="8"/>
  <c r="AN7" i="8" s="1"/>
  <c r="L38" i="7"/>
  <c r="L27" i="8"/>
  <c r="K85" i="6"/>
  <c r="H22" i="7"/>
  <c r="I22" i="7" s="1"/>
  <c r="L22" i="7"/>
  <c r="K22" i="6"/>
  <c r="H22" i="6"/>
  <c r="I22" i="6" s="1"/>
  <c r="L67" i="5"/>
  <c r="L42" i="5"/>
  <c r="X8" i="5"/>
  <c r="X7" i="5" s="1"/>
  <c r="L77" i="3"/>
  <c r="L36" i="1"/>
  <c r="H36" i="1"/>
  <c r="I36" i="1" s="1"/>
  <c r="K36" i="1"/>
  <c r="C52" i="3"/>
  <c r="L42" i="1"/>
  <c r="H42" i="1"/>
  <c r="I42" i="1" s="1"/>
  <c r="C13" i="9"/>
  <c r="K43" i="8"/>
  <c r="J31" i="4"/>
  <c r="H31" i="4" s="1"/>
  <c r="I31" i="4" s="1"/>
  <c r="L38" i="5"/>
  <c r="L48" i="3"/>
  <c r="K18" i="2"/>
  <c r="AF8" i="1"/>
  <c r="AF7" i="1" s="1"/>
  <c r="K51" i="9"/>
  <c r="Q8" i="9"/>
  <c r="Q7" i="9" s="1"/>
  <c r="H32" i="8"/>
  <c r="I32" i="8" s="1"/>
  <c r="C74" i="7"/>
  <c r="L48" i="9"/>
  <c r="L14" i="9"/>
  <c r="J31" i="8"/>
  <c r="AU8" i="8"/>
  <c r="AU7" i="8" s="1"/>
  <c r="K45" i="8"/>
  <c r="AM8" i="8"/>
  <c r="AM7" i="8" s="1"/>
  <c r="M8" i="8"/>
  <c r="M7" i="8" s="1"/>
  <c r="S8" i="7"/>
  <c r="S7" i="7" s="1"/>
  <c r="K32" i="7"/>
  <c r="J31" i="6"/>
  <c r="L31" i="6" s="1"/>
  <c r="K27" i="7"/>
  <c r="K83" i="5"/>
  <c r="K67" i="5"/>
  <c r="K88" i="5"/>
  <c r="K42" i="5"/>
  <c r="K37" i="6"/>
  <c r="CD8" i="5"/>
  <c r="CD7" i="5" s="1"/>
  <c r="K77" i="3"/>
  <c r="Z8" i="2"/>
  <c r="Z7" i="2" s="1"/>
  <c r="K41" i="3"/>
  <c r="P8" i="2"/>
  <c r="P7" i="2" s="1"/>
  <c r="K48" i="3"/>
  <c r="AK8" i="3"/>
  <c r="AK7" i="3" s="1"/>
  <c r="K23" i="2"/>
  <c r="K70" i="2"/>
  <c r="AM13" i="1"/>
  <c r="X31" i="1"/>
  <c r="K32" i="3"/>
  <c r="K29" i="9"/>
  <c r="H37" i="9"/>
  <c r="I37" i="9" s="1"/>
  <c r="K37" i="9"/>
  <c r="H49" i="8"/>
  <c r="I49" i="8" s="1"/>
  <c r="L49" i="8"/>
  <c r="K51" i="8"/>
  <c r="K18" i="8"/>
  <c r="H18" i="8"/>
  <c r="I18" i="8" s="1"/>
  <c r="AK8" i="8"/>
  <c r="AK7" i="8" s="1"/>
  <c r="H23" i="8"/>
  <c r="I23" i="8" s="1"/>
  <c r="L23" i="8"/>
  <c r="L64" i="8"/>
  <c r="BD8" i="8"/>
  <c r="BD7" i="8" s="1"/>
  <c r="AT8" i="5"/>
  <c r="AT7" i="5" s="1"/>
  <c r="BA31" i="8"/>
  <c r="AZ8" i="5"/>
  <c r="AZ7" i="5" s="1"/>
  <c r="AG8" i="5"/>
  <c r="K44" i="7"/>
  <c r="H44" i="7"/>
  <c r="I44" i="7" s="1"/>
  <c r="AC13" i="7"/>
  <c r="AS8" i="7"/>
  <c r="AS7" i="7" s="1"/>
  <c r="AB8" i="7"/>
  <c r="AB7" i="7" s="1"/>
  <c r="L50" i="5"/>
  <c r="L79" i="1"/>
  <c r="L18" i="2"/>
  <c r="W8" i="9"/>
  <c r="W7" i="9" s="1"/>
  <c r="AA74" i="7"/>
  <c r="C31" i="9"/>
  <c r="Y8" i="9"/>
  <c r="Y7" i="9" s="1"/>
  <c r="AO8" i="8"/>
  <c r="AO7" i="8" s="1"/>
  <c r="P8" i="8"/>
  <c r="P7" i="8" s="1"/>
  <c r="AB8" i="8"/>
  <c r="AB7" i="8" s="1"/>
  <c r="BE8" i="8"/>
  <c r="BE7" i="8" s="1"/>
  <c r="AG8" i="8"/>
  <c r="AG7" i="8" s="1"/>
  <c r="K16" i="7"/>
  <c r="L82" i="7"/>
  <c r="BP52" i="8"/>
  <c r="AJ8" i="7"/>
  <c r="AJ7" i="7" s="1"/>
  <c r="AH13" i="6"/>
  <c r="L83" i="5"/>
  <c r="AU74" i="5"/>
  <c r="K40" i="5"/>
  <c r="L54" i="5"/>
  <c r="P8" i="4"/>
  <c r="P7" i="4" s="1"/>
  <c r="L34" i="5"/>
  <c r="L53" i="4"/>
  <c r="CG8" i="5"/>
  <c r="CG7" i="5" s="1"/>
  <c r="C52" i="2"/>
  <c r="L70" i="2"/>
  <c r="K15" i="3"/>
  <c r="L36" i="2"/>
  <c r="AD8" i="1"/>
  <c r="AD7" i="1" s="1"/>
  <c r="AG52" i="2"/>
  <c r="V52" i="1"/>
  <c r="AO8" i="1"/>
  <c r="AO7" i="1" s="1"/>
  <c r="K37" i="1"/>
  <c r="H48" i="8"/>
  <c r="I48" i="8" s="1"/>
  <c r="L48" i="8"/>
  <c r="K42" i="9"/>
  <c r="L46" i="8"/>
  <c r="K38" i="8"/>
  <c r="L18" i="8"/>
  <c r="L43" i="8"/>
  <c r="X31" i="6"/>
  <c r="L81" i="5"/>
  <c r="AK8" i="6"/>
  <c r="AK7" i="6" s="1"/>
  <c r="AI74" i="5"/>
  <c r="CK13" i="5"/>
  <c r="CH8" i="5"/>
  <c r="L69" i="3"/>
  <c r="L70" i="1"/>
  <c r="L85" i="3"/>
  <c r="L48" i="1"/>
  <c r="H48" i="1"/>
  <c r="I48" i="1" s="1"/>
  <c r="Q8" i="3"/>
  <c r="Q7" i="3" s="1"/>
  <c r="AQ8" i="3"/>
  <c r="AS52" i="3"/>
  <c r="F8" i="3"/>
  <c r="R13" i="8"/>
  <c r="R8" i="8" s="1"/>
  <c r="E8" i="8"/>
  <c r="E7" i="8" s="1"/>
  <c r="R7" i="8" s="1"/>
  <c r="AR8" i="8"/>
  <c r="AR7" i="8" s="1"/>
  <c r="L54" i="7"/>
  <c r="Z8" i="8"/>
  <c r="Z7" i="8" s="1"/>
  <c r="BO8" i="8"/>
  <c r="BO7" i="8" s="1"/>
  <c r="BP13" i="8"/>
  <c r="H75" i="7"/>
  <c r="J74" i="7"/>
  <c r="L74" i="7" s="1"/>
  <c r="K54" i="7"/>
  <c r="T8" i="8"/>
  <c r="T7" i="8" s="1"/>
  <c r="J52" i="7"/>
  <c r="H52" i="7" s="1"/>
  <c r="I52" i="7" s="1"/>
  <c r="H53" i="7"/>
  <c r="I53" i="7" s="1"/>
  <c r="K53" i="7"/>
  <c r="J13" i="7"/>
  <c r="L13" i="7" s="1"/>
  <c r="K56" i="6"/>
  <c r="H56" i="6"/>
  <c r="I56" i="6" s="1"/>
  <c r="K41" i="6"/>
  <c r="H41" i="6"/>
  <c r="I41" i="6" s="1"/>
  <c r="H46" i="6"/>
  <c r="I46" i="6" s="1"/>
  <c r="K46" i="6"/>
  <c r="X13" i="7"/>
  <c r="V8" i="7"/>
  <c r="W8" i="7"/>
  <c r="W7" i="7" s="1"/>
  <c r="K34" i="6"/>
  <c r="H34" i="6"/>
  <c r="I34" i="6" s="1"/>
  <c r="C13" i="6"/>
  <c r="C31" i="6"/>
  <c r="H20" i="6"/>
  <c r="I20" i="6" s="1"/>
  <c r="K20" i="6"/>
  <c r="H24" i="6"/>
  <c r="I24" i="6" s="1"/>
  <c r="K24" i="6"/>
  <c r="J13" i="6"/>
  <c r="H14" i="6"/>
  <c r="I14" i="6" s="1"/>
  <c r="K14" i="6"/>
  <c r="K87" i="5"/>
  <c r="S8" i="4"/>
  <c r="U13" i="4"/>
  <c r="W8" i="6"/>
  <c r="W7" i="6" s="1"/>
  <c r="J52" i="4"/>
  <c r="L32" i="5"/>
  <c r="AE8" i="5"/>
  <c r="AE7" i="5" s="1"/>
  <c r="E8" i="4"/>
  <c r="E7" i="4" s="1"/>
  <c r="R7" i="4" s="1"/>
  <c r="R13" i="4"/>
  <c r="R8" i="4" s="1"/>
  <c r="C74" i="2"/>
  <c r="S8" i="3"/>
  <c r="V52" i="3"/>
  <c r="K19" i="2"/>
  <c r="H19" i="2"/>
  <c r="I19" i="2" s="1"/>
  <c r="AF8" i="3"/>
  <c r="AH52" i="3"/>
  <c r="R52" i="3"/>
  <c r="R8" i="3" s="1"/>
  <c r="E8" i="3"/>
  <c r="E7" i="3" s="1"/>
  <c r="J31" i="2"/>
  <c r="H31" i="2" s="1"/>
  <c r="I31" i="2" s="1"/>
  <c r="K51" i="1"/>
  <c r="H51" i="1"/>
  <c r="I51" i="1" s="1"/>
  <c r="AG52" i="1"/>
  <c r="AG8" i="3"/>
  <c r="AG7" i="3" s="1"/>
  <c r="AH13" i="3"/>
  <c r="AE52" i="1"/>
  <c r="D8" i="1"/>
  <c r="V13" i="1"/>
  <c r="S8" i="1"/>
  <c r="K19" i="1"/>
  <c r="H19" i="1"/>
  <c r="I19" i="1" s="1"/>
  <c r="N8" i="1"/>
  <c r="N7" i="1" s="1"/>
  <c r="J52" i="8"/>
  <c r="H53" i="8"/>
  <c r="I53" i="8" s="1"/>
  <c r="F8" i="7"/>
  <c r="AA13" i="4"/>
  <c r="Y8" i="4"/>
  <c r="H75" i="5"/>
  <c r="I75" i="5" s="1"/>
  <c r="J74" i="5"/>
  <c r="H74" i="5" s="1"/>
  <c r="I74" i="5" s="1"/>
  <c r="AG13" i="2"/>
  <c r="AC8" i="2"/>
  <c r="K75" i="1"/>
  <c r="L75" i="1"/>
  <c r="J74" i="1"/>
  <c r="K74" i="1" s="1"/>
  <c r="H75" i="1"/>
  <c r="I75" i="1" s="1"/>
  <c r="X8" i="9"/>
  <c r="X7" i="9" s="1"/>
  <c r="J74" i="9"/>
  <c r="H74" i="9" s="1"/>
  <c r="H75" i="9"/>
  <c r="J52" i="9"/>
  <c r="K52" i="9" s="1"/>
  <c r="V8" i="9"/>
  <c r="V7" i="9" s="1"/>
  <c r="K22" i="9"/>
  <c r="H22" i="9"/>
  <c r="I22" i="9" s="1"/>
  <c r="H26" i="9"/>
  <c r="I26" i="9" s="1"/>
  <c r="L26" i="9"/>
  <c r="O8" i="9"/>
  <c r="O7" i="9" s="1"/>
  <c r="M8" i="9"/>
  <c r="M7" i="9" s="1"/>
  <c r="K70" i="8"/>
  <c r="H70" i="8"/>
  <c r="I70" i="8" s="1"/>
  <c r="AY8" i="8"/>
  <c r="BC13" i="8"/>
  <c r="L65" i="7"/>
  <c r="H65" i="7"/>
  <c r="I65" i="7" s="1"/>
  <c r="BT8" i="8"/>
  <c r="BT7" i="8" s="1"/>
  <c r="H71" i="7"/>
  <c r="I71" i="7" s="1"/>
  <c r="L71" i="7"/>
  <c r="Q8" i="8"/>
  <c r="Q7" i="8" s="1"/>
  <c r="U13" i="8"/>
  <c r="S8" i="8"/>
  <c r="L29" i="7"/>
  <c r="H29" i="7"/>
  <c r="I29" i="7" s="1"/>
  <c r="K29" i="7"/>
  <c r="T8" i="7"/>
  <c r="T7" i="7" s="1"/>
  <c r="AM8" i="7"/>
  <c r="AM7" i="7" s="1"/>
  <c r="K35" i="7"/>
  <c r="L35" i="7"/>
  <c r="H35" i="7"/>
  <c r="I35" i="7" s="1"/>
  <c r="H34" i="8"/>
  <c r="I34" i="8" s="1"/>
  <c r="L34" i="8"/>
  <c r="K40" i="6"/>
  <c r="H40" i="6"/>
  <c r="I40" i="6" s="1"/>
  <c r="K43" i="7"/>
  <c r="H43" i="6"/>
  <c r="I43" i="6" s="1"/>
  <c r="K43" i="6"/>
  <c r="Q8" i="7"/>
  <c r="Q7" i="7" s="1"/>
  <c r="K84" i="6"/>
  <c r="H84" i="6"/>
  <c r="I84" i="6" s="1"/>
  <c r="K48" i="6"/>
  <c r="H48" i="6"/>
  <c r="I48" i="6" s="1"/>
  <c r="K21" i="6"/>
  <c r="H21" i="6"/>
  <c r="I21" i="6" s="1"/>
  <c r="C74" i="5"/>
  <c r="H19" i="6"/>
  <c r="I19" i="6" s="1"/>
  <c r="K19" i="6"/>
  <c r="H23" i="6"/>
  <c r="I23" i="6" s="1"/>
  <c r="K23" i="6"/>
  <c r="AL13" i="6"/>
  <c r="AI8" i="6"/>
  <c r="F8" i="5"/>
  <c r="C52" i="4"/>
  <c r="AW74" i="5"/>
  <c r="AS8" i="5"/>
  <c r="Q8" i="4"/>
  <c r="Q7" i="4" s="1"/>
  <c r="H9" i="5"/>
  <c r="I9" i="5" s="1"/>
  <c r="I10" i="5"/>
  <c r="M8" i="5"/>
  <c r="M7" i="5" s="1"/>
  <c r="K88" i="4"/>
  <c r="G8" i="5"/>
  <c r="G7" i="5" s="1"/>
  <c r="CY8" i="5"/>
  <c r="CY7" i="5" s="1"/>
  <c r="C13" i="2"/>
  <c r="X74" i="2"/>
  <c r="K36" i="2"/>
  <c r="D8" i="2"/>
  <c r="J13" i="2"/>
  <c r="K27" i="1"/>
  <c r="H27" i="1"/>
  <c r="I27" i="1" s="1"/>
  <c r="C31" i="1"/>
  <c r="AG74" i="1"/>
  <c r="X13" i="2"/>
  <c r="V8" i="2"/>
  <c r="H30" i="1"/>
  <c r="I30" i="1" s="1"/>
  <c r="L30" i="1"/>
  <c r="L33" i="1"/>
  <c r="X13" i="1"/>
  <c r="T8" i="1"/>
  <c r="C31" i="3"/>
  <c r="L57" i="3"/>
  <c r="H57" i="3"/>
  <c r="I57" i="3" s="1"/>
  <c r="H53" i="3"/>
  <c r="I53" i="3" s="1"/>
  <c r="J52" i="3"/>
  <c r="H52" i="3" s="1"/>
  <c r="I52" i="3" s="1"/>
  <c r="AB8" i="1"/>
  <c r="AE13" i="1"/>
  <c r="C74" i="8"/>
  <c r="H72" i="6"/>
  <c r="I72" i="6" s="1"/>
  <c r="K72" i="6"/>
  <c r="D8" i="4"/>
  <c r="BL8" i="5"/>
  <c r="BO13" i="5"/>
  <c r="D8" i="3"/>
  <c r="H24" i="1"/>
  <c r="I24" i="1" s="1"/>
  <c r="L24" i="1"/>
  <c r="P8" i="9"/>
  <c r="P7" i="9" s="1"/>
  <c r="J13" i="9"/>
  <c r="K13" i="9" s="1"/>
  <c r="H14" i="9"/>
  <c r="I14" i="9" s="1"/>
  <c r="K53" i="8"/>
  <c r="V8" i="8"/>
  <c r="X13" i="8"/>
  <c r="AE74" i="7"/>
  <c r="AG74" i="7"/>
  <c r="AC74" i="7"/>
  <c r="U74" i="7"/>
  <c r="AI74" i="7" s="1"/>
  <c r="L53" i="8"/>
  <c r="E8" i="9"/>
  <c r="E7" i="9" s="1"/>
  <c r="H72" i="7"/>
  <c r="I72" i="7" s="1"/>
  <c r="K72" i="7"/>
  <c r="C13" i="8"/>
  <c r="AA13" i="8"/>
  <c r="Y8" i="8"/>
  <c r="N8" i="7"/>
  <c r="N7" i="7" s="1"/>
  <c r="AL8" i="7"/>
  <c r="AN13" i="7"/>
  <c r="L53" i="7"/>
  <c r="AR8" i="7"/>
  <c r="AR7" i="7" s="1"/>
  <c r="H69" i="7"/>
  <c r="I69" i="7" s="1"/>
  <c r="K69" i="7"/>
  <c r="AH8" i="7"/>
  <c r="AH7" i="7" s="1"/>
  <c r="K70" i="6"/>
  <c r="H70" i="6"/>
  <c r="I70" i="6" s="1"/>
  <c r="C31" i="7"/>
  <c r="H58" i="6"/>
  <c r="I58" i="6" s="1"/>
  <c r="K58" i="6"/>
  <c r="U13" i="7"/>
  <c r="AI13" i="7" s="1"/>
  <c r="AA13" i="7"/>
  <c r="Y8" i="7"/>
  <c r="J31" i="7"/>
  <c r="H18" i="6"/>
  <c r="I18" i="6" s="1"/>
  <c r="K18" i="6"/>
  <c r="S52" i="5"/>
  <c r="S8" i="5" s="1"/>
  <c r="E8" i="5"/>
  <c r="E7" i="5" s="1"/>
  <c r="H50" i="6"/>
  <c r="I50" i="6" s="1"/>
  <c r="K50" i="6"/>
  <c r="H15" i="6"/>
  <c r="I15" i="6" s="1"/>
  <c r="K15" i="6"/>
  <c r="AD13" i="6"/>
  <c r="AA8" i="6"/>
  <c r="K75" i="5"/>
  <c r="BQ31" i="5"/>
  <c r="BM8" i="5"/>
  <c r="R13" i="6"/>
  <c r="R8" i="6" s="1"/>
  <c r="E8" i="6"/>
  <c r="E7" i="6" s="1"/>
  <c r="R7" i="6" s="1"/>
  <c r="Y74" i="5"/>
  <c r="U8" i="5"/>
  <c r="L75" i="5"/>
  <c r="H53" i="5"/>
  <c r="I53" i="5" s="1"/>
  <c r="K53" i="5"/>
  <c r="J52" i="5"/>
  <c r="K52" i="5" s="1"/>
  <c r="C31" i="4"/>
  <c r="J13" i="4"/>
  <c r="H14" i="4"/>
  <c r="N8" i="9"/>
  <c r="N7" i="9" s="1"/>
  <c r="H14" i="5"/>
  <c r="I14" i="5" s="1"/>
  <c r="K14" i="5"/>
  <c r="J13" i="5"/>
  <c r="CS8" i="5"/>
  <c r="CW13" i="5"/>
  <c r="M8" i="4"/>
  <c r="M7" i="4" s="1"/>
  <c r="L14" i="5"/>
  <c r="J74" i="2"/>
  <c r="K74" i="2" s="1"/>
  <c r="AD8" i="3"/>
  <c r="AD7" i="3" s="1"/>
  <c r="K82" i="3"/>
  <c r="R13" i="2"/>
  <c r="E8" i="2"/>
  <c r="Y8" i="3"/>
  <c r="AA52" i="3"/>
  <c r="K66" i="1"/>
  <c r="H66" i="1"/>
  <c r="I66" i="1" s="1"/>
  <c r="K57" i="1"/>
  <c r="H57" i="1"/>
  <c r="I57" i="1" s="1"/>
  <c r="K33" i="1"/>
  <c r="L29" i="3"/>
  <c r="V74" i="1"/>
  <c r="W8" i="2"/>
  <c r="W7" i="2" s="1"/>
  <c r="K16" i="1"/>
  <c r="L16" i="1"/>
  <c r="H16" i="1"/>
  <c r="I16" i="1" s="1"/>
  <c r="L57" i="1"/>
  <c r="C52" i="1"/>
  <c r="AL52" i="3"/>
  <c r="AJ8" i="3"/>
  <c r="K58" i="1"/>
  <c r="H58" i="1"/>
  <c r="I58" i="1" s="1"/>
  <c r="AC8" i="1"/>
  <c r="AG13" i="1"/>
  <c r="F8" i="1"/>
  <c r="CM74" i="5"/>
  <c r="CI8" i="5"/>
  <c r="J89" i="4"/>
  <c r="H89" i="4" s="1"/>
  <c r="K84" i="1"/>
  <c r="H84" i="1"/>
  <c r="I84" i="1" s="1"/>
  <c r="C13" i="1"/>
  <c r="H81" i="8"/>
  <c r="I81" i="8" s="1"/>
  <c r="K81" i="8"/>
  <c r="C74" i="9"/>
  <c r="F8" i="9"/>
  <c r="G8" i="9"/>
  <c r="G7" i="9" s="1"/>
  <c r="H68" i="8"/>
  <c r="I68" i="8" s="1"/>
  <c r="K68" i="8"/>
  <c r="R8" i="9"/>
  <c r="D8" i="8"/>
  <c r="O8" i="8"/>
  <c r="O7" i="8" s="1"/>
  <c r="J13" i="8"/>
  <c r="H14" i="8"/>
  <c r="I14" i="8" s="1"/>
  <c r="K14" i="8"/>
  <c r="K59" i="7"/>
  <c r="H59" i="7"/>
  <c r="I59" i="7" s="1"/>
  <c r="C52" i="7"/>
  <c r="K47" i="7"/>
  <c r="H47" i="7"/>
  <c r="I47" i="7" s="1"/>
  <c r="AC52" i="7"/>
  <c r="AG52" i="7"/>
  <c r="U52" i="7"/>
  <c r="AI52" i="7" s="1"/>
  <c r="AE52" i="7"/>
  <c r="W8" i="8"/>
  <c r="W7" i="8" s="1"/>
  <c r="BQ8" i="8"/>
  <c r="BQ7" i="8" s="1"/>
  <c r="AF8" i="7"/>
  <c r="AF7" i="7" s="1"/>
  <c r="AD8" i="7"/>
  <c r="AD7" i="7" s="1"/>
  <c r="L15" i="7"/>
  <c r="K47" i="6"/>
  <c r="H47" i="6"/>
  <c r="I47" i="6" s="1"/>
  <c r="H39" i="6"/>
  <c r="I39" i="6" s="1"/>
  <c r="K39" i="6"/>
  <c r="J74" i="6"/>
  <c r="K74" i="6" s="1"/>
  <c r="H75" i="6"/>
  <c r="I75" i="6" s="1"/>
  <c r="K75" i="6"/>
  <c r="H28" i="6"/>
  <c r="I28" i="6" s="1"/>
  <c r="K28" i="6"/>
  <c r="O8" i="7"/>
  <c r="O7" i="7" s="1"/>
  <c r="AG13" i="7"/>
  <c r="K42" i="6"/>
  <c r="H42" i="6"/>
  <c r="I42" i="6" s="1"/>
  <c r="AO8" i="7"/>
  <c r="AO7" i="7" s="1"/>
  <c r="H79" i="5"/>
  <c r="I79" i="5" s="1"/>
  <c r="L79" i="5"/>
  <c r="AA31" i="7"/>
  <c r="H29" i="6"/>
  <c r="I29" i="6" s="1"/>
  <c r="K29" i="6"/>
  <c r="L14" i="6"/>
  <c r="Q8" i="6"/>
  <c r="Q7" i="6" s="1"/>
  <c r="L9" i="5"/>
  <c r="D8" i="5"/>
  <c r="K9" i="4"/>
  <c r="I9" i="4"/>
  <c r="L88" i="4"/>
  <c r="BI8" i="5"/>
  <c r="BI7" i="5" s="1"/>
  <c r="H75" i="4"/>
  <c r="I75" i="4" s="1"/>
  <c r="J74" i="4"/>
  <c r="K75" i="4"/>
  <c r="X13" i="4"/>
  <c r="V8" i="4"/>
  <c r="C74" i="3"/>
  <c r="C13" i="4"/>
  <c r="AD13" i="4"/>
  <c r="AB8" i="4"/>
  <c r="C31" i="2"/>
  <c r="AA52" i="2"/>
  <c r="AV8" i="3"/>
  <c r="AV7" i="3" s="1"/>
  <c r="AB8" i="2"/>
  <c r="AE13" i="2"/>
  <c r="U13" i="2"/>
  <c r="S8" i="2"/>
  <c r="K72" i="1"/>
  <c r="H72" i="1"/>
  <c r="I72" i="1" s="1"/>
  <c r="T8" i="2"/>
  <c r="T7" i="2" s="1"/>
  <c r="AC8" i="3"/>
  <c r="AE52" i="3"/>
  <c r="L41" i="3"/>
  <c r="P8" i="3"/>
  <c r="P7" i="3" s="1"/>
  <c r="K30" i="1"/>
  <c r="H14" i="3"/>
  <c r="I14" i="3" s="1"/>
  <c r="J13" i="3"/>
  <c r="K25" i="1"/>
  <c r="H25" i="1"/>
  <c r="I25" i="1" s="1"/>
  <c r="AN8" i="1"/>
  <c r="AP13" i="1"/>
  <c r="M8" i="2"/>
  <c r="M7" i="2" s="1"/>
  <c r="L51" i="1"/>
  <c r="L27" i="1"/>
  <c r="U8" i="3"/>
  <c r="U7" i="3" s="1"/>
  <c r="AK31" i="1"/>
  <c r="Y8" i="1"/>
  <c r="H84" i="7"/>
  <c r="I84" i="7" s="1"/>
  <c r="K84" i="7"/>
  <c r="AS8" i="8"/>
  <c r="AW13" i="8"/>
  <c r="V8" i="6"/>
  <c r="X74" i="6"/>
  <c r="D8" i="6"/>
  <c r="K15" i="7"/>
  <c r="F8" i="4"/>
  <c r="H32" i="5"/>
  <c r="I32" i="5" s="1"/>
  <c r="J31" i="5"/>
  <c r="K31" i="5" s="1"/>
  <c r="AJ13" i="4"/>
  <c r="AH8" i="4"/>
  <c r="AQ8" i="5"/>
  <c r="AQ7" i="5" s="1"/>
  <c r="T52" i="9"/>
  <c r="U52" i="9" s="1"/>
  <c r="S8" i="9"/>
  <c r="K74" i="9"/>
  <c r="I74" i="9"/>
  <c r="H67" i="8"/>
  <c r="I67" i="8" s="1"/>
  <c r="K67" i="8"/>
  <c r="D8" i="9"/>
  <c r="C52" i="9"/>
  <c r="J31" i="9"/>
  <c r="H31" i="9" s="1"/>
  <c r="I31" i="9" s="1"/>
  <c r="H32" i="9"/>
  <c r="L67" i="8"/>
  <c r="AH8" i="8"/>
  <c r="AJ13" i="8"/>
  <c r="K9" i="9"/>
  <c r="I9" i="9"/>
  <c r="J74" i="8"/>
  <c r="H21" i="8"/>
  <c r="I21" i="8" s="1"/>
  <c r="L21" i="8"/>
  <c r="L59" i="7"/>
  <c r="L47" i="7"/>
  <c r="BA13" i="8"/>
  <c r="AX8" i="8"/>
  <c r="U31" i="7"/>
  <c r="AI31" i="7" s="1"/>
  <c r="AG31" i="7"/>
  <c r="AC31" i="7"/>
  <c r="AE31" i="7"/>
  <c r="E8" i="7"/>
  <c r="E7" i="7" s="1"/>
  <c r="R7" i="7" s="1"/>
  <c r="R13" i="7"/>
  <c r="R8" i="7" s="1"/>
  <c r="C13" i="7"/>
  <c r="P8" i="7"/>
  <c r="P7" i="7" s="1"/>
  <c r="F8" i="8"/>
  <c r="K62" i="6"/>
  <c r="H62" i="6"/>
  <c r="I62" i="6" s="1"/>
  <c r="L46" i="6"/>
  <c r="K33" i="6"/>
  <c r="H33" i="6"/>
  <c r="I33" i="6" s="1"/>
  <c r="L72" i="6"/>
  <c r="M8" i="7"/>
  <c r="M7" i="7" s="1"/>
  <c r="H49" i="6"/>
  <c r="I49" i="6" s="1"/>
  <c r="K49" i="6"/>
  <c r="AE13" i="7"/>
  <c r="K57" i="6"/>
  <c r="H57" i="6"/>
  <c r="I57" i="6" s="1"/>
  <c r="L41" i="6"/>
  <c r="L18" i="6"/>
  <c r="L43" i="6"/>
  <c r="K79" i="5"/>
  <c r="D8" i="7"/>
  <c r="H44" i="6"/>
  <c r="I44" i="6" s="1"/>
  <c r="K44" i="6"/>
  <c r="J52" i="6"/>
  <c r="H30" i="6"/>
  <c r="I30" i="6" s="1"/>
  <c r="K30" i="6"/>
  <c r="L28" i="6"/>
  <c r="U13" i="6"/>
  <c r="T8" i="6"/>
  <c r="C31" i="5"/>
  <c r="N8" i="6"/>
  <c r="N7" i="6" s="1"/>
  <c r="L87" i="5"/>
  <c r="L15" i="6"/>
  <c r="CU74" i="5"/>
  <c r="CR8" i="5"/>
  <c r="AE8" i="4"/>
  <c r="AG13" i="4"/>
  <c r="K76" i="4"/>
  <c r="H76" i="4"/>
  <c r="I76" i="4" s="1"/>
  <c r="W31" i="5"/>
  <c r="T8" i="5"/>
  <c r="BC8" i="5"/>
  <c r="BC7" i="5" s="1"/>
  <c r="L82" i="3"/>
  <c r="C52" i="6"/>
  <c r="K55" i="2"/>
  <c r="AU8" i="3"/>
  <c r="AW52" i="3"/>
  <c r="L33" i="5"/>
  <c r="J74" i="3"/>
  <c r="H75" i="3"/>
  <c r="I75" i="3" s="1"/>
  <c r="AP13" i="3"/>
  <c r="AN8" i="3"/>
  <c r="L55" i="2"/>
  <c r="O8" i="2"/>
  <c r="O7" i="2" s="1"/>
  <c r="X52" i="3"/>
  <c r="T8" i="3"/>
  <c r="H35" i="3"/>
  <c r="I35" i="3" s="1"/>
  <c r="J31" i="3"/>
  <c r="K78" i="1"/>
  <c r="H78" i="1"/>
  <c r="I78" i="1" s="1"/>
  <c r="K63" i="1"/>
  <c r="H63" i="1"/>
  <c r="I63" i="1" s="1"/>
  <c r="K39" i="1"/>
  <c r="R31" i="1"/>
  <c r="R8" i="1" s="1"/>
  <c r="E8" i="1"/>
  <c r="E7" i="1" s="1"/>
  <c r="R7" i="1" s="1"/>
  <c r="H32" i="1"/>
  <c r="I32" i="1" s="1"/>
  <c r="J31" i="1"/>
  <c r="H31" i="1" s="1"/>
  <c r="I31" i="1" s="1"/>
  <c r="L19" i="2"/>
  <c r="AA13" i="2"/>
  <c r="Y8" i="2"/>
  <c r="AH8" i="1"/>
  <c r="AK13" i="1"/>
  <c r="H20" i="2"/>
  <c r="I20" i="2" s="1"/>
  <c r="L20" i="2"/>
  <c r="L39" i="1"/>
  <c r="L21" i="1"/>
  <c r="L55" i="3"/>
  <c r="U8" i="1"/>
  <c r="U7" i="1" s="1"/>
  <c r="O8" i="1"/>
  <c r="O7" i="1" s="1"/>
  <c r="AE7" i="6" l="1"/>
  <c r="AH7" i="6" s="1"/>
  <c r="AC8" i="7"/>
  <c r="I10" i="8"/>
  <c r="K13" i="7"/>
  <c r="K9" i="3"/>
  <c r="H9" i="1"/>
  <c r="I9" i="1" s="1"/>
  <c r="I10" i="1"/>
  <c r="K9" i="8"/>
  <c r="K52" i="1"/>
  <c r="L74" i="5"/>
  <c r="AM8" i="1"/>
  <c r="AI7" i="5"/>
  <c r="H9" i="6"/>
  <c r="I9" i="6" s="1"/>
  <c r="K9" i="1"/>
  <c r="L52" i="1"/>
  <c r="AI8" i="5"/>
  <c r="C8" i="9"/>
  <c r="C7" i="9" s="1"/>
  <c r="C8" i="3"/>
  <c r="C7" i="3" s="1"/>
  <c r="C8" i="5"/>
  <c r="C7" i="5" s="1"/>
  <c r="L13" i="9"/>
  <c r="K13" i="1"/>
  <c r="L13" i="1"/>
  <c r="AM7" i="1"/>
  <c r="K52" i="7"/>
  <c r="AK8" i="5"/>
  <c r="AG7" i="5"/>
  <c r="AK7" i="5" s="1"/>
  <c r="H31" i="8"/>
  <c r="I31" i="8" s="1"/>
  <c r="L31" i="8"/>
  <c r="K31" i="8"/>
  <c r="C8" i="1"/>
  <c r="C7" i="1" s="1"/>
  <c r="C8" i="8"/>
  <c r="C7" i="8" s="1"/>
  <c r="K31" i="6"/>
  <c r="K52" i="2"/>
  <c r="R7" i="3"/>
  <c r="L31" i="2"/>
  <c r="K31" i="4"/>
  <c r="CK8" i="5"/>
  <c r="CH7" i="5"/>
  <c r="CK7" i="5" s="1"/>
  <c r="C8" i="4"/>
  <c r="C7" i="4" s="1"/>
  <c r="H31" i="6"/>
  <c r="I31" i="6" s="1"/>
  <c r="AU8" i="5"/>
  <c r="L52" i="7"/>
  <c r="K31" i="2"/>
  <c r="L31" i="4"/>
  <c r="R7" i="9"/>
  <c r="L52" i="2"/>
  <c r="AU7" i="5"/>
  <c r="AN7" i="3"/>
  <c r="AP7" i="3" s="1"/>
  <c r="AP8" i="3"/>
  <c r="CU8" i="5"/>
  <c r="CR7" i="5"/>
  <c r="CU7" i="5" s="1"/>
  <c r="D7" i="8"/>
  <c r="H52" i="8"/>
  <c r="I52" i="8" s="1"/>
  <c r="K52" i="8"/>
  <c r="AA8" i="2"/>
  <c r="Y7" i="2"/>
  <c r="AA7" i="2" s="1"/>
  <c r="AU7" i="3"/>
  <c r="AW7" i="3" s="1"/>
  <c r="AW8" i="3"/>
  <c r="AG8" i="4"/>
  <c r="AE7" i="4"/>
  <c r="AG7" i="4" s="1"/>
  <c r="AJ8" i="4"/>
  <c r="AH7" i="4"/>
  <c r="AJ7" i="4" s="1"/>
  <c r="H31" i="7"/>
  <c r="I31" i="7" s="1"/>
  <c r="K31" i="7"/>
  <c r="BO8" i="5"/>
  <c r="BL7" i="5"/>
  <c r="BO7" i="5" s="1"/>
  <c r="AY7" i="8"/>
  <c r="BC7" i="8" s="1"/>
  <c r="BC8" i="8"/>
  <c r="AQ7" i="3"/>
  <c r="AS7" i="3" s="1"/>
  <c r="AS8" i="3"/>
  <c r="AG8" i="7"/>
  <c r="X8" i="3"/>
  <c r="T7" i="3"/>
  <c r="X7" i="3" s="1"/>
  <c r="C8" i="7"/>
  <c r="C7" i="7" s="1"/>
  <c r="AH7" i="8"/>
  <c r="AJ7" i="8" s="1"/>
  <c r="AJ8" i="8"/>
  <c r="D7" i="9"/>
  <c r="AS7" i="8"/>
  <c r="AW7" i="8" s="1"/>
  <c r="AW8" i="8"/>
  <c r="AN7" i="1"/>
  <c r="AP7" i="1" s="1"/>
  <c r="AP8" i="1"/>
  <c r="AD8" i="4"/>
  <c r="AB7" i="4"/>
  <c r="AD7" i="4" s="1"/>
  <c r="H74" i="2"/>
  <c r="I74" i="2" s="1"/>
  <c r="L74" i="2"/>
  <c r="CS7" i="5"/>
  <c r="CW7" i="5" s="1"/>
  <c r="CW8" i="5"/>
  <c r="J8" i="4"/>
  <c r="J7" i="4" s="1"/>
  <c r="H13" i="4"/>
  <c r="L13" i="4"/>
  <c r="Y8" i="5"/>
  <c r="U7" i="5"/>
  <c r="Y7" i="5" s="1"/>
  <c r="AA8" i="7"/>
  <c r="Y7" i="7"/>
  <c r="AA7" i="7" s="1"/>
  <c r="J8" i="2"/>
  <c r="K8" i="2" s="1"/>
  <c r="H13" i="2"/>
  <c r="L13" i="2"/>
  <c r="C8" i="2"/>
  <c r="C7" i="2" s="1"/>
  <c r="AG8" i="2"/>
  <c r="AC7" i="2"/>
  <c r="AG7" i="2" s="1"/>
  <c r="T8" i="9"/>
  <c r="T7" i="9" s="1"/>
  <c r="K74" i="5"/>
  <c r="J8" i="5"/>
  <c r="J7" i="5" s="1"/>
  <c r="H13" i="5"/>
  <c r="L13" i="5"/>
  <c r="K13" i="5"/>
  <c r="AA7" i="6"/>
  <c r="AD7" i="6" s="1"/>
  <c r="AD8" i="6"/>
  <c r="J8" i="9"/>
  <c r="J7" i="9" s="1"/>
  <c r="H13" i="9"/>
  <c r="D7" i="4"/>
  <c r="L31" i="7"/>
  <c r="D7" i="2"/>
  <c r="AI7" i="6"/>
  <c r="AL7" i="6" s="1"/>
  <c r="AL8" i="6"/>
  <c r="V8" i="1"/>
  <c r="S7" i="1"/>
  <c r="V7" i="1" s="1"/>
  <c r="V8" i="3"/>
  <c r="S7" i="3"/>
  <c r="V7" i="3" s="1"/>
  <c r="H52" i="4"/>
  <c r="I52" i="4" s="1"/>
  <c r="K52" i="4"/>
  <c r="L52" i="4"/>
  <c r="V7" i="7"/>
  <c r="X7" i="7" s="1"/>
  <c r="X8" i="7"/>
  <c r="BP8" i="8"/>
  <c r="AE8" i="7"/>
  <c r="H31" i="3"/>
  <c r="I31" i="3" s="1"/>
  <c r="L31" i="3"/>
  <c r="W8" i="5"/>
  <c r="T7" i="5"/>
  <c r="W7" i="5" s="1"/>
  <c r="S7" i="9"/>
  <c r="H74" i="3"/>
  <c r="I74" i="3" s="1"/>
  <c r="L74" i="3"/>
  <c r="K74" i="3"/>
  <c r="L52" i="8"/>
  <c r="U8" i="2"/>
  <c r="S7" i="2"/>
  <c r="U7" i="2" s="1"/>
  <c r="Y7" i="3"/>
  <c r="AA7" i="3" s="1"/>
  <c r="AA8" i="3"/>
  <c r="F7" i="8"/>
  <c r="K74" i="8"/>
  <c r="H74" i="8"/>
  <c r="I74" i="8" s="1"/>
  <c r="L74" i="8"/>
  <c r="D7" i="6"/>
  <c r="K52" i="3"/>
  <c r="F7" i="1"/>
  <c r="R8" i="2"/>
  <c r="R7" i="2" s="1"/>
  <c r="E7" i="2"/>
  <c r="H52" i="5"/>
  <c r="I52" i="5" s="1"/>
  <c r="L52" i="5"/>
  <c r="AL7" i="7"/>
  <c r="AN7" i="7" s="1"/>
  <c r="AN8" i="7"/>
  <c r="D7" i="3"/>
  <c r="K13" i="4"/>
  <c r="K13" i="2"/>
  <c r="AW8" i="5"/>
  <c r="AS7" i="5"/>
  <c r="AW7" i="5" s="1"/>
  <c r="U8" i="8"/>
  <c r="S7" i="8"/>
  <c r="U7" i="8" s="1"/>
  <c r="AH8" i="3"/>
  <c r="AF7" i="3"/>
  <c r="AH7" i="3" s="1"/>
  <c r="BP7" i="8"/>
  <c r="F7" i="3"/>
  <c r="AI7" i="7"/>
  <c r="AC7" i="7"/>
  <c r="AG7" i="7"/>
  <c r="AE7" i="7"/>
  <c r="U7" i="7"/>
  <c r="J8" i="1"/>
  <c r="J7" i="1" s="1"/>
  <c r="T7" i="6"/>
  <c r="U7" i="6" s="1"/>
  <c r="U8" i="6"/>
  <c r="F7" i="5"/>
  <c r="BA8" i="8"/>
  <c r="AX7" i="8"/>
  <c r="BA7" i="8" s="1"/>
  <c r="H31" i="5"/>
  <c r="I31" i="5" s="1"/>
  <c r="L31" i="5"/>
  <c r="K31" i="3"/>
  <c r="H74" i="4"/>
  <c r="I74" i="4" s="1"/>
  <c r="K74" i="4"/>
  <c r="L74" i="4"/>
  <c r="J8" i="8"/>
  <c r="J7" i="8" s="1"/>
  <c r="H13" i="8"/>
  <c r="L13" i="8"/>
  <c r="F7" i="9"/>
  <c r="AJ7" i="3"/>
  <c r="AL7" i="3" s="1"/>
  <c r="AL8" i="3"/>
  <c r="D7" i="7"/>
  <c r="K31" i="1"/>
  <c r="AK8" i="1"/>
  <c r="AH7" i="1"/>
  <c r="AK7" i="1" s="1"/>
  <c r="K31" i="9"/>
  <c r="F7" i="4"/>
  <c r="Y7" i="1"/>
  <c r="AA7" i="1" s="1"/>
  <c r="AA8" i="1"/>
  <c r="J8" i="3"/>
  <c r="J7" i="3" s="1"/>
  <c r="H13" i="3"/>
  <c r="L13" i="3"/>
  <c r="AC7" i="3"/>
  <c r="AE7" i="3" s="1"/>
  <c r="AE8" i="3"/>
  <c r="D7" i="5"/>
  <c r="H74" i="6"/>
  <c r="I74" i="6" s="1"/>
  <c r="L74" i="6"/>
  <c r="K13" i="8"/>
  <c r="CM8" i="5"/>
  <c r="CI7" i="5"/>
  <c r="CM7" i="5" s="1"/>
  <c r="K13" i="3"/>
  <c r="V7" i="2"/>
  <c r="X7" i="2" s="1"/>
  <c r="X8" i="2"/>
  <c r="H52" i="9"/>
  <c r="I52" i="9" s="1"/>
  <c r="L52" i="9"/>
  <c r="H74" i="1"/>
  <c r="I74" i="1" s="1"/>
  <c r="L74" i="1"/>
  <c r="F7" i="7"/>
  <c r="L31" i="1"/>
  <c r="J8" i="6"/>
  <c r="K8" i="6" s="1"/>
  <c r="H13" i="6"/>
  <c r="K13" i="6"/>
  <c r="L13" i="6"/>
  <c r="C8" i="6"/>
  <c r="C7" i="6" s="1"/>
  <c r="H13" i="7"/>
  <c r="J8" i="7"/>
  <c r="J7" i="7" s="1"/>
  <c r="H74" i="7"/>
  <c r="I74" i="7" s="1"/>
  <c r="K74" i="7"/>
  <c r="L52" i="3"/>
  <c r="H52" i="6"/>
  <c r="I52" i="6" s="1"/>
  <c r="K52" i="6"/>
  <c r="L52" i="6"/>
  <c r="V7" i="6"/>
  <c r="X7" i="6" s="1"/>
  <c r="X8" i="6"/>
  <c r="AB7" i="2"/>
  <c r="AE7" i="2" s="1"/>
  <c r="AE8" i="2"/>
  <c r="X8" i="4"/>
  <c r="V7" i="4"/>
  <c r="X7" i="4" s="1"/>
  <c r="L31" i="9"/>
  <c r="AC7" i="1"/>
  <c r="AG7" i="1" s="1"/>
  <c r="AG8" i="1"/>
  <c r="BQ8" i="5"/>
  <c r="BM7" i="5"/>
  <c r="BQ7" i="5" s="1"/>
  <c r="AA8" i="8"/>
  <c r="Y7" i="8"/>
  <c r="AA7" i="8" s="1"/>
  <c r="V7" i="8"/>
  <c r="X7" i="8" s="1"/>
  <c r="X8" i="8"/>
  <c r="AB7" i="1"/>
  <c r="AE7" i="1" s="1"/>
  <c r="AE8" i="1"/>
  <c r="T7" i="1"/>
  <c r="X7" i="1" s="1"/>
  <c r="X8" i="1"/>
  <c r="AA8" i="4"/>
  <c r="Y7" i="4"/>
  <c r="AA7" i="4" s="1"/>
  <c r="D7" i="1"/>
  <c r="U8" i="4"/>
  <c r="S7" i="4"/>
  <c r="U7" i="4" s="1"/>
  <c r="U8" i="7"/>
  <c r="AI8" i="7" s="1"/>
  <c r="L8" i="4" l="1"/>
  <c r="K8" i="5"/>
  <c r="L7" i="9"/>
  <c r="L8" i="5"/>
  <c r="K8" i="1"/>
  <c r="L8" i="9"/>
  <c r="L7" i="4"/>
  <c r="K8" i="4"/>
  <c r="U7" i="9"/>
  <c r="U8" i="9"/>
  <c r="L8" i="7"/>
  <c r="K7" i="7"/>
  <c r="S7" i="5"/>
  <c r="L7" i="5"/>
  <c r="L7" i="1"/>
  <c r="H8" i="2"/>
  <c r="I13" i="2"/>
  <c r="L7" i="7"/>
  <c r="K8" i="7"/>
  <c r="L8" i="1"/>
  <c r="H8" i="1"/>
  <c r="K7" i="4"/>
  <c r="J7" i="2"/>
  <c r="L7" i="2" s="1"/>
  <c r="L8" i="2"/>
  <c r="H8" i="4"/>
  <c r="I13" i="4"/>
  <c r="K7" i="9"/>
  <c r="K7" i="8"/>
  <c r="H8" i="3"/>
  <c r="I13" i="3"/>
  <c r="I13" i="6"/>
  <c r="H8" i="6"/>
  <c r="L7" i="8"/>
  <c r="K8" i="9"/>
  <c r="H8" i="8"/>
  <c r="I13" i="8"/>
  <c r="J7" i="6"/>
  <c r="L7" i="6" s="1"/>
  <c r="L8" i="6"/>
  <c r="K7" i="5"/>
  <c r="L7" i="3"/>
  <c r="K7" i="3"/>
  <c r="L8" i="8"/>
  <c r="H8" i="9"/>
  <c r="I13" i="9"/>
  <c r="H8" i="5"/>
  <c r="I13" i="5"/>
  <c r="K7" i="1"/>
  <c r="H8" i="7"/>
  <c r="I13" i="7"/>
  <c r="L8" i="3"/>
  <c r="K8" i="3"/>
  <c r="K8" i="8"/>
  <c r="H7" i="1" l="1"/>
  <c r="I7" i="1" s="1"/>
  <c r="I8" i="1"/>
  <c r="H7" i="7"/>
  <c r="I7" i="7" s="1"/>
  <c r="I8" i="7"/>
  <c r="H7" i="9"/>
  <c r="I7" i="9" s="1"/>
  <c r="I8" i="9"/>
  <c r="K7" i="2"/>
  <c r="H7" i="3"/>
  <c r="I7" i="3" s="1"/>
  <c r="I8" i="3"/>
  <c r="H7" i="4"/>
  <c r="I7" i="4" s="1"/>
  <c r="I8" i="4"/>
  <c r="H7" i="5"/>
  <c r="I7" i="5" s="1"/>
  <c r="I8" i="5"/>
  <c r="K7" i="6"/>
  <c r="H7" i="6"/>
  <c r="I7" i="6" s="1"/>
  <c r="I8" i="6"/>
  <c r="H7" i="8"/>
  <c r="I7" i="8" s="1"/>
  <c r="I8" i="8"/>
  <c r="H7" i="2"/>
  <c r="I7" i="2" s="1"/>
  <c r="I8" i="2"/>
</calcChain>
</file>

<file path=xl/sharedStrings.xml><?xml version="1.0" encoding="utf-8"?>
<sst xmlns="http://schemas.openxmlformats.org/spreadsheetml/2006/main" count="1813" uniqueCount="254">
  <si>
    <t>งบประมาณ - ผลการเบิกจ่าย และ แผนงาน - ผลการดำเนินงาน กิจกรรมที่ใช้งบประมาณกองทุน ประจำปีงบประมาณ 2566</t>
  </si>
  <si>
    <t>จังหวัด</t>
  </si>
  <si>
    <t>โครงการพัฒนาธุรกิจชุมชนในเขตปฏิรูปที่ดิน</t>
  </si>
  <si>
    <t>งบประมาณ (งบดำเนินงาน)</t>
  </si>
  <si>
    <t>อบรมเกษตรกร กลุ่มเกษตรกร วิสาหกิจชุมชน และสหกรณ์การเกษตรในเขตปฏิรูปที่ดิน</t>
  </si>
  <si>
    <t>หลักสูตรที่ 1 การมีส่วนร่วมและการเสริมสร้างความเข็มแข็งของชุมชน</t>
  </si>
  <si>
    <t>หลักสูตรที่ 2 การจัดทำแผนธุรกิจและการบริหารจัดการกลุ่ม</t>
  </si>
  <si>
    <t>หลักสูตรที่ 3 การเพิ่มมูลค่าสินค้า</t>
  </si>
  <si>
    <t>แผนงบประมาณ (บาท)</t>
  </si>
  <si>
    <t>โอนจัดสรร</t>
  </si>
  <si>
    <t>ผลการเบิกจ่าย</t>
  </si>
  <si>
    <t>รวมงบประมาณ
(1)+(2)</t>
  </si>
  <si>
    <t>งบดำเนินงาน
(1)</t>
  </si>
  <si>
    <t>งบลงทุน
(2)</t>
  </si>
  <si>
    <t>งบดำเนินงาน</t>
  </si>
  <si>
    <t>งบลงทุน</t>
  </si>
  <si>
    <t>งบดำเนินงาน+งบลงทุน</t>
  </si>
  <si>
    <t>รวมงบดำเนินงาน
(3)+(4)+(5)+(6)</t>
  </si>
  <si>
    <t>ฝึกอบรม
(3)</t>
  </si>
  <si>
    <t>วัสดุการเกษตร 
(4)</t>
  </si>
  <si>
    <t>จ้างเหมาบริการ
(5)</t>
  </si>
  <si>
    <t>ดำเนินงาน
(6)</t>
  </si>
  <si>
    <t>แผนงาน</t>
  </si>
  <si>
    <t>ผลงาน</t>
  </si>
  <si>
    <t>บาท</t>
  </si>
  <si>
    <t>ร้อยละ (ได้รับ)</t>
  </si>
  <si>
    <t>ร้อยละ (จัดสรร)</t>
  </si>
  <si>
    <t>ร้อยละ</t>
  </si>
  <si>
    <t>ราย</t>
  </si>
  <si>
    <t>กลุ่ม</t>
  </si>
  <si>
    <t>1. รวม ส.ป.ก.จังหวัด</t>
  </si>
  <si>
    <t xml:space="preserve">   2.1 สำนัก/กอง/ศูนย์</t>
  </si>
  <si>
    <t xml:space="preserve">   2.2 สำรองนโยบาย</t>
  </si>
  <si>
    <t xml:space="preserve">   2.3. ค่าใช้จ่ายบุคลากรภาครัฐ</t>
  </si>
  <si>
    <t>ภาคเหนือ</t>
  </si>
  <si>
    <t>กำแพงเพชร</t>
  </si>
  <si>
    <t>เชียงราย</t>
  </si>
  <si>
    <t>เชียงใหม่</t>
  </si>
  <si>
    <t>ตาก</t>
  </si>
  <si>
    <t>นครสวรรค์</t>
  </si>
  <si>
    <t>น่าน</t>
  </si>
  <si>
    <t>พะเยา</t>
  </si>
  <si>
    <t>พิจิตร</t>
  </si>
  <si>
    <t>พิษณุโลก</t>
  </si>
  <si>
    <t>เพชรบูรณ์</t>
  </si>
  <si>
    <t>แพร่</t>
  </si>
  <si>
    <t>แม่ฮ่องสอน</t>
  </si>
  <si>
    <t>ลำปาง</t>
  </si>
  <si>
    <t>ลำพูน</t>
  </si>
  <si>
    <t>สุโขทัย</t>
  </si>
  <si>
    <t>อุตรดิตถ์</t>
  </si>
  <si>
    <t>อุทัยธานี</t>
  </si>
  <si>
    <t>ภาคตะวันออกเฉียงเหนือ</t>
  </si>
  <si>
    <t>กาฬสินธุ์</t>
  </si>
  <si>
    <t>ขอนแก่น</t>
  </si>
  <si>
    <t>ชัยภูมิ</t>
  </si>
  <si>
    <t>นครพนม</t>
  </si>
  <si>
    <t>นครราชสีมา</t>
  </si>
  <si>
    <t>บึงกาฬ</t>
  </si>
  <si>
    <t>บุรีรัมย์</t>
  </si>
  <si>
    <t>มหาสารคาม</t>
  </si>
  <si>
    <t>มุกดาหาร</t>
  </si>
  <si>
    <t>ยโสธร</t>
  </si>
  <si>
    <t>ร้อยเอ็ด</t>
  </si>
  <si>
    <t>เลย</t>
  </si>
  <si>
    <t>ศรีสะเกษ</t>
  </si>
  <si>
    <t>สกลนคร</t>
  </si>
  <si>
    <t>สุรินทร์</t>
  </si>
  <si>
    <t>หนองคาย</t>
  </si>
  <si>
    <t>หนองบัวลำภู</t>
  </si>
  <si>
    <t>อำนาจเจริญ</t>
  </si>
  <si>
    <t>อุดรธานี</t>
  </si>
  <si>
    <t>อุบลราชธานี</t>
  </si>
  <si>
    <t>ภาคกลาง</t>
  </si>
  <si>
    <t>กาญจนบุรี</t>
  </si>
  <si>
    <t>จันทบุรี</t>
  </si>
  <si>
    <t>ฉะเชิงเทรา</t>
  </si>
  <si>
    <t>ชลบุรี</t>
  </si>
  <si>
    <t>ชัยนาท</t>
  </si>
  <si>
    <t>ตราด</t>
  </si>
  <si>
    <t>นครนายก</t>
  </si>
  <si>
    <t>นครปฐม</t>
  </si>
  <si>
    <t>ปทุมธานี</t>
  </si>
  <si>
    <t>ประจวบคีรีขันธ์</t>
  </si>
  <si>
    <t>ปราจีนบุรี</t>
  </si>
  <si>
    <t>พระนครศรีอยุธยา</t>
  </si>
  <si>
    <t>เพชรบุรี</t>
  </si>
  <si>
    <t>ระยอง</t>
  </si>
  <si>
    <t>ราชบุรี</t>
  </si>
  <si>
    <t>ลพบุรี</t>
  </si>
  <si>
    <t>สระแก้ว</t>
  </si>
  <si>
    <t>สระบุรี</t>
  </si>
  <si>
    <t>สิงห์บุรี</t>
  </si>
  <si>
    <t>สุพรรณบุรี</t>
  </si>
  <si>
    <t>อ่างทอง</t>
  </si>
  <si>
    <t>ภาคใต้</t>
  </si>
  <si>
    <t>กระบี่</t>
  </si>
  <si>
    <t>ชุมพร</t>
  </si>
  <si>
    <t>ตรัง</t>
  </si>
  <si>
    <t>นครศรีธรรมราช</t>
  </si>
  <si>
    <t>นราธิวาส</t>
  </si>
  <si>
    <t>ปัตตานี</t>
  </si>
  <si>
    <t>พังงา</t>
  </si>
  <si>
    <t>พัทลุง</t>
  </si>
  <si>
    <t>ภูเก็ต</t>
  </si>
  <si>
    <t>ยะลา</t>
  </si>
  <si>
    <t>ระนอง</t>
  </si>
  <si>
    <t>สงขลา</t>
  </si>
  <si>
    <t>สตูล</t>
  </si>
  <si>
    <t>สุราษฎร์ธานี</t>
  </si>
  <si>
    <t>2.1 สำนัก/กอง/ศูนย์</t>
  </si>
  <si>
    <t>กลุ่มพัฒนาระบบบริหาร</t>
  </si>
  <si>
    <t>กลุ่มตรวจสอบภายใน</t>
  </si>
  <si>
    <t>สำนักบริหารกลาง</t>
  </si>
  <si>
    <t>สำนักวิชาการและแผนงาน</t>
  </si>
  <si>
    <t>กองการเจ้าหน้าที่</t>
  </si>
  <si>
    <t>สำนักจัดการปฏิรูปที่ดิน</t>
  </si>
  <si>
    <t>สำนักพัฒนาและถ่ายทอดเทคโนโลยี</t>
  </si>
  <si>
    <t>สำนักพัฒนาพื้นที่ปฏิรูปที่ดิน</t>
  </si>
  <si>
    <t>ศูนย์เทคโนโลยีสารสนเทศและการสื่อสาร</t>
  </si>
  <si>
    <t>สำนักจัดการแผนที่และสารบบที่ดิน</t>
  </si>
  <si>
    <t>สำนักบริหารกองทุน</t>
  </si>
  <si>
    <t>สำนักกฎหมาย</t>
  </si>
  <si>
    <t>กองประสานงานโครงการพระราชดำริและโครงการพิเศษ</t>
  </si>
  <si>
    <t>ศูนย์พัฒนาและส่งเสริมศิลปาชีพ</t>
  </si>
  <si>
    <t>2.2 สำรองนโยบาย</t>
  </si>
  <si>
    <t>สำรองตามนโยบาย</t>
  </si>
  <si>
    <t>สำรองการจัดการภารกิจเพื่อพัฒนาองค์กร</t>
  </si>
  <si>
    <t>สำรองกระทรวง</t>
  </si>
  <si>
    <t>ประชุมสัมมนา (ไตรมาส)</t>
  </si>
  <si>
    <t>วันสถาปนา ส.ป.ก.</t>
  </si>
  <si>
    <t>ผู้บริหาร</t>
  </si>
  <si>
    <t>ผู้ตรวจราชการกรม</t>
  </si>
  <si>
    <t>อบรม นบต. นบก. นบส. พระปกเกล้า และอื่นๆ</t>
  </si>
  <si>
    <t>งบรายจ่ายอื่น</t>
  </si>
  <si>
    <t>เงินสำรองการบริหารอยู่ที่ส่วนกลาง (สวผ.)</t>
  </si>
  <si>
    <t>ค่าใช้จ่ายบุคลากรภาครัฐ (เช่าบ้าน+ประกันสังคม)</t>
  </si>
  <si>
    <t>เบิกแทนกัน</t>
  </si>
  <si>
    <t>โครงการส่งเสริมเกษตรอินทรีย์ในเขตปฏิรูปที่ดิน</t>
  </si>
  <si>
    <t>อบรม หลักสูตรสำหรับพัฒนากลไกผู้นำเกษตรกรและเจ้าหน้าที่ด้านส่งเสริมเกษตรอินทรีย์ (โดย สพท.)</t>
  </si>
  <si>
    <t>อบรม หลักสูตรสำหรับส่งเสริมเกษตรอินทรีย์โดยใช้กระบวนการโรงเรียนเกษตรกร (โดย ส.ป.ก.จังหวัด)</t>
  </si>
  <si>
    <t>พื้นที่ในเขตปฏิรูปที่ดินได้รับการส่งเสริมเกษตรอินทรีย์</t>
  </si>
  <si>
    <t>สนับสนุนปัจจัยการผลิต</t>
  </si>
  <si>
    <t>ไร่</t>
  </si>
  <si>
    <t>โครงการส่งเสริมระบบวนเกษตรในเขตปฏิรูปที่ดิน</t>
  </si>
  <si>
    <t>รวมผลงาน</t>
  </si>
  <si>
    <t>อบรมเกษตรกร ขั้นที่ 1</t>
  </si>
  <si>
    <t>อบรมเกษตรกร ขั้นที่ 2</t>
  </si>
  <si>
    <t>อบรมเกษตรกร ขั้นที่ 3</t>
  </si>
  <si>
    <t>สนับสนุนปัจจัยการผลิต ขั้นที่ 1</t>
  </si>
  <si>
    <t>สนับสนุนปัจจัยการผลิต ขั้นที่ 2</t>
  </si>
  <si>
    <t>พื้นที่ที่ได้รับการส่งเสริม
เป็นวนเกษตร</t>
  </si>
  <si>
    <r>
      <rPr>
        <b/>
        <sz val="14"/>
        <color theme="1"/>
        <rFont val="Arial"/>
      </rPr>
      <t>เกษตรกรที่เข้าร่วมโครงการขั้นที่ 1</t>
    </r>
    <r>
      <rPr>
        <b/>
        <sz val="14"/>
        <color rgb="FFFF0000"/>
        <rFont val="Arial"/>
      </rPr>
      <t xml:space="preserve"> ทั้งหมด</t>
    </r>
  </si>
  <si>
    <r>
      <rPr>
        <b/>
        <sz val="15"/>
        <color theme="1"/>
        <rFont val="Arial"/>
      </rPr>
      <t>เกษตรก</t>
    </r>
    <r>
      <rPr>
        <b/>
        <sz val="15"/>
        <color rgb="FFFF0000"/>
        <rFont val="Arial"/>
      </rPr>
      <t>รเฉพา</t>
    </r>
    <r>
      <rPr>
        <b/>
        <sz val="15"/>
        <color theme="1"/>
        <rFont val="Arial"/>
      </rPr>
      <t>ะที่ได้รับการอบรม 
ขั้นที่ 1</t>
    </r>
  </si>
  <si>
    <r>
      <rPr>
        <b/>
        <sz val="14"/>
        <color theme="1"/>
        <rFont val="Arial"/>
      </rPr>
      <t>เกษตรกรที่เข้าร่วมโครงการขั้นที่ 2</t>
    </r>
    <r>
      <rPr>
        <b/>
        <sz val="14"/>
        <color rgb="FFFF0000"/>
        <rFont val="Arial"/>
      </rPr>
      <t xml:space="preserve"> ทั้งหมด</t>
    </r>
  </si>
  <si>
    <r>
      <rPr>
        <b/>
        <sz val="15"/>
        <color theme="1"/>
        <rFont val="Arial"/>
      </rPr>
      <t>เกษตรก</t>
    </r>
    <r>
      <rPr>
        <b/>
        <sz val="15"/>
        <color rgb="FFFF0000"/>
        <rFont val="Arial"/>
      </rPr>
      <t>รเฉพา</t>
    </r>
    <r>
      <rPr>
        <b/>
        <sz val="15"/>
        <color theme="1"/>
        <rFont val="Arial"/>
      </rPr>
      <t>ะที่ได้รับการอบรม 
ขั้นที่ 2</t>
    </r>
  </si>
  <si>
    <r>
      <rPr>
        <b/>
        <sz val="14"/>
        <color theme="1"/>
        <rFont val="Arial"/>
      </rPr>
      <t>เกษตรกรที่เข้าร่วมโครงการขั้นที่ 3</t>
    </r>
    <r>
      <rPr>
        <b/>
        <sz val="14"/>
        <color rgb="FFFF0000"/>
        <rFont val="Arial"/>
      </rPr>
      <t xml:space="preserve"> ทั้งหมด</t>
    </r>
  </si>
  <si>
    <r>
      <rPr>
        <b/>
        <sz val="15"/>
        <color theme="1"/>
        <rFont val="Arial"/>
      </rPr>
      <t>เกษตรก</t>
    </r>
    <r>
      <rPr>
        <b/>
        <sz val="15"/>
        <color rgb="FFFF0000"/>
        <rFont val="Arial"/>
      </rPr>
      <t>รเฉพา</t>
    </r>
    <r>
      <rPr>
        <b/>
        <sz val="15"/>
        <color theme="1"/>
        <rFont val="Arial"/>
      </rPr>
      <t>ะที่ได้รับการอบรม 
ขั้นที่ 3</t>
    </r>
  </si>
  <si>
    <r>
      <rPr>
        <b/>
        <sz val="15"/>
        <color theme="1"/>
        <rFont val="Arial"/>
      </rPr>
      <t xml:space="preserve">เกษตรกรขั้นที่ 1 </t>
    </r>
    <r>
      <rPr>
        <b/>
        <sz val="15"/>
        <color rgb="FFFF0000"/>
        <rFont val="Arial"/>
      </rPr>
      <t>(เฉพา</t>
    </r>
    <r>
      <rPr>
        <b/>
        <sz val="15"/>
        <color theme="1"/>
        <rFont val="Arial"/>
      </rPr>
      <t>ะ)
ที่ได้รับการอบรม</t>
    </r>
  </si>
  <si>
    <r>
      <rPr>
        <b/>
        <sz val="14"/>
        <color theme="1"/>
        <rFont val="Arial"/>
      </rPr>
      <t>เกษตรกรขั้นที่ 1
(เกษตรกรที่เข้าร่วมโครงกา</t>
    </r>
    <r>
      <rPr>
        <b/>
        <sz val="14"/>
        <color rgb="FFFF0000"/>
        <rFont val="Arial"/>
      </rPr>
      <t>รทั้งหม</t>
    </r>
    <r>
      <rPr>
        <b/>
        <sz val="14"/>
        <color theme="1"/>
        <rFont val="Arial"/>
      </rPr>
      <t>ด)</t>
    </r>
  </si>
  <si>
    <r>
      <rPr>
        <b/>
        <sz val="15"/>
        <color theme="1"/>
        <rFont val="Arial"/>
      </rPr>
      <t xml:space="preserve">เกษตรกรขั้นที่ 2 </t>
    </r>
    <r>
      <rPr>
        <b/>
        <sz val="15"/>
        <color rgb="FFFF0000"/>
        <rFont val="Arial"/>
      </rPr>
      <t>(เฉพา</t>
    </r>
    <r>
      <rPr>
        <b/>
        <sz val="15"/>
        <color theme="1"/>
        <rFont val="Arial"/>
      </rPr>
      <t>ะ)
ที่ได้รับการอบรม</t>
    </r>
  </si>
  <si>
    <r>
      <rPr>
        <b/>
        <sz val="14"/>
        <color theme="1"/>
        <rFont val="Arial"/>
      </rPr>
      <t>เกษตรกรขั้นที่ 2
(เกษตรกรที่เข้าร่วมโครงกา</t>
    </r>
    <r>
      <rPr>
        <b/>
        <sz val="14"/>
        <color rgb="FFFF0000"/>
        <rFont val="Arial"/>
      </rPr>
      <t>รทั้งหม</t>
    </r>
    <r>
      <rPr>
        <b/>
        <sz val="14"/>
        <color theme="1"/>
        <rFont val="Arial"/>
      </rPr>
      <t>ด)</t>
    </r>
  </si>
  <si>
    <t>โครงการส่งเสริมและพัฒนาอาชีพเพื่อแก้ไขปัญหาที่ดินทำกินของเกษตรกร  กิจกรรมยกระดับรายได้เกษตรกรในเขตปฏิรูปที่ดินเพื่อลดความเหลื่อมล้ำ</t>
  </si>
  <si>
    <t>จัดฝึกอบรมเกษตรกรตามหลักสูตร</t>
  </si>
  <si>
    <t>รวม</t>
  </si>
  <si>
    <t>หลักสูตร 1 จัดทำ พัฒนา สรุปและถอดบทเรียนแผนชุมชน</t>
  </si>
  <si>
    <t>หลักสูตร 2 การพัฒนาอาชีพ ส่งเสริมและสนับสนุนองค์ความรู้ฯ</t>
  </si>
  <si>
    <t>หลักสูตร 3 การพัฒนาสถาบันเกษตรกรในพื้นที่ คทช.</t>
  </si>
  <si>
    <t>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</si>
  <si>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</si>
  <si>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</si>
  <si>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ตรวจสอบการใช้ที่ดินผิดวัตถุประสงค์ โดยแผนที่ภาพถ่ายทางอากาศ/ดาวเทียม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</si>
  <si>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</si>
  <si>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</si>
  <si>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</si>
  <si>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</si>
  <si>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</si>
  <si>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</si>
  <si>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</si>
  <si>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</si>
  <si>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</si>
  <si>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</si>
  <si>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</si>
  <si>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</si>
  <si>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</si>
  <si>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</si>
  <si>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</si>
  <si>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</si>
  <si>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</si>
  <si>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</si>
  <si>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</si>
  <si>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</si>
  <si>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</si>
  <si>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</si>
  <si>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</si>
  <si>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</si>
  <si>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</si>
  <si>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 xml:space="preserve"> สผส. ตรวจสอบ ติดตาม
การใช้ประโยชน์ที่ดินรายแปลงด้วยภาพถ่ายทางอากาศและ/หรือภาพดาวเทียมรายละเอียดสูง</t>
  </si>
  <si>
    <t>ใช้ที่ดินตามวัตถุประสงค์</t>
  </si>
  <si>
    <t>ใช้ที่ผิดวัตถุประสงค์</t>
  </si>
  <si>
    <t xml:space="preserve"> ส.ป.ก.จังหวัด ตรวจสอบ ติดตามการใช้ประโยชน์ที่ดินรายแปลง  แปลงที่ใช้ที่ดินผิดวัตถุประสงค์ จากการตรวจพบของ สผส.</t>
  </si>
  <si>
    <t>อื่น ๆ</t>
  </si>
  <si>
    <t>รวมงบดำเนินงาน
(3)+(4)+(5)+(6)+(7)</t>
  </si>
  <si>
    <t>ค่าธรรมเนียมศาล
(7)</t>
  </si>
  <si>
    <t>แปลง</t>
  </si>
  <si>
    <t>โครงการจัดที่ดินชุมชนในเขตปฏิรูปที่ดิน</t>
  </si>
  <si>
    <t>จัดทำประชาคม</t>
  </si>
  <si>
    <t>จัดทำวงรอบ</t>
  </si>
  <si>
    <t>จัดที่ดินชุมชน</t>
  </si>
  <si>
    <t>สำรวจรังวัด</t>
  </si>
  <si>
    <t>สอบสวนสิทธิ</t>
  </si>
  <si>
    <t>คปจ.</t>
  </si>
  <si>
    <t>จัดทำสัญญาเข้าทำประโยชน์ (ส.ป.ก. 4-118)</t>
  </si>
  <si>
    <t>ชุมชน</t>
  </si>
  <si>
    <t>โครงการบริหารจัดการที่ดินเอกชน กิจกรรมการจัดหาที่ดินเอกชน</t>
  </si>
  <si>
    <t>1. การจัดหาที่ดินเพื่อการจัดซื้อที่ดินเอกชน ปี 2566</t>
  </si>
  <si>
    <t>จัดทำป้ายประชาสัมพันธ์เพื่อประกาศพื้นที่</t>
  </si>
  <si>
    <t>ปิดป้ายประชาสัมพันธ์เพื่อประกาศพื้นที่</t>
  </si>
  <si>
    <t>รับคำเสนอขาย/ตรวจสอบความถูกต้องหนังสือแสดงสิทธิในที่ดิน</t>
  </si>
  <si>
    <t>ตรวจสอบสภาพพื้นที่ แปลงที่ดิน การทำประโยชน์/ต่อรองราคา</t>
  </si>
  <si>
    <t>คณะอนุกรรมการจัดซื้อที่ดินพิจารณาความเหมาะสมของที่ดิน</t>
  </si>
  <si>
    <t>นำเสนอ คปจ./อกก.คง.</t>
  </si>
  <si>
    <t>อำนาจ คปจ. เห็นชอบและอนุมัติ กรณีราคาไม่เกิน 1.5 เท่า</t>
  </si>
  <si>
    <t>อำนาจ อกก.คง. เห็นชอบและอนุมัติ กรณีราคาเกิน 1.5 เท่า</t>
  </si>
  <si>
    <t>2. จัดซื้อที่ดินงานต่อเนื่อง</t>
  </si>
  <si>
    <t>นำเสนอ คปจ.</t>
  </si>
  <si>
    <t>ประกาศเขตปฏิรูปที่ดิน</t>
  </si>
  <si>
    <t>จดทะเบียนสิทธิและนิติกรรม และชำระมูลค่าที่ดิน</t>
  </si>
  <si>
    <t>แห่ง</t>
  </si>
  <si>
    <t>โครงการบริหารจัดการที่ดินเอกชน กิจกรรมการจัดที่ดินเอกชน 7 กิจกรรม</t>
  </si>
  <si>
    <t>1. สำรวจรังวัดปูผังแบ่งแปลงที่ดิน 
(แปลงว่าง) *</t>
  </si>
  <si>
    <t>2. จัดทำสัญญาเช่า/เช่าซื้อ
(แปลงว่าง) *</t>
  </si>
  <si>
    <t>3. ปรับปรุงสิทธิ</t>
  </si>
  <si>
    <t>4. การสำรวจรังวัดแบ่งแยกในนามเดิมยื่นคำขอออกโฉนดที่ดินกับ สนง.ที่ดิน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</si>
  <si>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</si>
  <si>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</si>
  <si>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7. การเจรจาไกล่เกลี่ยข้อพิพาท</t>
  </si>
  <si>
    <t>การเช่าไปสู่การเช่าซื้อ</t>
  </si>
  <si>
    <t>การเช่าซื้อไปสู่การเช่า</t>
  </si>
  <si>
    <t>แปลงต้นขั้ว</t>
  </si>
  <si>
    <t>แปลงยื่นสำรวจรังวัดแบ่งแยก
(อยู่ระหว่างดำเนินการ)</t>
  </si>
  <si>
    <t>แปลงยื่นสำรวจรังวัดแบ่งแยก
(ดำเนินการเรียบร้อยแล้ว)</t>
  </si>
  <si>
    <t>เต็มแปลง</t>
  </si>
  <si>
    <t>แบ่งแปลง</t>
  </si>
  <si>
    <t>อยู่ระหว่างแก้ไขปัญหา</t>
  </si>
  <si>
    <t>ยุติเรื่อง</t>
  </si>
  <si>
    <t>ร้อยละ (ไร่)</t>
  </si>
  <si>
    <t>แผนงาน งบประมาณ และผลการดำเนินงาน รายกิจกรรม ตาม พรบ. งบประมาณ 2566</t>
  </si>
  <si>
    <t>โครงการสำรวจรังวัดปรับปรุงแผนที่แปลงที่ดินมาตรฐาน RTK GNSS Network</t>
  </si>
  <si>
    <t>ผลการดำเนินงาน</t>
  </si>
  <si>
    <t>ดำเนินการโดย ส.ป.ก. จังหวัด (ข้อมูลจาก สผส.)</t>
  </si>
  <si>
    <t>ดำเนินการโดย สผส.</t>
  </si>
  <si>
    <t>รวมทั้งสิ้น</t>
  </si>
  <si>
    <t>2. รวมส่วนกลาง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</si>
</sst>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87" formatCode="_-* #,##0_-;\-* #,##0_-;_-* &quot;-&quot;_-;_-@"/>
    <numFmt numFmtId="188" formatCode="_-* #,##0_-;\-* #,##0_-;_-* &quot;-&quot;??_-;_-@"/>
    <numFmt numFmtId="189" formatCode="_-* #,##0.00_-;\-* #,##0.00_-;_-* &quot;-&quot;??_-;_-@"/>
    <numFmt numFmtId="190" formatCode="_-* #,##0.00_-;\-* #,##0.00_-;_-* &quot;-&quot;_-;_-@"/>
  </numFmts>
  <fonts count="11" x14ac:knownFonts="1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b/>
      <sz val="15"/>
      <color rgb="FFFFFFFF"/>
      <name val="Arial"/>
    </font>
    <font>
      <b/>
      <sz val="13"/>
      <color theme="1"/>
      <name val="Arial"/>
    </font>
    <font>
      <b/>
      <sz val="14"/>
      <color theme="1"/>
      <name val="Arial"/>
    </font>
    <font>
      <sz val="15"/>
      <color theme="1"/>
      <name val="Arial"/>
    </font>
    <font>
      <b/>
      <sz val="14"/>
      <color rgb="FFFFFFFF"/>
      <name val="Arial"/>
    </font>
    <font>
      <b/>
      <sz val="14"/>
      <color rgb="FFFF0000"/>
      <name val="Arial"/>
    </font>
    <font>
      <b/>
      <sz val="15"/>
      <color rgb="FFFF0000"/>
      <name val="Arial"/>
    </font>
  </fonts>
  <fills count="38">
    <fill>
      <patternFill patternType="none"/>
    </fill>
    <fill>
      <patternFill patternType="gray125"/>
    </fill>
    <fill>
      <patternFill patternType="solid">
        <fgColor rgb="FFFBE4D5"/>
        <bgColor rgb="FFFBE4D5"/>
      </patternFill>
    </fill>
    <fill>
      <patternFill patternType="solid">
        <fgColor rgb="FFD9E2F3"/>
        <bgColor rgb="FFD9E2F3"/>
      </patternFill>
    </fill>
    <fill>
      <patternFill patternType="solid">
        <fgColor rgb="FFFCBCEB"/>
        <bgColor rgb="FFFCBCEB"/>
      </patternFill>
    </fill>
    <fill>
      <patternFill patternType="solid">
        <fgColor rgb="FFF7CAAC"/>
        <bgColor rgb="FFF7CAAC"/>
      </patternFill>
    </fill>
    <fill>
      <patternFill patternType="solid">
        <fgColor rgb="FFFFC9DB"/>
        <bgColor rgb="FFFFC9DB"/>
      </patternFill>
    </fill>
    <fill>
      <patternFill patternType="solid">
        <fgColor rgb="FF4A86E8"/>
        <bgColor rgb="FF4A86E8"/>
      </patternFill>
    </fill>
    <fill>
      <patternFill patternType="solid">
        <fgColor rgb="FFA8D08D"/>
        <bgColor rgb="FFA8D08D"/>
      </patternFill>
    </fill>
    <fill>
      <patternFill patternType="solid">
        <fgColor rgb="FFB4A7D6"/>
        <bgColor rgb="FFB4A7D6"/>
      </patternFill>
    </fill>
    <fill>
      <patternFill patternType="solid">
        <fgColor rgb="FFA4C2F4"/>
        <bgColor rgb="FFA4C2F4"/>
      </patternFill>
    </fill>
    <fill>
      <patternFill patternType="solid">
        <fgColor rgb="FFB6D7A8"/>
        <bgColor rgb="FFB6D7A8"/>
      </patternFill>
    </fill>
    <fill>
      <patternFill patternType="solid">
        <fgColor rgb="FFD9EAD3"/>
        <bgColor rgb="FFD9EAD3"/>
      </patternFill>
    </fill>
    <fill>
      <patternFill patternType="solid">
        <fgColor rgb="FFFFFFFF"/>
        <bgColor rgb="FFFFFFFF"/>
      </patternFill>
    </fill>
    <fill>
      <patternFill patternType="solid">
        <fgColor rgb="FFF4B083"/>
        <bgColor rgb="FFF4B083"/>
      </patternFill>
    </fill>
    <fill>
      <patternFill patternType="solid">
        <fgColor rgb="FF9FC5E8"/>
        <bgColor rgb="FF9FC5E8"/>
      </patternFill>
    </fill>
    <fill>
      <patternFill patternType="solid">
        <fgColor rgb="FFC5E0B3"/>
        <bgColor rgb="FFC5E0B3"/>
      </patternFill>
    </fill>
    <fill>
      <patternFill patternType="solid">
        <fgColor rgb="FFFFFF99"/>
        <bgColor rgb="FFFFFF99"/>
      </patternFill>
    </fill>
    <fill>
      <patternFill patternType="solid">
        <fgColor rgb="FFDEEAF6"/>
        <bgColor rgb="FFDEEAF6"/>
      </patternFill>
    </fill>
    <fill>
      <patternFill patternType="solid">
        <fgColor rgb="FFEAD1DC"/>
        <bgColor rgb="FFEAD1DC"/>
      </patternFill>
    </fill>
    <fill>
      <patternFill patternType="solid">
        <fgColor rgb="FFE69138"/>
        <bgColor rgb="FFE69138"/>
      </patternFill>
    </fill>
    <fill>
      <patternFill patternType="solid">
        <fgColor rgb="FFFFD966"/>
        <bgColor rgb="FFFFD966"/>
      </patternFill>
    </fill>
    <fill>
      <patternFill patternType="solid">
        <fgColor rgb="FFF6B26B"/>
        <bgColor rgb="FFF6B26B"/>
      </patternFill>
    </fill>
    <fill>
      <patternFill patternType="solid">
        <fgColor rgb="FFF9CB9C"/>
        <bgColor rgb="FFF9CB9C"/>
      </patternFill>
    </fill>
    <fill>
      <patternFill patternType="solid">
        <fgColor rgb="FF3D85C6"/>
        <bgColor rgb="FF3D85C6"/>
      </patternFill>
    </fill>
    <fill>
      <patternFill patternType="solid">
        <fgColor rgb="FFA61C00"/>
        <bgColor rgb="FFA61C00"/>
      </patternFill>
    </fill>
    <fill>
      <patternFill patternType="solid">
        <fgColor rgb="FF741B47"/>
        <bgColor rgb="FF741B47"/>
      </patternFill>
    </fill>
    <fill>
      <patternFill patternType="solid">
        <fgColor rgb="FFFFE599"/>
        <bgColor rgb="FFFFE599"/>
      </patternFill>
    </fill>
    <fill>
      <patternFill patternType="solid">
        <fgColor rgb="FFE06666"/>
        <bgColor rgb="FFE06666"/>
      </patternFill>
    </fill>
    <fill>
      <patternFill patternType="solid">
        <fgColor rgb="FFEA9999"/>
        <bgColor rgb="FFEA9999"/>
      </patternFill>
    </fill>
    <fill>
      <patternFill patternType="solid">
        <fgColor rgb="FFF4CCCC"/>
        <bgColor rgb="FFF4CCCC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A64D79"/>
        <bgColor rgb="FFA64D79"/>
      </patternFill>
    </fill>
    <fill>
      <patternFill patternType="solid">
        <fgColor rgb="FFC27BA0"/>
        <bgColor rgb="FFC27BA0"/>
      </patternFill>
    </fill>
    <fill>
      <patternFill patternType="solid">
        <fgColor rgb="FFFCE5CD"/>
        <bgColor rgb="FFFCE5CD"/>
      </patternFill>
    </fill>
    <fill>
      <patternFill patternType="solid">
        <fgColor rgb="FFFFF2CC"/>
        <bgColor rgb="FFFFF2CC"/>
      </patternFill>
    </fill>
  </fills>
  <borders count="20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</borders>
  <cellStyleXfs count="1">
    <xf numFmtId="0" fontId="0" fillId="0" borderId="0"/>
  </cellStyleXfs>
  <cellXfs count="257">
    <xf numFmtId="0" fontId="0" fillId="0" borderId="0" xfId="0" applyFont="1" applyAlignment="1"/>
    <xf numFmtId="0" fontId="1" fillId="0" borderId="1" xfId="0" applyFont="1" applyBorder="1" applyAlignment="1"/>
    <xf numFmtId="0" fontId="2" fillId="0" borderId="1" xfId="0" applyFont="1" applyBorder="1" applyAlignment="1"/>
    <xf numFmtId="187" fontId="2" fillId="0" borderId="1" xfId="0" applyNumberFormat="1" applyFont="1" applyBorder="1" applyAlignment="1"/>
    <xf numFmtId="188" fontId="2" fillId="0" borderId="1" xfId="0" applyNumberFormat="1" applyFont="1" applyBorder="1"/>
    <xf numFmtId="189" fontId="2" fillId="0" borderId="1" xfId="0" applyNumberFormat="1" applyFont="1" applyBorder="1" applyAlignment="1"/>
    <xf numFmtId="0" fontId="2" fillId="0" borderId="1" xfId="0" applyFont="1" applyBorder="1" applyAlignment="1"/>
    <xf numFmtId="189" fontId="2" fillId="0" borderId="1" xfId="0" applyNumberFormat="1" applyFont="1" applyBorder="1"/>
    <xf numFmtId="0" fontId="2" fillId="0" borderId="0" xfId="0" applyFont="1" applyAlignment="1"/>
    <xf numFmtId="188" fontId="2" fillId="3" borderId="1" xfId="0" applyNumberFormat="1" applyFont="1" applyFill="1" applyBorder="1" applyAlignment="1">
      <alignment vertical="top"/>
    </xf>
    <xf numFmtId="188" fontId="2" fillId="4" borderId="1" xfId="0" applyNumberFormat="1" applyFont="1" applyFill="1" applyBorder="1" applyAlignment="1">
      <alignment vertical="top"/>
    </xf>
    <xf numFmtId="187" fontId="4" fillId="7" borderId="3" xfId="0" applyNumberFormat="1" applyFont="1" applyFill="1" applyBorder="1" applyAlignment="1">
      <alignment horizontal="center"/>
    </xf>
    <xf numFmtId="187" fontId="1" fillId="14" borderId="4" xfId="0" applyNumberFormat="1" applyFont="1" applyFill="1" applyBorder="1" applyAlignment="1">
      <alignment horizontal="center" wrapText="1"/>
    </xf>
    <xf numFmtId="187" fontId="2" fillId="7" borderId="4" xfId="0" applyNumberFormat="1" applyFont="1" applyFill="1" applyBorder="1" applyAlignment="1">
      <alignment vertical="top"/>
    </xf>
    <xf numFmtId="187" fontId="1" fillId="11" borderId="6" xfId="0" applyNumberFormat="1" applyFont="1" applyFill="1" applyBorder="1" applyAlignment="1">
      <alignment horizontal="center"/>
    </xf>
    <xf numFmtId="189" fontId="1" fillId="11" borderId="6" xfId="0" applyNumberFormat="1" applyFont="1" applyFill="1" applyBorder="1" applyAlignment="1">
      <alignment horizontal="center"/>
    </xf>
    <xf numFmtId="187" fontId="1" fillId="12" borderId="6" xfId="0" applyNumberFormat="1" applyFont="1" applyFill="1" applyBorder="1" applyAlignment="1">
      <alignment horizontal="center"/>
    </xf>
    <xf numFmtId="187" fontId="1" fillId="13" borderId="6" xfId="0" applyNumberFormat="1" applyFont="1" applyFill="1" applyBorder="1" applyAlignment="1">
      <alignment horizontal="center"/>
    </xf>
    <xf numFmtId="188" fontId="1" fillId="13" borderId="6" xfId="0" applyNumberFormat="1" applyFont="1" applyFill="1" applyBorder="1" applyAlignment="1">
      <alignment horizontal="center"/>
    </xf>
    <xf numFmtId="189" fontId="1" fillId="13" borderId="6" xfId="0" applyNumberFormat="1" applyFont="1" applyFill="1" applyBorder="1" applyAlignment="1">
      <alignment horizontal="center"/>
    </xf>
    <xf numFmtId="187" fontId="1" fillId="14" borderId="6" xfId="0" applyNumberFormat="1" applyFont="1" applyFill="1" applyBorder="1" applyAlignment="1">
      <alignment horizontal="center" wrapText="1"/>
    </xf>
    <xf numFmtId="187" fontId="1" fillId="2" borderId="6" xfId="0" applyNumberFormat="1" applyFont="1" applyFill="1" applyBorder="1" applyAlignment="1">
      <alignment horizontal="center" wrapText="1"/>
    </xf>
    <xf numFmtId="189" fontId="6" fillId="2" borderId="6" xfId="0" applyNumberFormat="1" applyFont="1" applyFill="1" applyBorder="1" applyAlignment="1">
      <alignment horizontal="center" wrapText="1"/>
    </xf>
    <xf numFmtId="187" fontId="1" fillId="9" borderId="6" xfId="0" applyNumberFormat="1" applyFont="1" applyFill="1" applyBorder="1" applyAlignment="1">
      <alignment horizontal="center"/>
    </xf>
    <xf numFmtId="187" fontId="1" fillId="6" borderId="6" xfId="0" applyNumberFormat="1" applyFont="1" applyFill="1" applyBorder="1" applyAlignment="1">
      <alignment horizontal="center"/>
    </xf>
    <xf numFmtId="187" fontId="1" fillId="15" borderId="6" xfId="0" applyNumberFormat="1" applyFont="1" applyFill="1" applyBorder="1" applyAlignment="1">
      <alignment horizontal="center"/>
    </xf>
    <xf numFmtId="187" fontId="1" fillId="16" borderId="6" xfId="0" applyNumberFormat="1" applyFont="1" applyFill="1" applyBorder="1" applyAlignment="1">
      <alignment horizontal="center"/>
    </xf>
    <xf numFmtId="190" fontId="1" fillId="16" borderId="6" xfId="0" applyNumberFormat="1" applyFont="1" applyFill="1" applyBorder="1" applyAlignment="1">
      <alignment horizontal="center"/>
    </xf>
    <xf numFmtId="188" fontId="1" fillId="16" borderId="6" xfId="0" applyNumberFormat="1" applyFont="1" applyFill="1" applyBorder="1" applyAlignment="1">
      <alignment horizontal="right"/>
    </xf>
    <xf numFmtId="187" fontId="1" fillId="14" borderId="6" xfId="0" applyNumberFormat="1" applyFont="1" applyFill="1" applyBorder="1" applyAlignment="1">
      <alignment horizontal="center"/>
    </xf>
    <xf numFmtId="187" fontId="1" fillId="2" borderId="6" xfId="0" applyNumberFormat="1" applyFont="1" applyFill="1" applyBorder="1" applyAlignment="1">
      <alignment horizontal="center"/>
    </xf>
    <xf numFmtId="189" fontId="1" fillId="2" borderId="6" xfId="0" applyNumberFormat="1" applyFont="1" applyFill="1" applyBorder="1" applyAlignment="1">
      <alignment horizontal="right"/>
    </xf>
    <xf numFmtId="0" fontId="1" fillId="8" borderId="9" xfId="0" applyFont="1" applyFill="1" applyBorder="1" applyAlignment="1"/>
    <xf numFmtId="0" fontId="2" fillId="8" borderId="1" xfId="0" applyFont="1" applyFill="1" applyBorder="1"/>
    <xf numFmtId="187" fontId="1" fillId="8" borderId="4" xfId="0" applyNumberFormat="1" applyFont="1" applyFill="1" applyBorder="1" applyAlignment="1">
      <alignment horizontal="right"/>
    </xf>
    <xf numFmtId="190" fontId="1" fillId="8" borderId="4" xfId="0" applyNumberFormat="1" applyFont="1" applyFill="1" applyBorder="1" applyAlignment="1">
      <alignment horizontal="right"/>
    </xf>
    <xf numFmtId="188" fontId="1" fillId="8" borderId="4" xfId="0" applyNumberFormat="1" applyFont="1" applyFill="1" applyBorder="1" applyAlignment="1">
      <alignment horizontal="right"/>
    </xf>
    <xf numFmtId="189" fontId="1" fillId="8" borderId="4" xfId="0" applyNumberFormat="1" applyFont="1" applyFill="1" applyBorder="1" applyAlignment="1">
      <alignment horizontal="right"/>
    </xf>
    <xf numFmtId="0" fontId="1" fillId="17" borderId="9" xfId="0" applyFont="1" applyFill="1" applyBorder="1" applyAlignment="1"/>
    <xf numFmtId="0" fontId="2" fillId="17" borderId="4" xfId="0" applyFont="1" applyFill="1" applyBorder="1"/>
    <xf numFmtId="187" fontId="1" fillId="17" borderId="4" xfId="0" applyNumberFormat="1" applyFont="1" applyFill="1" applyBorder="1" applyAlignment="1">
      <alignment horizontal="right"/>
    </xf>
    <xf numFmtId="190" fontId="1" fillId="17" borderId="4" xfId="0" applyNumberFormat="1" applyFont="1" applyFill="1" applyBorder="1" applyAlignment="1">
      <alignment horizontal="right"/>
    </xf>
    <xf numFmtId="188" fontId="1" fillId="17" borderId="4" xfId="0" applyNumberFormat="1" applyFont="1" applyFill="1" applyBorder="1" applyAlignment="1">
      <alignment horizontal="right"/>
    </xf>
    <xf numFmtId="187" fontId="2" fillId="17" borderId="4" xfId="0" applyNumberFormat="1" applyFont="1" applyFill="1" applyBorder="1"/>
    <xf numFmtId="189" fontId="2" fillId="17" borderId="4" xfId="0" applyNumberFormat="1" applyFont="1" applyFill="1" applyBorder="1"/>
    <xf numFmtId="0" fontId="2" fillId="17" borderId="1" xfId="0" applyFont="1" applyFill="1" applyBorder="1"/>
    <xf numFmtId="0" fontId="1" fillId="17" borderId="9" xfId="0" applyFont="1" applyFill="1" applyBorder="1" applyAlignment="1"/>
    <xf numFmtId="0" fontId="1" fillId="18" borderId="9" xfId="0" applyFont="1" applyFill="1" applyBorder="1" applyAlignment="1"/>
    <xf numFmtId="0" fontId="2" fillId="18" borderId="1" xfId="0" applyFont="1" applyFill="1" applyBorder="1"/>
    <xf numFmtId="187" fontId="1" fillId="18" borderId="4" xfId="0" applyNumberFormat="1" applyFont="1" applyFill="1" applyBorder="1" applyAlignment="1">
      <alignment horizontal="right"/>
    </xf>
    <xf numFmtId="187" fontId="2" fillId="18" borderId="4" xfId="0" applyNumberFormat="1" applyFont="1" applyFill="1" applyBorder="1"/>
    <xf numFmtId="190" fontId="1" fillId="18" borderId="4" xfId="0" applyNumberFormat="1" applyFont="1" applyFill="1" applyBorder="1" applyAlignment="1">
      <alignment horizontal="right"/>
    </xf>
    <xf numFmtId="188" fontId="1" fillId="18" borderId="4" xfId="0" applyNumberFormat="1" applyFont="1" applyFill="1" applyBorder="1" applyAlignment="1">
      <alignment horizontal="right"/>
    </xf>
    <xf numFmtId="189" fontId="1" fillId="18" borderId="4" xfId="0" applyNumberFormat="1" applyFont="1" applyFill="1" applyBorder="1" applyAlignment="1">
      <alignment horizontal="right"/>
    </xf>
    <xf numFmtId="0" fontId="1" fillId="0" borderId="11" xfId="0" applyFont="1" applyBorder="1" applyAlignment="1">
      <alignment horizontal="center"/>
    </xf>
    <xf numFmtId="0" fontId="1" fillId="0" borderId="12" xfId="0" applyFont="1" applyBorder="1"/>
    <xf numFmtId="187" fontId="1" fillId="9" borderId="12" xfId="0" applyNumberFormat="1" applyFont="1" applyFill="1" applyBorder="1" applyAlignment="1">
      <alignment horizontal="right"/>
    </xf>
    <xf numFmtId="187" fontId="1" fillId="13" borderId="12" xfId="0" applyNumberFormat="1" applyFont="1" applyFill="1" applyBorder="1" applyAlignment="1">
      <alignment horizontal="right"/>
    </xf>
    <xf numFmtId="187" fontId="1" fillId="11" borderId="12" xfId="0" applyNumberFormat="1" applyFont="1" applyFill="1" applyBorder="1" applyAlignment="1">
      <alignment horizontal="right"/>
    </xf>
    <xf numFmtId="190" fontId="1" fillId="11" borderId="12" xfId="0" applyNumberFormat="1" applyFont="1" applyFill="1" applyBorder="1" applyAlignment="1">
      <alignment horizontal="right"/>
    </xf>
    <xf numFmtId="187" fontId="1" fillId="12" borderId="12" xfId="0" applyNumberFormat="1" applyFont="1" applyFill="1" applyBorder="1" applyAlignment="1">
      <alignment horizontal="right"/>
    </xf>
    <xf numFmtId="190" fontId="1" fillId="12" borderId="12" xfId="0" applyNumberFormat="1" applyFont="1" applyFill="1" applyBorder="1" applyAlignment="1">
      <alignment horizontal="right"/>
    </xf>
    <xf numFmtId="188" fontId="1" fillId="0" borderId="12" xfId="0" applyNumberFormat="1" applyFont="1" applyBorder="1" applyAlignment="1">
      <alignment horizontal="right"/>
    </xf>
    <xf numFmtId="189" fontId="1" fillId="13" borderId="12" xfId="0" applyNumberFormat="1" applyFont="1" applyFill="1" applyBorder="1" applyAlignment="1">
      <alignment horizontal="right"/>
    </xf>
    <xf numFmtId="187" fontId="1" fillId="0" borderId="12" xfId="0" applyNumberFormat="1" applyFont="1" applyBorder="1" applyAlignment="1">
      <alignment horizontal="right"/>
    </xf>
    <xf numFmtId="0" fontId="1" fillId="0" borderId="13" xfId="0" applyFont="1" applyBorder="1" applyAlignment="1">
      <alignment horizontal="center"/>
    </xf>
    <xf numFmtId="0" fontId="1" fillId="0" borderId="4" xfId="0" applyFont="1" applyBorder="1"/>
    <xf numFmtId="187" fontId="1" fillId="9" borderId="4" xfId="0" applyNumberFormat="1" applyFont="1" applyFill="1" applyBorder="1" applyAlignment="1">
      <alignment horizontal="right"/>
    </xf>
    <xf numFmtId="187" fontId="1" fillId="13" borderId="4" xfId="0" applyNumberFormat="1" applyFont="1" applyFill="1" applyBorder="1" applyAlignment="1">
      <alignment horizontal="right"/>
    </xf>
    <xf numFmtId="187" fontId="1" fillId="0" borderId="4" xfId="0" applyNumberFormat="1" applyFont="1" applyBorder="1" applyAlignment="1">
      <alignment horizontal="right"/>
    </xf>
    <xf numFmtId="187" fontId="1" fillId="11" borderId="4" xfId="0" applyNumberFormat="1" applyFont="1" applyFill="1" applyBorder="1" applyAlignment="1">
      <alignment horizontal="right"/>
    </xf>
    <xf numFmtId="190" fontId="1" fillId="11" borderId="4" xfId="0" applyNumberFormat="1" applyFont="1" applyFill="1" applyBorder="1" applyAlignment="1">
      <alignment horizontal="right"/>
    </xf>
    <xf numFmtId="187" fontId="1" fillId="12" borderId="4" xfId="0" applyNumberFormat="1" applyFont="1" applyFill="1" applyBorder="1" applyAlignment="1">
      <alignment horizontal="right"/>
    </xf>
    <xf numFmtId="190" fontId="1" fillId="12" borderId="4" xfId="0" applyNumberFormat="1" applyFont="1" applyFill="1" applyBorder="1" applyAlignment="1">
      <alignment horizontal="right"/>
    </xf>
    <xf numFmtId="188" fontId="1" fillId="0" borderId="4" xfId="0" applyNumberFormat="1" applyFont="1" applyBorder="1" applyAlignment="1">
      <alignment horizontal="right"/>
    </xf>
    <xf numFmtId="189" fontId="1" fillId="13" borderId="4" xfId="0" applyNumberFormat="1" applyFont="1" applyFill="1" applyBorder="1" applyAlignment="1">
      <alignment horizontal="right"/>
    </xf>
    <xf numFmtId="187" fontId="1" fillId="8" borderId="1" xfId="0" applyNumberFormat="1" applyFont="1" applyFill="1" applyBorder="1" applyAlignment="1">
      <alignment horizontal="right"/>
    </xf>
    <xf numFmtId="187" fontId="1" fillId="17" borderId="1" xfId="0" applyNumberFormat="1" applyFont="1" applyFill="1" applyBorder="1" applyAlignment="1">
      <alignment horizontal="right"/>
    </xf>
    <xf numFmtId="188" fontId="2" fillId="17" borderId="4" xfId="0" applyNumberFormat="1" applyFont="1" applyFill="1" applyBorder="1"/>
    <xf numFmtId="187" fontId="2" fillId="0" borderId="12" xfId="0" applyNumberFormat="1" applyFont="1" applyBorder="1"/>
    <xf numFmtId="187" fontId="2" fillId="12" borderId="12" xfId="0" applyNumberFormat="1" applyFont="1" applyFill="1" applyBorder="1"/>
    <xf numFmtId="189" fontId="2" fillId="0" borderId="12" xfId="0" applyNumberFormat="1" applyFont="1" applyBorder="1"/>
    <xf numFmtId="187" fontId="2" fillId="0" borderId="4" xfId="0" applyNumberFormat="1" applyFont="1" applyBorder="1"/>
    <xf numFmtId="187" fontId="2" fillId="12" borderId="4" xfId="0" applyNumberFormat="1" applyFont="1" applyFill="1" applyBorder="1"/>
    <xf numFmtId="189" fontId="2" fillId="0" borderId="4" xfId="0" applyNumberFormat="1" applyFont="1" applyBorder="1"/>
    <xf numFmtId="0" fontId="1" fillId="0" borderId="12" xfId="0" applyFont="1" applyBorder="1"/>
    <xf numFmtId="0" fontId="1" fillId="0" borderId="11" xfId="0" applyFont="1" applyBorder="1" applyAlignment="1">
      <alignment horizontal="center"/>
    </xf>
    <xf numFmtId="0" fontId="2" fillId="0" borderId="0" xfId="0" applyFont="1" applyAlignment="1"/>
    <xf numFmtId="188" fontId="2" fillId="0" borderId="0" xfId="0" applyNumberFormat="1" applyFont="1" applyAlignment="1"/>
    <xf numFmtId="188" fontId="2" fillId="0" borderId="0" xfId="0" applyNumberFormat="1" applyFont="1"/>
    <xf numFmtId="189" fontId="2" fillId="0" borderId="0" xfId="0" applyNumberFormat="1" applyFont="1" applyAlignment="1"/>
    <xf numFmtId="189" fontId="2" fillId="0" borderId="0" xfId="0" applyNumberFormat="1" applyFont="1"/>
    <xf numFmtId="187" fontId="4" fillId="7" borderId="3" xfId="0" applyNumberFormat="1" applyFont="1" applyFill="1" applyBorder="1" applyAlignment="1">
      <alignment horizontal="center"/>
    </xf>
    <xf numFmtId="187" fontId="1" fillId="12" borderId="6" xfId="0" applyNumberFormat="1" applyFont="1" applyFill="1" applyBorder="1" applyAlignment="1">
      <alignment horizontal="center"/>
    </xf>
    <xf numFmtId="187" fontId="1" fillId="17" borderId="4" xfId="0" applyNumberFormat="1" applyFont="1" applyFill="1" applyBorder="1" applyAlignment="1">
      <alignment horizontal="right"/>
    </xf>
    <xf numFmtId="190" fontId="1" fillId="17" borderId="4" xfId="0" applyNumberFormat="1" applyFont="1" applyFill="1" applyBorder="1" applyAlignment="1">
      <alignment horizontal="right"/>
    </xf>
    <xf numFmtId="188" fontId="1" fillId="17" borderId="4" xfId="0" applyNumberFormat="1" applyFont="1" applyFill="1" applyBorder="1" applyAlignment="1">
      <alignment horizontal="right"/>
    </xf>
    <xf numFmtId="190" fontId="2" fillId="18" borderId="4" xfId="0" applyNumberFormat="1" applyFont="1" applyFill="1" applyBorder="1"/>
    <xf numFmtId="188" fontId="6" fillId="5" borderId="4" xfId="0" applyNumberFormat="1" applyFont="1" applyFill="1" applyBorder="1" applyAlignment="1">
      <alignment horizontal="center" vertical="top" wrapText="1"/>
    </xf>
    <xf numFmtId="188" fontId="6" fillId="19" borderId="4" xfId="0" applyNumberFormat="1" applyFont="1" applyFill="1" applyBorder="1" applyAlignment="1">
      <alignment horizontal="center" vertical="top" wrapText="1"/>
    </xf>
    <xf numFmtId="187" fontId="1" fillId="2" borderId="4" xfId="0" applyNumberFormat="1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187" fontId="1" fillId="11" borderId="6" xfId="0" applyNumberFormat="1" applyFont="1" applyFill="1" applyBorder="1" applyAlignment="1">
      <alignment horizontal="center"/>
    </xf>
    <xf numFmtId="189" fontId="1" fillId="11" borderId="6" xfId="0" applyNumberFormat="1" applyFont="1" applyFill="1" applyBorder="1" applyAlignment="1">
      <alignment horizontal="center"/>
    </xf>
    <xf numFmtId="187" fontId="1" fillId="13" borderId="6" xfId="0" applyNumberFormat="1" applyFont="1" applyFill="1" applyBorder="1" applyAlignment="1">
      <alignment horizontal="center"/>
    </xf>
    <xf numFmtId="188" fontId="1" fillId="13" borderId="6" xfId="0" applyNumberFormat="1" applyFont="1" applyFill="1" applyBorder="1" applyAlignment="1">
      <alignment horizontal="center"/>
    </xf>
    <xf numFmtId="189" fontId="1" fillId="13" borderId="6" xfId="0" applyNumberFormat="1" applyFont="1" applyFill="1" applyBorder="1" applyAlignment="1">
      <alignment horizontal="center"/>
    </xf>
    <xf numFmtId="187" fontId="1" fillId="9" borderId="6" xfId="0" applyNumberFormat="1" applyFont="1" applyFill="1" applyBorder="1" applyAlignment="1">
      <alignment horizontal="center"/>
    </xf>
    <xf numFmtId="187" fontId="1" fillId="6" borderId="6" xfId="0" applyNumberFormat="1" applyFont="1" applyFill="1" applyBorder="1" applyAlignment="1">
      <alignment horizontal="center"/>
    </xf>
    <xf numFmtId="187" fontId="1" fillId="15" borderId="6" xfId="0" applyNumberFormat="1" applyFont="1" applyFill="1" applyBorder="1" applyAlignment="1">
      <alignment horizontal="center"/>
    </xf>
    <xf numFmtId="187" fontId="1" fillId="16" borderId="6" xfId="0" applyNumberFormat="1" applyFont="1" applyFill="1" applyBorder="1" applyAlignment="1">
      <alignment horizontal="center"/>
    </xf>
    <xf numFmtId="190" fontId="1" fillId="16" borderId="6" xfId="0" applyNumberFormat="1" applyFont="1" applyFill="1" applyBorder="1" applyAlignment="1">
      <alignment horizontal="center"/>
    </xf>
    <xf numFmtId="188" fontId="1" fillId="16" borderId="6" xfId="0" applyNumberFormat="1" applyFont="1" applyFill="1" applyBorder="1" applyAlignment="1">
      <alignment horizontal="right"/>
    </xf>
    <xf numFmtId="187" fontId="1" fillId="8" borderId="4" xfId="0" applyNumberFormat="1" applyFont="1" applyFill="1" applyBorder="1" applyAlignment="1">
      <alignment horizontal="right"/>
    </xf>
    <xf numFmtId="190" fontId="1" fillId="8" borderId="4" xfId="0" applyNumberFormat="1" applyFont="1" applyFill="1" applyBorder="1" applyAlignment="1">
      <alignment horizontal="right"/>
    </xf>
    <xf numFmtId="188" fontId="1" fillId="8" borderId="4" xfId="0" applyNumberFormat="1" applyFont="1" applyFill="1" applyBorder="1" applyAlignment="1">
      <alignment horizontal="right"/>
    </xf>
    <xf numFmtId="189" fontId="1" fillId="17" borderId="4" xfId="0" applyNumberFormat="1" applyFont="1" applyFill="1" applyBorder="1" applyAlignment="1">
      <alignment horizontal="right"/>
    </xf>
    <xf numFmtId="187" fontId="2" fillId="13" borderId="12" xfId="0" applyNumberFormat="1" applyFont="1" applyFill="1" applyBorder="1"/>
    <xf numFmtId="187" fontId="1" fillId="22" borderId="4" xfId="0" applyNumberFormat="1" applyFont="1" applyFill="1" applyBorder="1" applyAlignment="1">
      <alignment horizontal="center" wrapText="1"/>
    </xf>
    <xf numFmtId="187" fontId="1" fillId="23" borderId="4" xfId="0" applyNumberFormat="1" applyFont="1" applyFill="1" applyBorder="1" applyAlignment="1">
      <alignment horizontal="center" wrapText="1"/>
    </xf>
    <xf numFmtId="187" fontId="1" fillId="21" borderId="4" xfId="0" applyNumberFormat="1" applyFont="1" applyFill="1" applyBorder="1" applyAlignment="1">
      <alignment horizontal="center" wrapText="1"/>
    </xf>
    <xf numFmtId="187" fontId="2" fillId="7" borderId="4" xfId="0" applyNumberFormat="1" applyFont="1" applyFill="1" applyBorder="1"/>
    <xf numFmtId="187" fontId="1" fillId="22" borderId="6" xfId="0" applyNumberFormat="1" applyFont="1" applyFill="1" applyBorder="1" applyAlignment="1">
      <alignment horizontal="center" wrapText="1"/>
    </xf>
    <xf numFmtId="187" fontId="1" fillId="23" borderId="6" xfId="0" applyNumberFormat="1" applyFont="1" applyFill="1" applyBorder="1" applyAlignment="1">
      <alignment horizontal="center" wrapText="1"/>
    </xf>
    <xf numFmtId="187" fontId="1" fillId="23" borderId="6" xfId="0" applyNumberFormat="1" applyFont="1" applyFill="1" applyBorder="1" applyAlignment="1">
      <alignment horizontal="center" wrapText="1"/>
    </xf>
    <xf numFmtId="187" fontId="1" fillId="2" borderId="6" xfId="0" applyNumberFormat="1" applyFont="1" applyFill="1" applyBorder="1" applyAlignment="1">
      <alignment horizontal="center" wrapText="1"/>
    </xf>
    <xf numFmtId="189" fontId="6" fillId="2" borderId="6" xfId="0" applyNumberFormat="1" applyFont="1" applyFill="1" applyBorder="1" applyAlignment="1">
      <alignment horizontal="center" wrapText="1"/>
    </xf>
    <xf numFmtId="187" fontId="1" fillId="21" borderId="6" xfId="0" applyNumberFormat="1" applyFont="1" applyFill="1" applyBorder="1" applyAlignment="1">
      <alignment horizontal="center" wrapText="1"/>
    </xf>
    <xf numFmtId="187" fontId="1" fillId="22" borderId="6" xfId="0" applyNumberFormat="1" applyFont="1" applyFill="1" applyBorder="1" applyAlignment="1">
      <alignment horizontal="center"/>
    </xf>
    <xf numFmtId="187" fontId="1" fillId="23" borderId="6" xfId="0" applyNumberFormat="1" applyFont="1" applyFill="1" applyBorder="1" applyAlignment="1">
      <alignment horizontal="center"/>
    </xf>
    <xf numFmtId="187" fontId="1" fillId="23" borderId="4" xfId="0" applyNumberFormat="1" applyFont="1" applyFill="1" applyBorder="1" applyAlignment="1">
      <alignment horizontal="center"/>
    </xf>
    <xf numFmtId="187" fontId="1" fillId="23" borderId="6" xfId="0" applyNumberFormat="1" applyFont="1" applyFill="1" applyBorder="1" applyAlignment="1">
      <alignment horizontal="center"/>
    </xf>
    <xf numFmtId="187" fontId="1" fillId="2" borderId="6" xfId="0" applyNumberFormat="1" applyFont="1" applyFill="1" applyBorder="1" applyAlignment="1">
      <alignment horizontal="center"/>
    </xf>
    <xf numFmtId="189" fontId="1" fillId="2" borderId="6" xfId="0" applyNumberFormat="1" applyFont="1" applyFill="1" applyBorder="1" applyAlignment="1">
      <alignment horizontal="right"/>
    </xf>
    <xf numFmtId="187" fontId="1" fillId="21" borderId="6" xfId="0" applyNumberFormat="1" applyFont="1" applyFill="1" applyBorder="1" applyAlignment="1">
      <alignment horizontal="center"/>
    </xf>
    <xf numFmtId="189" fontId="1" fillId="8" borderId="4" xfId="0" applyNumberFormat="1" applyFont="1" applyFill="1" applyBorder="1" applyAlignment="1">
      <alignment horizontal="right"/>
    </xf>
    <xf numFmtId="187" fontId="2" fillId="17" borderId="4" xfId="0" applyNumberFormat="1" applyFont="1" applyFill="1" applyBorder="1" applyAlignment="1">
      <alignment horizontal="right"/>
    </xf>
    <xf numFmtId="189" fontId="2" fillId="17" borderId="4" xfId="0" applyNumberFormat="1" applyFont="1" applyFill="1" applyBorder="1" applyAlignment="1">
      <alignment horizontal="right"/>
    </xf>
    <xf numFmtId="187" fontId="1" fillId="18" borderId="4" xfId="0" applyNumberFormat="1" applyFont="1" applyFill="1" applyBorder="1" applyAlignment="1">
      <alignment horizontal="right"/>
    </xf>
    <xf numFmtId="189" fontId="1" fillId="18" borderId="4" xfId="0" applyNumberFormat="1" applyFont="1" applyFill="1" applyBorder="1" applyAlignment="1">
      <alignment horizontal="right"/>
    </xf>
    <xf numFmtId="187" fontId="1" fillId="13" borderId="12" xfId="0" applyNumberFormat="1" applyFont="1" applyFill="1" applyBorder="1" applyAlignment="1">
      <alignment horizontal="right"/>
    </xf>
    <xf numFmtId="189" fontId="1" fillId="13" borderId="12" xfId="0" applyNumberFormat="1" applyFont="1" applyFill="1" applyBorder="1" applyAlignment="1">
      <alignment horizontal="right"/>
    </xf>
    <xf numFmtId="187" fontId="1" fillId="13" borderId="4" xfId="0" applyNumberFormat="1" applyFont="1" applyFill="1" applyBorder="1" applyAlignment="1">
      <alignment horizontal="right"/>
    </xf>
    <xf numFmtId="189" fontId="1" fillId="13" borderId="4" xfId="0" applyNumberFormat="1" applyFont="1" applyFill="1" applyBorder="1" applyAlignment="1">
      <alignment horizontal="right"/>
    </xf>
    <xf numFmtId="187" fontId="2" fillId="17" borderId="4" xfId="0" applyNumberFormat="1" applyFont="1" applyFill="1" applyBorder="1" applyAlignment="1"/>
    <xf numFmtId="189" fontId="2" fillId="17" borderId="4" xfId="0" applyNumberFormat="1" applyFont="1" applyFill="1" applyBorder="1" applyAlignment="1"/>
    <xf numFmtId="187" fontId="2" fillId="0" borderId="12" xfId="0" applyNumberFormat="1" applyFont="1" applyBorder="1" applyAlignment="1"/>
    <xf numFmtId="189" fontId="2" fillId="0" borderId="12" xfId="0" applyNumberFormat="1" applyFont="1" applyBorder="1" applyAlignment="1"/>
    <xf numFmtId="187" fontId="2" fillId="0" borderId="4" xfId="0" applyNumberFormat="1" applyFont="1" applyBorder="1" applyAlignment="1"/>
    <xf numFmtId="189" fontId="2" fillId="0" borderId="4" xfId="0" applyNumberFormat="1" applyFont="1" applyBorder="1" applyAlignment="1"/>
    <xf numFmtId="187" fontId="1" fillId="21" borderId="6" xfId="0" applyNumberFormat="1" applyFont="1" applyFill="1" applyBorder="1" applyAlignment="1">
      <alignment horizontal="center" wrapText="1"/>
    </xf>
    <xf numFmtId="187" fontId="1" fillId="28" borderId="6" xfId="0" applyNumberFormat="1" applyFont="1" applyFill="1" applyBorder="1" applyAlignment="1">
      <alignment horizontal="center" wrapText="1"/>
    </xf>
    <xf numFmtId="187" fontId="4" fillId="31" borderId="6" xfId="0" applyNumberFormat="1" applyFont="1" applyFill="1" applyBorder="1" applyAlignment="1">
      <alignment horizontal="center" wrapText="1"/>
    </xf>
    <xf numFmtId="187" fontId="4" fillId="34" borderId="6" xfId="0" applyNumberFormat="1" applyFont="1" applyFill="1" applyBorder="1" applyAlignment="1">
      <alignment horizontal="center" wrapText="1"/>
    </xf>
    <xf numFmtId="189" fontId="8" fillId="34" borderId="6" xfId="0" applyNumberFormat="1" applyFont="1" applyFill="1" applyBorder="1" applyAlignment="1">
      <alignment horizontal="center" wrapText="1"/>
    </xf>
    <xf numFmtId="187" fontId="1" fillId="21" borderId="6" xfId="0" applyNumberFormat="1" applyFont="1" applyFill="1" applyBorder="1" applyAlignment="1">
      <alignment horizontal="center"/>
    </xf>
    <xf numFmtId="187" fontId="1" fillId="28" borderId="6" xfId="0" applyNumberFormat="1" applyFont="1" applyFill="1" applyBorder="1" applyAlignment="1">
      <alignment horizontal="center"/>
    </xf>
    <xf numFmtId="187" fontId="4" fillId="31" borderId="6" xfId="0" applyNumberFormat="1" applyFont="1" applyFill="1" applyBorder="1" applyAlignment="1">
      <alignment horizontal="center"/>
    </xf>
    <xf numFmtId="187" fontId="4" fillId="34" borderId="6" xfId="0" applyNumberFormat="1" applyFont="1" applyFill="1" applyBorder="1" applyAlignment="1">
      <alignment horizontal="center"/>
    </xf>
    <xf numFmtId="187" fontId="1" fillId="8" borderId="4" xfId="0" applyNumberFormat="1" applyFont="1" applyFill="1" applyBorder="1" applyAlignment="1">
      <alignment horizontal="center"/>
    </xf>
    <xf numFmtId="190" fontId="1" fillId="8" borderId="4" xfId="0" applyNumberFormat="1" applyFont="1" applyFill="1" applyBorder="1" applyAlignment="1">
      <alignment horizontal="center"/>
    </xf>
    <xf numFmtId="187" fontId="2" fillId="7" borderId="4" xfId="0" applyNumberFormat="1" applyFont="1" applyFill="1" applyBorder="1" applyAlignment="1"/>
    <xf numFmtId="0" fontId="1" fillId="22" borderId="4" xfId="0" applyFont="1" applyFill="1" applyBorder="1" applyAlignment="1">
      <alignment horizontal="center"/>
    </xf>
    <xf numFmtId="187" fontId="1" fillId="2" borderId="4" xfId="0" applyNumberFormat="1" applyFont="1" applyFill="1" applyBorder="1" applyAlignment="1">
      <alignment horizontal="center" wrapText="1"/>
    </xf>
    <xf numFmtId="187" fontId="1" fillId="9" borderId="6" xfId="0" applyNumberFormat="1" applyFont="1" applyFill="1" applyBorder="1" applyAlignment="1">
      <alignment horizontal="right"/>
    </xf>
    <xf numFmtId="187" fontId="1" fillId="6" borderId="6" xfId="0" applyNumberFormat="1" applyFont="1" applyFill="1" applyBorder="1" applyAlignment="1">
      <alignment horizontal="right"/>
    </xf>
    <xf numFmtId="187" fontId="1" fillId="15" borderId="6" xfId="0" applyNumberFormat="1" applyFont="1" applyFill="1" applyBorder="1" applyAlignment="1">
      <alignment horizontal="right"/>
    </xf>
    <xf numFmtId="187" fontId="1" fillId="16" borderId="6" xfId="0" applyNumberFormat="1" applyFont="1" applyFill="1" applyBorder="1" applyAlignment="1">
      <alignment horizontal="right"/>
    </xf>
    <xf numFmtId="190" fontId="1" fillId="16" borderId="6" xfId="0" applyNumberFormat="1" applyFont="1" applyFill="1" applyBorder="1" applyAlignment="1">
      <alignment horizontal="right"/>
    </xf>
    <xf numFmtId="189" fontId="1" fillId="2" borderId="8" xfId="0" applyNumberFormat="1" applyFont="1" applyFill="1" applyBorder="1" applyAlignment="1">
      <alignment horizontal="right"/>
    </xf>
    <xf numFmtId="187" fontId="1" fillId="22" borderId="8" xfId="0" applyNumberFormat="1" applyFont="1" applyFill="1" applyBorder="1" applyAlignment="1">
      <alignment horizontal="center"/>
    </xf>
    <xf numFmtId="187" fontId="1" fillId="2" borderId="8" xfId="0" applyNumberFormat="1" applyFont="1" applyFill="1" applyBorder="1" applyAlignment="1">
      <alignment horizontal="center"/>
    </xf>
    <xf numFmtId="189" fontId="2" fillId="13" borderId="12" xfId="0" applyNumberFormat="1" applyFont="1" applyFill="1" applyBorder="1"/>
    <xf numFmtId="187" fontId="1" fillId="36" borderId="6" xfId="0" applyNumberFormat="1" applyFont="1" applyFill="1" applyBorder="1" applyAlignment="1">
      <alignment horizontal="center" wrapText="1"/>
    </xf>
    <xf numFmtId="187" fontId="1" fillId="36" borderId="6" xfId="0" applyNumberFormat="1" applyFont="1" applyFill="1" applyBorder="1" applyAlignment="1">
      <alignment horizontal="center"/>
    </xf>
    <xf numFmtId="0" fontId="1" fillId="6" borderId="7" xfId="0" applyFont="1" applyFill="1" applyBorder="1" applyAlignment="1">
      <alignment horizontal="center"/>
    </xf>
    <xf numFmtId="0" fontId="3" fillId="0" borderId="8" xfId="0" applyFont="1" applyBorder="1"/>
    <xf numFmtId="0" fontId="1" fillId="8" borderId="9" xfId="0" applyFont="1" applyFill="1" applyBorder="1"/>
    <xf numFmtId="0" fontId="3" fillId="0" borderId="10" xfId="0" applyFont="1" applyBorder="1"/>
    <xf numFmtId="187" fontId="1" fillId="2" borderId="2" xfId="0" applyNumberFormat="1" applyFont="1" applyFill="1" applyBorder="1" applyAlignment="1">
      <alignment horizontal="center"/>
    </xf>
    <xf numFmtId="0" fontId="3" fillId="0" borderId="3" xfId="0" applyFont="1" applyBorder="1"/>
    <xf numFmtId="0" fontId="3" fillId="0" borderId="2" xfId="0" applyFont="1" applyBorder="1"/>
    <xf numFmtId="0" fontId="3" fillId="0" borderId="5" xfId="0" applyFont="1" applyBorder="1"/>
    <xf numFmtId="0" fontId="3" fillId="0" borderId="4" xfId="0" applyFont="1" applyBorder="1"/>
    <xf numFmtId="187" fontId="1" fillId="6" borderId="1" xfId="0" applyNumberFormat="1" applyFont="1" applyFill="1" applyBorder="1" applyAlignment="1">
      <alignment horizontal="center"/>
    </xf>
    <xf numFmtId="0" fontId="3" fillId="0" borderId="1" xfId="0" applyFont="1" applyBorder="1"/>
    <xf numFmtId="49" fontId="1" fillId="8" borderId="9" xfId="0" applyNumberFormat="1" applyFont="1" applyFill="1" applyBorder="1"/>
    <xf numFmtId="187" fontId="1" fillId="17" borderId="9" xfId="0" applyNumberFormat="1" applyFont="1" applyFill="1" applyBorder="1"/>
    <xf numFmtId="187" fontId="1" fillId="14" borderId="1" xfId="0" applyNumberFormat="1" applyFont="1" applyFill="1" applyBorder="1" applyAlignment="1">
      <alignment horizontal="center" wrapText="1"/>
    </xf>
    <xf numFmtId="187" fontId="1" fillId="2" borderId="1" xfId="0" applyNumberFormat="1" applyFont="1" applyFill="1" applyBorder="1" applyAlignment="1">
      <alignment horizontal="center"/>
    </xf>
    <xf numFmtId="188" fontId="1" fillId="5" borderId="0" xfId="0" applyNumberFormat="1" applyFont="1" applyFill="1" applyAlignment="1">
      <alignment horizontal="center" vertical="top" wrapText="1"/>
    </xf>
    <xf numFmtId="0" fontId="0" fillId="0" borderId="0" xfId="0" applyFont="1" applyAlignment="1"/>
    <xf numFmtId="0" fontId="1" fillId="2" borderId="1" xfId="0" applyFont="1" applyFill="1" applyBorder="1" applyAlignment="1">
      <alignment horizontal="center"/>
    </xf>
    <xf numFmtId="188" fontId="1" fillId="3" borderId="1" xfId="0" applyNumberFormat="1" applyFont="1" applyFill="1" applyBorder="1" applyAlignment="1">
      <alignment horizontal="center" vertical="top"/>
    </xf>
    <xf numFmtId="188" fontId="1" fillId="4" borderId="1" xfId="0" applyNumberFormat="1" applyFont="1" applyFill="1" applyBorder="1" applyAlignment="1">
      <alignment horizontal="center" vertical="top"/>
    </xf>
    <xf numFmtId="187" fontId="4" fillId="7" borderId="1" xfId="0" applyNumberFormat="1" applyFont="1" applyFill="1" applyBorder="1" applyAlignment="1">
      <alignment horizontal="center"/>
    </xf>
    <xf numFmtId="187" fontId="1" fillId="8" borderId="1" xfId="0" applyNumberFormat="1" applyFont="1" applyFill="1" applyBorder="1" applyAlignment="1">
      <alignment horizontal="center"/>
    </xf>
    <xf numFmtId="188" fontId="1" fillId="19" borderId="1" xfId="0" applyNumberFormat="1" applyFont="1" applyFill="1" applyBorder="1" applyAlignment="1">
      <alignment horizontal="center" vertical="top" wrapText="1"/>
    </xf>
    <xf numFmtId="187" fontId="1" fillId="2" borderId="14" xfId="0" applyNumberFormat="1" applyFont="1" applyFill="1" applyBorder="1" applyAlignment="1">
      <alignment horizontal="center"/>
    </xf>
    <xf numFmtId="0" fontId="3" fillId="0" borderId="15" xfId="0" applyFont="1" applyBorder="1"/>
    <xf numFmtId="0" fontId="3" fillId="0" borderId="14" xfId="0" applyFont="1" applyBorder="1"/>
    <xf numFmtId="0" fontId="3" fillId="0" borderId="16" xfId="0" applyFont="1" applyBorder="1"/>
    <xf numFmtId="0" fontId="3" fillId="0" borderId="17" xfId="0" applyFont="1" applyBorder="1"/>
    <xf numFmtId="188" fontId="1" fillId="5" borderId="1" xfId="0" applyNumberFormat="1" applyFont="1" applyFill="1" applyBorder="1" applyAlignment="1">
      <alignment horizontal="center" vertical="top" wrapText="1"/>
    </xf>
    <xf numFmtId="187" fontId="1" fillId="2" borderId="1" xfId="0" applyNumberFormat="1" applyFont="1" applyFill="1" applyBorder="1" applyAlignment="1">
      <alignment horizontal="center" wrapText="1"/>
    </xf>
    <xf numFmtId="188" fontId="1" fillId="23" borderId="1" xfId="0" applyNumberFormat="1" applyFont="1" applyFill="1" applyBorder="1" applyAlignment="1">
      <alignment horizontal="center" vertical="top" wrapText="1"/>
    </xf>
    <xf numFmtId="188" fontId="1" fillId="20" borderId="1" xfId="0" applyNumberFormat="1" applyFont="1" applyFill="1" applyBorder="1" applyAlignment="1">
      <alignment horizontal="center" vertical="top" wrapText="1"/>
    </xf>
    <xf numFmtId="188" fontId="1" fillId="21" borderId="0" xfId="0" applyNumberFormat="1" applyFont="1" applyFill="1" applyAlignment="1">
      <alignment horizontal="center" vertical="top" wrapText="1"/>
    </xf>
    <xf numFmtId="188" fontId="1" fillId="22" borderId="1" xfId="0" applyNumberFormat="1" applyFont="1" applyFill="1" applyBorder="1" applyAlignment="1">
      <alignment horizontal="center" vertical="top" wrapText="1"/>
    </xf>
    <xf numFmtId="0" fontId="1" fillId="32" borderId="1" xfId="0" applyFont="1" applyFill="1" applyBorder="1" applyAlignment="1">
      <alignment horizontal="center" vertical="top" wrapText="1"/>
    </xf>
    <xf numFmtId="0" fontId="4" fillId="34" borderId="1" xfId="0" applyFont="1" applyFill="1" applyBorder="1" applyAlignment="1">
      <alignment horizontal="center" vertical="top" wrapText="1"/>
    </xf>
    <xf numFmtId="0" fontId="1" fillId="35" borderId="1" xfId="0" applyFont="1" applyFill="1" applyBorder="1" applyAlignment="1">
      <alignment horizontal="center" vertical="top" wrapText="1"/>
    </xf>
    <xf numFmtId="0" fontId="1" fillId="35" borderId="18" xfId="0" applyFont="1" applyFill="1" applyBorder="1" applyAlignment="1">
      <alignment horizontal="center" vertical="top" wrapText="1"/>
    </xf>
    <xf numFmtId="0" fontId="4" fillId="34" borderId="1" xfId="0" applyFont="1" applyFill="1" applyBorder="1" applyAlignment="1">
      <alignment horizontal="center"/>
    </xf>
    <xf numFmtId="188" fontId="1" fillId="32" borderId="1" xfId="0" applyNumberFormat="1" applyFont="1" applyFill="1" applyBorder="1" applyAlignment="1">
      <alignment horizontal="center" vertical="top" wrapText="1"/>
    </xf>
    <xf numFmtId="0" fontId="1" fillId="33" borderId="1" xfId="0" quotePrefix="1" applyFont="1" applyFill="1" applyBorder="1" applyAlignment="1">
      <alignment horizontal="center" vertical="top" wrapText="1"/>
    </xf>
    <xf numFmtId="188" fontId="4" fillId="31" borderId="1" xfId="0" applyNumberFormat="1" applyFont="1" applyFill="1" applyBorder="1" applyAlignment="1">
      <alignment horizontal="center" vertical="top" wrapText="1"/>
    </xf>
    <xf numFmtId="188" fontId="1" fillId="33" borderId="1" xfId="0" quotePrefix="1" applyNumberFormat="1" applyFont="1" applyFill="1" applyBorder="1" applyAlignment="1">
      <alignment horizontal="center" vertical="top" wrapText="1"/>
    </xf>
    <xf numFmtId="188" fontId="1" fillId="29" borderId="1" xfId="0" applyNumberFormat="1" applyFont="1" applyFill="1" applyBorder="1" applyAlignment="1">
      <alignment horizontal="center" vertical="top" wrapText="1"/>
    </xf>
    <xf numFmtId="188" fontId="7" fillId="30" borderId="1" xfId="0" applyNumberFormat="1" applyFont="1" applyFill="1" applyBorder="1" applyAlignment="1">
      <alignment horizontal="center" vertical="top" wrapText="1"/>
    </xf>
    <xf numFmtId="188" fontId="1" fillId="27" borderId="1" xfId="0" applyNumberFormat="1" applyFont="1" applyFill="1" applyBorder="1" applyAlignment="1">
      <alignment horizontal="center" vertical="top" wrapText="1"/>
    </xf>
    <xf numFmtId="188" fontId="4" fillId="28" borderId="1" xfId="0" applyNumberFormat="1" applyFont="1" applyFill="1" applyBorder="1" applyAlignment="1">
      <alignment horizontal="center" vertical="top" wrapText="1"/>
    </xf>
    <xf numFmtId="188" fontId="1" fillId="21" borderId="1" xfId="0" applyNumberFormat="1" applyFont="1" applyFill="1" applyBorder="1" applyAlignment="1">
      <alignment horizontal="center" vertical="top" wrapText="1"/>
    </xf>
    <xf numFmtId="187" fontId="4" fillId="31" borderId="1" xfId="0" applyNumberFormat="1" applyFont="1" applyFill="1" applyBorder="1" applyAlignment="1">
      <alignment horizontal="center" wrapText="1"/>
    </xf>
    <xf numFmtId="187" fontId="1" fillId="21" borderId="1" xfId="0" applyNumberFormat="1" applyFont="1" applyFill="1" applyBorder="1" applyAlignment="1">
      <alignment horizontal="center" wrapText="1"/>
    </xf>
    <xf numFmtId="187" fontId="1" fillId="28" borderId="1" xfId="0" applyNumberFormat="1" applyFont="1" applyFill="1" applyBorder="1" applyAlignment="1">
      <alignment horizontal="center" wrapText="1"/>
    </xf>
    <xf numFmtId="188" fontId="4" fillId="24" borderId="1" xfId="0" applyNumberFormat="1" applyFont="1" applyFill="1" applyBorder="1" applyAlignment="1">
      <alignment horizontal="center" vertical="top" wrapText="1"/>
    </xf>
    <xf numFmtId="188" fontId="4" fillId="25" borderId="1" xfId="0" applyNumberFormat="1" applyFont="1" applyFill="1" applyBorder="1" applyAlignment="1">
      <alignment horizontal="center" vertical="top" wrapText="1"/>
    </xf>
    <xf numFmtId="188" fontId="4" fillId="26" borderId="1" xfId="0" applyNumberFormat="1" applyFont="1" applyFill="1" applyBorder="1" applyAlignment="1">
      <alignment horizontal="center" vertical="top" wrapText="1"/>
    </xf>
    <xf numFmtId="187" fontId="1" fillId="22" borderId="1" xfId="0" applyNumberFormat="1" applyFont="1" applyFill="1" applyBorder="1" applyAlignment="1">
      <alignment horizontal="center" wrapText="1"/>
    </xf>
    <xf numFmtId="188" fontId="1" fillId="22" borderId="0" xfId="0" applyNumberFormat="1" applyFont="1" applyFill="1" applyAlignment="1">
      <alignment horizontal="center" vertical="top" wrapText="1"/>
    </xf>
    <xf numFmtId="0" fontId="3" fillId="0" borderId="19" xfId="0" applyFont="1" applyBorder="1"/>
    <xf numFmtId="188" fontId="1" fillId="23" borderId="18" xfId="0" applyNumberFormat="1" applyFont="1" applyFill="1" applyBorder="1" applyAlignment="1">
      <alignment horizontal="center" vertical="top" wrapText="1"/>
    </xf>
    <xf numFmtId="0" fontId="3" fillId="0" borderId="18" xfId="0" applyFont="1" applyBorder="1"/>
    <xf numFmtId="188" fontId="1" fillId="23" borderId="0" xfId="0" applyNumberFormat="1" applyFont="1" applyFill="1" applyAlignment="1">
      <alignment horizontal="center" vertical="top" wrapText="1"/>
    </xf>
    <xf numFmtId="188" fontId="7" fillId="36" borderId="3" xfId="0" applyNumberFormat="1" applyFont="1" applyFill="1" applyBorder="1" applyAlignment="1">
      <alignment horizontal="center" vertical="top" wrapText="1"/>
    </xf>
    <xf numFmtId="188" fontId="7" fillId="37" borderId="3" xfId="0" applyNumberFormat="1" applyFont="1" applyFill="1" applyBorder="1" applyAlignment="1">
      <alignment horizontal="center" vertical="top" wrapText="1"/>
    </xf>
    <xf numFmtId="188" fontId="1" fillId="27" borderId="3" xfId="0" applyNumberFormat="1" applyFont="1" applyFill="1" applyBorder="1" applyAlignment="1">
      <alignment horizontal="center" vertical="top" wrapText="1"/>
    </xf>
    <xf numFmtId="0" fontId="1" fillId="22" borderId="1" xfId="0" applyFont="1" applyFill="1" applyBorder="1" applyAlignment="1">
      <alignment horizontal="center"/>
    </xf>
    <xf numFmtId="188" fontId="1" fillId="22" borderId="1" xfId="0" applyNumberFormat="1" applyFont="1" applyFill="1" applyBorder="1" applyAlignment="1">
      <alignment horizontal="center"/>
    </xf>
    <xf numFmtId="188" fontId="1" fillId="14" borderId="0" xfId="0" applyNumberFormat="1" applyFont="1" applyFill="1" applyAlignment="1">
      <alignment horizontal="center" vertical="top" wrapText="1"/>
    </xf>
    <xf numFmtId="187" fontId="1" fillId="36" borderId="1" xfId="0" applyNumberFormat="1" applyFont="1" applyFill="1" applyBorder="1" applyAlignment="1">
      <alignment horizontal="center" wrapText="1"/>
    </xf>
    <xf numFmtId="187" fontId="1" fillId="9" borderId="3" xfId="0" applyNumberFormat="1" applyFont="1" applyFill="1" applyBorder="1" applyAlignment="1">
      <alignment horizontal="center" vertical="top" wrapText="1"/>
    </xf>
    <xf numFmtId="187" fontId="1" fillId="6" borderId="3" xfId="0" applyNumberFormat="1" applyFont="1" applyFill="1" applyBorder="1" applyAlignment="1">
      <alignment horizontal="center" vertical="top" wrapText="1"/>
    </xf>
    <xf numFmtId="187" fontId="1" fillId="10" borderId="3" xfId="0" applyNumberFormat="1" applyFont="1" applyFill="1" applyBorder="1" applyAlignment="1">
      <alignment horizontal="center" vertical="top" wrapText="1"/>
    </xf>
    <xf numFmtId="0" fontId="3" fillId="0" borderId="4" xfId="0" applyFont="1" applyBorder="1" applyAlignment="1">
      <alignment wrapText="1"/>
    </xf>
    <xf numFmtId="187" fontId="1" fillId="11" borderId="1" xfId="0" applyNumberFormat="1" applyFont="1" applyFill="1" applyBorder="1" applyAlignment="1">
      <alignment horizontal="center" wrapText="1"/>
    </xf>
    <xf numFmtId="187" fontId="6" fillId="12" borderId="1" xfId="0" applyNumberFormat="1" applyFont="1" applyFill="1" applyBorder="1" applyAlignment="1">
      <alignment horizontal="center" wrapText="1"/>
    </xf>
    <xf numFmtId="0" fontId="3" fillId="0" borderId="1" xfId="0" applyFont="1" applyBorder="1" applyAlignment="1">
      <alignment wrapText="1"/>
    </xf>
    <xf numFmtId="187" fontId="5" fillId="13" borderId="4" xfId="0" applyNumberFormat="1" applyFont="1" applyFill="1" applyBorder="1" applyAlignment="1">
      <alignment horizontal="center" wrapText="1"/>
    </xf>
    <xf numFmtId="188" fontId="1" fillId="13" borderId="1" xfId="0" applyNumberFormat="1" applyFont="1" applyFill="1" applyBorder="1" applyAlignment="1">
      <alignment horizontal="center" wrapText="1"/>
    </xf>
    <xf numFmtId="187" fontId="1" fillId="11" borderId="1" xfId="0" applyNumberFormat="1" applyFont="1" applyFill="1" applyBorder="1" applyAlignment="1">
      <alignment horizontal="center" vertical="top" wrapText="1"/>
    </xf>
    <xf numFmtId="187" fontId="6" fillId="13" borderId="4" xfId="0" applyNumberFormat="1" applyFont="1" applyFill="1" applyBorder="1" applyAlignment="1">
      <alignment horizontal="center" wrapText="1"/>
    </xf>
    <xf numFmtId="188" fontId="1" fillId="13" borderId="1" xfId="0" applyNumberFormat="1" applyFont="1" applyFill="1" applyBorder="1" applyAlignment="1">
      <alignment horizontal="center" vertical="top" wrapText="1"/>
    </xf>
    <xf numFmtId="187" fontId="5" fillId="12" borderId="1" xfId="0" applyNumberFormat="1" applyFont="1" applyFill="1" applyBorder="1" applyAlignment="1">
      <alignment horizontal="center" wrapText="1"/>
    </xf>
    <xf numFmtId="187" fontId="1" fillId="12" borderId="6" xfId="0" applyNumberFormat="1" applyFont="1" applyFill="1" applyBorder="1" applyAlignment="1">
      <alignment horizontal="center" wrapText="1"/>
    </xf>
    <xf numFmtId="189" fontId="1" fillId="11" borderId="6" xfId="0" applyNumberFormat="1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P1000"/>
  <sheetViews>
    <sheetView tabSelected="1" view="pageBreakPreview" zoomScale="60" zoomScaleNormal="55" workbookViewId="0">
      <pane xSplit="2" ySplit="7" topLeftCell="C8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22.5703125" bestFit="1" customWidth="1"/>
    <col min="4" max="4" width="19.7109375" bestFit="1" customWidth="1"/>
    <col min="5" max="5" width="13.42578125" customWidth="1"/>
    <col min="6" max="6" width="20.140625" bestFit="1" customWidth="1"/>
    <col min="7" max="7" width="13.5703125" bestFit="1" customWidth="1"/>
    <col min="8" max="8" width="16.5703125" bestFit="1" customWidth="1"/>
    <col min="9" max="9" width="21.7109375" bestFit="1" customWidth="1"/>
    <col min="10" max="10" width="16.5703125" bestFit="1" customWidth="1"/>
    <col min="11" max="11" width="21.7109375" bestFit="1" customWidth="1"/>
    <col min="12" max="12" width="23.5703125" bestFit="1" customWidth="1"/>
    <col min="13" max="13" width="16.5703125" bestFit="1" customWidth="1"/>
    <col min="14" max="14" width="18.85546875" bestFit="1" customWidth="1"/>
    <col min="15" max="15" width="19" bestFit="1" customWidth="1"/>
    <col min="16" max="16" width="17.85546875" bestFit="1" customWidth="1"/>
    <col min="17" max="17" width="8.42578125" bestFit="1" customWidth="1"/>
    <col min="18" max="19" width="10.85546875" bestFit="1" customWidth="1"/>
    <col min="20" max="20" width="8" bestFit="1" customWidth="1"/>
    <col min="21" max="21" width="10.85546875" bestFit="1" customWidth="1"/>
    <col min="22" max="22" width="12.28515625" bestFit="1" customWidth="1"/>
    <col min="23" max="23" width="8" bestFit="1" customWidth="1"/>
    <col min="24" max="24" width="12.28515625" bestFit="1" customWidth="1"/>
    <col min="25" max="25" width="13.42578125" bestFit="1" customWidth="1"/>
    <col min="26" max="26" width="10.85546875" bestFit="1" customWidth="1"/>
    <col min="27" max="27" width="12.28515625" bestFit="1" customWidth="1"/>
    <col min="28" max="28" width="8.42578125" bestFit="1" customWidth="1"/>
    <col min="29" max="29" width="8" bestFit="1" customWidth="1"/>
    <col min="30" max="30" width="8.42578125" bestFit="1" customWidth="1"/>
    <col min="31" max="31" width="12.28515625" bestFit="1" customWidth="1"/>
    <col min="32" max="32" width="8" bestFit="1" customWidth="1"/>
    <col min="33" max="33" width="12.28515625" bestFit="1" customWidth="1"/>
    <col min="34" max="34" width="10.85546875" bestFit="1" customWidth="1"/>
    <col min="35" max="35" width="8" bestFit="1" customWidth="1"/>
    <col min="36" max="36" width="10.85546875" bestFit="1" customWidth="1"/>
    <col min="37" max="37" width="12.28515625" bestFit="1" customWidth="1"/>
    <col min="38" max="38" width="8" bestFit="1" customWidth="1"/>
    <col min="39" max="39" width="12.28515625" bestFit="1" customWidth="1"/>
    <col min="40" max="40" width="13.42578125" bestFit="1" customWidth="1"/>
    <col min="41" max="41" width="7.42578125" bestFit="1" customWidth="1"/>
    <col min="42" max="42" width="10.140625" bestFit="1" customWidth="1"/>
  </cols>
  <sheetData>
    <row r="1" spans="1:42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5"/>
      <c r="T1" s="5"/>
      <c r="U1" s="6"/>
      <c r="V1" s="7"/>
      <c r="W1" s="7"/>
      <c r="X1" s="7"/>
      <c r="Y1" s="6"/>
      <c r="Z1" s="6"/>
      <c r="AA1" s="6"/>
      <c r="AB1" s="6"/>
      <c r="AC1" s="6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</row>
    <row r="2" spans="1:42" ht="24" customHeight="1" x14ac:dyDescent="0.2">
      <c r="A2" s="179" t="s">
        <v>1</v>
      </c>
      <c r="B2" s="180"/>
      <c r="C2" s="9"/>
      <c r="D2" s="193" t="s">
        <v>2</v>
      </c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3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2" ht="30" customHeight="1" x14ac:dyDescent="0.2">
      <c r="A3" s="181"/>
      <c r="B3" s="180"/>
      <c r="C3" s="10"/>
      <c r="D3" s="194" t="s">
        <v>3</v>
      </c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90" t="s">
        <v>4</v>
      </c>
      <c r="T3" s="191"/>
      <c r="U3" s="191"/>
      <c r="V3" s="191"/>
      <c r="W3" s="191"/>
      <c r="X3" s="180"/>
      <c r="Y3" s="190" t="s">
        <v>5</v>
      </c>
      <c r="Z3" s="191"/>
      <c r="AA3" s="180"/>
      <c r="AB3" s="190" t="s">
        <v>6</v>
      </c>
      <c r="AC3" s="191"/>
      <c r="AD3" s="191"/>
      <c r="AE3" s="191"/>
      <c r="AF3" s="191"/>
      <c r="AG3" s="180"/>
      <c r="AH3" s="190" t="s">
        <v>7</v>
      </c>
      <c r="AI3" s="191"/>
      <c r="AJ3" s="191"/>
      <c r="AK3" s="191"/>
      <c r="AL3" s="191"/>
      <c r="AM3" s="180"/>
      <c r="AN3" s="190" t="s">
        <v>5</v>
      </c>
      <c r="AO3" s="191"/>
      <c r="AP3" s="180"/>
    </row>
    <row r="4" spans="1:42" ht="30" customHeight="1" x14ac:dyDescent="0.3">
      <c r="A4" s="181"/>
      <c r="B4" s="180"/>
      <c r="C4" s="184" t="s">
        <v>8</v>
      </c>
      <c r="D4" s="185"/>
      <c r="E4" s="183"/>
      <c r="F4" s="195" t="s">
        <v>9</v>
      </c>
      <c r="G4" s="183"/>
      <c r="H4" s="196" t="s">
        <v>10</v>
      </c>
      <c r="I4" s="185"/>
      <c r="J4" s="185"/>
      <c r="K4" s="185"/>
      <c r="L4" s="185"/>
      <c r="M4" s="185"/>
      <c r="N4" s="185"/>
      <c r="O4" s="185"/>
      <c r="P4" s="185"/>
      <c r="Q4" s="185"/>
      <c r="R4" s="183"/>
      <c r="S4" s="185"/>
      <c r="T4" s="185"/>
      <c r="U4" s="185"/>
      <c r="V4" s="185"/>
      <c r="W4" s="185"/>
      <c r="X4" s="183"/>
      <c r="Y4" s="185"/>
      <c r="Z4" s="185"/>
      <c r="AA4" s="183"/>
      <c r="AB4" s="185"/>
      <c r="AC4" s="185"/>
      <c r="AD4" s="185"/>
      <c r="AE4" s="185"/>
      <c r="AF4" s="185"/>
      <c r="AG4" s="183"/>
      <c r="AH4" s="185"/>
      <c r="AI4" s="185"/>
      <c r="AJ4" s="185"/>
      <c r="AK4" s="185"/>
      <c r="AL4" s="185"/>
      <c r="AM4" s="183"/>
      <c r="AN4" s="185"/>
      <c r="AO4" s="185"/>
      <c r="AP4" s="183"/>
    </row>
    <row r="5" spans="1:42" ht="37.5" customHeight="1" x14ac:dyDescent="0.3">
      <c r="A5" s="181"/>
      <c r="B5" s="180"/>
      <c r="C5" s="242" t="s">
        <v>11</v>
      </c>
      <c r="D5" s="243" t="s">
        <v>12</v>
      </c>
      <c r="E5" s="244" t="s">
        <v>13</v>
      </c>
      <c r="F5" s="11" t="s">
        <v>14</v>
      </c>
      <c r="G5" s="11" t="s">
        <v>15</v>
      </c>
      <c r="H5" s="246" t="s">
        <v>16</v>
      </c>
      <c r="I5" s="245"/>
      <c r="J5" s="254" t="s">
        <v>17</v>
      </c>
      <c r="K5" s="248"/>
      <c r="L5" s="245"/>
      <c r="M5" s="249" t="s">
        <v>18</v>
      </c>
      <c r="N5" s="249" t="s">
        <v>19</v>
      </c>
      <c r="O5" s="249" t="s">
        <v>20</v>
      </c>
      <c r="P5" s="249" t="s">
        <v>21</v>
      </c>
      <c r="Q5" s="250" t="s">
        <v>15</v>
      </c>
      <c r="R5" s="245"/>
      <c r="S5" s="188" t="s">
        <v>22</v>
      </c>
      <c r="T5" s="183"/>
      <c r="U5" s="189" t="s">
        <v>23</v>
      </c>
      <c r="V5" s="185"/>
      <c r="W5" s="185"/>
      <c r="X5" s="183"/>
      <c r="Y5" s="12" t="s">
        <v>22</v>
      </c>
      <c r="Z5" s="192" t="s">
        <v>23</v>
      </c>
      <c r="AA5" s="183"/>
      <c r="AB5" s="188" t="s">
        <v>22</v>
      </c>
      <c r="AC5" s="183"/>
      <c r="AD5" s="192" t="s">
        <v>23</v>
      </c>
      <c r="AE5" s="185"/>
      <c r="AF5" s="185"/>
      <c r="AG5" s="183"/>
      <c r="AH5" s="188" t="s">
        <v>22</v>
      </c>
      <c r="AI5" s="183"/>
      <c r="AJ5" s="192" t="s">
        <v>23</v>
      </c>
      <c r="AK5" s="185"/>
      <c r="AL5" s="185"/>
      <c r="AM5" s="183"/>
      <c r="AN5" s="12" t="s">
        <v>22</v>
      </c>
      <c r="AO5" s="192" t="s">
        <v>23</v>
      </c>
      <c r="AP5" s="183"/>
    </row>
    <row r="6" spans="1:42" ht="40.5" customHeight="1" x14ac:dyDescent="0.3">
      <c r="A6" s="182"/>
      <c r="B6" s="183"/>
      <c r="C6" s="245"/>
      <c r="D6" s="245"/>
      <c r="E6" s="245"/>
      <c r="F6" s="13"/>
      <c r="G6" s="13"/>
      <c r="H6" s="14" t="s">
        <v>24</v>
      </c>
      <c r="I6" s="15" t="s">
        <v>25</v>
      </c>
      <c r="J6" s="16" t="s">
        <v>24</v>
      </c>
      <c r="K6" s="255" t="s">
        <v>25</v>
      </c>
      <c r="L6" s="255" t="s">
        <v>26</v>
      </c>
      <c r="M6" s="17" t="s">
        <v>24</v>
      </c>
      <c r="N6" s="17" t="s">
        <v>24</v>
      </c>
      <c r="O6" s="17" t="s">
        <v>24</v>
      </c>
      <c r="P6" s="17" t="s">
        <v>24</v>
      </c>
      <c r="Q6" s="18" t="s">
        <v>24</v>
      </c>
      <c r="R6" s="19" t="s">
        <v>27</v>
      </c>
      <c r="S6" s="20" t="s">
        <v>28</v>
      </c>
      <c r="T6" s="20" t="s">
        <v>29</v>
      </c>
      <c r="U6" s="21" t="s">
        <v>28</v>
      </c>
      <c r="V6" s="22" t="s">
        <v>27</v>
      </c>
      <c r="W6" s="21" t="s">
        <v>29</v>
      </c>
      <c r="X6" s="22" t="s">
        <v>27</v>
      </c>
      <c r="Y6" s="20" t="s">
        <v>28</v>
      </c>
      <c r="Z6" s="21" t="s">
        <v>28</v>
      </c>
      <c r="AA6" s="22" t="s">
        <v>27</v>
      </c>
      <c r="AB6" s="20" t="s">
        <v>28</v>
      </c>
      <c r="AC6" s="20" t="s">
        <v>29</v>
      </c>
      <c r="AD6" s="21" t="s">
        <v>28</v>
      </c>
      <c r="AE6" s="22" t="s">
        <v>27</v>
      </c>
      <c r="AF6" s="21" t="s">
        <v>29</v>
      </c>
      <c r="AG6" s="22" t="s">
        <v>27</v>
      </c>
      <c r="AH6" s="20" t="s">
        <v>28</v>
      </c>
      <c r="AI6" s="20" t="s">
        <v>29</v>
      </c>
      <c r="AJ6" s="21" t="s">
        <v>28</v>
      </c>
      <c r="AK6" s="22" t="s">
        <v>27</v>
      </c>
      <c r="AL6" s="21" t="s">
        <v>29</v>
      </c>
      <c r="AM6" s="22" t="s">
        <v>27</v>
      </c>
      <c r="AN6" s="20" t="s">
        <v>28</v>
      </c>
      <c r="AO6" s="21" t="s">
        <v>28</v>
      </c>
      <c r="AP6" s="22" t="s">
        <v>27</v>
      </c>
    </row>
    <row r="7" spans="1:42" ht="24" customHeight="1" x14ac:dyDescent="0.3">
      <c r="A7" s="175" t="s">
        <v>252</v>
      </c>
      <c r="B7" s="176"/>
      <c r="C7" s="23">
        <f t="shared" ref="C7:H7" ca="1" si="0">C8+C9</f>
        <v>8993000</v>
      </c>
      <c r="D7" s="24">
        <f t="shared" ca="1" si="0"/>
        <v>8993000</v>
      </c>
      <c r="E7" s="25">
        <f t="shared" ca="1" si="0"/>
        <v>0</v>
      </c>
      <c r="F7" s="25">
        <f t="shared" ca="1" si="0"/>
        <v>8993000</v>
      </c>
      <c r="G7" s="25">
        <f t="shared" ca="1" si="0"/>
        <v>0</v>
      </c>
      <c r="H7" s="26">
        <f t="shared" ca="1" si="0"/>
        <v>6012800.2999999998</v>
      </c>
      <c r="I7" s="27">
        <f t="shared" ref="I7:I116" ca="1" si="1">IF(D7&gt;0,H7*100/D7,0)</f>
        <v>66.860895140664965</v>
      </c>
      <c r="J7" s="26">
        <f ca="1">J8+J9</f>
        <v>6012800.2999999998</v>
      </c>
      <c r="K7" s="27">
        <f t="shared" ref="K7:K10" ca="1" si="2">IF(D7&gt;0,J7*100/D7,0)</f>
        <v>66.860895140664965</v>
      </c>
      <c r="L7" s="27">
        <f t="shared" ref="L7:L10" ca="1" si="3">IF(F7&gt;0,J7*100/F7,0)</f>
        <v>66.860895140664965</v>
      </c>
      <c r="M7" s="26">
        <f t="shared" ref="M7:Q7" ca="1" si="4">M8+M9</f>
        <v>4542227.4000000004</v>
      </c>
      <c r="N7" s="26">
        <f t="shared" ca="1" si="4"/>
        <v>19572</v>
      </c>
      <c r="O7" s="26">
        <f t="shared" ca="1" si="4"/>
        <v>0</v>
      </c>
      <c r="P7" s="26">
        <f t="shared" ca="1" si="4"/>
        <v>1451000.9</v>
      </c>
      <c r="Q7" s="28">
        <f t="shared" ca="1" si="4"/>
        <v>0</v>
      </c>
      <c r="R7" s="28">
        <f ca="1">IF(E7&gt;0,Q7*100/E7,0)</f>
        <v>0</v>
      </c>
      <c r="S7" s="29">
        <f t="shared" ref="S7:U7" ca="1" si="5">S8</f>
        <v>2000</v>
      </c>
      <c r="T7" s="29">
        <f t="shared" ca="1" si="5"/>
        <v>88</v>
      </c>
      <c r="U7" s="30">
        <f t="shared" ca="1" si="5"/>
        <v>1890</v>
      </c>
      <c r="V7" s="31">
        <f t="shared" ref="V7:V8" ca="1" si="6">IF(S7&gt;0,U7*100/S7,0)</f>
        <v>94.5</v>
      </c>
      <c r="W7" s="30">
        <f ca="1">W8</f>
        <v>86</v>
      </c>
      <c r="X7" s="31">
        <f t="shared" ref="X7:X88" ca="1" si="7">IF(T7&gt;0,W7*100/T7,0)</f>
        <v>97.727272727272734</v>
      </c>
      <c r="Y7" s="29">
        <f t="shared" ref="Y7:Z7" ca="1" si="8">Y8</f>
        <v>2000</v>
      </c>
      <c r="Z7" s="30">
        <f t="shared" ca="1" si="8"/>
        <v>2001</v>
      </c>
      <c r="AA7" s="31">
        <f t="shared" ref="AA7:AA8" ca="1" si="9">IF(Y7&gt;0,Z7*100/Y7,0)</f>
        <v>100.05</v>
      </c>
      <c r="AB7" s="29">
        <f t="shared" ref="AB7:AD7" ca="1" si="10">AB8</f>
        <v>600</v>
      </c>
      <c r="AC7" s="29">
        <f t="shared" ca="1" si="10"/>
        <v>15</v>
      </c>
      <c r="AD7" s="30">
        <f t="shared" ca="1" si="10"/>
        <v>615</v>
      </c>
      <c r="AE7" s="31">
        <f t="shared" ref="AE7:AE8" ca="1" si="11">IF(AB7&gt;0,AD7*100/AB7,0)</f>
        <v>102.5</v>
      </c>
      <c r="AF7" s="30">
        <f ca="1">AF8</f>
        <v>15</v>
      </c>
      <c r="AG7" s="31">
        <f t="shared" ref="AG7:AG88" ca="1" si="12">IF(AC7&gt;0,AF7*100/AC7,0)</f>
        <v>100</v>
      </c>
      <c r="AH7" s="29">
        <f t="shared" ref="AH7:AJ7" ca="1" si="13">AH8</f>
        <v>1400</v>
      </c>
      <c r="AI7" s="29">
        <f t="shared" ca="1" si="13"/>
        <v>73</v>
      </c>
      <c r="AJ7" s="30">
        <f t="shared" ca="1" si="13"/>
        <v>1341</v>
      </c>
      <c r="AK7" s="31">
        <f t="shared" ref="AK7:AK8" ca="1" si="14">IF(AH7&gt;0,AJ7*100/AH7,0)</f>
        <v>95.785714285714292</v>
      </c>
      <c r="AL7" s="30">
        <f ca="1">AL8</f>
        <v>71</v>
      </c>
      <c r="AM7" s="31">
        <f t="shared" ref="AM7:AM88" ca="1" si="15">IF(AI7&gt;0,AL7*100/AI7,0)</f>
        <v>97.260273972602747</v>
      </c>
      <c r="AN7" s="29">
        <f t="shared" ref="AN7:AO7" ca="1" si="16">AN8</f>
        <v>0</v>
      </c>
      <c r="AO7" s="30">
        <f t="shared" ca="1" si="16"/>
        <v>0</v>
      </c>
      <c r="AP7" s="31">
        <f t="shared" ref="AP7:AP8" ca="1" si="17">IF(AN7&gt;0,AO7*100/AN7,0)</f>
        <v>0</v>
      </c>
    </row>
    <row r="8" spans="1:42" ht="28.5" customHeight="1" x14ac:dyDescent="0.3">
      <c r="A8" s="32" t="s">
        <v>30</v>
      </c>
      <c r="B8" s="33"/>
      <c r="C8" s="34">
        <f t="shared" ref="C8:H8" ca="1" si="18">+C13+C31+C52+C74</f>
        <v>7687220</v>
      </c>
      <c r="D8" s="34">
        <f t="shared" ca="1" si="18"/>
        <v>7687220</v>
      </c>
      <c r="E8" s="34">
        <f t="shared" ca="1" si="18"/>
        <v>0</v>
      </c>
      <c r="F8" s="34">
        <f t="shared" ca="1" si="18"/>
        <v>7652905</v>
      </c>
      <c r="G8" s="34">
        <f t="shared" ca="1" si="18"/>
        <v>0</v>
      </c>
      <c r="H8" s="34">
        <f t="shared" ca="1" si="18"/>
        <v>5815853.6099999994</v>
      </c>
      <c r="I8" s="35">
        <f t="shared" ca="1" si="1"/>
        <v>75.656135898283125</v>
      </c>
      <c r="J8" s="34">
        <f ca="1">+J13+J31+J52+J74</f>
        <v>5815853.6099999994</v>
      </c>
      <c r="K8" s="35">
        <f t="shared" ca="1" si="2"/>
        <v>75.656135898283125</v>
      </c>
      <c r="L8" s="35">
        <f t="shared" ca="1" si="3"/>
        <v>75.995371822856811</v>
      </c>
      <c r="M8" s="34">
        <f t="shared" ref="M8:U8" ca="1" si="19">+M13+M31+M52+M74</f>
        <v>4542227.4000000004</v>
      </c>
      <c r="N8" s="34">
        <f t="shared" ca="1" si="19"/>
        <v>19572</v>
      </c>
      <c r="O8" s="34">
        <f t="shared" ca="1" si="19"/>
        <v>0</v>
      </c>
      <c r="P8" s="34">
        <f t="shared" ca="1" si="19"/>
        <v>1254054.21</v>
      </c>
      <c r="Q8" s="36">
        <f t="shared" ca="1" si="19"/>
        <v>0</v>
      </c>
      <c r="R8" s="36">
        <f t="shared" ca="1" si="19"/>
        <v>0</v>
      </c>
      <c r="S8" s="34">
        <f t="shared" ca="1" si="19"/>
        <v>2000</v>
      </c>
      <c r="T8" s="34">
        <f t="shared" ca="1" si="19"/>
        <v>88</v>
      </c>
      <c r="U8" s="34">
        <f t="shared" ca="1" si="19"/>
        <v>1890</v>
      </c>
      <c r="V8" s="37">
        <f t="shared" ca="1" si="6"/>
        <v>94.5</v>
      </c>
      <c r="W8" s="34">
        <f ca="1">+W13+W31+W52+W74</f>
        <v>86</v>
      </c>
      <c r="X8" s="37">
        <f t="shared" ca="1" si="7"/>
        <v>97.727272727272734</v>
      </c>
      <c r="Y8" s="34">
        <f t="shared" ref="Y8:Z8" ca="1" si="20">+Y13+Y31+Y52+Y74</f>
        <v>2000</v>
      </c>
      <c r="Z8" s="34">
        <f t="shared" ca="1" si="20"/>
        <v>2001</v>
      </c>
      <c r="AA8" s="37">
        <f t="shared" ca="1" si="9"/>
        <v>100.05</v>
      </c>
      <c r="AB8" s="34">
        <f t="shared" ref="AB8:AD8" ca="1" si="21">+AB13+AB31+AB52+AB74</f>
        <v>600</v>
      </c>
      <c r="AC8" s="34">
        <f t="shared" ca="1" si="21"/>
        <v>15</v>
      </c>
      <c r="AD8" s="34">
        <f t="shared" ca="1" si="21"/>
        <v>615</v>
      </c>
      <c r="AE8" s="37">
        <f t="shared" ca="1" si="11"/>
        <v>102.5</v>
      </c>
      <c r="AF8" s="34">
        <f ca="1">+AF13+AF31+AF52+AF74</f>
        <v>15</v>
      </c>
      <c r="AG8" s="37">
        <f t="shared" ca="1" si="12"/>
        <v>100</v>
      </c>
      <c r="AH8" s="34">
        <f t="shared" ref="AH8:AJ8" ca="1" si="22">+AH13+AH31+AH52+AH74</f>
        <v>1400</v>
      </c>
      <c r="AI8" s="34">
        <f t="shared" ca="1" si="22"/>
        <v>73</v>
      </c>
      <c r="AJ8" s="34">
        <f t="shared" ca="1" si="22"/>
        <v>1341</v>
      </c>
      <c r="AK8" s="37">
        <f t="shared" ca="1" si="14"/>
        <v>95.785714285714292</v>
      </c>
      <c r="AL8" s="34">
        <f ca="1">+AL13+AL31+AL52+AL74</f>
        <v>71</v>
      </c>
      <c r="AM8" s="37">
        <f t="shared" ca="1" si="15"/>
        <v>97.260273972602747</v>
      </c>
      <c r="AN8" s="34">
        <f t="shared" ref="AN8:AO8" ca="1" si="23">+AN13+AN31+AN52+AN74</f>
        <v>0</v>
      </c>
      <c r="AO8" s="34">
        <f t="shared" ca="1" si="23"/>
        <v>0</v>
      </c>
      <c r="AP8" s="37">
        <f t="shared" ca="1" si="17"/>
        <v>0</v>
      </c>
    </row>
    <row r="9" spans="1:42" ht="28.5" customHeight="1" x14ac:dyDescent="0.3">
      <c r="A9" s="38" t="s">
        <v>253</v>
      </c>
      <c r="B9" s="39"/>
      <c r="C9" s="40">
        <f t="shared" ref="C9:F9" ca="1" si="24">+C10+C11</f>
        <v>1305780</v>
      </c>
      <c r="D9" s="40">
        <f t="shared" ca="1" si="24"/>
        <v>1305780</v>
      </c>
      <c r="E9" s="40">
        <f t="shared" si="24"/>
        <v>0</v>
      </c>
      <c r="F9" s="40">
        <f t="shared" ca="1" si="24"/>
        <v>1340095</v>
      </c>
      <c r="G9" s="40">
        <v>0</v>
      </c>
      <c r="H9" s="40">
        <f ca="1">H10+H11</f>
        <v>196946.69</v>
      </c>
      <c r="I9" s="41">
        <f t="shared" ca="1" si="1"/>
        <v>15.082685444715036</v>
      </c>
      <c r="J9" s="40">
        <f ca="1">J10+J11</f>
        <v>196946.69</v>
      </c>
      <c r="K9" s="41">
        <f t="shared" ca="1" si="2"/>
        <v>15.082685444715036</v>
      </c>
      <c r="L9" s="41">
        <f t="shared" ca="1" si="3"/>
        <v>14.696472265025987</v>
      </c>
      <c r="M9" s="40">
        <v>0</v>
      </c>
      <c r="N9" s="40">
        <v>0</v>
      </c>
      <c r="O9" s="40">
        <v>0</v>
      </c>
      <c r="P9" s="40">
        <f ca="1">P10+P11</f>
        <v>196946.69</v>
      </c>
      <c r="Q9" s="42">
        <v>0</v>
      </c>
      <c r="R9" s="42">
        <f t="shared" ref="R9:R11" si="25">IF(E9&gt;0,Q9*100/E9,0)</f>
        <v>0</v>
      </c>
      <c r="S9" s="43"/>
      <c r="T9" s="43"/>
      <c r="U9" s="43"/>
      <c r="V9" s="44"/>
      <c r="W9" s="43"/>
      <c r="X9" s="44">
        <f t="shared" si="7"/>
        <v>0</v>
      </c>
      <c r="Y9" s="43"/>
      <c r="Z9" s="43"/>
      <c r="AA9" s="44"/>
      <c r="AB9" s="43"/>
      <c r="AC9" s="43"/>
      <c r="AD9" s="43"/>
      <c r="AE9" s="44"/>
      <c r="AF9" s="43"/>
      <c r="AG9" s="44">
        <f t="shared" si="12"/>
        <v>0</v>
      </c>
      <c r="AH9" s="43"/>
      <c r="AI9" s="43"/>
      <c r="AJ9" s="43"/>
      <c r="AK9" s="44"/>
      <c r="AL9" s="43"/>
      <c r="AM9" s="44">
        <f t="shared" si="15"/>
        <v>0</v>
      </c>
      <c r="AN9" s="43"/>
      <c r="AO9" s="43"/>
      <c r="AP9" s="44"/>
    </row>
    <row r="10" spans="1:42" ht="28.5" hidden="1" customHeight="1" x14ac:dyDescent="0.3">
      <c r="A10" s="38" t="s">
        <v>31</v>
      </c>
      <c r="B10" s="45"/>
      <c r="C10" s="40">
        <f ca="1">D10+E10</f>
        <v>1305780</v>
      </c>
      <c r="D10" s="40">
        <f ca="1">IFERROR(__xludf.DUMMYFUNCTION("IMPORTRANGE(""https://docs.google.com/spreadsheets/d/1QqKyyYR6Q21VydFLVH3TRQUabQu_ym0Zz7PgGX0-kHA/edit?usp=sharing"",""แผน!EX11"")"),1305780)</f>
        <v>1305780</v>
      </c>
      <c r="E10" s="40">
        <v>0</v>
      </c>
      <c r="F10" s="40">
        <f ca="1">IFERROR(__xludf.DUMMYFUNCTION("IMPORTRANGE(""https://docs.google.com/spreadsheets/d/1vlyYR5_sXdhqA0JyobsBDu7xVmIqJT30I2qHLqWgZQ4/edit?usp=sharing"",""ทั้งประเทศ!M423"")"),1340095)</f>
        <v>1340095</v>
      </c>
      <c r="G10" s="40">
        <v>0</v>
      </c>
      <c r="H10" s="40">
        <f t="shared" ref="H10:H116" ca="1" si="26">J10+Q10</f>
        <v>196946.69</v>
      </c>
      <c r="I10" s="41">
        <f t="shared" ca="1" si="1"/>
        <v>15.082685444715036</v>
      </c>
      <c r="J10" s="40">
        <f ca="1">M10+N10+O10+P10</f>
        <v>196946.69</v>
      </c>
      <c r="K10" s="41">
        <f t="shared" ca="1" si="2"/>
        <v>15.082685444715036</v>
      </c>
      <c r="L10" s="41">
        <f t="shared" ca="1" si="3"/>
        <v>14.696472265025987</v>
      </c>
      <c r="M10" s="40">
        <v>0</v>
      </c>
      <c r="N10" s="40">
        <v>0</v>
      </c>
      <c r="O10" s="40">
        <v>0</v>
      </c>
      <c r="P10" s="40">
        <f ca="1">IFERROR(__xludf.DUMMYFUNCTION("IMPORTRANGE(""https://docs.google.com/spreadsheets/d/1WhzDrMlrZfqSjGYJh0xYjRtGVhp5LiCqlO7EaAHfOOk/edit#gid=0"",""Sheet1!I13"")"),196946.69)</f>
        <v>196946.69</v>
      </c>
      <c r="Q10" s="42">
        <v>0</v>
      </c>
      <c r="R10" s="42">
        <f t="shared" si="25"/>
        <v>0</v>
      </c>
      <c r="S10" s="43"/>
      <c r="T10" s="43"/>
      <c r="U10" s="43"/>
      <c r="V10" s="44"/>
      <c r="W10" s="43"/>
      <c r="X10" s="44">
        <f t="shared" si="7"/>
        <v>0</v>
      </c>
      <c r="Y10" s="43"/>
      <c r="Z10" s="43"/>
      <c r="AA10" s="44"/>
      <c r="AB10" s="43"/>
      <c r="AC10" s="43"/>
      <c r="AD10" s="43"/>
      <c r="AE10" s="44"/>
      <c r="AF10" s="43"/>
      <c r="AG10" s="44">
        <f t="shared" si="12"/>
        <v>0</v>
      </c>
      <c r="AH10" s="43"/>
      <c r="AI10" s="43"/>
      <c r="AJ10" s="43"/>
      <c r="AK10" s="44"/>
      <c r="AL10" s="43"/>
      <c r="AM10" s="44">
        <f t="shared" si="15"/>
        <v>0</v>
      </c>
      <c r="AN10" s="43"/>
      <c r="AO10" s="43"/>
      <c r="AP10" s="44"/>
    </row>
    <row r="11" spans="1:42" ht="28.5" hidden="1" customHeight="1" x14ac:dyDescent="0.3">
      <c r="A11" s="46" t="s">
        <v>32</v>
      </c>
      <c r="B11" s="45"/>
      <c r="C11" s="40">
        <f>+C104</f>
        <v>0</v>
      </c>
      <c r="D11" s="40">
        <v>0</v>
      </c>
      <c r="E11" s="40">
        <v>0</v>
      </c>
      <c r="F11" s="40">
        <v>0</v>
      </c>
      <c r="G11" s="40">
        <v>0</v>
      </c>
      <c r="H11" s="40">
        <f t="shared" si="26"/>
        <v>0</v>
      </c>
      <c r="I11" s="41">
        <f t="shared" si="1"/>
        <v>0</v>
      </c>
      <c r="J11" s="40">
        <v>0</v>
      </c>
      <c r="K11" s="40">
        <v>0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2">
        <v>0</v>
      </c>
      <c r="R11" s="42">
        <f t="shared" si="25"/>
        <v>0</v>
      </c>
      <c r="S11" s="43"/>
      <c r="T11" s="43"/>
      <c r="U11" s="43"/>
      <c r="V11" s="44"/>
      <c r="W11" s="43"/>
      <c r="X11" s="44">
        <f t="shared" si="7"/>
        <v>0</v>
      </c>
      <c r="Y11" s="43"/>
      <c r="Z11" s="43"/>
      <c r="AA11" s="44"/>
      <c r="AB11" s="43"/>
      <c r="AC11" s="43"/>
      <c r="AD11" s="43"/>
      <c r="AE11" s="44"/>
      <c r="AF11" s="43"/>
      <c r="AG11" s="44">
        <f t="shared" si="12"/>
        <v>0</v>
      </c>
      <c r="AH11" s="43"/>
      <c r="AI11" s="43"/>
      <c r="AJ11" s="43"/>
      <c r="AK11" s="44"/>
      <c r="AL11" s="43"/>
      <c r="AM11" s="44">
        <f t="shared" si="15"/>
        <v>0</v>
      </c>
      <c r="AN11" s="43"/>
      <c r="AO11" s="43"/>
      <c r="AP11" s="44"/>
    </row>
    <row r="12" spans="1:42" ht="28.5" hidden="1" customHeight="1" x14ac:dyDescent="0.3">
      <c r="A12" s="47" t="s">
        <v>33</v>
      </c>
      <c r="B12" s="48"/>
      <c r="C12" s="49">
        <v>0</v>
      </c>
      <c r="D12" s="49">
        <v>0</v>
      </c>
      <c r="E12" s="49">
        <v>0</v>
      </c>
      <c r="F12" s="50"/>
      <c r="G12" s="50"/>
      <c r="H12" s="49">
        <f t="shared" si="26"/>
        <v>0</v>
      </c>
      <c r="I12" s="51">
        <f t="shared" si="1"/>
        <v>0</v>
      </c>
      <c r="J12" s="49">
        <v>0</v>
      </c>
      <c r="K12" s="50"/>
      <c r="L12" s="50"/>
      <c r="M12" s="49">
        <v>0</v>
      </c>
      <c r="N12" s="49">
        <v>0</v>
      </c>
      <c r="O12" s="49">
        <v>0</v>
      </c>
      <c r="P12" s="49">
        <v>0</v>
      </c>
      <c r="Q12" s="52">
        <v>0</v>
      </c>
      <c r="R12" s="52"/>
      <c r="S12" s="49">
        <v>0</v>
      </c>
      <c r="T12" s="49">
        <v>0</v>
      </c>
      <c r="U12" s="49">
        <v>0</v>
      </c>
      <c r="V12" s="53">
        <f t="shared" ref="V12:V88" si="27">IF(S12&gt;0,U12*100/S12,0)</f>
        <v>0</v>
      </c>
      <c r="W12" s="49">
        <v>0</v>
      </c>
      <c r="X12" s="53">
        <f t="shared" si="7"/>
        <v>0</v>
      </c>
      <c r="Y12" s="49">
        <v>0</v>
      </c>
      <c r="Z12" s="49">
        <v>0</v>
      </c>
      <c r="AA12" s="53">
        <f t="shared" ref="AA12:AA88" si="28">IF(Y12&gt;0,Z12*100/Y12,0)</f>
        <v>0</v>
      </c>
      <c r="AB12" s="49">
        <v>0</v>
      </c>
      <c r="AC12" s="49">
        <v>0</v>
      </c>
      <c r="AD12" s="49">
        <v>0</v>
      </c>
      <c r="AE12" s="53">
        <f t="shared" ref="AE12:AE88" si="29">IF(AB12&gt;0,AD12*100/AB12,0)</f>
        <v>0</v>
      </c>
      <c r="AF12" s="49">
        <v>0</v>
      </c>
      <c r="AG12" s="53">
        <f t="shared" si="12"/>
        <v>0</v>
      </c>
      <c r="AH12" s="49">
        <v>0</v>
      </c>
      <c r="AI12" s="49">
        <v>0</v>
      </c>
      <c r="AJ12" s="49">
        <v>0</v>
      </c>
      <c r="AK12" s="53">
        <f t="shared" ref="AK12:AK88" si="30">IF(AH12&gt;0,AJ12*100/AH12,0)</f>
        <v>0</v>
      </c>
      <c r="AL12" s="49">
        <v>0</v>
      </c>
      <c r="AM12" s="53">
        <f t="shared" si="15"/>
        <v>0</v>
      </c>
      <c r="AN12" s="49">
        <v>0</v>
      </c>
      <c r="AO12" s="49">
        <v>0</v>
      </c>
      <c r="AP12" s="53">
        <f t="shared" ref="AP12:AP88" si="31">IF(AN12&gt;0,AO12*100/AN12,0)</f>
        <v>0</v>
      </c>
    </row>
    <row r="13" spans="1:42" ht="28.5" customHeight="1" x14ac:dyDescent="0.3">
      <c r="A13" s="177" t="s">
        <v>34</v>
      </c>
      <c r="B13" s="178"/>
      <c r="C13" s="34">
        <f t="shared" ref="C13:G13" ca="1" si="32">SUM(C14:C30)</f>
        <v>2277950</v>
      </c>
      <c r="D13" s="34">
        <f t="shared" ca="1" si="32"/>
        <v>2277950</v>
      </c>
      <c r="E13" s="34">
        <f t="shared" ca="1" si="32"/>
        <v>0</v>
      </c>
      <c r="F13" s="34">
        <f t="shared" ca="1" si="32"/>
        <v>2277950</v>
      </c>
      <c r="G13" s="34">
        <f t="shared" ca="1" si="32"/>
        <v>0</v>
      </c>
      <c r="H13" s="34">
        <f t="shared" ca="1" si="26"/>
        <v>1794374</v>
      </c>
      <c r="I13" s="35">
        <f t="shared" ca="1" si="1"/>
        <v>78.771439232643388</v>
      </c>
      <c r="J13" s="34">
        <f ca="1">SUM(J14:J30)</f>
        <v>1794374</v>
      </c>
      <c r="K13" s="35">
        <f t="shared" ref="K13:K88" ca="1" si="33">IF(D13&gt;0,J13*100/D13,0)</f>
        <v>78.771439232643388</v>
      </c>
      <c r="L13" s="35">
        <f t="shared" ref="L13:L88" ca="1" si="34">IF(F13&gt;0,J13*100/F13,0)</f>
        <v>78.771439232643388</v>
      </c>
      <c r="M13" s="34">
        <f t="shared" ref="M13:Q13" ca="1" si="35">SUM(M14:M30)</f>
        <v>1504524</v>
      </c>
      <c r="N13" s="34">
        <f t="shared" ca="1" si="35"/>
        <v>0</v>
      </c>
      <c r="O13" s="34">
        <f t="shared" ca="1" si="35"/>
        <v>0</v>
      </c>
      <c r="P13" s="34">
        <f t="shared" ca="1" si="35"/>
        <v>289850</v>
      </c>
      <c r="Q13" s="36">
        <f t="shared" ca="1" si="35"/>
        <v>0</v>
      </c>
      <c r="R13" s="36">
        <f t="shared" ref="R13:R116" ca="1" si="36">IF(E13&gt;0,Q13*100/E13,0)</f>
        <v>0</v>
      </c>
      <c r="S13" s="34">
        <f t="shared" ref="S13:U13" ca="1" si="37">SUM(S14:S30)</f>
        <v>630</v>
      </c>
      <c r="T13" s="34">
        <f t="shared" ca="1" si="37"/>
        <v>24</v>
      </c>
      <c r="U13" s="34">
        <f t="shared" ca="1" si="37"/>
        <v>630</v>
      </c>
      <c r="V13" s="37">
        <f t="shared" ca="1" si="27"/>
        <v>100</v>
      </c>
      <c r="W13" s="34">
        <f ca="1">SUM(W14:W30)</f>
        <v>23</v>
      </c>
      <c r="X13" s="37">
        <f t="shared" ca="1" si="7"/>
        <v>95.833333333333329</v>
      </c>
      <c r="Y13" s="34">
        <f t="shared" ref="Y13:Z13" ca="1" si="38">SUM(Y14:Y30)</f>
        <v>630</v>
      </c>
      <c r="Z13" s="34">
        <f t="shared" ca="1" si="38"/>
        <v>630</v>
      </c>
      <c r="AA13" s="37">
        <f t="shared" ca="1" si="28"/>
        <v>100</v>
      </c>
      <c r="AB13" s="34">
        <f t="shared" ref="AB13:AD13" ca="1" si="39">SUM(AB14:AB30)</f>
        <v>280</v>
      </c>
      <c r="AC13" s="34">
        <f t="shared" ca="1" si="39"/>
        <v>7</v>
      </c>
      <c r="AD13" s="34">
        <f t="shared" ca="1" si="39"/>
        <v>280</v>
      </c>
      <c r="AE13" s="37">
        <f t="shared" ca="1" si="29"/>
        <v>100</v>
      </c>
      <c r="AF13" s="34">
        <f ca="1">SUM(AF14:AF30)</f>
        <v>7</v>
      </c>
      <c r="AG13" s="37">
        <f t="shared" ca="1" si="12"/>
        <v>100</v>
      </c>
      <c r="AH13" s="34">
        <f t="shared" ref="AH13:AJ13" ca="1" si="40">SUM(AH14:AH30)</f>
        <v>350</v>
      </c>
      <c r="AI13" s="34">
        <f t="shared" ca="1" si="40"/>
        <v>17</v>
      </c>
      <c r="AJ13" s="34">
        <f t="shared" ca="1" si="40"/>
        <v>350</v>
      </c>
      <c r="AK13" s="37">
        <f t="shared" ca="1" si="30"/>
        <v>100</v>
      </c>
      <c r="AL13" s="34">
        <f ca="1">SUM(AL14:AL30)</f>
        <v>16</v>
      </c>
      <c r="AM13" s="37">
        <f t="shared" ca="1" si="15"/>
        <v>94.117647058823536</v>
      </c>
      <c r="AN13" s="34">
        <f t="shared" ref="AN13:AO13" ca="1" si="41">SUM(AN14:AN30)</f>
        <v>0</v>
      </c>
      <c r="AO13" s="34">
        <f t="shared" ca="1" si="41"/>
        <v>0</v>
      </c>
      <c r="AP13" s="37">
        <f t="shared" ca="1" si="31"/>
        <v>0</v>
      </c>
    </row>
    <row r="14" spans="1:42" ht="24" customHeight="1" x14ac:dyDescent="0.3">
      <c r="A14" s="54">
        <v>1</v>
      </c>
      <c r="B14" s="55" t="s">
        <v>35</v>
      </c>
      <c r="C14" s="56">
        <f t="shared" ref="C14:C30" ca="1" si="42">D14+E14</f>
        <v>188600</v>
      </c>
      <c r="D14" s="57">
        <f ca="1">IFERROR(__xludf.DUMMYFUNCTION("IMPORTRANGE(""https://docs.google.com/spreadsheets/d/1KxicF4apzSqm0-jIpmueT4kyZtE-Cwn5zskl7GD4loQ/edit?usp=sharing"",""กำแพงเพชร!L424"")"),188600)</f>
        <v>188600</v>
      </c>
      <c r="E14" s="57">
        <f ca="1">IFERROR(__xludf.DUMMYFUNCTION("IMPORTRANGE(""https://docs.google.com/spreadsheets/d/1KxicF4apzSqm0-jIpmueT4kyZtE-Cwn5zskl7GD4loQ/edit?usp=sharing"",""กำแพงเพชร!L431"")"),0)</f>
        <v>0</v>
      </c>
      <c r="F14" s="57">
        <f ca="1">IFERROR(__xludf.DUMMYFUNCTION("IMPORTRANGE(""https://docs.google.com/spreadsheets/d/1KxicF4apzSqm0-jIpmueT4kyZtE-Cwn5zskl7GD4loQ/edit?usp=sharing"",""กำแพงเพชร!M424"")"),188600)</f>
        <v>188600</v>
      </c>
      <c r="G14" s="57">
        <f ca="1">IFERROR(__xludf.DUMMYFUNCTION("IMPORTRANGE(""https://docs.google.com/spreadsheets/d/1KxicF4apzSqm0-jIpmueT4kyZtE-Cwn5zskl7GD4loQ/edit?usp=sharing"",""กำแพงเพชร!M431"")"),0)</f>
        <v>0</v>
      </c>
      <c r="H14" s="58">
        <f t="shared" ca="1" si="26"/>
        <v>172700</v>
      </c>
      <c r="I14" s="59">
        <f t="shared" ca="1" si="1"/>
        <v>91.569459172852604</v>
      </c>
      <c r="J14" s="60">
        <f t="shared" ref="J14:J30" ca="1" si="43">M14+N14+O14+P14</f>
        <v>172700</v>
      </c>
      <c r="K14" s="61">
        <f t="shared" ca="1" si="33"/>
        <v>91.569459172852604</v>
      </c>
      <c r="L14" s="61">
        <f t="shared" ca="1" si="34"/>
        <v>91.569459172852604</v>
      </c>
      <c r="M14" s="57">
        <f ca="1">IFERROR(__xludf.DUMMYFUNCTION("IMPORTRANGE(""https://docs.google.com/spreadsheets/d/1KxicF4apzSqm0-jIpmueT4kyZtE-Cwn5zskl7GD4loQ/edit?usp=sharing"",""กำแพงเพชร!N425"")"),158340)</f>
        <v>158340</v>
      </c>
      <c r="N14" s="57">
        <f ca="1">IFERROR(__xludf.DUMMYFUNCTION("IMPORTRANGE(""https://docs.google.com/spreadsheets/d/1KxicF4apzSqm0-jIpmueT4kyZtE-Cwn5zskl7GD4loQ/edit?usp=sharing"",""กำแพงเพชร!N426"")"),0)</f>
        <v>0</v>
      </c>
      <c r="O14" s="57">
        <f ca="1">IFERROR(__xludf.DUMMYFUNCTION("IMPORTRANGE(""https://docs.google.com/spreadsheets/d/1KxicF4apzSqm0-jIpmueT4kyZtE-Cwn5zskl7GD4loQ/edit?usp=sharing"",""กำแพงเพชร!N427"")"),0)</f>
        <v>0</v>
      </c>
      <c r="P14" s="57">
        <f ca="1">IFERROR(__xludf.DUMMYFUNCTION("IMPORTRANGE(""https://docs.google.com/spreadsheets/d/1KxicF4apzSqm0-jIpmueT4kyZtE-Cwn5zskl7GD4loQ/edit?usp=sharing"",""กำแพงเพชร!N428"")"),14360)</f>
        <v>14360</v>
      </c>
      <c r="Q14" s="62">
        <f ca="1">IFERROR(__xludf.DUMMYFUNCTION("IMPORTRANGE(""https://docs.google.com/spreadsheets/d/1KxicF4apzSqm0-jIpmueT4kyZtE-Cwn5zskl7GD4loQ/edit?usp=sharing"",""กำแพงเพชร!N431"")"),0)</f>
        <v>0</v>
      </c>
      <c r="R14" s="62">
        <f t="shared" ca="1" si="36"/>
        <v>0</v>
      </c>
      <c r="S14" s="57">
        <f ca="1">IFERROR(__xludf.DUMMYFUNCTION("IMPORTRANGE(""https://docs.google.com/spreadsheets/d/1KxicF4apzSqm0-jIpmueT4kyZtE-Cwn5zskl7GD4loQ/edit?usp=sharing"",""กำแพงเพชร!I433"")"),60)</f>
        <v>60</v>
      </c>
      <c r="T14" s="57">
        <f ca="1">IFERROR(__xludf.DUMMYFUNCTION("IMPORTRANGE(""https://docs.google.com/spreadsheets/d/1KxicF4apzSqm0-jIpmueT4kyZtE-Cwn5zskl7GD4loQ/edit?usp=sharing"",""กำแพงเพชร!I434"")"),2)</f>
        <v>2</v>
      </c>
      <c r="U14" s="57">
        <f ca="1">IFERROR(__xludf.DUMMYFUNCTION("IMPORTRANGE(""https://docs.google.com/spreadsheets/d/1KxicF4apzSqm0-jIpmueT4kyZtE-Cwn5zskl7GD4loQ/edit?usp=sharing"",""กำแพงเพชร!J433"")"),60)</f>
        <v>60</v>
      </c>
      <c r="V14" s="63">
        <f t="shared" ca="1" si="27"/>
        <v>100</v>
      </c>
      <c r="W14" s="57">
        <f ca="1">IFERROR(__xludf.DUMMYFUNCTION("IMPORTRANGE(""https://docs.google.com/spreadsheets/d/1KxicF4apzSqm0-jIpmueT4kyZtE-Cwn5zskl7GD4loQ/edit?usp=sharing"",""กำแพงเพชร!J434"")"),2)</f>
        <v>2</v>
      </c>
      <c r="X14" s="63">
        <f t="shared" ca="1" si="7"/>
        <v>100</v>
      </c>
      <c r="Y14" s="57">
        <f ca="1">IFERROR(__xludf.DUMMYFUNCTION("IMPORTRANGE(""https://docs.google.com/spreadsheets/d/1KxicF4apzSqm0-jIpmueT4kyZtE-Cwn5zskl7GD4loQ/edit?usp=sharing"",""กำแพงเพชร!I435"")"),60)</f>
        <v>60</v>
      </c>
      <c r="Z14" s="57">
        <f ca="1">IFERROR(__xludf.DUMMYFUNCTION("IMPORTRANGE(""https://docs.google.com/spreadsheets/d/1KxicF4apzSqm0-jIpmueT4kyZtE-Cwn5zskl7GD4loQ/edit?usp=sharing"",""กำแพงเพชร!J435"")"),60)</f>
        <v>60</v>
      </c>
      <c r="AA14" s="63">
        <f t="shared" ca="1" si="28"/>
        <v>100</v>
      </c>
      <c r="AB14" s="57">
        <f ca="1">IFERROR(__xludf.DUMMYFUNCTION("IMPORTRANGE(""https://docs.google.com/spreadsheets/d/1KxicF4apzSqm0-jIpmueT4kyZtE-Cwn5zskl7GD4loQ/edit?usp=sharing"",""กำแพงเพชร!I437"")"),40)</f>
        <v>40</v>
      </c>
      <c r="AC14" s="57">
        <f ca="1">IFERROR(__xludf.DUMMYFUNCTION("IMPORTRANGE(""https://docs.google.com/spreadsheets/d/1KxicF4apzSqm0-jIpmueT4kyZtE-Cwn5zskl7GD4loQ/edit?usp=sharing"",""กำแพงเพชร!I438"")"),1)</f>
        <v>1</v>
      </c>
      <c r="AD14" s="57">
        <f ca="1">IFERROR(__xludf.DUMMYFUNCTION("IMPORTRANGE(""https://docs.google.com/spreadsheets/d/1KxicF4apzSqm0-jIpmueT4kyZtE-Cwn5zskl7GD4loQ/edit?usp=sharing"",""กำแพงเพชร!J437"")"),40)</f>
        <v>40</v>
      </c>
      <c r="AE14" s="63">
        <f t="shared" ca="1" si="29"/>
        <v>100</v>
      </c>
      <c r="AF14" s="57">
        <f ca="1">IFERROR(__xludf.DUMMYFUNCTION("IMPORTRANGE(""https://docs.google.com/spreadsheets/d/1KxicF4apzSqm0-jIpmueT4kyZtE-Cwn5zskl7GD4loQ/edit?usp=sharing"",""กำแพงเพชร!J438"")"),1)</f>
        <v>1</v>
      </c>
      <c r="AG14" s="63">
        <f t="shared" ca="1" si="12"/>
        <v>100</v>
      </c>
      <c r="AH14" s="57">
        <f ca="1">IFERROR(__xludf.DUMMYFUNCTION("IMPORTRANGE(""https://docs.google.com/spreadsheets/d/1KxicF4apzSqm0-jIpmueT4kyZtE-Cwn5zskl7GD4loQ/edit?usp=sharing"",""กำแพงเพชร!I439"")"),20)</f>
        <v>20</v>
      </c>
      <c r="AI14" s="57">
        <f ca="1">IFERROR(__xludf.DUMMYFUNCTION("IMPORTRANGE(""https://docs.google.com/spreadsheets/d/1KxicF4apzSqm0-jIpmueT4kyZtE-Cwn5zskl7GD4loQ/edit?usp=sharing"",""กำแพงเพชร!I440"")"),1)</f>
        <v>1</v>
      </c>
      <c r="AJ14" s="57">
        <f ca="1">IFERROR(__xludf.DUMMYFUNCTION("IMPORTRANGE(""https://docs.google.com/spreadsheets/d/1KxicF4apzSqm0-jIpmueT4kyZtE-Cwn5zskl7GD4loQ/edit?usp=sharing"",""กำแพงเพชร!J439"")"),20)</f>
        <v>20</v>
      </c>
      <c r="AK14" s="63">
        <f t="shared" ca="1" si="30"/>
        <v>100</v>
      </c>
      <c r="AL14" s="57">
        <f ca="1">IFERROR(__xludf.DUMMYFUNCTION("IMPORTRANGE(""https://docs.google.com/spreadsheets/d/1KxicF4apzSqm0-jIpmueT4kyZtE-Cwn5zskl7GD4loQ/edit?usp=sharing"",""กำแพงเพชร!J440"")"),1)</f>
        <v>1</v>
      </c>
      <c r="AM14" s="63">
        <f t="shared" ca="1" si="15"/>
        <v>100</v>
      </c>
      <c r="AN14" s="57">
        <f ca="1">IFERROR(__xludf.DUMMYFUNCTION("IMPORTRANGE(""https://docs.google.com/spreadsheets/d/1KxicF4apzSqm0-jIpmueT4kyZtE-Cwn5zskl7GD4loQ/edit?usp=sharing"",""กำแพงเพชร!I441"")"),0)</f>
        <v>0</v>
      </c>
      <c r="AO14" s="57">
        <f ca="1">IFERROR(__xludf.DUMMYFUNCTION("IMPORTRANGE(""https://docs.google.com/spreadsheets/d/1KxicF4apzSqm0-jIpmueT4kyZtE-Cwn5zskl7GD4loQ/edit?usp=sharing"",""กำแพงเพชร!J441"")"),0)</f>
        <v>0</v>
      </c>
      <c r="AP14" s="63">
        <f t="shared" ca="1" si="31"/>
        <v>0</v>
      </c>
    </row>
    <row r="15" spans="1:42" ht="24" customHeight="1" x14ac:dyDescent="0.3">
      <c r="A15" s="54">
        <v>2</v>
      </c>
      <c r="B15" s="55" t="s">
        <v>36</v>
      </c>
      <c r="C15" s="56">
        <f t="shared" ca="1" si="42"/>
        <v>188600</v>
      </c>
      <c r="D15" s="57">
        <f ca="1">IFERROR(__xludf.DUMMYFUNCTION("IMPORTRANGE(""https://docs.google.com/spreadsheets/d/1ZNYWeiFoFA1K1U4xKWqRX29MBvEyRHXORjo734Gnq_c/edit?usp=sharing"",""เชียงราย!L424"")"),188600)</f>
        <v>188600</v>
      </c>
      <c r="E15" s="64">
        <f ca="1">IFERROR(__xludf.DUMMYFUNCTION("IMPORTRANGE(""https://docs.google.com/spreadsheets/d/1ZNYWeiFoFA1K1U4xKWqRX29MBvEyRHXORjo734Gnq_c/edit?usp=sharing"",""เชียงราย!L431"")"),0)</f>
        <v>0</v>
      </c>
      <c r="F15" s="64">
        <f ca="1">IFERROR(__xludf.DUMMYFUNCTION("IMPORTRANGE(""https://docs.google.com/spreadsheets/d/1ZNYWeiFoFA1K1U4xKWqRX29MBvEyRHXORjo734Gnq_c/edit?usp=sharing"",""เชียงราย!M424"")"),188600)</f>
        <v>188600</v>
      </c>
      <c r="G15" s="64">
        <f ca="1">IFERROR(__xludf.DUMMYFUNCTION("IMPORTRANGE(""https://docs.google.com/spreadsheets/d/1ZNYWeiFoFA1K1U4xKWqRX29MBvEyRHXORjo734Gnq_c/edit?usp=sharing"",""เชียงราย!M431"")"),0)</f>
        <v>0</v>
      </c>
      <c r="H15" s="58">
        <f t="shared" ca="1" si="26"/>
        <v>167946</v>
      </c>
      <c r="I15" s="59">
        <f t="shared" ca="1" si="1"/>
        <v>89.048780487804876</v>
      </c>
      <c r="J15" s="60">
        <f t="shared" ca="1" si="43"/>
        <v>167946</v>
      </c>
      <c r="K15" s="61">
        <f t="shared" ca="1" si="33"/>
        <v>89.048780487804876</v>
      </c>
      <c r="L15" s="61">
        <f t="shared" ca="1" si="34"/>
        <v>89.048780487804876</v>
      </c>
      <c r="M15" s="64">
        <f ca="1">IFERROR(__xludf.DUMMYFUNCTION("IMPORTRANGE(""https://docs.google.com/spreadsheets/d/1ZNYWeiFoFA1K1U4xKWqRX29MBvEyRHXORjo734Gnq_c/edit?usp=sharing"",""เชียงราย!N425"")"),151746)</f>
        <v>151746</v>
      </c>
      <c r="N15" s="64">
        <f ca="1">IFERROR(__xludf.DUMMYFUNCTION("IMPORTRANGE(""https://docs.google.com/spreadsheets/d/1ZNYWeiFoFA1K1U4xKWqRX29MBvEyRHXORjo734Gnq_c/edit?usp=sharing"",""เชียงราย!N426"")"),0)</f>
        <v>0</v>
      </c>
      <c r="O15" s="64">
        <f ca="1">IFERROR(__xludf.DUMMYFUNCTION("IMPORTRANGE(""https://docs.google.com/spreadsheets/d/1ZNYWeiFoFA1K1U4xKWqRX29MBvEyRHXORjo734Gnq_c/edit?usp=sharing"",""เชียงราย!N427"")"),0)</f>
        <v>0</v>
      </c>
      <c r="P15" s="64">
        <f ca="1">IFERROR(__xludf.DUMMYFUNCTION("IMPORTRANGE(""https://docs.google.com/spreadsheets/d/1ZNYWeiFoFA1K1U4xKWqRX29MBvEyRHXORjo734Gnq_c/edit?usp=sharing"",""เชียงราย!N428"")"),16200)</f>
        <v>16200</v>
      </c>
      <c r="Q15" s="62">
        <f ca="1">IFERROR(__xludf.DUMMYFUNCTION("IMPORTRANGE(""https://docs.google.com/spreadsheets/d/1ZNYWeiFoFA1K1U4xKWqRX29MBvEyRHXORjo734Gnq_c/edit?usp=sharing"",""เชียงราย!N431"")"),0)</f>
        <v>0</v>
      </c>
      <c r="R15" s="62">
        <f t="shared" ca="1" si="36"/>
        <v>0</v>
      </c>
      <c r="S15" s="57">
        <f ca="1">IFERROR(__xludf.DUMMYFUNCTION("IMPORTRANGE(""https://docs.google.com/spreadsheets/d/1ZNYWeiFoFA1K1U4xKWqRX29MBvEyRHXORjo734Gnq_c/edit?usp=sharing"",""เชียงราย!I433"")"),60)</f>
        <v>60</v>
      </c>
      <c r="T15" s="57">
        <f ca="1">IFERROR(__xludf.DUMMYFUNCTION("IMPORTRANGE(""https://docs.google.com/spreadsheets/d/1ZNYWeiFoFA1K1U4xKWqRX29MBvEyRHXORjo734Gnq_c/edit?usp=sharing"",""เชียงราย!I434"")"),2)</f>
        <v>2</v>
      </c>
      <c r="U15" s="57">
        <f ca="1">IFERROR(__xludf.DUMMYFUNCTION("IMPORTRANGE(""https://docs.google.com/spreadsheets/d/1ZNYWeiFoFA1K1U4xKWqRX29MBvEyRHXORjo734Gnq_c/edit?usp=sharing"",""เชียงราย!J433"")"),60)</f>
        <v>60</v>
      </c>
      <c r="V15" s="63">
        <f t="shared" ca="1" si="27"/>
        <v>100</v>
      </c>
      <c r="W15" s="57">
        <f ca="1">IFERROR(__xludf.DUMMYFUNCTION("IMPORTRANGE(""https://docs.google.com/spreadsheets/d/1ZNYWeiFoFA1K1U4xKWqRX29MBvEyRHXORjo734Gnq_c/edit?usp=sharing"",""เชียงราย!J434"")"),2)</f>
        <v>2</v>
      </c>
      <c r="X15" s="63">
        <f t="shared" ca="1" si="7"/>
        <v>100</v>
      </c>
      <c r="Y15" s="57">
        <f ca="1">IFERROR(__xludf.DUMMYFUNCTION("IMPORTRANGE(""https://docs.google.com/spreadsheets/d/1ZNYWeiFoFA1K1U4xKWqRX29MBvEyRHXORjo734Gnq_c/edit?usp=sharing"",""เชียงราย!I435"")"),60)</f>
        <v>60</v>
      </c>
      <c r="Z15" s="57">
        <f ca="1">IFERROR(__xludf.DUMMYFUNCTION("IMPORTRANGE(""https://docs.google.com/spreadsheets/d/1ZNYWeiFoFA1K1U4xKWqRX29MBvEyRHXORjo734Gnq_c/edit?usp=sharing"",""เชียงราย!J435"")"),60)</f>
        <v>60</v>
      </c>
      <c r="AA15" s="63">
        <f t="shared" ca="1" si="28"/>
        <v>100</v>
      </c>
      <c r="AB15" s="57">
        <f ca="1">IFERROR(__xludf.DUMMYFUNCTION("IMPORTRANGE(""https://docs.google.com/spreadsheets/d/1ZNYWeiFoFA1K1U4xKWqRX29MBvEyRHXORjo734Gnq_c/edit?usp=sharing"",""เชียงราย!I437"")"),40)</f>
        <v>40</v>
      </c>
      <c r="AC15" s="57">
        <f ca="1">IFERROR(__xludf.DUMMYFUNCTION("IMPORTRANGE(""https://docs.google.com/spreadsheets/d/1ZNYWeiFoFA1K1U4xKWqRX29MBvEyRHXORjo734Gnq_c/edit?usp=sharing"",""เชียงราย!I438"")"),1)</f>
        <v>1</v>
      </c>
      <c r="AD15" s="57">
        <f ca="1">IFERROR(__xludf.DUMMYFUNCTION("IMPORTRANGE(""https://docs.google.com/spreadsheets/d/1ZNYWeiFoFA1K1U4xKWqRX29MBvEyRHXORjo734Gnq_c/edit?usp=sharing"",""เชียงราย!J437"")"),40)</f>
        <v>40</v>
      </c>
      <c r="AE15" s="63">
        <f t="shared" ca="1" si="29"/>
        <v>100</v>
      </c>
      <c r="AF15" s="57">
        <f ca="1">IFERROR(__xludf.DUMMYFUNCTION("IMPORTRANGE(""https://docs.google.com/spreadsheets/d/1ZNYWeiFoFA1K1U4xKWqRX29MBvEyRHXORjo734Gnq_c/edit?usp=sharing"",""เชียงราย!J438"")"),1)</f>
        <v>1</v>
      </c>
      <c r="AG15" s="63">
        <f t="shared" ca="1" si="12"/>
        <v>100</v>
      </c>
      <c r="AH15" s="57">
        <f ca="1">IFERROR(__xludf.DUMMYFUNCTION("IMPORTRANGE(""https://docs.google.com/spreadsheets/d/1ZNYWeiFoFA1K1U4xKWqRX29MBvEyRHXORjo734Gnq_c/edit?usp=sharing"",""เชียงราย!I439"")"),20)</f>
        <v>20</v>
      </c>
      <c r="AI15" s="57">
        <f ca="1">IFERROR(__xludf.DUMMYFUNCTION("IMPORTRANGE(""https://docs.google.com/spreadsheets/d/1ZNYWeiFoFA1K1U4xKWqRX29MBvEyRHXORjo734Gnq_c/edit?usp=sharing"",""เชียงราย!I440"")"),1)</f>
        <v>1</v>
      </c>
      <c r="AJ15" s="57">
        <f ca="1">IFERROR(__xludf.DUMMYFUNCTION("IMPORTRANGE(""https://docs.google.com/spreadsheets/d/1ZNYWeiFoFA1K1U4xKWqRX29MBvEyRHXORjo734Gnq_c/edit?usp=sharing"",""เชียงราย!J439"")"),20)</f>
        <v>20</v>
      </c>
      <c r="AK15" s="63">
        <f t="shared" ca="1" si="30"/>
        <v>100</v>
      </c>
      <c r="AL15" s="57">
        <f ca="1">IFERROR(__xludf.DUMMYFUNCTION("IMPORTRANGE(""https://docs.google.com/spreadsheets/d/1ZNYWeiFoFA1K1U4xKWqRX29MBvEyRHXORjo734Gnq_c/edit?usp=sharing"",""เชียงราย!J440"")"),1)</f>
        <v>1</v>
      </c>
      <c r="AM15" s="63">
        <f t="shared" ca="1" si="15"/>
        <v>100</v>
      </c>
      <c r="AN15" s="57">
        <f ca="1">IFERROR(__xludf.DUMMYFUNCTION("IMPORTRANGE(""https://docs.google.com/spreadsheets/d/1ZNYWeiFoFA1K1U4xKWqRX29MBvEyRHXORjo734Gnq_c/edit?usp=sharing"",""เชียงราย!I441"")"),0)</f>
        <v>0</v>
      </c>
      <c r="AO15" s="57">
        <f ca="1">IFERROR(__xludf.DUMMYFUNCTION("IMPORTRANGE(""https://docs.google.com/spreadsheets/d/1ZNYWeiFoFA1K1U4xKWqRX29MBvEyRHXORjo734Gnq_c/edit?usp=sharing"",""เชียงราย!J441"")"),0)</f>
        <v>0</v>
      </c>
      <c r="AP15" s="63">
        <f t="shared" ca="1" si="31"/>
        <v>0</v>
      </c>
    </row>
    <row r="16" spans="1:42" ht="24" customHeight="1" x14ac:dyDescent="0.3">
      <c r="A16" s="54">
        <v>3</v>
      </c>
      <c r="B16" s="55" t="s">
        <v>37</v>
      </c>
      <c r="C16" s="56">
        <f t="shared" ca="1" si="42"/>
        <v>78660</v>
      </c>
      <c r="D16" s="57">
        <f ca="1">IFERROR(__xludf.DUMMYFUNCTION("IMPORTRANGE(""https://docs.google.com/spreadsheets/d/1Jgv0Y7YlHDtsiDawwp-uvifEJ8HVaSn0k2aGHG8-hwM/edit?usp=sharing"",""เชียงใหม่!L424"")"),78660)</f>
        <v>78660</v>
      </c>
      <c r="E16" s="64">
        <f ca="1">IFERROR(__xludf.DUMMYFUNCTION("IMPORTRANGE(""https://docs.google.com/spreadsheets/d/1Jgv0Y7YlHDtsiDawwp-uvifEJ8HVaSn0k2aGHG8-hwM/edit?usp=sharing"",""เชียงใหม่!L431"")"),0)</f>
        <v>0</v>
      </c>
      <c r="F16" s="64">
        <f ca="1">IFERROR(__xludf.DUMMYFUNCTION("IMPORTRANGE(""https://docs.google.com/spreadsheets/d/1Jgv0Y7YlHDtsiDawwp-uvifEJ8HVaSn0k2aGHG8-hwM/edit?usp=sharing"",""เชียงใหม่!M424"")"),78660)</f>
        <v>78660</v>
      </c>
      <c r="G16" s="64">
        <f ca="1">IFERROR(__xludf.DUMMYFUNCTION("IMPORTRANGE(""https://docs.google.com/spreadsheets/d/1Jgv0Y7YlHDtsiDawwp-uvifEJ8HVaSn0k2aGHG8-hwM/edit?usp=sharing"",""เชียงใหม่!M431"")"),0)</f>
        <v>0</v>
      </c>
      <c r="H16" s="58">
        <f t="shared" ca="1" si="26"/>
        <v>64143</v>
      </c>
      <c r="I16" s="59">
        <f t="shared" ca="1" si="1"/>
        <v>81.544622425629285</v>
      </c>
      <c r="J16" s="60">
        <f t="shared" ca="1" si="43"/>
        <v>64143</v>
      </c>
      <c r="K16" s="61">
        <f t="shared" ca="1" si="33"/>
        <v>81.544622425629285</v>
      </c>
      <c r="L16" s="61">
        <f t="shared" ca="1" si="34"/>
        <v>81.544622425629285</v>
      </c>
      <c r="M16" s="64">
        <f ca="1">IFERROR(__xludf.DUMMYFUNCTION("IMPORTRANGE(""https://docs.google.com/spreadsheets/d/1Jgv0Y7YlHDtsiDawwp-uvifEJ8HVaSn0k2aGHG8-hwM/edit?usp=sharing"",""เชียงใหม่!N425"")"),48400)</f>
        <v>48400</v>
      </c>
      <c r="N16" s="64">
        <f ca="1">IFERROR(__xludf.DUMMYFUNCTION("IMPORTRANGE(""https://docs.google.com/spreadsheets/d/1Jgv0Y7YlHDtsiDawwp-uvifEJ8HVaSn0k2aGHG8-hwM/edit?usp=sharing"",""เชียงใหม่!N426"")"),0)</f>
        <v>0</v>
      </c>
      <c r="O16" s="64">
        <f ca="1">IFERROR(__xludf.DUMMYFUNCTION("IMPORTRANGE(""https://docs.google.com/spreadsheets/d/1Jgv0Y7YlHDtsiDawwp-uvifEJ8HVaSn0k2aGHG8-hwM/edit?usp=sharing"",""เชียงใหม่!N427"")"),0)</f>
        <v>0</v>
      </c>
      <c r="P16" s="64">
        <f ca="1">IFERROR(__xludf.DUMMYFUNCTION("IMPORTRANGE(""https://docs.google.com/spreadsheets/d/1Jgv0Y7YlHDtsiDawwp-uvifEJ8HVaSn0k2aGHG8-hwM/edit?usp=sharing"",""เชียงใหม่!N428"")"),15743)</f>
        <v>15743</v>
      </c>
      <c r="Q16" s="62">
        <f ca="1">IFERROR(__xludf.DUMMYFUNCTION("IMPORTRANGE(""https://docs.google.com/spreadsheets/d/1Jgv0Y7YlHDtsiDawwp-uvifEJ8HVaSn0k2aGHG8-hwM/edit?usp=sharing"",""เชียงใหม่!N431"")"),0)</f>
        <v>0</v>
      </c>
      <c r="R16" s="62">
        <f t="shared" ca="1" si="36"/>
        <v>0</v>
      </c>
      <c r="S16" s="57">
        <f ca="1">IFERROR(__xludf.DUMMYFUNCTION("IMPORTRANGE(""https://docs.google.com/spreadsheets/d/1Jgv0Y7YlHDtsiDawwp-uvifEJ8HVaSn0k2aGHG8-hwM/edit?usp=sharing"",""เชียงใหม่!I433"")"),20)</f>
        <v>20</v>
      </c>
      <c r="T16" s="57">
        <f ca="1">IFERROR(__xludf.DUMMYFUNCTION("IMPORTRANGE(""https://docs.google.com/spreadsheets/d/1Jgv0Y7YlHDtsiDawwp-uvifEJ8HVaSn0k2aGHG8-hwM/edit?usp=sharing"",""เชียงใหม่!I434"")"),1)</f>
        <v>1</v>
      </c>
      <c r="U16" s="57">
        <f ca="1">IFERROR(__xludf.DUMMYFUNCTION("IMPORTRANGE(""https://docs.google.com/spreadsheets/d/1Jgv0Y7YlHDtsiDawwp-uvifEJ8HVaSn0k2aGHG8-hwM/edit?usp=sharing"",""เชียงใหม่!J433"")"),20)</f>
        <v>20</v>
      </c>
      <c r="V16" s="63">
        <f t="shared" ca="1" si="27"/>
        <v>100</v>
      </c>
      <c r="W16" s="57">
        <f ca="1">IFERROR(__xludf.DUMMYFUNCTION("IMPORTRANGE(""https://docs.google.com/spreadsheets/d/1Jgv0Y7YlHDtsiDawwp-uvifEJ8HVaSn0k2aGHG8-hwM/edit?usp=sharing"",""เชียงใหม่!J434"")"),1)</f>
        <v>1</v>
      </c>
      <c r="X16" s="63">
        <f t="shared" ca="1" si="7"/>
        <v>100</v>
      </c>
      <c r="Y16" s="57">
        <f ca="1">IFERROR(__xludf.DUMMYFUNCTION("IMPORTRANGE(""https://docs.google.com/spreadsheets/d/1Jgv0Y7YlHDtsiDawwp-uvifEJ8HVaSn0k2aGHG8-hwM/edit?usp=sharing"",""เชียงใหม่!I435"")"),20)</f>
        <v>20</v>
      </c>
      <c r="Z16" s="57">
        <f ca="1">IFERROR(__xludf.DUMMYFUNCTION("IMPORTRANGE(""https://docs.google.com/spreadsheets/d/1Jgv0Y7YlHDtsiDawwp-uvifEJ8HVaSn0k2aGHG8-hwM/edit?usp=sharing"",""เชียงใหม่!J435"")"),20)</f>
        <v>20</v>
      </c>
      <c r="AA16" s="63">
        <f t="shared" ca="1" si="28"/>
        <v>100</v>
      </c>
      <c r="AB16" s="57">
        <f ca="1">IFERROR(__xludf.DUMMYFUNCTION("IMPORTRANGE(""https://docs.google.com/spreadsheets/d/1Jgv0Y7YlHDtsiDawwp-uvifEJ8HVaSn0k2aGHG8-hwM/edit?usp=sharing"",""เชียงใหม่!I437"")"),0)</f>
        <v>0</v>
      </c>
      <c r="AC16" s="57">
        <f ca="1">IFERROR(__xludf.DUMMYFUNCTION("IMPORTRANGE(""https://docs.google.com/spreadsheets/d/1Jgv0Y7YlHDtsiDawwp-uvifEJ8HVaSn0k2aGHG8-hwM/edit?usp=sharing"",""เชียงใหม่!I438"")"),0)</f>
        <v>0</v>
      </c>
      <c r="AD16" s="57">
        <f ca="1">IFERROR(__xludf.DUMMYFUNCTION("IMPORTRANGE(""https://docs.google.com/spreadsheets/d/1Jgv0Y7YlHDtsiDawwp-uvifEJ8HVaSn0k2aGHG8-hwM/edit?usp=sharing"",""เชียงใหม่!J437"")"),0)</f>
        <v>0</v>
      </c>
      <c r="AE16" s="63">
        <f t="shared" ca="1" si="29"/>
        <v>0</v>
      </c>
      <c r="AF16" s="57">
        <f ca="1">IFERROR(__xludf.DUMMYFUNCTION("IMPORTRANGE(""https://docs.google.com/spreadsheets/d/1Jgv0Y7YlHDtsiDawwp-uvifEJ8HVaSn0k2aGHG8-hwM/edit?usp=sharing"",""เชียงใหม่!J438"")"),0)</f>
        <v>0</v>
      </c>
      <c r="AG16" s="63">
        <f t="shared" ca="1" si="12"/>
        <v>0</v>
      </c>
      <c r="AH16" s="57">
        <f ca="1">IFERROR(__xludf.DUMMYFUNCTION("IMPORTRANGE(""https://docs.google.com/spreadsheets/d/1Jgv0Y7YlHDtsiDawwp-uvifEJ8HVaSn0k2aGHG8-hwM/edit?usp=sharing"",""เชียงใหม่!I439"")"),20)</f>
        <v>20</v>
      </c>
      <c r="AI16" s="57">
        <f ca="1">IFERROR(__xludf.DUMMYFUNCTION("IMPORTRANGE(""https://docs.google.com/spreadsheets/d/1Jgv0Y7YlHDtsiDawwp-uvifEJ8HVaSn0k2aGHG8-hwM/edit?usp=sharing"",""เชียงใหม่!I440"")"),1)</f>
        <v>1</v>
      </c>
      <c r="AJ16" s="57">
        <f ca="1">IFERROR(__xludf.DUMMYFUNCTION("IMPORTRANGE(""https://docs.google.com/spreadsheets/d/1Jgv0Y7YlHDtsiDawwp-uvifEJ8HVaSn0k2aGHG8-hwM/edit?usp=sharing"",""เชียงใหม่!J439"")"),20)</f>
        <v>20</v>
      </c>
      <c r="AK16" s="63">
        <f t="shared" ca="1" si="30"/>
        <v>100</v>
      </c>
      <c r="AL16" s="57">
        <f ca="1">IFERROR(__xludf.DUMMYFUNCTION("IMPORTRANGE(""https://docs.google.com/spreadsheets/d/1Jgv0Y7YlHDtsiDawwp-uvifEJ8HVaSn0k2aGHG8-hwM/edit?usp=sharing"",""เชียงใหม่!J440"")"),1)</f>
        <v>1</v>
      </c>
      <c r="AM16" s="63">
        <f t="shared" ca="1" si="15"/>
        <v>100</v>
      </c>
      <c r="AN16" s="57">
        <f ca="1">IFERROR(__xludf.DUMMYFUNCTION("IMPORTRANGE(""https://docs.google.com/spreadsheets/d/1Jgv0Y7YlHDtsiDawwp-uvifEJ8HVaSn0k2aGHG8-hwM/edit?usp=sharing"",""เชียงใหม่!I441"")"),0)</f>
        <v>0</v>
      </c>
      <c r="AO16" s="57">
        <f ca="1">IFERROR(__xludf.DUMMYFUNCTION("IMPORTRANGE(""https://docs.google.com/spreadsheets/d/1Jgv0Y7YlHDtsiDawwp-uvifEJ8HVaSn0k2aGHG8-hwM/edit?usp=sharing"",""เชียงใหม่!J441"")"),0)</f>
        <v>0</v>
      </c>
      <c r="AP16" s="63">
        <f t="shared" ca="1" si="31"/>
        <v>0</v>
      </c>
    </row>
    <row r="17" spans="1:42" ht="24" customHeight="1" x14ac:dyDescent="0.3">
      <c r="A17" s="54">
        <v>4</v>
      </c>
      <c r="B17" s="55" t="s">
        <v>38</v>
      </c>
      <c r="C17" s="56">
        <f t="shared" ca="1" si="42"/>
        <v>66760</v>
      </c>
      <c r="D17" s="57">
        <f ca="1">IFERROR(__xludf.DUMMYFUNCTION("IMPORTRANGE(""https://docs.google.com/spreadsheets/d/1JWG2rZePOz9pe-f-ObA-yDr0VoOX2kSb0qIix2mTUo8/edit?usp=sharing"",""ตาก!L424"")"),66760)</f>
        <v>66760</v>
      </c>
      <c r="E17" s="64">
        <f ca="1">IFERROR(__xludf.DUMMYFUNCTION("IMPORTRANGE(""https://docs.google.com/spreadsheets/d/1JWG2rZePOz9pe-f-ObA-yDr0VoOX2kSb0qIix2mTUo8/edit?usp=sharing"",""ตาก!L431"")"),0)</f>
        <v>0</v>
      </c>
      <c r="F17" s="64">
        <f ca="1">IFERROR(__xludf.DUMMYFUNCTION("IMPORTRANGE(""https://docs.google.com/spreadsheets/d/1JWG2rZePOz9pe-f-ObA-yDr0VoOX2kSb0qIix2mTUo8/edit?usp=sharing"",""ตาก!M424"")"),66760)</f>
        <v>66760</v>
      </c>
      <c r="G17" s="64">
        <f ca="1">IFERROR(__xludf.DUMMYFUNCTION("IMPORTRANGE(""https://docs.google.com/spreadsheets/d/1JWG2rZePOz9pe-f-ObA-yDr0VoOX2kSb0qIix2mTUo8/edit?usp=sharing"",""ตาก!M431"")"),0)</f>
        <v>0</v>
      </c>
      <c r="H17" s="58">
        <f t="shared" ca="1" si="26"/>
        <v>60550</v>
      </c>
      <c r="I17" s="59">
        <f t="shared" ca="1" si="1"/>
        <v>90.69802276812463</v>
      </c>
      <c r="J17" s="60">
        <f t="shared" ca="1" si="43"/>
        <v>60550</v>
      </c>
      <c r="K17" s="61">
        <f t="shared" ca="1" si="33"/>
        <v>90.69802276812463</v>
      </c>
      <c r="L17" s="61">
        <f t="shared" ca="1" si="34"/>
        <v>90.69802276812463</v>
      </c>
      <c r="M17" s="64">
        <f ca="1">IFERROR(__xludf.DUMMYFUNCTION("IMPORTRANGE(""https://docs.google.com/spreadsheets/d/1JWG2rZePOz9pe-f-ObA-yDr0VoOX2kSb0qIix2mTUo8/edit?usp=sharing"",""ตาก!N425"")"),36500)</f>
        <v>36500</v>
      </c>
      <c r="N17" s="64">
        <f ca="1">IFERROR(__xludf.DUMMYFUNCTION("IMPORTRANGE(""https://docs.google.com/spreadsheets/d/1JWG2rZePOz9pe-f-ObA-yDr0VoOX2kSb0qIix2mTUo8/edit?usp=sharing"",""ตาก!N426"")"),0)</f>
        <v>0</v>
      </c>
      <c r="O17" s="64">
        <f ca="1">IFERROR(__xludf.DUMMYFUNCTION("IMPORTRANGE(""https://docs.google.com/spreadsheets/d/1JWG2rZePOz9pe-f-ObA-yDr0VoOX2kSb0qIix2mTUo8/edit?usp=sharing"",""ตาก!N427"")"),0)</f>
        <v>0</v>
      </c>
      <c r="P17" s="64">
        <f ca="1">IFERROR(__xludf.DUMMYFUNCTION("IMPORTRANGE(""https://docs.google.com/spreadsheets/d/1JWG2rZePOz9pe-f-ObA-yDr0VoOX2kSb0qIix2mTUo8/edit?usp=sharing"",""ตาก!N428"")"),24050)</f>
        <v>24050</v>
      </c>
      <c r="Q17" s="62">
        <f ca="1">IFERROR(__xludf.DUMMYFUNCTION("IMPORTRANGE(""https://docs.google.com/spreadsheets/d/1JWG2rZePOz9pe-f-ObA-yDr0VoOX2kSb0qIix2mTUo8/edit?usp=sharing"",""ตาก!N431"")"),0)</f>
        <v>0</v>
      </c>
      <c r="R17" s="62">
        <f t="shared" ca="1" si="36"/>
        <v>0</v>
      </c>
      <c r="S17" s="57">
        <f ca="1">IFERROR(__xludf.DUMMYFUNCTION("IMPORTRANGE(""https://docs.google.com/spreadsheets/d/1JWG2rZePOz9pe-f-ObA-yDr0VoOX2kSb0qIix2mTUo8/edit?usp=sharing"",""ตาก!I433"")"),15)</f>
        <v>15</v>
      </c>
      <c r="T17" s="57">
        <f ca="1">IFERROR(__xludf.DUMMYFUNCTION("IMPORTRANGE(""https://docs.google.com/spreadsheets/d/1JWG2rZePOz9pe-f-ObA-yDr0VoOX2kSb0qIix2mTUo8/edit?usp=sharing"",""ตาก!I434"")"),1)</f>
        <v>1</v>
      </c>
      <c r="U17" s="57">
        <f ca="1">IFERROR(__xludf.DUMMYFUNCTION("IMPORTRANGE(""https://docs.google.com/spreadsheets/d/1JWG2rZePOz9pe-f-ObA-yDr0VoOX2kSb0qIix2mTUo8/edit?usp=sharing"",""ตาก!J433"")"),15)</f>
        <v>15</v>
      </c>
      <c r="V17" s="63">
        <f t="shared" ca="1" si="27"/>
        <v>100</v>
      </c>
      <c r="W17" s="57">
        <f ca="1">IFERROR(__xludf.DUMMYFUNCTION("IMPORTRANGE(""https://docs.google.com/spreadsheets/d/1JWG2rZePOz9pe-f-ObA-yDr0VoOX2kSb0qIix2mTUo8/edit?usp=sharing"",""ตาก!J434"")"),1)</f>
        <v>1</v>
      </c>
      <c r="X17" s="63">
        <f t="shared" ca="1" si="7"/>
        <v>100</v>
      </c>
      <c r="Y17" s="57">
        <f ca="1">IFERROR(__xludf.DUMMYFUNCTION("IMPORTRANGE(""https://docs.google.com/spreadsheets/d/1JWG2rZePOz9pe-f-ObA-yDr0VoOX2kSb0qIix2mTUo8/edit?usp=sharing"",""ตาก!I435"")"),15)</f>
        <v>15</v>
      </c>
      <c r="Z17" s="57">
        <f ca="1">IFERROR(__xludf.DUMMYFUNCTION("IMPORTRANGE(""https://docs.google.com/spreadsheets/d/1JWG2rZePOz9pe-f-ObA-yDr0VoOX2kSb0qIix2mTUo8/edit?usp=sharing"",""ตาก!J435"")"),15)</f>
        <v>15</v>
      </c>
      <c r="AA17" s="63">
        <f t="shared" ca="1" si="28"/>
        <v>100</v>
      </c>
      <c r="AB17" s="57">
        <f ca="1">IFERROR(__xludf.DUMMYFUNCTION("IMPORTRANGE(""https://docs.google.com/spreadsheets/d/1JWG2rZePOz9pe-f-ObA-yDr0VoOX2kSb0qIix2mTUo8/edit?usp=sharing"",""ตาก!I437"")"),0)</f>
        <v>0</v>
      </c>
      <c r="AC17" s="57">
        <f ca="1">IFERROR(__xludf.DUMMYFUNCTION("IMPORTRANGE(""https://docs.google.com/spreadsheets/d/1JWG2rZePOz9pe-f-ObA-yDr0VoOX2kSb0qIix2mTUo8/edit?usp=sharing"",""ตาก!I438"")"),0)</f>
        <v>0</v>
      </c>
      <c r="AD17" s="57">
        <f ca="1">IFERROR(__xludf.DUMMYFUNCTION("IMPORTRANGE(""https://docs.google.com/spreadsheets/d/1JWG2rZePOz9pe-f-ObA-yDr0VoOX2kSb0qIix2mTUo8/edit?usp=sharing"",""ตาก!J437"")"),0)</f>
        <v>0</v>
      </c>
      <c r="AE17" s="63">
        <f t="shared" ca="1" si="29"/>
        <v>0</v>
      </c>
      <c r="AF17" s="57">
        <f ca="1">IFERROR(__xludf.DUMMYFUNCTION("IMPORTRANGE(""https://docs.google.com/spreadsheets/d/1JWG2rZePOz9pe-f-ObA-yDr0VoOX2kSb0qIix2mTUo8/edit?usp=sharing"",""ตาก!J438"")"),0)</f>
        <v>0</v>
      </c>
      <c r="AG17" s="63">
        <f t="shared" ca="1" si="12"/>
        <v>0</v>
      </c>
      <c r="AH17" s="57">
        <f ca="1">IFERROR(__xludf.DUMMYFUNCTION("IMPORTRANGE(""https://docs.google.com/spreadsheets/d/1JWG2rZePOz9pe-f-ObA-yDr0VoOX2kSb0qIix2mTUo8/edit?usp=sharing"",""ตาก!I439"")"),15)</f>
        <v>15</v>
      </c>
      <c r="AI17" s="57">
        <f ca="1">IFERROR(__xludf.DUMMYFUNCTION("IMPORTRANGE(""https://docs.google.com/spreadsheets/d/1JWG2rZePOz9pe-f-ObA-yDr0VoOX2kSb0qIix2mTUo8/edit?usp=sharing"",""ตาก!I440"")"),1)</f>
        <v>1</v>
      </c>
      <c r="AJ17" s="57">
        <f ca="1">IFERROR(__xludf.DUMMYFUNCTION("IMPORTRANGE(""https://docs.google.com/spreadsheets/d/1JWG2rZePOz9pe-f-ObA-yDr0VoOX2kSb0qIix2mTUo8/edit?usp=sharing"",""ตาก!J439"")"),15)</f>
        <v>15</v>
      </c>
      <c r="AK17" s="63">
        <f t="shared" ca="1" si="30"/>
        <v>100</v>
      </c>
      <c r="AL17" s="57">
        <f ca="1">IFERROR(__xludf.DUMMYFUNCTION("IMPORTRANGE(""https://docs.google.com/spreadsheets/d/1JWG2rZePOz9pe-f-ObA-yDr0VoOX2kSb0qIix2mTUo8/edit?usp=sharing"",""ตาก!J440"")"),1)</f>
        <v>1</v>
      </c>
      <c r="AM17" s="63">
        <f t="shared" ca="1" si="15"/>
        <v>100</v>
      </c>
      <c r="AN17" s="57">
        <f ca="1">IFERROR(__xludf.DUMMYFUNCTION("IMPORTRANGE(""https://docs.google.com/spreadsheets/d/1JWG2rZePOz9pe-f-ObA-yDr0VoOX2kSb0qIix2mTUo8/edit?usp=sharing"",""ตาก!I441"")"),0)</f>
        <v>0</v>
      </c>
      <c r="AO17" s="57">
        <f ca="1">IFERROR(__xludf.DUMMYFUNCTION("IMPORTRANGE(""https://docs.google.com/spreadsheets/d/1JWG2rZePOz9pe-f-ObA-yDr0VoOX2kSb0qIix2mTUo8/edit?usp=sharing"",""ตาก!J441"")"),0)</f>
        <v>0</v>
      </c>
      <c r="AP17" s="63">
        <f t="shared" ca="1" si="31"/>
        <v>0</v>
      </c>
    </row>
    <row r="18" spans="1:42" ht="24" customHeight="1" x14ac:dyDescent="0.3">
      <c r="A18" s="54">
        <v>5</v>
      </c>
      <c r="B18" s="55" t="s">
        <v>39</v>
      </c>
      <c r="C18" s="56">
        <f t="shared" ca="1" si="42"/>
        <v>234110</v>
      </c>
      <c r="D18" s="57">
        <f ca="1">IFERROR(__xludf.DUMMYFUNCTION("IMPORTRANGE(""https://docs.google.com/spreadsheets/d/10nSRjK08hx8Y6HgSOQKNw81lyY46Zc7U_Cj72hBMp9U/edit?usp=sharing"",""นครสวรรค์!L424"")"),234110)</f>
        <v>234110</v>
      </c>
      <c r="E18" s="64">
        <f ca="1">IFERROR(__xludf.DUMMYFUNCTION("IMPORTRANGE(""https://docs.google.com/spreadsheets/d/10nSRjK08hx8Y6HgSOQKNw81lyY46Zc7U_Cj72hBMp9U/edit?usp=sharing"",""นครสวรรค์!L431"")"),0)</f>
        <v>0</v>
      </c>
      <c r="F18" s="64">
        <f ca="1">IFERROR(__xludf.DUMMYFUNCTION("IMPORTRANGE(""https://docs.google.com/spreadsheets/d/10nSRjK08hx8Y6HgSOQKNw81lyY46Zc7U_Cj72hBMp9U/edit?usp=sharing"",""นครสวรรค์!M424"")"),234110)</f>
        <v>234110</v>
      </c>
      <c r="G18" s="64">
        <f ca="1">IFERROR(__xludf.DUMMYFUNCTION("IMPORTRANGE(""https://docs.google.com/spreadsheets/d/10nSRjK08hx8Y6HgSOQKNw81lyY46Zc7U_Cj72hBMp9U/edit?usp=sharing"",""นครสวรรค์!M431"")"),0)</f>
        <v>0</v>
      </c>
      <c r="H18" s="58">
        <f t="shared" ca="1" si="26"/>
        <v>178900</v>
      </c>
      <c r="I18" s="59">
        <f t="shared" ca="1" si="1"/>
        <v>76.417068899235403</v>
      </c>
      <c r="J18" s="60">
        <f t="shared" ca="1" si="43"/>
        <v>178900</v>
      </c>
      <c r="K18" s="61">
        <f t="shared" ca="1" si="33"/>
        <v>76.417068899235403</v>
      </c>
      <c r="L18" s="61">
        <f t="shared" ca="1" si="34"/>
        <v>76.417068899235403</v>
      </c>
      <c r="M18" s="64">
        <f ca="1">IFERROR(__xludf.DUMMYFUNCTION("IMPORTRANGE(""https://docs.google.com/spreadsheets/d/10nSRjK08hx8Y6HgSOQKNw81lyY46Zc7U_Cj72hBMp9U/edit?usp=sharing"",""นครสวรรค์!N425"")"),155540)</f>
        <v>155540</v>
      </c>
      <c r="N18" s="64">
        <f ca="1">IFERROR(__xludf.DUMMYFUNCTION("IMPORTRANGE(""https://docs.google.com/spreadsheets/d/10nSRjK08hx8Y6HgSOQKNw81lyY46Zc7U_Cj72hBMp9U/edit?usp=sharing"",""นครสวรรค์!N426"")"),0)</f>
        <v>0</v>
      </c>
      <c r="O18" s="64">
        <f ca="1">IFERROR(__xludf.DUMMYFUNCTION("IMPORTRANGE(""https://docs.google.com/spreadsheets/d/10nSRjK08hx8Y6HgSOQKNw81lyY46Zc7U_Cj72hBMp9U/edit?usp=sharing"",""นครสวรรค์!N427"")"),0)</f>
        <v>0</v>
      </c>
      <c r="P18" s="64">
        <f ca="1">IFERROR(__xludf.DUMMYFUNCTION("IMPORTRANGE(""https://docs.google.com/spreadsheets/d/10nSRjK08hx8Y6HgSOQKNw81lyY46Zc7U_Cj72hBMp9U/edit?usp=sharing"",""นครสวรรค์!N428"")"),23360)</f>
        <v>23360</v>
      </c>
      <c r="Q18" s="62">
        <f ca="1">IFERROR(__xludf.DUMMYFUNCTION("IMPORTRANGE(""https://docs.google.com/spreadsheets/d/10nSRjK08hx8Y6HgSOQKNw81lyY46Zc7U_Cj72hBMp9U/edit?usp=sharing"",""นครสวรรค์!N431"")"),0)</f>
        <v>0</v>
      </c>
      <c r="R18" s="62">
        <f t="shared" ca="1" si="36"/>
        <v>0</v>
      </c>
      <c r="S18" s="57">
        <f ca="1">IFERROR(__xludf.DUMMYFUNCTION("IMPORTRANGE(""https://docs.google.com/spreadsheets/d/10nSRjK08hx8Y6HgSOQKNw81lyY46Zc7U_Cj72hBMp9U/edit?usp=sharing"",""นครสวรรค์!I433"")"),70)</f>
        <v>70</v>
      </c>
      <c r="T18" s="57">
        <f ca="1">IFERROR(__xludf.DUMMYFUNCTION("IMPORTRANGE(""https://docs.google.com/spreadsheets/d/10nSRjK08hx8Y6HgSOQKNw81lyY46Zc7U_Cj72hBMp9U/edit?usp=sharing"",""นครสวรรค์!I434"")"),2)</f>
        <v>2</v>
      </c>
      <c r="U18" s="57">
        <f ca="1">IFERROR(__xludf.DUMMYFUNCTION("IMPORTRANGE(""https://docs.google.com/spreadsheets/d/10nSRjK08hx8Y6HgSOQKNw81lyY46Zc7U_Cj72hBMp9U/edit?usp=sharing"",""นครสวรรค์!J433"")"),70)</f>
        <v>70</v>
      </c>
      <c r="V18" s="63">
        <f t="shared" ca="1" si="27"/>
        <v>100</v>
      </c>
      <c r="W18" s="57">
        <f ca="1">IFERROR(__xludf.DUMMYFUNCTION("IMPORTRANGE(""https://docs.google.com/spreadsheets/d/10nSRjK08hx8Y6HgSOQKNw81lyY46Zc7U_Cj72hBMp9U/edit?usp=sharing"",""นครสวรรค์!J434"")"),2)</f>
        <v>2</v>
      </c>
      <c r="X18" s="63">
        <f t="shared" ca="1" si="7"/>
        <v>100</v>
      </c>
      <c r="Y18" s="57">
        <f ca="1">IFERROR(__xludf.DUMMYFUNCTION("IMPORTRANGE(""https://docs.google.com/spreadsheets/d/10nSRjK08hx8Y6HgSOQKNw81lyY46Zc7U_Cj72hBMp9U/edit?usp=sharing"",""นครสวรรค์!I435"")"),70)</f>
        <v>70</v>
      </c>
      <c r="Z18" s="57">
        <f ca="1">IFERROR(__xludf.DUMMYFUNCTION("IMPORTRANGE(""https://docs.google.com/spreadsheets/d/10nSRjK08hx8Y6HgSOQKNw81lyY46Zc7U_Cj72hBMp9U/edit?usp=sharing"",""นครสวรรค์!J435"")"),70)</f>
        <v>70</v>
      </c>
      <c r="AA18" s="63">
        <f t="shared" ca="1" si="28"/>
        <v>100</v>
      </c>
      <c r="AB18" s="57">
        <f ca="1">IFERROR(__xludf.DUMMYFUNCTION("IMPORTRANGE(""https://docs.google.com/spreadsheets/d/10nSRjK08hx8Y6HgSOQKNw81lyY46Zc7U_Cj72hBMp9U/edit?usp=sharing"",""นครสวรรค์!I437"")"),50)</f>
        <v>50</v>
      </c>
      <c r="AC18" s="57">
        <f ca="1">IFERROR(__xludf.DUMMYFUNCTION("IMPORTRANGE(""https://docs.google.com/spreadsheets/d/10nSRjK08hx8Y6HgSOQKNw81lyY46Zc7U_Cj72hBMp9U/edit?usp=sharing"",""นครสวรรค์!I438"")"),1)</f>
        <v>1</v>
      </c>
      <c r="AD18" s="57">
        <f ca="1">IFERROR(__xludf.DUMMYFUNCTION("IMPORTRANGE(""https://docs.google.com/spreadsheets/d/10nSRjK08hx8Y6HgSOQKNw81lyY46Zc7U_Cj72hBMp9U/edit?usp=sharing"",""นครสวรรค์!J437"")"),50)</f>
        <v>50</v>
      </c>
      <c r="AE18" s="63">
        <f t="shared" ca="1" si="29"/>
        <v>100</v>
      </c>
      <c r="AF18" s="57">
        <f ca="1">IFERROR(__xludf.DUMMYFUNCTION("IMPORTRANGE(""https://docs.google.com/spreadsheets/d/10nSRjK08hx8Y6HgSOQKNw81lyY46Zc7U_Cj72hBMp9U/edit?usp=sharing"",""นครสวรรค์!J438"")"),1)</f>
        <v>1</v>
      </c>
      <c r="AG18" s="63">
        <f t="shared" ca="1" si="12"/>
        <v>100</v>
      </c>
      <c r="AH18" s="57">
        <f ca="1">IFERROR(__xludf.DUMMYFUNCTION("IMPORTRANGE(""https://docs.google.com/spreadsheets/d/10nSRjK08hx8Y6HgSOQKNw81lyY46Zc7U_Cj72hBMp9U/edit?usp=sharing"",""นครสวรรค์!I439"")"),20)</f>
        <v>20</v>
      </c>
      <c r="AI18" s="57">
        <f ca="1">IFERROR(__xludf.DUMMYFUNCTION("IMPORTRANGE(""https://docs.google.com/spreadsheets/d/10nSRjK08hx8Y6HgSOQKNw81lyY46Zc7U_Cj72hBMp9U/edit?usp=sharing"",""นครสวรรค์!I440"")"),1)</f>
        <v>1</v>
      </c>
      <c r="AJ18" s="57">
        <f ca="1">IFERROR(__xludf.DUMMYFUNCTION("IMPORTRANGE(""https://docs.google.com/spreadsheets/d/10nSRjK08hx8Y6HgSOQKNw81lyY46Zc7U_Cj72hBMp9U/edit?usp=sharing"",""นครสวรรค์!J439"")"),20)</f>
        <v>20</v>
      </c>
      <c r="AK18" s="63">
        <f t="shared" ca="1" si="30"/>
        <v>100</v>
      </c>
      <c r="AL18" s="57">
        <f ca="1">IFERROR(__xludf.DUMMYFUNCTION("IMPORTRANGE(""https://docs.google.com/spreadsheets/d/10nSRjK08hx8Y6HgSOQKNw81lyY46Zc7U_Cj72hBMp9U/edit?usp=sharing"",""นครสวรรค์!J440"")"),1)</f>
        <v>1</v>
      </c>
      <c r="AM18" s="63">
        <f t="shared" ca="1" si="15"/>
        <v>100</v>
      </c>
      <c r="AN18" s="57">
        <f ca="1">IFERROR(__xludf.DUMMYFUNCTION("IMPORTRANGE(""https://docs.google.com/spreadsheets/d/10nSRjK08hx8Y6HgSOQKNw81lyY46Zc7U_Cj72hBMp9U/edit?usp=sharing"",""นครสวรรค์!I441"")"),0)</f>
        <v>0</v>
      </c>
      <c r="AO18" s="57">
        <f ca="1">IFERROR(__xludf.DUMMYFUNCTION("IMPORTRANGE(""https://docs.google.com/spreadsheets/d/10nSRjK08hx8Y6HgSOQKNw81lyY46Zc7U_Cj72hBMp9U/edit?usp=sharing"",""นครสวรรค์!J441"")"),0)</f>
        <v>0</v>
      </c>
      <c r="AP18" s="63">
        <f t="shared" ca="1" si="31"/>
        <v>0</v>
      </c>
    </row>
    <row r="19" spans="1:42" ht="24" customHeight="1" x14ac:dyDescent="0.3">
      <c r="A19" s="54">
        <v>6</v>
      </c>
      <c r="B19" s="55" t="s">
        <v>40</v>
      </c>
      <c r="C19" s="56">
        <f t="shared" ca="1" si="42"/>
        <v>100160</v>
      </c>
      <c r="D19" s="57">
        <f ca="1">IFERROR(__xludf.DUMMYFUNCTION("IMPORTRANGE(""https://docs.google.com/spreadsheets/d/1gFVb7qd7amutrIxAAoM7lcy35hllxznovot8lyOfvDo/edit?usp=sharing"",""น่าน!L424"")"),100160)</f>
        <v>100160</v>
      </c>
      <c r="E19" s="64">
        <f ca="1">IFERROR(__xludf.DUMMYFUNCTION("IMPORTRANGE(""https://docs.google.com/spreadsheets/d/1gFVb7qd7amutrIxAAoM7lcy35hllxznovot8lyOfvDo/edit?usp=sharing"",""น่าน!L431"")"),0)</f>
        <v>0</v>
      </c>
      <c r="F19" s="64">
        <f ca="1">IFERROR(__xludf.DUMMYFUNCTION("IMPORTRANGE(""https://docs.google.com/spreadsheets/d/1gFVb7qd7amutrIxAAoM7lcy35hllxznovot8lyOfvDo/edit?usp=sharing"",""น่าน!M424"")"),100160)</f>
        <v>100160</v>
      </c>
      <c r="G19" s="64">
        <f ca="1">IFERROR(__xludf.DUMMYFUNCTION("IMPORTRANGE(""https://docs.google.com/spreadsheets/d/1gFVb7qd7amutrIxAAoM7lcy35hllxznovot8lyOfvDo/edit?usp=sharing"",""น่าน!M431"")"),0)</f>
        <v>0</v>
      </c>
      <c r="H19" s="58">
        <f t="shared" ca="1" si="26"/>
        <v>78940</v>
      </c>
      <c r="I19" s="59">
        <f t="shared" ca="1" si="1"/>
        <v>78.813897763578268</v>
      </c>
      <c r="J19" s="60">
        <f t="shared" ca="1" si="43"/>
        <v>78940</v>
      </c>
      <c r="K19" s="61">
        <f t="shared" ca="1" si="33"/>
        <v>78.813897763578268</v>
      </c>
      <c r="L19" s="61">
        <f t="shared" ca="1" si="34"/>
        <v>78.813897763578268</v>
      </c>
      <c r="M19" s="64">
        <f ca="1">IFERROR(__xludf.DUMMYFUNCTION("IMPORTRANGE(""https://docs.google.com/spreadsheets/d/1gFVb7qd7amutrIxAAoM7lcy35hllxznovot8lyOfvDo/edit?usp=sharing"",""น่าน!N425"")"),69900)</f>
        <v>69900</v>
      </c>
      <c r="N19" s="64">
        <f ca="1">IFERROR(__xludf.DUMMYFUNCTION("IMPORTRANGE(""https://docs.google.com/spreadsheets/d/1gFVb7qd7amutrIxAAoM7lcy35hllxznovot8lyOfvDo/edit?usp=sharing"",""น่าน!N426"")"),0)</f>
        <v>0</v>
      </c>
      <c r="O19" s="64">
        <f ca="1">IFERROR(__xludf.DUMMYFUNCTION("IMPORTRANGE(""https://docs.google.com/spreadsheets/d/1gFVb7qd7amutrIxAAoM7lcy35hllxznovot8lyOfvDo/edit?usp=sharing"",""น่าน!N427"")"),0)</f>
        <v>0</v>
      </c>
      <c r="P19" s="64">
        <f ca="1">IFERROR(__xludf.DUMMYFUNCTION("IMPORTRANGE(""https://docs.google.com/spreadsheets/d/1gFVb7qd7amutrIxAAoM7lcy35hllxznovot8lyOfvDo/edit?usp=sharing"",""น่าน!N428"")"),9040)</f>
        <v>9040</v>
      </c>
      <c r="Q19" s="62">
        <f ca="1">IFERROR(__xludf.DUMMYFUNCTION("IMPORTRANGE(""https://docs.google.com/spreadsheets/d/1gFVb7qd7amutrIxAAoM7lcy35hllxznovot8lyOfvDo/edit?usp=sharing"",""น่าน!N431"")"),0)</f>
        <v>0</v>
      </c>
      <c r="R19" s="62">
        <f t="shared" ca="1" si="36"/>
        <v>0</v>
      </c>
      <c r="S19" s="57">
        <f ca="1">IFERROR(__xludf.DUMMYFUNCTION("IMPORTRANGE(""https://docs.google.com/spreadsheets/d/1gFVb7qd7amutrIxAAoM7lcy35hllxznovot8lyOfvDo/edit?usp=sharing"",""น่าน!I433"")"),20)</f>
        <v>20</v>
      </c>
      <c r="T19" s="57">
        <f ca="1">IFERROR(__xludf.DUMMYFUNCTION("IMPORTRANGE(""https://docs.google.com/spreadsheets/d/1gFVb7qd7amutrIxAAoM7lcy35hllxznovot8lyOfvDo/edit?usp=sharing"",""น่าน!I434"")"),1)</f>
        <v>1</v>
      </c>
      <c r="U19" s="57">
        <f ca="1">IFERROR(__xludf.DUMMYFUNCTION("IMPORTRANGE(""https://docs.google.com/spreadsheets/d/1gFVb7qd7amutrIxAAoM7lcy35hllxznovot8lyOfvDo/edit?usp=sharing"",""น่าน!J433"")"),20)</f>
        <v>20</v>
      </c>
      <c r="V19" s="63">
        <f t="shared" ca="1" si="27"/>
        <v>100</v>
      </c>
      <c r="W19" s="57">
        <f ca="1">IFERROR(__xludf.DUMMYFUNCTION("IMPORTRANGE(""https://docs.google.com/spreadsheets/d/1gFVb7qd7amutrIxAAoM7lcy35hllxznovot8lyOfvDo/edit?usp=sharing"",""น่าน!J434"")"),1)</f>
        <v>1</v>
      </c>
      <c r="X19" s="63">
        <f t="shared" ca="1" si="7"/>
        <v>100</v>
      </c>
      <c r="Y19" s="57">
        <f ca="1">IFERROR(__xludf.DUMMYFUNCTION("IMPORTRANGE(""https://docs.google.com/spreadsheets/d/1gFVb7qd7amutrIxAAoM7lcy35hllxznovot8lyOfvDo/edit?usp=sharing"",""น่าน!I435"")"),20)</f>
        <v>20</v>
      </c>
      <c r="Z19" s="57">
        <f ca="1">IFERROR(__xludf.DUMMYFUNCTION("IMPORTRANGE(""https://docs.google.com/spreadsheets/d/1gFVb7qd7amutrIxAAoM7lcy35hllxznovot8lyOfvDo/edit?usp=sharing"",""น่าน!J435"")"),20)</f>
        <v>20</v>
      </c>
      <c r="AA19" s="63">
        <f t="shared" ca="1" si="28"/>
        <v>100</v>
      </c>
      <c r="AB19" s="57">
        <f ca="1">IFERROR(__xludf.DUMMYFUNCTION("IMPORTRANGE(""https://docs.google.com/spreadsheets/d/1gFVb7qd7amutrIxAAoM7lcy35hllxznovot8lyOfvDo/edit?usp=sharing"",""น่าน!I437"")"),0)</f>
        <v>0</v>
      </c>
      <c r="AC19" s="57">
        <f ca="1">IFERROR(__xludf.DUMMYFUNCTION("IMPORTRANGE(""https://docs.google.com/spreadsheets/d/1gFVb7qd7amutrIxAAoM7lcy35hllxznovot8lyOfvDo/edit?usp=sharing"",""น่าน!I438"")"),0)</f>
        <v>0</v>
      </c>
      <c r="AD19" s="57">
        <f ca="1">IFERROR(__xludf.DUMMYFUNCTION("IMPORTRANGE(""https://docs.google.com/spreadsheets/d/1gFVb7qd7amutrIxAAoM7lcy35hllxznovot8lyOfvDo/edit?usp=sharing"",""น่าน!J437"")"),0)</f>
        <v>0</v>
      </c>
      <c r="AE19" s="63">
        <f t="shared" ca="1" si="29"/>
        <v>0</v>
      </c>
      <c r="AF19" s="57">
        <f ca="1">IFERROR(__xludf.DUMMYFUNCTION("IMPORTRANGE(""https://docs.google.com/spreadsheets/d/1gFVb7qd7amutrIxAAoM7lcy35hllxznovot8lyOfvDo/edit?usp=sharing"",""น่าน!J438"")"),0)</f>
        <v>0</v>
      </c>
      <c r="AG19" s="63">
        <f t="shared" ca="1" si="12"/>
        <v>0</v>
      </c>
      <c r="AH19" s="57">
        <f ca="1">IFERROR(__xludf.DUMMYFUNCTION("IMPORTRANGE(""https://docs.google.com/spreadsheets/d/1gFVb7qd7amutrIxAAoM7lcy35hllxznovot8lyOfvDo/edit?usp=sharing"",""น่าน!I439"")"),20)</f>
        <v>20</v>
      </c>
      <c r="AI19" s="57">
        <f ca="1">IFERROR(__xludf.DUMMYFUNCTION("IMPORTRANGE(""https://docs.google.com/spreadsheets/d/1gFVb7qd7amutrIxAAoM7lcy35hllxznovot8lyOfvDo/edit?usp=sharing"",""น่าน!I440"")"),1)</f>
        <v>1</v>
      </c>
      <c r="AJ19" s="57">
        <f ca="1">IFERROR(__xludf.DUMMYFUNCTION("IMPORTRANGE(""https://docs.google.com/spreadsheets/d/1gFVb7qd7amutrIxAAoM7lcy35hllxznovot8lyOfvDo/edit?usp=sharing"",""น่าน!J439"")"),20)</f>
        <v>20</v>
      </c>
      <c r="AK19" s="63">
        <f t="shared" ca="1" si="30"/>
        <v>100</v>
      </c>
      <c r="AL19" s="57">
        <f ca="1">IFERROR(__xludf.DUMMYFUNCTION("IMPORTRANGE(""https://docs.google.com/spreadsheets/d/1gFVb7qd7amutrIxAAoM7lcy35hllxznovot8lyOfvDo/edit?usp=sharing"",""น่าน!J440"")"),1)</f>
        <v>1</v>
      </c>
      <c r="AM19" s="63">
        <f t="shared" ca="1" si="15"/>
        <v>100</v>
      </c>
      <c r="AN19" s="57">
        <f ca="1">IFERROR(__xludf.DUMMYFUNCTION("IMPORTRANGE(""https://docs.google.com/spreadsheets/d/1gFVb7qd7amutrIxAAoM7lcy35hllxznovot8lyOfvDo/edit?usp=sharing"",""น่าน!I441"")"),0)</f>
        <v>0</v>
      </c>
      <c r="AO19" s="57">
        <f ca="1">IFERROR(__xludf.DUMMYFUNCTION("IMPORTRANGE(""https://docs.google.com/spreadsheets/d/1gFVb7qd7amutrIxAAoM7lcy35hllxznovot8lyOfvDo/edit?usp=sharing"",""น่าน!J441"")"),0)</f>
        <v>0</v>
      </c>
      <c r="AP19" s="63">
        <f t="shared" ca="1" si="31"/>
        <v>0</v>
      </c>
    </row>
    <row r="20" spans="1:42" ht="24" customHeight="1" x14ac:dyDescent="0.3">
      <c r="A20" s="54">
        <v>7</v>
      </c>
      <c r="B20" s="55" t="s">
        <v>41</v>
      </c>
      <c r="C20" s="56">
        <f t="shared" ca="1" si="42"/>
        <v>197440</v>
      </c>
      <c r="D20" s="57">
        <f ca="1">IFERROR(__xludf.DUMMYFUNCTION("IMPORTRANGE(""https://docs.google.com/spreadsheets/d/1K0Aa9s-6EuHE5M0FG1F9aHLXRCOV917xvycTdLdct0w/edit?usp=sharing"",""พะเยา!L424"")"),197440)</f>
        <v>197440</v>
      </c>
      <c r="E20" s="64">
        <f ca="1">IFERROR(__xludf.DUMMYFUNCTION("IMPORTRANGE(""https://docs.google.com/spreadsheets/d/1K0Aa9s-6EuHE5M0FG1F9aHLXRCOV917xvycTdLdct0w/edit?usp=sharing"",""พะเยา!L431"")"),0)</f>
        <v>0</v>
      </c>
      <c r="F20" s="64">
        <f ca="1">IFERROR(__xludf.DUMMYFUNCTION("IMPORTRANGE(""https://docs.google.com/spreadsheets/d/1K0Aa9s-6EuHE5M0FG1F9aHLXRCOV917xvycTdLdct0w/edit?usp=sharing"",""พะเยา!M424"")"),197440)</f>
        <v>197440</v>
      </c>
      <c r="G20" s="64">
        <f ca="1">IFERROR(__xludf.DUMMYFUNCTION("IMPORTRANGE(""https://docs.google.com/spreadsheets/d/1K0Aa9s-6EuHE5M0FG1F9aHLXRCOV917xvycTdLdct0w/edit?usp=sharing"",""พะเยา!M431"")"),0)</f>
        <v>0</v>
      </c>
      <c r="H20" s="58">
        <f t="shared" ca="1" si="26"/>
        <v>79025</v>
      </c>
      <c r="I20" s="59">
        <f t="shared" ca="1" si="1"/>
        <v>40.024817666126417</v>
      </c>
      <c r="J20" s="60">
        <f t="shared" ca="1" si="43"/>
        <v>79025</v>
      </c>
      <c r="K20" s="61">
        <f t="shared" ca="1" si="33"/>
        <v>40.024817666126417</v>
      </c>
      <c r="L20" s="61">
        <f t="shared" ca="1" si="34"/>
        <v>40.024817666126417</v>
      </c>
      <c r="M20" s="64">
        <f ca="1">IFERROR(__xludf.DUMMYFUNCTION("IMPORTRANGE(""https://docs.google.com/spreadsheets/d/1K0Aa9s-6EuHE5M0FG1F9aHLXRCOV917xvycTdLdct0w/edit?usp=sharing"",""พะเยา!N425"")"),78005)</f>
        <v>78005</v>
      </c>
      <c r="N20" s="64">
        <f ca="1">IFERROR(__xludf.DUMMYFUNCTION("IMPORTRANGE(""https://docs.google.com/spreadsheets/d/1K0Aa9s-6EuHE5M0FG1F9aHLXRCOV917xvycTdLdct0w/edit?usp=sharing"",""พะเยา!N426"")"),0)</f>
        <v>0</v>
      </c>
      <c r="O20" s="64">
        <f ca="1">IFERROR(__xludf.DUMMYFUNCTION("IMPORTRANGE(""https://docs.google.com/spreadsheets/d/1K0Aa9s-6EuHE5M0FG1F9aHLXRCOV917xvycTdLdct0w/edit?usp=sharing"",""พะเยา!N427"")"),0)</f>
        <v>0</v>
      </c>
      <c r="P20" s="64">
        <f ca="1">IFERROR(__xludf.DUMMYFUNCTION("IMPORTRANGE(""https://docs.google.com/spreadsheets/d/1K0Aa9s-6EuHE5M0FG1F9aHLXRCOV917xvycTdLdct0w/edit?usp=sharing"",""พะเยา!N428"")"),1020)</f>
        <v>1020</v>
      </c>
      <c r="Q20" s="62">
        <f ca="1">IFERROR(__xludf.DUMMYFUNCTION("IMPORTRANGE(""https://docs.google.com/spreadsheets/d/1K0Aa9s-6EuHE5M0FG1F9aHLXRCOV917xvycTdLdct0w/edit?usp=sharing"",""พะเยา!N431"")"),0)</f>
        <v>0</v>
      </c>
      <c r="R20" s="62">
        <f t="shared" ca="1" si="36"/>
        <v>0</v>
      </c>
      <c r="S20" s="57">
        <f ca="1">IFERROR(__xludf.DUMMYFUNCTION("IMPORTRANGE(""https://docs.google.com/spreadsheets/d/1K0Aa9s-6EuHE5M0FG1F9aHLXRCOV917xvycTdLdct0w/edit?usp=sharing"",""พะเยา!I433"")"),65)</f>
        <v>65</v>
      </c>
      <c r="T20" s="57">
        <f ca="1">IFERROR(__xludf.DUMMYFUNCTION("IMPORTRANGE(""https://docs.google.com/spreadsheets/d/1K0Aa9s-6EuHE5M0FG1F9aHLXRCOV917xvycTdLdct0w/edit?usp=sharing"",""พะเยา!I434"")"),2)</f>
        <v>2</v>
      </c>
      <c r="U20" s="57">
        <f ca="1">IFERROR(__xludf.DUMMYFUNCTION("IMPORTRANGE(""https://docs.google.com/spreadsheets/d/1K0Aa9s-6EuHE5M0FG1F9aHLXRCOV917xvycTdLdct0w/edit?usp=sharing"",""พะเยา!J433"")"),65)</f>
        <v>65</v>
      </c>
      <c r="V20" s="63">
        <f t="shared" ca="1" si="27"/>
        <v>100</v>
      </c>
      <c r="W20" s="57">
        <f ca="1">IFERROR(__xludf.DUMMYFUNCTION("IMPORTRANGE(""https://docs.google.com/spreadsheets/d/1K0Aa9s-6EuHE5M0FG1F9aHLXRCOV917xvycTdLdct0w/edit?usp=sharing"",""พะเยา!J434"")"),2)</f>
        <v>2</v>
      </c>
      <c r="X20" s="63">
        <f t="shared" ca="1" si="7"/>
        <v>100</v>
      </c>
      <c r="Y20" s="57">
        <f ca="1">IFERROR(__xludf.DUMMYFUNCTION("IMPORTRANGE(""https://docs.google.com/spreadsheets/d/1K0Aa9s-6EuHE5M0FG1F9aHLXRCOV917xvycTdLdct0w/edit?usp=sharing"",""พะเยา!I435"")"),65)</f>
        <v>65</v>
      </c>
      <c r="Z20" s="57">
        <f ca="1">IFERROR(__xludf.DUMMYFUNCTION("IMPORTRANGE(""https://docs.google.com/spreadsheets/d/1K0Aa9s-6EuHE5M0FG1F9aHLXRCOV917xvycTdLdct0w/edit?usp=sharing"",""พะเยา!J435"")"),65)</f>
        <v>65</v>
      </c>
      <c r="AA20" s="63">
        <f t="shared" ca="1" si="28"/>
        <v>100</v>
      </c>
      <c r="AB20" s="57">
        <f ca="1">IFERROR(__xludf.DUMMYFUNCTION("IMPORTRANGE(""https://docs.google.com/spreadsheets/d/1K0Aa9s-6EuHE5M0FG1F9aHLXRCOV917xvycTdLdct0w/edit?usp=sharing"",""พะเยา!I437"")"),30)</f>
        <v>30</v>
      </c>
      <c r="AC20" s="57">
        <f ca="1">IFERROR(__xludf.DUMMYFUNCTION("IMPORTRANGE(""https://docs.google.com/spreadsheets/d/1K0Aa9s-6EuHE5M0FG1F9aHLXRCOV917xvycTdLdct0w/edit?usp=sharing"",""พะเยา!I438"")"),1)</f>
        <v>1</v>
      </c>
      <c r="AD20" s="57">
        <f ca="1">IFERROR(__xludf.DUMMYFUNCTION("IMPORTRANGE(""https://docs.google.com/spreadsheets/d/1K0Aa9s-6EuHE5M0FG1F9aHLXRCOV917xvycTdLdct0w/edit?usp=sharing"",""พะเยา!J437"")"),30)</f>
        <v>30</v>
      </c>
      <c r="AE20" s="63">
        <f t="shared" ca="1" si="29"/>
        <v>100</v>
      </c>
      <c r="AF20" s="57">
        <f ca="1">IFERROR(__xludf.DUMMYFUNCTION("IMPORTRANGE(""https://docs.google.com/spreadsheets/d/1K0Aa9s-6EuHE5M0FG1F9aHLXRCOV917xvycTdLdct0w/edit?usp=sharing"",""พะเยา!J438"")"),1)</f>
        <v>1</v>
      </c>
      <c r="AG20" s="63">
        <f t="shared" ca="1" si="12"/>
        <v>100</v>
      </c>
      <c r="AH20" s="57">
        <f ca="1">IFERROR(__xludf.DUMMYFUNCTION("IMPORTRANGE(""https://docs.google.com/spreadsheets/d/1K0Aa9s-6EuHE5M0FG1F9aHLXRCOV917xvycTdLdct0w/edit?usp=sharing"",""พะเยา!I439"")"),35)</f>
        <v>35</v>
      </c>
      <c r="AI20" s="57">
        <f ca="1">IFERROR(__xludf.DUMMYFUNCTION("IMPORTRANGE(""https://docs.google.com/spreadsheets/d/1K0Aa9s-6EuHE5M0FG1F9aHLXRCOV917xvycTdLdct0w/edit?usp=sharing"",""พะเยา!I440"")"),1)</f>
        <v>1</v>
      </c>
      <c r="AJ20" s="57">
        <f ca="1">IFERROR(__xludf.DUMMYFUNCTION("IMPORTRANGE(""https://docs.google.com/spreadsheets/d/1K0Aa9s-6EuHE5M0FG1F9aHLXRCOV917xvycTdLdct0w/edit?usp=sharing"",""พะเยา!J439"")"),35)</f>
        <v>35</v>
      </c>
      <c r="AK20" s="63">
        <f t="shared" ca="1" si="30"/>
        <v>100</v>
      </c>
      <c r="AL20" s="57">
        <f ca="1">IFERROR(__xludf.DUMMYFUNCTION("IMPORTRANGE(""https://docs.google.com/spreadsheets/d/1K0Aa9s-6EuHE5M0FG1F9aHLXRCOV917xvycTdLdct0w/edit?usp=sharing"",""พะเยา!J440"")"),1)</f>
        <v>1</v>
      </c>
      <c r="AM20" s="63">
        <f t="shared" ca="1" si="15"/>
        <v>100</v>
      </c>
      <c r="AN20" s="57">
        <f ca="1">IFERROR(__xludf.DUMMYFUNCTION("IMPORTRANGE(""https://docs.google.com/spreadsheets/d/1K0Aa9s-6EuHE5M0FG1F9aHLXRCOV917xvycTdLdct0w/edit?usp=sharing"",""พะเยา!I441"")"),0)</f>
        <v>0</v>
      </c>
      <c r="AO20" s="57">
        <f ca="1">IFERROR(__xludf.DUMMYFUNCTION("IMPORTRANGE(""https://docs.google.com/spreadsheets/d/1K0Aa9s-6EuHE5M0FG1F9aHLXRCOV917xvycTdLdct0w/edit?usp=sharing"",""พะเยา!J441"")"),0)</f>
        <v>0</v>
      </c>
      <c r="AP20" s="63">
        <f t="shared" ca="1" si="31"/>
        <v>0</v>
      </c>
    </row>
    <row r="21" spans="1:42" ht="24" customHeight="1" x14ac:dyDescent="0.3">
      <c r="A21" s="54">
        <v>8</v>
      </c>
      <c r="B21" s="55" t="s">
        <v>42</v>
      </c>
      <c r="C21" s="56">
        <f t="shared" ca="1" si="42"/>
        <v>78660</v>
      </c>
      <c r="D21" s="57">
        <f ca="1">IFERROR(__xludf.DUMMYFUNCTION("IMPORTRANGE(""https://docs.google.com/spreadsheets/d/1Y9LPKx95PyL5OKy09d-KbKJSuuEZCFdkhYjwC0XQjBA/edit?usp=sharing"",""พิจิตร!L424"")"),78660)</f>
        <v>78660</v>
      </c>
      <c r="E21" s="64">
        <f ca="1">IFERROR(__xludf.DUMMYFUNCTION("IMPORTRANGE(""https://docs.google.com/spreadsheets/d/1Y9LPKx95PyL5OKy09d-KbKJSuuEZCFdkhYjwC0XQjBA/edit?usp=sharing"",""พิจิตร!L431"")"),0)</f>
        <v>0</v>
      </c>
      <c r="F21" s="64">
        <f ca="1">IFERROR(__xludf.DUMMYFUNCTION("IMPORTRANGE(""https://docs.google.com/spreadsheets/d/1Y9LPKx95PyL5OKy09d-KbKJSuuEZCFdkhYjwC0XQjBA/edit?usp=sharing"",""พิจิตร!M424"")"),78660)</f>
        <v>78660</v>
      </c>
      <c r="G21" s="64">
        <f ca="1">IFERROR(__xludf.DUMMYFUNCTION("IMPORTRANGE(""https://docs.google.com/spreadsheets/d/1Y9LPKx95PyL5OKy09d-KbKJSuuEZCFdkhYjwC0XQjBA/edit?usp=sharing"",""พิจิตร!M431"")"),0)</f>
        <v>0</v>
      </c>
      <c r="H21" s="58">
        <f t="shared" ca="1" si="26"/>
        <v>62060</v>
      </c>
      <c r="I21" s="59">
        <f t="shared" ca="1" si="1"/>
        <v>78.896516653953725</v>
      </c>
      <c r="J21" s="60">
        <f t="shared" ca="1" si="43"/>
        <v>62060</v>
      </c>
      <c r="K21" s="61">
        <f t="shared" ca="1" si="33"/>
        <v>78.896516653953725</v>
      </c>
      <c r="L21" s="61">
        <f t="shared" ca="1" si="34"/>
        <v>78.896516653953725</v>
      </c>
      <c r="M21" s="64">
        <f ca="1">IFERROR(__xludf.DUMMYFUNCTION("IMPORTRANGE(""https://docs.google.com/spreadsheets/d/1Y9LPKx95PyL5OKy09d-KbKJSuuEZCFdkhYjwC0XQjBA/edit?usp=sharing"",""พิจิตร!N425"")"),48400)</f>
        <v>48400</v>
      </c>
      <c r="N21" s="64">
        <f ca="1">IFERROR(__xludf.DUMMYFUNCTION("IMPORTRANGE(""https://docs.google.com/spreadsheets/d/1Y9LPKx95PyL5OKy09d-KbKJSuuEZCFdkhYjwC0XQjBA/edit?usp=sharing"",""พิจิตร!N426"")"),0)</f>
        <v>0</v>
      </c>
      <c r="O21" s="64">
        <f ca="1">IFERROR(__xludf.DUMMYFUNCTION("IMPORTRANGE(""https://docs.google.com/spreadsheets/d/1Y9LPKx95PyL5OKy09d-KbKJSuuEZCFdkhYjwC0XQjBA/edit?usp=sharing"",""พิจิตร!N427"")"),0)</f>
        <v>0</v>
      </c>
      <c r="P21" s="64">
        <f ca="1">IFERROR(__xludf.DUMMYFUNCTION("IMPORTRANGE(""https://docs.google.com/spreadsheets/d/1Y9LPKx95PyL5OKy09d-KbKJSuuEZCFdkhYjwC0XQjBA/edit?usp=sharing"",""พิจิตร!N428"")"),13660)</f>
        <v>13660</v>
      </c>
      <c r="Q21" s="62">
        <f ca="1">IFERROR(__xludf.DUMMYFUNCTION("IMPORTRANGE(""https://docs.google.com/spreadsheets/d/1Y9LPKx95PyL5OKy09d-KbKJSuuEZCFdkhYjwC0XQjBA/edit?usp=sharing"",""พิจิตร!N431"")"),0)</f>
        <v>0</v>
      </c>
      <c r="R21" s="62">
        <f t="shared" ca="1" si="36"/>
        <v>0</v>
      </c>
      <c r="S21" s="57">
        <f ca="1">IFERROR(__xludf.DUMMYFUNCTION("IMPORTRANGE(""https://docs.google.com/spreadsheets/d/1Y9LPKx95PyL5OKy09d-KbKJSuuEZCFdkhYjwC0XQjBA/edit?usp=sharing"",""พิจิตร!I433"")"),20)</f>
        <v>20</v>
      </c>
      <c r="T21" s="57">
        <f ca="1">IFERROR(__xludf.DUMMYFUNCTION("IMPORTRANGE(""https://docs.google.com/spreadsheets/d/1Y9LPKx95PyL5OKy09d-KbKJSuuEZCFdkhYjwC0XQjBA/edit?usp=sharing"",""พิจิตร!I434"")"),1)</f>
        <v>1</v>
      </c>
      <c r="U21" s="57">
        <f ca="1">IFERROR(__xludf.DUMMYFUNCTION("IMPORTRANGE(""https://docs.google.com/spreadsheets/d/1Y9LPKx95PyL5OKy09d-KbKJSuuEZCFdkhYjwC0XQjBA/edit?usp=sharing"",""พิจิตร!J433"")"),20)</f>
        <v>20</v>
      </c>
      <c r="V21" s="63">
        <f t="shared" ca="1" si="27"/>
        <v>100</v>
      </c>
      <c r="W21" s="57">
        <f ca="1">IFERROR(__xludf.DUMMYFUNCTION("IMPORTRANGE(""https://docs.google.com/spreadsheets/d/1Y9LPKx95PyL5OKy09d-KbKJSuuEZCFdkhYjwC0XQjBA/edit?usp=sharing"",""พิจิตร!J434"")"),1)</f>
        <v>1</v>
      </c>
      <c r="X21" s="63">
        <f t="shared" ca="1" si="7"/>
        <v>100</v>
      </c>
      <c r="Y21" s="57">
        <f ca="1">IFERROR(__xludf.DUMMYFUNCTION("IMPORTRANGE(""https://docs.google.com/spreadsheets/d/1Y9LPKx95PyL5OKy09d-KbKJSuuEZCFdkhYjwC0XQjBA/edit?usp=sharing"",""พิจิตร!I435"")"),20)</f>
        <v>20</v>
      </c>
      <c r="Z21" s="57">
        <f ca="1">IFERROR(__xludf.DUMMYFUNCTION("IMPORTRANGE(""https://docs.google.com/spreadsheets/d/1Y9LPKx95PyL5OKy09d-KbKJSuuEZCFdkhYjwC0XQjBA/edit?usp=sharing"",""พิจิตร!J435"")"),20)</f>
        <v>20</v>
      </c>
      <c r="AA21" s="63">
        <f t="shared" ca="1" si="28"/>
        <v>100</v>
      </c>
      <c r="AB21" s="57">
        <f ca="1">IFERROR(__xludf.DUMMYFUNCTION("IMPORTRANGE(""https://docs.google.com/spreadsheets/d/1Y9LPKx95PyL5OKy09d-KbKJSuuEZCFdkhYjwC0XQjBA/edit?usp=sharing"",""พิจิตร!I437"")"),0)</f>
        <v>0</v>
      </c>
      <c r="AC21" s="57">
        <f ca="1">IFERROR(__xludf.DUMMYFUNCTION("IMPORTRANGE(""https://docs.google.com/spreadsheets/d/1Y9LPKx95PyL5OKy09d-KbKJSuuEZCFdkhYjwC0XQjBA/edit?usp=sharing"",""พิจิตร!I438"")"),0)</f>
        <v>0</v>
      </c>
      <c r="AD21" s="57">
        <f ca="1">IFERROR(__xludf.DUMMYFUNCTION("IMPORTRANGE(""https://docs.google.com/spreadsheets/d/1Y9LPKx95PyL5OKy09d-KbKJSuuEZCFdkhYjwC0XQjBA/edit?usp=sharing"",""พิจิตร!J437"")"),0)</f>
        <v>0</v>
      </c>
      <c r="AE21" s="63">
        <f t="shared" ca="1" si="29"/>
        <v>0</v>
      </c>
      <c r="AF21" s="57">
        <f ca="1">IFERROR(__xludf.DUMMYFUNCTION("IMPORTRANGE(""https://docs.google.com/spreadsheets/d/1Y9LPKx95PyL5OKy09d-KbKJSuuEZCFdkhYjwC0XQjBA/edit?usp=sharing"",""พิจิตร!J438"")"),0)</f>
        <v>0</v>
      </c>
      <c r="AG21" s="63">
        <f t="shared" ca="1" si="12"/>
        <v>0</v>
      </c>
      <c r="AH21" s="57">
        <f ca="1">IFERROR(__xludf.DUMMYFUNCTION("IMPORTRANGE(""https://docs.google.com/spreadsheets/d/1Y9LPKx95PyL5OKy09d-KbKJSuuEZCFdkhYjwC0XQjBA/edit?usp=sharing"",""พิจิตร!I439"")"),20)</f>
        <v>20</v>
      </c>
      <c r="AI21" s="57">
        <f ca="1">IFERROR(__xludf.DUMMYFUNCTION("IMPORTRANGE(""https://docs.google.com/spreadsheets/d/1Y9LPKx95PyL5OKy09d-KbKJSuuEZCFdkhYjwC0XQjBA/edit?usp=sharing"",""พิจิตร!I440"")"),1)</f>
        <v>1</v>
      </c>
      <c r="AJ21" s="57">
        <f ca="1">IFERROR(__xludf.DUMMYFUNCTION("IMPORTRANGE(""https://docs.google.com/spreadsheets/d/1Y9LPKx95PyL5OKy09d-KbKJSuuEZCFdkhYjwC0XQjBA/edit?usp=sharing"",""พิจิตร!J439"")"),20)</f>
        <v>20</v>
      </c>
      <c r="AK21" s="63">
        <f t="shared" ca="1" si="30"/>
        <v>100</v>
      </c>
      <c r="AL21" s="57">
        <f ca="1">IFERROR(__xludf.DUMMYFUNCTION("IMPORTRANGE(""https://docs.google.com/spreadsheets/d/1Y9LPKx95PyL5OKy09d-KbKJSuuEZCFdkhYjwC0XQjBA/edit?usp=sharing"",""พิจิตร!J440"")"),1)</f>
        <v>1</v>
      </c>
      <c r="AM21" s="63">
        <f t="shared" ca="1" si="15"/>
        <v>100</v>
      </c>
      <c r="AN21" s="57">
        <f ca="1">IFERROR(__xludf.DUMMYFUNCTION("IMPORTRANGE(""https://docs.google.com/spreadsheets/d/1Y9LPKx95PyL5OKy09d-KbKJSuuEZCFdkhYjwC0XQjBA/edit?usp=sharing"",""พิจิตร!I441"")"),0)</f>
        <v>0</v>
      </c>
      <c r="AO21" s="57">
        <f ca="1">IFERROR(__xludf.DUMMYFUNCTION("IMPORTRANGE(""https://docs.google.com/spreadsheets/d/1Y9LPKx95PyL5OKy09d-KbKJSuuEZCFdkhYjwC0XQjBA/edit?usp=sharing"",""พิจิตร!J441"")"),0)</f>
        <v>0</v>
      </c>
      <c r="AP21" s="63">
        <f t="shared" ca="1" si="31"/>
        <v>0</v>
      </c>
    </row>
    <row r="22" spans="1:42" ht="24" customHeight="1" x14ac:dyDescent="0.3">
      <c r="A22" s="54">
        <v>9</v>
      </c>
      <c r="B22" s="55" t="s">
        <v>43</v>
      </c>
      <c r="C22" s="56">
        <f t="shared" ca="1" si="42"/>
        <v>78660</v>
      </c>
      <c r="D22" s="57">
        <f ca="1">IFERROR(__xludf.DUMMYFUNCTION("IMPORTRANGE(""https://docs.google.com/spreadsheets/d/16OMuOwy2eVqZcYWOouQtTpa8X1L23h4660uVHc0C8os/edit?usp=sharing"",""พิษณุโลก!L424"")"),78660)</f>
        <v>78660</v>
      </c>
      <c r="E22" s="64">
        <f ca="1">IFERROR(__xludf.DUMMYFUNCTION("IMPORTRANGE(""https://docs.google.com/spreadsheets/d/16OMuOwy2eVqZcYWOouQtTpa8X1L23h4660uVHc0C8os/edit?usp=sharing"",""พิษณุโลก!L431"")"),0)</f>
        <v>0</v>
      </c>
      <c r="F22" s="64">
        <f ca="1">IFERROR(__xludf.DUMMYFUNCTION("IMPORTRANGE(""https://docs.google.com/spreadsheets/d/16OMuOwy2eVqZcYWOouQtTpa8X1L23h4660uVHc0C8os/edit?usp=sharing"",""พิษณุโลก!M424"")"),78660)</f>
        <v>78660</v>
      </c>
      <c r="G22" s="64">
        <f ca="1">IFERROR(__xludf.DUMMYFUNCTION("IMPORTRANGE(""https://docs.google.com/spreadsheets/d/16OMuOwy2eVqZcYWOouQtTpa8X1L23h4660uVHc0C8os/edit?usp=sharing"",""พิษณุโลก!M431"")"),0)</f>
        <v>0</v>
      </c>
      <c r="H22" s="58">
        <f t="shared" ca="1" si="26"/>
        <v>46655</v>
      </c>
      <c r="I22" s="59">
        <f t="shared" ca="1" si="1"/>
        <v>59.31222984998729</v>
      </c>
      <c r="J22" s="60">
        <f t="shared" ca="1" si="43"/>
        <v>46655</v>
      </c>
      <c r="K22" s="61">
        <f t="shared" ca="1" si="33"/>
        <v>59.31222984998729</v>
      </c>
      <c r="L22" s="61">
        <f t="shared" ca="1" si="34"/>
        <v>59.31222984998729</v>
      </c>
      <c r="M22" s="64">
        <f ca="1">IFERROR(__xludf.DUMMYFUNCTION("IMPORTRANGE(""https://docs.google.com/spreadsheets/d/16OMuOwy2eVqZcYWOouQtTpa8X1L23h4660uVHc0C8os/edit?usp=sharing"",""พิษณุโลก!N425"")"),34050)</f>
        <v>34050</v>
      </c>
      <c r="N22" s="64">
        <f ca="1">IFERROR(__xludf.DUMMYFUNCTION("IMPORTRANGE(""https://docs.google.com/spreadsheets/d/16OMuOwy2eVqZcYWOouQtTpa8X1L23h4660uVHc0C8os/edit?usp=sharing"",""พิษณุโลก!N426"")"),0)</f>
        <v>0</v>
      </c>
      <c r="O22" s="64">
        <f ca="1">IFERROR(__xludf.DUMMYFUNCTION("IMPORTRANGE(""https://docs.google.com/spreadsheets/d/16OMuOwy2eVqZcYWOouQtTpa8X1L23h4660uVHc0C8os/edit?usp=sharing"",""พิษณุโลก!N427"")"),0)</f>
        <v>0</v>
      </c>
      <c r="P22" s="64">
        <f ca="1">IFERROR(__xludf.DUMMYFUNCTION("IMPORTRANGE(""https://docs.google.com/spreadsheets/d/16OMuOwy2eVqZcYWOouQtTpa8X1L23h4660uVHc0C8os/edit?usp=sharing"",""พิษณุโลก!N428"")"),12605)</f>
        <v>12605</v>
      </c>
      <c r="Q22" s="62">
        <f ca="1">IFERROR(__xludf.DUMMYFUNCTION("IMPORTRANGE(""https://docs.google.com/spreadsheets/d/16OMuOwy2eVqZcYWOouQtTpa8X1L23h4660uVHc0C8os/edit?usp=sharing"",""พิษณุโลก!N431"")"),0)</f>
        <v>0</v>
      </c>
      <c r="R22" s="62">
        <f t="shared" ca="1" si="36"/>
        <v>0</v>
      </c>
      <c r="S22" s="57">
        <f ca="1">IFERROR(__xludf.DUMMYFUNCTION("IMPORTRANGE(""https://docs.google.com/spreadsheets/d/16OMuOwy2eVqZcYWOouQtTpa8X1L23h4660uVHc0C8os/edit?usp=sharing"",""พิษณุโลก!I433"")"),20)</f>
        <v>20</v>
      </c>
      <c r="T22" s="57">
        <f ca="1">IFERROR(__xludf.DUMMYFUNCTION("IMPORTRANGE(""https://docs.google.com/spreadsheets/d/16OMuOwy2eVqZcYWOouQtTpa8X1L23h4660uVHc0C8os/edit?usp=sharing"",""พิษณุโลก!I434"")"),1)</f>
        <v>1</v>
      </c>
      <c r="U22" s="57">
        <f ca="1">IFERROR(__xludf.DUMMYFUNCTION("IMPORTRANGE(""https://docs.google.com/spreadsheets/d/16OMuOwy2eVqZcYWOouQtTpa8X1L23h4660uVHc0C8os/edit?usp=sharing"",""พิษณุโลก!J433"")"),20)</f>
        <v>20</v>
      </c>
      <c r="V22" s="63">
        <f t="shared" ca="1" si="27"/>
        <v>100</v>
      </c>
      <c r="W22" s="57">
        <f ca="1">IFERROR(__xludf.DUMMYFUNCTION("IMPORTRANGE(""https://docs.google.com/spreadsheets/d/16OMuOwy2eVqZcYWOouQtTpa8X1L23h4660uVHc0C8os/edit?usp=sharing"",""พิษณุโลก!J434"")"),1)</f>
        <v>1</v>
      </c>
      <c r="X22" s="63">
        <f t="shared" ca="1" si="7"/>
        <v>100</v>
      </c>
      <c r="Y22" s="57">
        <f ca="1">IFERROR(__xludf.DUMMYFUNCTION("IMPORTRANGE(""https://docs.google.com/spreadsheets/d/16OMuOwy2eVqZcYWOouQtTpa8X1L23h4660uVHc0C8os/edit?usp=sharing"",""พิษณุโลก!I435"")"),20)</f>
        <v>20</v>
      </c>
      <c r="Z22" s="57">
        <f ca="1">IFERROR(__xludf.DUMMYFUNCTION("IMPORTRANGE(""https://docs.google.com/spreadsheets/d/16OMuOwy2eVqZcYWOouQtTpa8X1L23h4660uVHc0C8os/edit?usp=sharing"",""พิษณุโลก!J435"")"),20)</f>
        <v>20</v>
      </c>
      <c r="AA22" s="63">
        <f t="shared" ca="1" si="28"/>
        <v>100</v>
      </c>
      <c r="AB22" s="57">
        <f ca="1">IFERROR(__xludf.DUMMYFUNCTION("IMPORTRANGE(""https://docs.google.com/spreadsheets/d/16OMuOwy2eVqZcYWOouQtTpa8X1L23h4660uVHc0C8os/edit?usp=sharing"",""พิษณุโลก!I437"")"),0)</f>
        <v>0</v>
      </c>
      <c r="AC22" s="57">
        <f ca="1">IFERROR(__xludf.DUMMYFUNCTION("IMPORTRANGE(""https://docs.google.com/spreadsheets/d/16OMuOwy2eVqZcYWOouQtTpa8X1L23h4660uVHc0C8os/edit?usp=sharing"",""พิษณุโลก!I438"")"),0)</f>
        <v>0</v>
      </c>
      <c r="AD22" s="57">
        <f ca="1">IFERROR(__xludf.DUMMYFUNCTION("IMPORTRANGE(""https://docs.google.com/spreadsheets/d/16OMuOwy2eVqZcYWOouQtTpa8X1L23h4660uVHc0C8os/edit?usp=sharing"",""พิษณุโลก!J437"")"),0)</f>
        <v>0</v>
      </c>
      <c r="AE22" s="63">
        <f t="shared" ca="1" si="29"/>
        <v>0</v>
      </c>
      <c r="AF22" s="57">
        <f ca="1">IFERROR(__xludf.DUMMYFUNCTION("IMPORTRANGE(""https://docs.google.com/spreadsheets/d/16OMuOwy2eVqZcYWOouQtTpa8X1L23h4660uVHc0C8os/edit?usp=sharing"",""พิษณุโลก!J438"")"),0)</f>
        <v>0</v>
      </c>
      <c r="AG22" s="63">
        <f t="shared" ca="1" si="12"/>
        <v>0</v>
      </c>
      <c r="AH22" s="57">
        <f ca="1">IFERROR(__xludf.DUMMYFUNCTION("IMPORTRANGE(""https://docs.google.com/spreadsheets/d/16OMuOwy2eVqZcYWOouQtTpa8X1L23h4660uVHc0C8os/edit?usp=sharing"",""พิษณุโลก!I439"")"),20)</f>
        <v>20</v>
      </c>
      <c r="AI22" s="57">
        <f ca="1">IFERROR(__xludf.DUMMYFUNCTION("IMPORTRANGE(""https://docs.google.com/spreadsheets/d/16OMuOwy2eVqZcYWOouQtTpa8X1L23h4660uVHc0C8os/edit?usp=sharing"",""พิษณุโลก!I440"")"),1)</f>
        <v>1</v>
      </c>
      <c r="AJ22" s="57">
        <f ca="1">IFERROR(__xludf.DUMMYFUNCTION("IMPORTRANGE(""https://docs.google.com/spreadsheets/d/16OMuOwy2eVqZcYWOouQtTpa8X1L23h4660uVHc0C8os/edit?usp=sharing"",""พิษณุโลก!J439"")"),20)</f>
        <v>20</v>
      </c>
      <c r="AK22" s="63">
        <f t="shared" ca="1" si="30"/>
        <v>100</v>
      </c>
      <c r="AL22" s="57">
        <f ca="1">IFERROR(__xludf.DUMMYFUNCTION("IMPORTRANGE(""https://docs.google.com/spreadsheets/d/16OMuOwy2eVqZcYWOouQtTpa8X1L23h4660uVHc0C8os/edit?usp=sharing"",""พิษณุโลก!J440"")"),1)</f>
        <v>1</v>
      </c>
      <c r="AM22" s="63">
        <f t="shared" ca="1" si="15"/>
        <v>100</v>
      </c>
      <c r="AN22" s="57">
        <f ca="1">IFERROR(__xludf.DUMMYFUNCTION("IMPORTRANGE(""https://docs.google.com/spreadsheets/d/16OMuOwy2eVqZcYWOouQtTpa8X1L23h4660uVHc0C8os/edit?usp=sharing"",""พิษณุโลก!I441"")"),0)</f>
        <v>0</v>
      </c>
      <c r="AO22" s="57">
        <f ca="1">IFERROR(__xludf.DUMMYFUNCTION("IMPORTRANGE(""https://docs.google.com/spreadsheets/d/16OMuOwy2eVqZcYWOouQtTpa8X1L23h4660uVHc0C8os/edit?usp=sharing"",""พิษณุโลก!J441"")"),0)</f>
        <v>0</v>
      </c>
      <c r="AP22" s="63">
        <f t="shared" ca="1" si="31"/>
        <v>0</v>
      </c>
    </row>
    <row r="23" spans="1:42" ht="24" customHeight="1" x14ac:dyDescent="0.3">
      <c r="A23" s="54">
        <v>10</v>
      </c>
      <c r="B23" s="55" t="s">
        <v>44</v>
      </c>
      <c r="C23" s="56">
        <f t="shared" ca="1" si="42"/>
        <v>100960</v>
      </c>
      <c r="D23" s="57">
        <f ca="1">IFERROR(__xludf.DUMMYFUNCTION("IMPORTRANGE(""https://docs.google.com/spreadsheets/d/1GfgTldLG6k77HXaMQzaafODklYuucJZQNs_GAPEfZyY/edit?usp=sharing"",""เพชรบูรณ์!L424"")"),100960)</f>
        <v>100960</v>
      </c>
      <c r="E23" s="64">
        <f ca="1">IFERROR(__xludf.DUMMYFUNCTION("IMPORTRANGE(""https://docs.google.com/spreadsheets/d/1GfgTldLG6k77HXaMQzaafODklYuucJZQNs_GAPEfZyY/edit?usp=sharing"",""เพชรบูรณ์!L431"")"),0)</f>
        <v>0</v>
      </c>
      <c r="F23" s="64">
        <f ca="1">IFERROR(__xludf.DUMMYFUNCTION("IMPORTRANGE(""https://docs.google.com/spreadsheets/d/1GfgTldLG6k77HXaMQzaafODklYuucJZQNs_GAPEfZyY/edit?usp=sharing"",""เพชรบูรณ์!M424"")"),100960)</f>
        <v>100960</v>
      </c>
      <c r="G23" s="64">
        <f ca="1">IFERROR(__xludf.DUMMYFUNCTION("IMPORTRANGE(""https://docs.google.com/spreadsheets/d/1GfgTldLG6k77HXaMQzaafODklYuucJZQNs_GAPEfZyY/edit?usp=sharing"",""เพชรบูรณ์!M431"")"),0)</f>
        <v>0</v>
      </c>
      <c r="H23" s="58">
        <f t="shared" ca="1" si="26"/>
        <v>77362.5</v>
      </c>
      <c r="I23" s="59">
        <f t="shared" ca="1" si="1"/>
        <v>76.62688193343898</v>
      </c>
      <c r="J23" s="60">
        <f t="shared" ca="1" si="43"/>
        <v>77362.5</v>
      </c>
      <c r="K23" s="61">
        <f t="shared" ca="1" si="33"/>
        <v>76.62688193343898</v>
      </c>
      <c r="L23" s="61">
        <f t="shared" ca="1" si="34"/>
        <v>76.62688193343898</v>
      </c>
      <c r="M23" s="64">
        <f ca="1">IFERROR(__xludf.DUMMYFUNCTION("IMPORTRANGE(""https://docs.google.com/spreadsheets/d/1GfgTldLG6k77HXaMQzaafODklYuucJZQNs_GAPEfZyY/edit?usp=sharing"",""เพชรบูรณ์!N425"")"),73687.5)</f>
        <v>73687.5</v>
      </c>
      <c r="N23" s="64">
        <f ca="1">IFERROR(__xludf.DUMMYFUNCTION("IMPORTRANGE(""https://docs.google.com/spreadsheets/d/1GfgTldLG6k77HXaMQzaafODklYuucJZQNs_GAPEfZyY/edit?usp=sharing"",""เพชรบูรณ์!N426"")"),0)</f>
        <v>0</v>
      </c>
      <c r="O23" s="64">
        <f ca="1">IFERROR(__xludf.DUMMYFUNCTION("IMPORTRANGE(""https://docs.google.com/spreadsheets/d/1GfgTldLG6k77HXaMQzaafODklYuucJZQNs_GAPEfZyY/edit?usp=sharing"",""เพชรบูรณ์!N427"")"),0)</f>
        <v>0</v>
      </c>
      <c r="P23" s="64">
        <f ca="1">IFERROR(__xludf.DUMMYFUNCTION("IMPORTRANGE(""https://docs.google.com/spreadsheets/d/1GfgTldLG6k77HXaMQzaafODklYuucJZQNs_GAPEfZyY/edit?usp=sharing"",""เพชรบูรณ์!N428"")"),3675)</f>
        <v>3675</v>
      </c>
      <c r="Q23" s="62">
        <f ca="1">IFERROR(__xludf.DUMMYFUNCTION("IMPORTRANGE(""https://docs.google.com/spreadsheets/d/1GfgTldLG6k77HXaMQzaafODklYuucJZQNs_GAPEfZyY/edit?usp=sharing"",""เพชรบูรณ์!N431"")"),0)</f>
        <v>0</v>
      </c>
      <c r="R23" s="62">
        <f t="shared" ca="1" si="36"/>
        <v>0</v>
      </c>
      <c r="S23" s="57">
        <f ca="1">IFERROR(__xludf.DUMMYFUNCTION("IMPORTRANGE(""https://docs.google.com/spreadsheets/d/1GfgTldLG6k77HXaMQzaafODklYuucJZQNs_GAPEfZyY/edit?usp=sharing"",""เพชรบูรณ์!I433"")"),20)</f>
        <v>20</v>
      </c>
      <c r="T23" s="57">
        <f ca="1">IFERROR(__xludf.DUMMYFUNCTION("IMPORTRANGE(""https://docs.google.com/spreadsheets/d/1GfgTldLG6k77HXaMQzaafODklYuucJZQNs_GAPEfZyY/edit?usp=sharing"",""เพชรบูรณ์!I434"")"),1)</f>
        <v>1</v>
      </c>
      <c r="U23" s="57">
        <f ca="1">IFERROR(__xludf.DUMMYFUNCTION("IMPORTRANGE(""https://docs.google.com/spreadsheets/d/1GfgTldLG6k77HXaMQzaafODklYuucJZQNs_GAPEfZyY/edit?usp=sharing"",""เพชรบูรณ์!J433"")"),20)</f>
        <v>20</v>
      </c>
      <c r="V23" s="63">
        <f t="shared" ca="1" si="27"/>
        <v>100</v>
      </c>
      <c r="W23" s="57">
        <f ca="1">IFERROR(__xludf.DUMMYFUNCTION("IMPORTRANGE(""https://docs.google.com/spreadsheets/d/1GfgTldLG6k77HXaMQzaafODklYuucJZQNs_GAPEfZyY/edit?usp=sharing"",""เพชรบูรณ์!J434"")"),1)</f>
        <v>1</v>
      </c>
      <c r="X23" s="63">
        <f t="shared" ca="1" si="7"/>
        <v>100</v>
      </c>
      <c r="Y23" s="57">
        <f ca="1">IFERROR(__xludf.DUMMYFUNCTION("IMPORTRANGE(""https://docs.google.com/spreadsheets/d/1GfgTldLG6k77HXaMQzaafODklYuucJZQNs_GAPEfZyY/edit?usp=sharing"",""เพชรบูรณ์!I435"")"),20)</f>
        <v>20</v>
      </c>
      <c r="Z23" s="57">
        <f ca="1">IFERROR(__xludf.DUMMYFUNCTION("IMPORTRANGE(""https://docs.google.com/spreadsheets/d/1GfgTldLG6k77HXaMQzaafODklYuucJZQNs_GAPEfZyY/edit?usp=sharing"",""เพชรบูรณ์!J435"")"),20)</f>
        <v>20</v>
      </c>
      <c r="AA23" s="63">
        <f t="shared" ca="1" si="28"/>
        <v>100</v>
      </c>
      <c r="AB23" s="57">
        <f ca="1">IFERROR(__xludf.DUMMYFUNCTION("IMPORTRANGE(""https://docs.google.com/spreadsheets/d/1GfgTldLG6k77HXaMQzaafODklYuucJZQNs_GAPEfZyY/edit?usp=sharing"",""เพชรบูรณ์!I437"")"),0)</f>
        <v>0</v>
      </c>
      <c r="AC23" s="57">
        <f ca="1">IFERROR(__xludf.DUMMYFUNCTION("IMPORTRANGE(""https://docs.google.com/spreadsheets/d/1GfgTldLG6k77HXaMQzaafODklYuucJZQNs_GAPEfZyY/edit?usp=sharing"",""เพชรบูรณ์!I438"")"),0)</f>
        <v>0</v>
      </c>
      <c r="AD23" s="57">
        <f ca="1">IFERROR(__xludf.DUMMYFUNCTION("IMPORTRANGE(""https://docs.google.com/spreadsheets/d/1GfgTldLG6k77HXaMQzaafODklYuucJZQNs_GAPEfZyY/edit?usp=sharing"",""เพชรบูรณ์!J437"")"),0)</f>
        <v>0</v>
      </c>
      <c r="AE23" s="63">
        <f t="shared" ca="1" si="29"/>
        <v>0</v>
      </c>
      <c r="AF23" s="57">
        <f ca="1">IFERROR(__xludf.DUMMYFUNCTION("IMPORTRANGE(""https://docs.google.com/spreadsheets/d/1GfgTldLG6k77HXaMQzaafODklYuucJZQNs_GAPEfZyY/edit?usp=sharing"",""เพชรบูรณ์!J438"")"),0)</f>
        <v>0</v>
      </c>
      <c r="AG23" s="63">
        <f t="shared" ca="1" si="12"/>
        <v>0</v>
      </c>
      <c r="AH23" s="57">
        <f ca="1">IFERROR(__xludf.DUMMYFUNCTION("IMPORTRANGE(""https://docs.google.com/spreadsheets/d/1GfgTldLG6k77HXaMQzaafODklYuucJZQNs_GAPEfZyY/edit?usp=sharing"",""เพชรบูรณ์!I439"")"),20)</f>
        <v>20</v>
      </c>
      <c r="AI23" s="57">
        <f ca="1">IFERROR(__xludf.DUMMYFUNCTION("IMPORTRANGE(""https://docs.google.com/spreadsheets/d/1GfgTldLG6k77HXaMQzaafODklYuucJZQNs_GAPEfZyY/edit?usp=sharing"",""เพชรบูรณ์!I440"")"),1)</f>
        <v>1</v>
      </c>
      <c r="AJ23" s="57">
        <f ca="1">IFERROR(__xludf.DUMMYFUNCTION("IMPORTRANGE(""https://docs.google.com/spreadsheets/d/1GfgTldLG6k77HXaMQzaafODklYuucJZQNs_GAPEfZyY/edit?usp=sharing"",""เพชรบูรณ์!J439"")"),20)</f>
        <v>20</v>
      </c>
      <c r="AK23" s="63">
        <f t="shared" ca="1" si="30"/>
        <v>100</v>
      </c>
      <c r="AL23" s="57">
        <f ca="1">IFERROR(__xludf.DUMMYFUNCTION("IMPORTRANGE(""https://docs.google.com/spreadsheets/d/1GfgTldLG6k77HXaMQzaafODklYuucJZQNs_GAPEfZyY/edit?usp=sharing"",""เพชรบูรณ์!J440"")"),1)</f>
        <v>1</v>
      </c>
      <c r="AM23" s="63">
        <f t="shared" ca="1" si="15"/>
        <v>100</v>
      </c>
      <c r="AN23" s="57">
        <f ca="1">IFERROR(__xludf.DUMMYFUNCTION("IMPORTRANGE(""https://docs.google.com/spreadsheets/d/1GfgTldLG6k77HXaMQzaafODklYuucJZQNs_GAPEfZyY/edit?usp=sharing"",""เพชรบูรณ์!I441"")"),0)</f>
        <v>0</v>
      </c>
      <c r="AO23" s="57">
        <f ca="1">IFERROR(__xludf.DUMMYFUNCTION("IMPORTRANGE(""https://docs.google.com/spreadsheets/d/1GfgTldLG6k77HXaMQzaafODklYuucJZQNs_GAPEfZyY/edit?usp=sharing"",""เพชรบูรณ์!J441"")"),0)</f>
        <v>0</v>
      </c>
      <c r="AP23" s="63">
        <f t="shared" ca="1" si="31"/>
        <v>0</v>
      </c>
    </row>
    <row r="24" spans="1:42" ht="24" customHeight="1" x14ac:dyDescent="0.3">
      <c r="A24" s="54">
        <v>11</v>
      </c>
      <c r="B24" s="55" t="s">
        <v>45</v>
      </c>
      <c r="C24" s="56">
        <f t="shared" ca="1" si="42"/>
        <v>78660</v>
      </c>
      <c r="D24" s="57">
        <f ca="1">IFERROR(__xludf.DUMMYFUNCTION("IMPORTRANGE(""https://docs.google.com/spreadsheets/d/1gvTMYAnm7v1yG1BKWFtr0DnaTsq59oW9dwWvFgq6hs0/edit?usp=sharing"",""แพร่!L424"")"),78660)</f>
        <v>78660</v>
      </c>
      <c r="E24" s="64">
        <f ca="1">IFERROR(__xludf.DUMMYFUNCTION("IMPORTRANGE(""https://docs.google.com/spreadsheets/d/1gvTMYAnm7v1yG1BKWFtr0DnaTsq59oW9dwWvFgq6hs0/edit?usp=sharing"",""แพร่!L431"")"),0)</f>
        <v>0</v>
      </c>
      <c r="F24" s="64">
        <f ca="1">IFERROR(__xludf.DUMMYFUNCTION("IMPORTRANGE(""https://docs.google.com/spreadsheets/d/1gvTMYAnm7v1yG1BKWFtr0DnaTsq59oW9dwWvFgq6hs0/edit?usp=sharing"",""แพร่!M424"")"),78660)</f>
        <v>78660</v>
      </c>
      <c r="G24" s="64">
        <f ca="1">IFERROR(__xludf.DUMMYFUNCTION("IMPORTRANGE(""https://docs.google.com/spreadsheets/d/1gvTMYAnm7v1yG1BKWFtr0DnaTsq59oW9dwWvFgq6hs0/edit?usp=sharing"",""แพร่!M431"")"),0)</f>
        <v>0</v>
      </c>
      <c r="H24" s="58">
        <f t="shared" ca="1" si="26"/>
        <v>57665</v>
      </c>
      <c r="I24" s="59">
        <f t="shared" ca="1" si="1"/>
        <v>73.309178743961354</v>
      </c>
      <c r="J24" s="60">
        <f t="shared" ca="1" si="43"/>
        <v>57665</v>
      </c>
      <c r="K24" s="61">
        <f t="shared" ca="1" si="33"/>
        <v>73.309178743961354</v>
      </c>
      <c r="L24" s="61">
        <f t="shared" ca="1" si="34"/>
        <v>73.309178743961354</v>
      </c>
      <c r="M24" s="64">
        <f ca="1">IFERROR(__xludf.DUMMYFUNCTION("IMPORTRANGE(""https://docs.google.com/spreadsheets/d/1gvTMYAnm7v1yG1BKWFtr0DnaTsq59oW9dwWvFgq6hs0/edit?usp=sharing"",""แพร่!N425"")"),53245)</f>
        <v>53245</v>
      </c>
      <c r="N24" s="64">
        <f ca="1">IFERROR(__xludf.DUMMYFUNCTION("IMPORTRANGE(""https://docs.google.com/spreadsheets/d/1gvTMYAnm7v1yG1BKWFtr0DnaTsq59oW9dwWvFgq6hs0/edit?usp=sharing"",""แพร่!N426"")"),0)</f>
        <v>0</v>
      </c>
      <c r="O24" s="64">
        <f ca="1">IFERROR(__xludf.DUMMYFUNCTION("IMPORTRANGE(""https://docs.google.com/spreadsheets/d/1gvTMYAnm7v1yG1BKWFtr0DnaTsq59oW9dwWvFgq6hs0/edit?usp=sharing"",""แพร่!N427"")"),0)</f>
        <v>0</v>
      </c>
      <c r="P24" s="64">
        <f ca="1">IFERROR(__xludf.DUMMYFUNCTION("IMPORTRANGE(""https://docs.google.com/spreadsheets/d/1gvTMYAnm7v1yG1BKWFtr0DnaTsq59oW9dwWvFgq6hs0/edit?usp=sharing"",""แพร่!N428"")"),4420)</f>
        <v>4420</v>
      </c>
      <c r="Q24" s="62">
        <f ca="1">IFERROR(__xludf.DUMMYFUNCTION("IMPORTRANGE(""https://docs.google.com/spreadsheets/d/1gvTMYAnm7v1yG1BKWFtr0DnaTsq59oW9dwWvFgq6hs0/edit?usp=sharing"",""แพร่!N431"")"),0)</f>
        <v>0</v>
      </c>
      <c r="R24" s="62">
        <f t="shared" ca="1" si="36"/>
        <v>0</v>
      </c>
      <c r="S24" s="57">
        <f ca="1">IFERROR(__xludf.DUMMYFUNCTION("IMPORTRANGE(""https://docs.google.com/spreadsheets/d/1gvTMYAnm7v1yG1BKWFtr0DnaTsq59oW9dwWvFgq6hs0/edit?usp=sharing"",""แพร่!I433"")"),20)</f>
        <v>20</v>
      </c>
      <c r="T24" s="57">
        <f ca="1">IFERROR(__xludf.DUMMYFUNCTION("IMPORTRANGE(""https://docs.google.com/spreadsheets/d/1gvTMYAnm7v1yG1BKWFtr0DnaTsq59oW9dwWvFgq6hs0/edit?usp=sharing"",""แพร่!I434"")"),1)</f>
        <v>1</v>
      </c>
      <c r="U24" s="57">
        <f ca="1">IFERROR(__xludf.DUMMYFUNCTION("IMPORTRANGE(""https://docs.google.com/spreadsheets/d/1gvTMYAnm7v1yG1BKWFtr0DnaTsq59oW9dwWvFgq6hs0/edit?usp=sharing"",""แพร่!J433"")"),20)</f>
        <v>20</v>
      </c>
      <c r="V24" s="63">
        <f t="shared" ca="1" si="27"/>
        <v>100</v>
      </c>
      <c r="W24" s="57">
        <f ca="1">IFERROR(__xludf.DUMMYFUNCTION("IMPORTRANGE(""https://docs.google.com/spreadsheets/d/1gvTMYAnm7v1yG1BKWFtr0DnaTsq59oW9dwWvFgq6hs0/edit?usp=sharing"",""แพร่!J434"")"),0)</f>
        <v>0</v>
      </c>
      <c r="X24" s="63">
        <f t="shared" ca="1" si="7"/>
        <v>0</v>
      </c>
      <c r="Y24" s="57">
        <f ca="1">IFERROR(__xludf.DUMMYFUNCTION("IMPORTRANGE(""https://docs.google.com/spreadsheets/d/1gvTMYAnm7v1yG1BKWFtr0DnaTsq59oW9dwWvFgq6hs0/edit?usp=sharing"",""แพร่!I435"")"),20)</f>
        <v>20</v>
      </c>
      <c r="Z24" s="57">
        <f ca="1">IFERROR(__xludf.DUMMYFUNCTION("IMPORTRANGE(""https://docs.google.com/spreadsheets/d/1gvTMYAnm7v1yG1BKWFtr0DnaTsq59oW9dwWvFgq6hs0/edit?usp=sharing"",""แพร่!J435"")"),20)</f>
        <v>20</v>
      </c>
      <c r="AA24" s="63">
        <f t="shared" ca="1" si="28"/>
        <v>100</v>
      </c>
      <c r="AB24" s="57">
        <f ca="1">IFERROR(__xludf.DUMMYFUNCTION("IMPORTRANGE(""https://docs.google.com/spreadsheets/d/1gvTMYAnm7v1yG1BKWFtr0DnaTsq59oW9dwWvFgq6hs0/edit?usp=sharing"",""แพร่!I437"")"),0)</f>
        <v>0</v>
      </c>
      <c r="AC24" s="57">
        <f ca="1">IFERROR(__xludf.DUMMYFUNCTION("IMPORTRANGE(""https://docs.google.com/spreadsheets/d/1gvTMYAnm7v1yG1BKWFtr0DnaTsq59oW9dwWvFgq6hs0/edit?usp=sharing"",""แพร่!I438"")"),0)</f>
        <v>0</v>
      </c>
      <c r="AD24" s="57">
        <f ca="1">IFERROR(__xludf.DUMMYFUNCTION("IMPORTRANGE(""https://docs.google.com/spreadsheets/d/1gvTMYAnm7v1yG1BKWFtr0DnaTsq59oW9dwWvFgq6hs0/edit?usp=sharing"",""แพร่!J437"")"),0)</f>
        <v>0</v>
      </c>
      <c r="AE24" s="63">
        <f t="shared" ca="1" si="29"/>
        <v>0</v>
      </c>
      <c r="AF24" s="57">
        <f ca="1">IFERROR(__xludf.DUMMYFUNCTION("IMPORTRANGE(""https://docs.google.com/spreadsheets/d/1gvTMYAnm7v1yG1BKWFtr0DnaTsq59oW9dwWvFgq6hs0/edit?usp=sharing"",""แพร่!J438"")"),0)</f>
        <v>0</v>
      </c>
      <c r="AG24" s="63">
        <f t="shared" ca="1" si="12"/>
        <v>0</v>
      </c>
      <c r="AH24" s="57">
        <f ca="1">IFERROR(__xludf.DUMMYFUNCTION("IMPORTRANGE(""https://docs.google.com/spreadsheets/d/1gvTMYAnm7v1yG1BKWFtr0DnaTsq59oW9dwWvFgq6hs0/edit?usp=sharing"",""แพร่!I439"")"),20)</f>
        <v>20</v>
      </c>
      <c r="AI24" s="57">
        <f ca="1">IFERROR(__xludf.DUMMYFUNCTION("IMPORTRANGE(""https://docs.google.com/spreadsheets/d/1gvTMYAnm7v1yG1BKWFtr0DnaTsq59oW9dwWvFgq6hs0/edit?usp=sharing"",""แพร่!I440"")"),1)</f>
        <v>1</v>
      </c>
      <c r="AJ24" s="57">
        <f ca="1">IFERROR(__xludf.DUMMYFUNCTION("IMPORTRANGE(""https://docs.google.com/spreadsheets/d/1gvTMYAnm7v1yG1BKWFtr0DnaTsq59oW9dwWvFgq6hs0/edit?usp=sharing"",""แพร่!J439"")"),20)</f>
        <v>20</v>
      </c>
      <c r="AK24" s="63">
        <f t="shared" ca="1" si="30"/>
        <v>100</v>
      </c>
      <c r="AL24" s="57">
        <f ca="1">IFERROR(__xludf.DUMMYFUNCTION("IMPORTRANGE(""https://docs.google.com/spreadsheets/d/1gvTMYAnm7v1yG1BKWFtr0DnaTsq59oW9dwWvFgq6hs0/edit?usp=sharing"",""แพร่!J440"")"),0)</f>
        <v>0</v>
      </c>
      <c r="AM24" s="63">
        <f t="shared" ca="1" si="15"/>
        <v>0</v>
      </c>
      <c r="AN24" s="57">
        <f ca="1">IFERROR(__xludf.DUMMYFUNCTION("IMPORTRANGE(""https://docs.google.com/spreadsheets/d/1gvTMYAnm7v1yG1BKWFtr0DnaTsq59oW9dwWvFgq6hs0/edit?usp=sharing"",""แพร่!I441"")"),0)</f>
        <v>0</v>
      </c>
      <c r="AO24" s="57">
        <f ca="1">IFERROR(__xludf.DUMMYFUNCTION("IMPORTRANGE(""https://docs.google.com/spreadsheets/d/1gvTMYAnm7v1yG1BKWFtr0DnaTsq59oW9dwWvFgq6hs0/edit?usp=sharing"",""แพร่!J441"")"),0)</f>
        <v>0</v>
      </c>
      <c r="AP24" s="63">
        <f t="shared" ca="1" si="31"/>
        <v>0</v>
      </c>
    </row>
    <row r="25" spans="1:42" ht="24" customHeight="1" x14ac:dyDescent="0.3">
      <c r="A25" s="54">
        <v>12</v>
      </c>
      <c r="B25" s="55" t="s">
        <v>46</v>
      </c>
      <c r="C25" s="56">
        <f t="shared" ca="1" si="42"/>
        <v>86860</v>
      </c>
      <c r="D25" s="57">
        <f ca="1">IFERROR(__xludf.DUMMYFUNCTION("IMPORTRANGE(""https://docs.google.com/spreadsheets/d/1Wbcosgy-Xa1xXUArJSOenub6EfZHUSzc_bpJFWwQUf0/edit?usp=sharing"",""แม่ฮ่องสอน!L424"")"),86860)</f>
        <v>86860</v>
      </c>
      <c r="E25" s="64">
        <f ca="1">IFERROR(__xludf.DUMMYFUNCTION("IMPORTRANGE(""https://docs.google.com/spreadsheets/d/1Wbcosgy-Xa1xXUArJSOenub6EfZHUSzc_bpJFWwQUf0/edit?usp=sharing"",""แม่ฮ่องสอน!L431"")"),0)</f>
        <v>0</v>
      </c>
      <c r="F25" s="64">
        <f ca="1">IFERROR(__xludf.DUMMYFUNCTION("IMPORTRANGE(""https://docs.google.com/spreadsheets/d/1Wbcosgy-Xa1xXUArJSOenub6EfZHUSzc_bpJFWwQUf0/edit?usp=sharing"",""แม่ฮ่องสอน!M424"")"),86860)</f>
        <v>86860</v>
      </c>
      <c r="G25" s="64">
        <f ca="1">IFERROR(__xludf.DUMMYFUNCTION("IMPORTRANGE(""https://docs.google.com/spreadsheets/d/1Wbcosgy-Xa1xXUArJSOenub6EfZHUSzc_bpJFWwQUf0/edit?usp=sharing"",""แม่ฮ่องสอน!M431"")"),0)</f>
        <v>0</v>
      </c>
      <c r="H25" s="58">
        <f t="shared" ca="1" si="26"/>
        <v>58780</v>
      </c>
      <c r="I25" s="59">
        <f t="shared" ca="1" si="1"/>
        <v>67.672116048814189</v>
      </c>
      <c r="J25" s="60">
        <f t="shared" ca="1" si="43"/>
        <v>58780</v>
      </c>
      <c r="K25" s="61">
        <f t="shared" ca="1" si="33"/>
        <v>67.672116048814189</v>
      </c>
      <c r="L25" s="61">
        <f t="shared" ca="1" si="34"/>
        <v>67.672116048814189</v>
      </c>
      <c r="M25" s="64">
        <f ca="1">IFERROR(__xludf.DUMMYFUNCTION("IMPORTRANGE(""https://docs.google.com/spreadsheets/d/1Wbcosgy-Xa1xXUArJSOenub6EfZHUSzc_bpJFWwQUf0/edit?usp=sharing"",""แม่ฮ่องสอน!N425"")"),56600)</f>
        <v>56600</v>
      </c>
      <c r="N25" s="64">
        <f ca="1">IFERROR(__xludf.DUMMYFUNCTION("IMPORTRANGE(""https://docs.google.com/spreadsheets/d/1Wbcosgy-Xa1xXUArJSOenub6EfZHUSzc_bpJFWwQUf0/edit?usp=sharing"",""แม่ฮ่องสอน!N426"")"),0)</f>
        <v>0</v>
      </c>
      <c r="O25" s="64">
        <f ca="1">IFERROR(__xludf.DUMMYFUNCTION("IMPORTRANGE(""https://docs.google.com/spreadsheets/d/1Wbcosgy-Xa1xXUArJSOenub6EfZHUSzc_bpJFWwQUf0/edit?usp=sharing"",""แม่ฮ่องสอน!N427"")"),0)</f>
        <v>0</v>
      </c>
      <c r="P25" s="64">
        <f ca="1">IFERROR(__xludf.DUMMYFUNCTION("IMPORTRANGE(""https://docs.google.com/spreadsheets/d/1Wbcosgy-Xa1xXUArJSOenub6EfZHUSzc_bpJFWwQUf0/edit?usp=sharing"",""แม่ฮ่องสอน!N428"")"),2180)</f>
        <v>2180</v>
      </c>
      <c r="Q25" s="62">
        <f ca="1">IFERROR(__xludf.DUMMYFUNCTION("IMPORTRANGE(""https://docs.google.com/spreadsheets/d/1Wbcosgy-Xa1xXUArJSOenub6EfZHUSzc_bpJFWwQUf0/edit?usp=sharing"",""แม่ฮ่องสอน!N431"")"),0)</f>
        <v>0</v>
      </c>
      <c r="R25" s="62">
        <f t="shared" ca="1" si="36"/>
        <v>0</v>
      </c>
      <c r="S25" s="57">
        <f ca="1">IFERROR(__xludf.DUMMYFUNCTION("IMPORTRANGE(""https://docs.google.com/spreadsheets/d/1Wbcosgy-Xa1xXUArJSOenub6EfZHUSzc_bpJFWwQUf0/edit?usp=sharing"",""แม่ฮ่องสอน!I433"")"),25)</f>
        <v>25</v>
      </c>
      <c r="T25" s="57">
        <f ca="1">IFERROR(__xludf.DUMMYFUNCTION("IMPORTRANGE(""https://docs.google.com/spreadsheets/d/1Wbcosgy-Xa1xXUArJSOenub6EfZHUSzc_bpJFWwQUf0/edit?usp=sharing"",""แม่ฮ่องสอน!I434"")"),1)</f>
        <v>1</v>
      </c>
      <c r="U25" s="57">
        <f ca="1">IFERROR(__xludf.DUMMYFUNCTION("IMPORTRANGE(""https://docs.google.com/spreadsheets/d/1Wbcosgy-Xa1xXUArJSOenub6EfZHUSzc_bpJFWwQUf0/edit?usp=sharing"",""แม่ฮ่องสอน!J433"")"),25)</f>
        <v>25</v>
      </c>
      <c r="V25" s="63">
        <f t="shared" ca="1" si="27"/>
        <v>100</v>
      </c>
      <c r="W25" s="57">
        <f ca="1">IFERROR(__xludf.DUMMYFUNCTION("IMPORTRANGE(""https://docs.google.com/spreadsheets/d/1Wbcosgy-Xa1xXUArJSOenub6EfZHUSzc_bpJFWwQUf0/edit?usp=sharing"",""แม่ฮ่องสอน!J434"")"),1)</f>
        <v>1</v>
      </c>
      <c r="X25" s="63">
        <f t="shared" ca="1" si="7"/>
        <v>100</v>
      </c>
      <c r="Y25" s="57">
        <f ca="1">IFERROR(__xludf.DUMMYFUNCTION("IMPORTRANGE(""https://docs.google.com/spreadsheets/d/1Wbcosgy-Xa1xXUArJSOenub6EfZHUSzc_bpJFWwQUf0/edit?usp=sharing"",""แม่ฮ่องสอน!I435"")"),25)</f>
        <v>25</v>
      </c>
      <c r="Z25" s="57">
        <f ca="1">IFERROR(__xludf.DUMMYFUNCTION("IMPORTRANGE(""https://docs.google.com/spreadsheets/d/1Wbcosgy-Xa1xXUArJSOenub6EfZHUSzc_bpJFWwQUf0/edit?usp=sharing"",""แม่ฮ่องสอน!J435"")"),25)</f>
        <v>25</v>
      </c>
      <c r="AA25" s="63">
        <f t="shared" ca="1" si="28"/>
        <v>100</v>
      </c>
      <c r="AB25" s="57">
        <f ca="1">IFERROR(__xludf.DUMMYFUNCTION("IMPORTRANGE(""https://docs.google.com/spreadsheets/d/1Wbcosgy-Xa1xXUArJSOenub6EfZHUSzc_bpJFWwQUf0/edit?usp=sharing"",""แม่ฮ่องสอน!I437"")"),0)</f>
        <v>0</v>
      </c>
      <c r="AC25" s="57">
        <f ca="1">IFERROR(__xludf.DUMMYFUNCTION("IMPORTRANGE(""https://docs.google.com/spreadsheets/d/1Wbcosgy-Xa1xXUArJSOenub6EfZHUSzc_bpJFWwQUf0/edit?usp=sharing"",""แม่ฮ่องสอน!I438"")"),0)</f>
        <v>0</v>
      </c>
      <c r="AD25" s="57">
        <f ca="1">IFERROR(__xludf.DUMMYFUNCTION("IMPORTRANGE(""https://docs.google.com/spreadsheets/d/1Wbcosgy-Xa1xXUArJSOenub6EfZHUSzc_bpJFWwQUf0/edit?usp=sharing"",""แม่ฮ่องสอน!J437"")"),0)</f>
        <v>0</v>
      </c>
      <c r="AE25" s="63">
        <f t="shared" ca="1" si="29"/>
        <v>0</v>
      </c>
      <c r="AF25" s="57">
        <f ca="1">IFERROR(__xludf.DUMMYFUNCTION("IMPORTRANGE(""https://docs.google.com/spreadsheets/d/1Wbcosgy-Xa1xXUArJSOenub6EfZHUSzc_bpJFWwQUf0/edit?usp=sharing"",""แม่ฮ่องสอน!J438"")"),0)</f>
        <v>0</v>
      </c>
      <c r="AG25" s="63">
        <f t="shared" ca="1" si="12"/>
        <v>0</v>
      </c>
      <c r="AH25" s="57">
        <f ca="1">IFERROR(__xludf.DUMMYFUNCTION("IMPORTRANGE(""https://docs.google.com/spreadsheets/d/1Wbcosgy-Xa1xXUArJSOenub6EfZHUSzc_bpJFWwQUf0/edit?usp=sharing"",""แม่ฮ่องสอน!I439"")"),25)</f>
        <v>25</v>
      </c>
      <c r="AI25" s="57">
        <f ca="1">IFERROR(__xludf.DUMMYFUNCTION("IMPORTRANGE(""https://docs.google.com/spreadsheets/d/1Wbcosgy-Xa1xXUArJSOenub6EfZHUSzc_bpJFWwQUf0/edit?usp=sharing"",""แม่ฮ่องสอน!I440"")"),1)</f>
        <v>1</v>
      </c>
      <c r="AJ25" s="57">
        <f ca="1">IFERROR(__xludf.DUMMYFUNCTION("IMPORTRANGE(""https://docs.google.com/spreadsheets/d/1Wbcosgy-Xa1xXUArJSOenub6EfZHUSzc_bpJFWwQUf0/edit?usp=sharing"",""แม่ฮ่องสอน!J439"")"),25)</f>
        <v>25</v>
      </c>
      <c r="AK25" s="63">
        <f t="shared" ca="1" si="30"/>
        <v>100</v>
      </c>
      <c r="AL25" s="57">
        <f ca="1">IFERROR(__xludf.DUMMYFUNCTION("IMPORTRANGE(""https://docs.google.com/spreadsheets/d/1Wbcosgy-Xa1xXUArJSOenub6EfZHUSzc_bpJFWwQUf0/edit?usp=sharing"",""แม่ฮ่องสอน!J440"")"),1)</f>
        <v>1</v>
      </c>
      <c r="AM25" s="63">
        <f t="shared" ca="1" si="15"/>
        <v>100</v>
      </c>
      <c r="AN25" s="57">
        <f ca="1">IFERROR(__xludf.DUMMYFUNCTION("IMPORTRANGE(""https://docs.google.com/spreadsheets/d/1Wbcosgy-Xa1xXUArJSOenub6EfZHUSzc_bpJFWwQUf0/edit?usp=sharing"",""แม่ฮ่องสอน!I441"")"),0)</f>
        <v>0</v>
      </c>
      <c r="AO25" s="57">
        <f ca="1">IFERROR(__xludf.DUMMYFUNCTION("IMPORTRANGE(""https://docs.google.com/spreadsheets/d/1Wbcosgy-Xa1xXUArJSOenub6EfZHUSzc_bpJFWwQUf0/edit?usp=sharing"",""แม่ฮ่องสอน!J441"")"),0)</f>
        <v>0</v>
      </c>
      <c r="AP25" s="63">
        <f t="shared" ca="1" si="31"/>
        <v>0</v>
      </c>
    </row>
    <row r="26" spans="1:42" ht="24" customHeight="1" x14ac:dyDescent="0.3">
      <c r="A26" s="54">
        <v>13</v>
      </c>
      <c r="B26" s="55" t="s">
        <v>47</v>
      </c>
      <c r="C26" s="56">
        <f t="shared" ca="1" si="42"/>
        <v>212900</v>
      </c>
      <c r="D26" s="57">
        <f ca="1">IFERROR(__xludf.DUMMYFUNCTION("IMPORTRANGE(""https://docs.google.com/spreadsheets/d/1p7ERhsr0qZeSn-KSOdeHS9r0heI-lHtkcn2OH7hP0jQ/edit?usp=sharing"",""ลำปาง!L424"")"),212900)</f>
        <v>212900</v>
      </c>
      <c r="E26" s="64">
        <f ca="1">IFERROR(__xludf.DUMMYFUNCTION("IMPORTRANGE(""https://docs.google.com/spreadsheets/d/1p7ERhsr0qZeSn-KSOdeHS9r0heI-lHtkcn2OH7hP0jQ/edit?usp=sharing"",""ลำปาง!L431"")"),0)</f>
        <v>0</v>
      </c>
      <c r="F26" s="64">
        <f ca="1">IFERROR(__xludf.DUMMYFUNCTION("IMPORTRANGE(""https://docs.google.com/spreadsheets/d/1p7ERhsr0qZeSn-KSOdeHS9r0heI-lHtkcn2OH7hP0jQ/edit?usp=sharing"",""ลำปาง!M424"")"),212900)</f>
        <v>212900</v>
      </c>
      <c r="G26" s="64">
        <f ca="1">IFERROR(__xludf.DUMMYFUNCTION("IMPORTRANGE(""https://docs.google.com/spreadsheets/d/1p7ERhsr0qZeSn-KSOdeHS9r0heI-lHtkcn2OH7hP0jQ/edit?usp=sharing"",""ลำปาง!M431"")"),0)</f>
        <v>0</v>
      </c>
      <c r="H26" s="58">
        <f t="shared" ca="1" si="26"/>
        <v>186075</v>
      </c>
      <c r="I26" s="59">
        <f t="shared" ca="1" si="1"/>
        <v>87.400187881634565</v>
      </c>
      <c r="J26" s="60">
        <f t="shared" ca="1" si="43"/>
        <v>186075</v>
      </c>
      <c r="K26" s="61">
        <f t="shared" ca="1" si="33"/>
        <v>87.400187881634565</v>
      </c>
      <c r="L26" s="61">
        <f t="shared" ca="1" si="34"/>
        <v>87.400187881634565</v>
      </c>
      <c r="M26" s="64">
        <f ca="1">IFERROR(__xludf.DUMMYFUNCTION("IMPORTRANGE(""https://docs.google.com/spreadsheets/d/1p7ERhsr0qZeSn-KSOdeHS9r0heI-lHtkcn2OH7hP0jQ/edit?usp=sharing"",""ลำปาง!N425"")"),152675)</f>
        <v>152675</v>
      </c>
      <c r="N26" s="64">
        <f ca="1">IFERROR(__xludf.DUMMYFUNCTION("IMPORTRANGE(""https://docs.google.com/spreadsheets/d/1p7ERhsr0qZeSn-KSOdeHS9r0heI-lHtkcn2OH7hP0jQ/edit?usp=sharing"",""ลำปาง!N426"")"),0)</f>
        <v>0</v>
      </c>
      <c r="O26" s="64">
        <f ca="1">IFERROR(__xludf.DUMMYFUNCTION("IMPORTRANGE(""https://docs.google.com/spreadsheets/d/1p7ERhsr0qZeSn-KSOdeHS9r0heI-lHtkcn2OH7hP0jQ/edit?usp=sharing"",""ลำปาง!N427"")"),0)</f>
        <v>0</v>
      </c>
      <c r="P26" s="64">
        <f ca="1">IFERROR(__xludf.DUMMYFUNCTION("IMPORTRANGE(""https://docs.google.com/spreadsheets/d/1p7ERhsr0qZeSn-KSOdeHS9r0heI-lHtkcn2OH7hP0jQ/edit?usp=sharing"",""ลำปาง!N428"")"),33400)</f>
        <v>33400</v>
      </c>
      <c r="Q26" s="62">
        <f ca="1">IFERROR(__xludf.DUMMYFUNCTION("IMPORTRANGE(""https://docs.google.com/spreadsheets/d/1p7ERhsr0qZeSn-KSOdeHS9r0heI-lHtkcn2OH7hP0jQ/edit?usp=sharing"",""ลำปาง!N431"")"),0)</f>
        <v>0</v>
      </c>
      <c r="R26" s="62">
        <f t="shared" ca="1" si="36"/>
        <v>0</v>
      </c>
      <c r="S26" s="57">
        <f ca="1">IFERROR(__xludf.DUMMYFUNCTION("IMPORTRANGE(""https://docs.google.com/spreadsheets/d/1p7ERhsr0qZeSn-KSOdeHS9r0heI-lHtkcn2OH7hP0jQ/edit?usp=sharing"",""ลำปาง!I433"")"),60)</f>
        <v>60</v>
      </c>
      <c r="T26" s="57">
        <f ca="1">IFERROR(__xludf.DUMMYFUNCTION("IMPORTRANGE(""https://docs.google.com/spreadsheets/d/1p7ERhsr0qZeSn-KSOdeHS9r0heI-lHtkcn2OH7hP0jQ/edit?usp=sharing"",""ลำปาง!I434"")"),2)</f>
        <v>2</v>
      </c>
      <c r="U26" s="57">
        <f ca="1">IFERROR(__xludf.DUMMYFUNCTION("IMPORTRANGE(""https://docs.google.com/spreadsheets/d/1p7ERhsr0qZeSn-KSOdeHS9r0heI-lHtkcn2OH7hP0jQ/edit?usp=sharing"",""ลำปาง!J433"")"),60)</f>
        <v>60</v>
      </c>
      <c r="V26" s="63">
        <f t="shared" ca="1" si="27"/>
        <v>100</v>
      </c>
      <c r="W26" s="57">
        <f ca="1">IFERROR(__xludf.DUMMYFUNCTION("IMPORTRANGE(""https://docs.google.com/spreadsheets/d/1p7ERhsr0qZeSn-KSOdeHS9r0heI-lHtkcn2OH7hP0jQ/edit?usp=sharing"",""ลำปาง!J434"")"),2)</f>
        <v>2</v>
      </c>
      <c r="X26" s="63">
        <f t="shared" ca="1" si="7"/>
        <v>100</v>
      </c>
      <c r="Y26" s="57">
        <f ca="1">IFERROR(__xludf.DUMMYFUNCTION("IMPORTRANGE(""https://docs.google.com/spreadsheets/d/1p7ERhsr0qZeSn-KSOdeHS9r0heI-lHtkcn2OH7hP0jQ/edit?usp=sharing"",""ลำปาง!I435"")"),60)</f>
        <v>60</v>
      </c>
      <c r="Z26" s="57">
        <f ca="1">IFERROR(__xludf.DUMMYFUNCTION("IMPORTRANGE(""https://docs.google.com/spreadsheets/d/1p7ERhsr0qZeSn-KSOdeHS9r0heI-lHtkcn2OH7hP0jQ/edit?usp=sharing"",""ลำปาง!J435"")"),60)</f>
        <v>60</v>
      </c>
      <c r="AA26" s="63">
        <f t="shared" ca="1" si="28"/>
        <v>100</v>
      </c>
      <c r="AB26" s="57">
        <f ca="1">IFERROR(__xludf.DUMMYFUNCTION("IMPORTRANGE(""https://docs.google.com/spreadsheets/d/1p7ERhsr0qZeSn-KSOdeHS9r0heI-lHtkcn2OH7hP0jQ/edit?usp=sharing"",""ลำปาง!I437"")"),40)</f>
        <v>40</v>
      </c>
      <c r="AC26" s="57">
        <f ca="1">IFERROR(__xludf.DUMMYFUNCTION("IMPORTRANGE(""https://docs.google.com/spreadsheets/d/1p7ERhsr0qZeSn-KSOdeHS9r0heI-lHtkcn2OH7hP0jQ/edit?usp=sharing"",""ลำปาง!I438"")"),1)</f>
        <v>1</v>
      </c>
      <c r="AD26" s="57">
        <f ca="1">IFERROR(__xludf.DUMMYFUNCTION("IMPORTRANGE(""https://docs.google.com/spreadsheets/d/1p7ERhsr0qZeSn-KSOdeHS9r0heI-lHtkcn2OH7hP0jQ/edit?usp=sharing"",""ลำปาง!J437"")"),40)</f>
        <v>40</v>
      </c>
      <c r="AE26" s="63">
        <f t="shared" ca="1" si="29"/>
        <v>100</v>
      </c>
      <c r="AF26" s="57">
        <f ca="1">IFERROR(__xludf.DUMMYFUNCTION("IMPORTRANGE(""https://docs.google.com/spreadsheets/d/1p7ERhsr0qZeSn-KSOdeHS9r0heI-lHtkcn2OH7hP0jQ/edit?usp=sharing"",""ลำปาง!J438"")"),1)</f>
        <v>1</v>
      </c>
      <c r="AG26" s="63">
        <f t="shared" ca="1" si="12"/>
        <v>100</v>
      </c>
      <c r="AH26" s="57">
        <f ca="1">IFERROR(__xludf.DUMMYFUNCTION("IMPORTRANGE(""https://docs.google.com/spreadsheets/d/1p7ERhsr0qZeSn-KSOdeHS9r0heI-lHtkcn2OH7hP0jQ/edit?usp=sharing"",""ลำปาง!I439"")"),20)</f>
        <v>20</v>
      </c>
      <c r="AI26" s="57">
        <f ca="1">IFERROR(__xludf.DUMMYFUNCTION("IMPORTRANGE(""https://docs.google.com/spreadsheets/d/1p7ERhsr0qZeSn-KSOdeHS9r0heI-lHtkcn2OH7hP0jQ/edit?usp=sharing"",""ลำปาง!I440"")"),1)</f>
        <v>1</v>
      </c>
      <c r="AJ26" s="57">
        <f ca="1">IFERROR(__xludf.DUMMYFUNCTION("IMPORTRANGE(""https://docs.google.com/spreadsheets/d/1p7ERhsr0qZeSn-KSOdeHS9r0heI-lHtkcn2OH7hP0jQ/edit?usp=sharing"",""ลำปาง!J439"")"),20)</f>
        <v>20</v>
      </c>
      <c r="AK26" s="63">
        <f t="shared" ca="1" si="30"/>
        <v>100</v>
      </c>
      <c r="AL26" s="57">
        <f ca="1">IFERROR(__xludf.DUMMYFUNCTION("IMPORTRANGE(""https://docs.google.com/spreadsheets/d/1p7ERhsr0qZeSn-KSOdeHS9r0heI-lHtkcn2OH7hP0jQ/edit?usp=sharing"",""ลำปาง!J440"")"),1)</f>
        <v>1</v>
      </c>
      <c r="AM26" s="63">
        <f t="shared" ca="1" si="15"/>
        <v>100</v>
      </c>
      <c r="AN26" s="57">
        <f ca="1">IFERROR(__xludf.DUMMYFUNCTION("IMPORTRANGE(""https://docs.google.com/spreadsheets/d/1p7ERhsr0qZeSn-KSOdeHS9r0heI-lHtkcn2OH7hP0jQ/edit?usp=sharing"",""ลำปาง!I441"")"),0)</f>
        <v>0</v>
      </c>
      <c r="AO26" s="57">
        <f ca="1">IFERROR(__xludf.DUMMYFUNCTION("IMPORTRANGE(""https://docs.google.com/spreadsheets/d/1p7ERhsr0qZeSn-KSOdeHS9r0heI-lHtkcn2OH7hP0jQ/edit?usp=sharing"",""ลำปาง!J441"")"),0)</f>
        <v>0</v>
      </c>
      <c r="AP26" s="63">
        <f t="shared" ca="1" si="31"/>
        <v>0</v>
      </c>
    </row>
    <row r="27" spans="1:42" ht="24" customHeight="1" x14ac:dyDescent="0.3">
      <c r="A27" s="54">
        <v>14</v>
      </c>
      <c r="B27" s="55" t="s">
        <v>48</v>
      </c>
      <c r="C27" s="56">
        <f t="shared" ca="1" si="42"/>
        <v>182640</v>
      </c>
      <c r="D27" s="57">
        <f ca="1">IFERROR(__xludf.DUMMYFUNCTION("IMPORTRANGE(""https://docs.google.com/spreadsheets/d/1-uUXvimVhiU2U0bMN-xi2te0tS4X7DI2GLPnMjzl8cA/edit?usp=sharing"",""ลำพูน!L424"")"),182640)</f>
        <v>182640</v>
      </c>
      <c r="E27" s="64">
        <f ca="1">IFERROR(__xludf.DUMMYFUNCTION("IMPORTRANGE(""https://docs.google.com/spreadsheets/d/1-uUXvimVhiU2U0bMN-xi2te0tS4X7DI2GLPnMjzl8cA/edit?usp=sharing"",""ลำพูน!L431"")"),0)</f>
        <v>0</v>
      </c>
      <c r="F27" s="64">
        <f ca="1">IFERROR(__xludf.DUMMYFUNCTION("IMPORTRANGE(""https://docs.google.com/spreadsheets/d/1-uUXvimVhiU2U0bMN-xi2te0tS4X7DI2GLPnMjzl8cA/edit?usp=sharing"",""ลำพูน!M424"")"),182640)</f>
        <v>182640</v>
      </c>
      <c r="G27" s="64">
        <f ca="1">IFERROR(__xludf.DUMMYFUNCTION("IMPORTRANGE(""https://docs.google.com/spreadsheets/d/1-uUXvimVhiU2U0bMN-xi2te0tS4X7DI2GLPnMjzl8cA/edit?usp=sharing"",""ลำพูน!M431"")"),0)</f>
        <v>0</v>
      </c>
      <c r="H27" s="58">
        <f t="shared" ca="1" si="26"/>
        <v>158946</v>
      </c>
      <c r="I27" s="59">
        <f t="shared" ca="1" si="1"/>
        <v>87.026938239158994</v>
      </c>
      <c r="J27" s="60">
        <f t="shared" ca="1" si="43"/>
        <v>158946</v>
      </c>
      <c r="K27" s="61">
        <f t="shared" ca="1" si="33"/>
        <v>87.026938239158994</v>
      </c>
      <c r="L27" s="61">
        <f t="shared" ca="1" si="34"/>
        <v>87.026938239158994</v>
      </c>
      <c r="M27" s="64">
        <f ca="1">IFERROR(__xludf.DUMMYFUNCTION("IMPORTRANGE(""https://docs.google.com/spreadsheets/d/1-uUXvimVhiU2U0bMN-xi2te0tS4X7DI2GLPnMjzl8cA/edit?usp=sharing"",""ลำพูน!N425"")"),129746)</f>
        <v>129746</v>
      </c>
      <c r="N27" s="64">
        <f ca="1">IFERROR(__xludf.DUMMYFUNCTION("IMPORTRANGE(""https://docs.google.com/spreadsheets/d/1-uUXvimVhiU2U0bMN-xi2te0tS4X7DI2GLPnMjzl8cA/edit?usp=sharing"",""ลำพูน!N426"")"),0)</f>
        <v>0</v>
      </c>
      <c r="O27" s="64">
        <f ca="1">IFERROR(__xludf.DUMMYFUNCTION("IMPORTRANGE(""https://docs.google.com/spreadsheets/d/1-uUXvimVhiU2U0bMN-xi2te0tS4X7DI2GLPnMjzl8cA/edit?usp=sharing"",""ลำพูน!N427"")"),0)</f>
        <v>0</v>
      </c>
      <c r="P27" s="64">
        <f ca="1">IFERROR(__xludf.DUMMYFUNCTION("IMPORTRANGE(""https://docs.google.com/spreadsheets/d/1-uUXvimVhiU2U0bMN-xi2te0tS4X7DI2GLPnMjzl8cA/edit?usp=sharing"",""ลำพูน!N428"")"),29200)</f>
        <v>29200</v>
      </c>
      <c r="Q27" s="62">
        <f ca="1">IFERROR(__xludf.DUMMYFUNCTION("IMPORTRANGE(""https://docs.google.com/spreadsheets/d/1-uUXvimVhiU2U0bMN-xi2te0tS4X7DI2GLPnMjzl8cA/edit?usp=sharing"",""ลำพูน!N431"")"),0)</f>
        <v>0</v>
      </c>
      <c r="R27" s="62">
        <f t="shared" ca="1" si="36"/>
        <v>0</v>
      </c>
      <c r="S27" s="57">
        <f ca="1">IFERROR(__xludf.DUMMYFUNCTION("IMPORTRANGE(""https://docs.google.com/spreadsheets/d/1-uUXvimVhiU2U0bMN-xi2te0tS4X7DI2GLPnMjzl8cA/edit?usp=sharing"",""ลำพูน!I433"")"),50)</f>
        <v>50</v>
      </c>
      <c r="T27" s="57">
        <f ca="1">IFERROR(__xludf.DUMMYFUNCTION("IMPORTRANGE(""https://docs.google.com/spreadsheets/d/1-uUXvimVhiU2U0bMN-xi2te0tS4X7DI2GLPnMjzl8cA/edit?usp=sharing"",""ลำพูน!I434"")"),2)</f>
        <v>2</v>
      </c>
      <c r="U27" s="57">
        <f ca="1">IFERROR(__xludf.DUMMYFUNCTION("IMPORTRANGE(""https://docs.google.com/spreadsheets/d/1-uUXvimVhiU2U0bMN-xi2te0tS4X7DI2GLPnMjzl8cA/edit?usp=sharing"",""ลำพูน!J433"")"),50)</f>
        <v>50</v>
      </c>
      <c r="V27" s="63">
        <f t="shared" ca="1" si="27"/>
        <v>100</v>
      </c>
      <c r="W27" s="57">
        <f ca="1">IFERROR(__xludf.DUMMYFUNCTION("IMPORTRANGE(""https://docs.google.com/spreadsheets/d/1-uUXvimVhiU2U0bMN-xi2te0tS4X7DI2GLPnMjzl8cA/edit?usp=sharing"",""ลำพูน!J434"")"),2)</f>
        <v>2</v>
      </c>
      <c r="X27" s="63">
        <f t="shared" ca="1" si="7"/>
        <v>100</v>
      </c>
      <c r="Y27" s="57">
        <f ca="1">IFERROR(__xludf.DUMMYFUNCTION("IMPORTRANGE(""https://docs.google.com/spreadsheets/d/1-uUXvimVhiU2U0bMN-xi2te0tS4X7DI2GLPnMjzl8cA/edit?usp=sharing"",""ลำพูน!I435"")"),50)</f>
        <v>50</v>
      </c>
      <c r="Z27" s="57">
        <f ca="1">IFERROR(__xludf.DUMMYFUNCTION("IMPORTRANGE(""https://docs.google.com/spreadsheets/d/1-uUXvimVhiU2U0bMN-xi2te0tS4X7DI2GLPnMjzl8cA/edit?usp=sharing"",""ลำพูน!J435"")"),50)</f>
        <v>50</v>
      </c>
      <c r="AA27" s="63">
        <f t="shared" ca="1" si="28"/>
        <v>100</v>
      </c>
      <c r="AB27" s="57">
        <f ca="1">IFERROR(__xludf.DUMMYFUNCTION("IMPORTRANGE(""https://docs.google.com/spreadsheets/d/1-uUXvimVhiU2U0bMN-xi2te0tS4X7DI2GLPnMjzl8cA/edit?usp=sharing"",""ลำพูน!I437"")"),30)</f>
        <v>30</v>
      </c>
      <c r="AC27" s="57">
        <f ca="1">IFERROR(__xludf.DUMMYFUNCTION("IMPORTRANGE(""https://docs.google.com/spreadsheets/d/1-uUXvimVhiU2U0bMN-xi2te0tS4X7DI2GLPnMjzl8cA/edit?usp=sharing"",""ลำพูน!I438"")"),1)</f>
        <v>1</v>
      </c>
      <c r="AD27" s="57">
        <f ca="1">IFERROR(__xludf.DUMMYFUNCTION("IMPORTRANGE(""https://docs.google.com/spreadsheets/d/1-uUXvimVhiU2U0bMN-xi2te0tS4X7DI2GLPnMjzl8cA/edit?usp=sharing"",""ลำพูน!J437"")"),30)</f>
        <v>30</v>
      </c>
      <c r="AE27" s="63">
        <f t="shared" ca="1" si="29"/>
        <v>100</v>
      </c>
      <c r="AF27" s="57">
        <f ca="1">IFERROR(__xludf.DUMMYFUNCTION("IMPORTRANGE(""https://docs.google.com/spreadsheets/d/1-uUXvimVhiU2U0bMN-xi2te0tS4X7DI2GLPnMjzl8cA/edit?usp=sharing"",""ลำพูน!J438"")"),1)</f>
        <v>1</v>
      </c>
      <c r="AG27" s="63">
        <f t="shared" ca="1" si="12"/>
        <v>100</v>
      </c>
      <c r="AH27" s="57">
        <f ca="1">IFERROR(__xludf.DUMMYFUNCTION("IMPORTRANGE(""https://docs.google.com/spreadsheets/d/1-uUXvimVhiU2U0bMN-xi2te0tS4X7DI2GLPnMjzl8cA/edit?usp=sharing"",""ลำพูน!I439"")"),20)</f>
        <v>20</v>
      </c>
      <c r="AI27" s="57">
        <f ca="1">IFERROR(__xludf.DUMMYFUNCTION("IMPORTRANGE(""https://docs.google.com/spreadsheets/d/1-uUXvimVhiU2U0bMN-xi2te0tS4X7DI2GLPnMjzl8cA/edit?usp=sharing"",""ลำพูน!I440"")"),1)</f>
        <v>1</v>
      </c>
      <c r="AJ27" s="57">
        <f ca="1">IFERROR(__xludf.DUMMYFUNCTION("IMPORTRANGE(""https://docs.google.com/spreadsheets/d/1-uUXvimVhiU2U0bMN-xi2te0tS4X7DI2GLPnMjzl8cA/edit?usp=sharing"",""ลำพูน!J439"")"),20)</f>
        <v>20</v>
      </c>
      <c r="AK27" s="63">
        <f t="shared" ca="1" si="30"/>
        <v>100</v>
      </c>
      <c r="AL27" s="57">
        <f ca="1">IFERROR(__xludf.DUMMYFUNCTION("IMPORTRANGE(""https://docs.google.com/spreadsheets/d/1-uUXvimVhiU2U0bMN-xi2te0tS4X7DI2GLPnMjzl8cA/edit?usp=sharing"",""ลำพูน!J440"")"),1)</f>
        <v>1</v>
      </c>
      <c r="AM27" s="63">
        <f t="shared" ca="1" si="15"/>
        <v>100</v>
      </c>
      <c r="AN27" s="57">
        <f ca="1">IFERROR(__xludf.DUMMYFUNCTION("IMPORTRANGE(""https://docs.google.com/spreadsheets/d/1-uUXvimVhiU2U0bMN-xi2te0tS4X7DI2GLPnMjzl8cA/edit?usp=sharing"",""ลำพูน!I441"")"),0)</f>
        <v>0</v>
      </c>
      <c r="AO27" s="57">
        <f ca="1">IFERROR(__xludf.DUMMYFUNCTION("IMPORTRANGE(""https://docs.google.com/spreadsheets/d/1-uUXvimVhiU2U0bMN-xi2te0tS4X7DI2GLPnMjzl8cA/edit?usp=sharing"",""ลำพูน!J441"")"),0)</f>
        <v>0</v>
      </c>
      <c r="AP27" s="63">
        <f t="shared" ca="1" si="31"/>
        <v>0</v>
      </c>
    </row>
    <row r="28" spans="1:42" ht="24" customHeight="1" x14ac:dyDescent="0.3">
      <c r="A28" s="54">
        <v>15</v>
      </c>
      <c r="B28" s="55" t="s">
        <v>49</v>
      </c>
      <c r="C28" s="56">
        <f t="shared" ca="1" si="42"/>
        <v>226960</v>
      </c>
      <c r="D28" s="57">
        <f ca="1">IFERROR(__xludf.DUMMYFUNCTION("IMPORTRANGE(""https://docs.google.com/spreadsheets/d/17HrOaa5pBUI1onckFfumXB8xlg35qb2uBAFfF1D-Myo/edit?usp=sharing"",""สุโขทัย!L424"")"),226960)</f>
        <v>226960</v>
      </c>
      <c r="E28" s="64">
        <f ca="1">IFERROR(__xludf.DUMMYFUNCTION("IMPORTRANGE(""https://docs.google.com/spreadsheets/d/17HrOaa5pBUI1onckFfumXB8xlg35qb2uBAFfF1D-Myo/edit?usp=sharing"",""สุโขทัย!L431"")"),0)</f>
        <v>0</v>
      </c>
      <c r="F28" s="64">
        <f ca="1">IFERROR(__xludf.DUMMYFUNCTION("IMPORTRANGE(""https://docs.google.com/spreadsheets/d/17HrOaa5pBUI1onckFfumXB8xlg35qb2uBAFfF1D-Myo/edit?usp=sharing"",""สุโขทัย!M424"")"),226960)</f>
        <v>226960</v>
      </c>
      <c r="G28" s="64">
        <f ca="1">IFERROR(__xludf.DUMMYFUNCTION("IMPORTRANGE(""https://docs.google.com/spreadsheets/d/17HrOaa5pBUI1onckFfumXB8xlg35qb2uBAFfF1D-Myo/edit?usp=sharing"",""สุโขทัย!M431"")"),0)</f>
        <v>0</v>
      </c>
      <c r="H28" s="58">
        <f t="shared" ca="1" si="26"/>
        <v>213620</v>
      </c>
      <c r="I28" s="59">
        <f t="shared" ca="1" si="1"/>
        <v>94.122312301727177</v>
      </c>
      <c r="J28" s="60">
        <f t="shared" ca="1" si="43"/>
        <v>213620</v>
      </c>
      <c r="K28" s="61">
        <f t="shared" ca="1" si="33"/>
        <v>94.122312301727177</v>
      </c>
      <c r="L28" s="61">
        <f t="shared" ca="1" si="34"/>
        <v>94.122312301727177</v>
      </c>
      <c r="M28" s="64">
        <f ca="1">IFERROR(__xludf.DUMMYFUNCTION("IMPORTRANGE(""https://docs.google.com/spreadsheets/d/17HrOaa5pBUI1onckFfumXB8xlg35qb2uBAFfF1D-Myo/edit?usp=sharing"",""สุโขทัย!N425"")"),176900)</f>
        <v>176900</v>
      </c>
      <c r="N28" s="64">
        <f ca="1">IFERROR(__xludf.DUMMYFUNCTION("IMPORTRANGE(""https://docs.google.com/spreadsheets/d/17HrOaa5pBUI1onckFfumXB8xlg35qb2uBAFfF1D-Myo/edit?usp=sharing"",""สุโขทัย!N426"")"),0)</f>
        <v>0</v>
      </c>
      <c r="O28" s="64">
        <f ca="1">IFERROR(__xludf.DUMMYFUNCTION("IMPORTRANGE(""https://docs.google.com/spreadsheets/d/17HrOaa5pBUI1onckFfumXB8xlg35qb2uBAFfF1D-Myo/edit?usp=sharing"",""สุโขทัย!N427"")"),0)</f>
        <v>0</v>
      </c>
      <c r="P28" s="64">
        <f ca="1">IFERROR(__xludf.DUMMYFUNCTION("IMPORTRANGE(""https://docs.google.com/spreadsheets/d/17HrOaa5pBUI1onckFfumXB8xlg35qb2uBAFfF1D-Myo/edit?usp=sharing"",""สุโขทัย!N428"")"),36720)</f>
        <v>36720</v>
      </c>
      <c r="Q28" s="62">
        <f ca="1">IFERROR(__xludf.DUMMYFUNCTION("IMPORTRANGE(""https://docs.google.com/spreadsheets/d/17HrOaa5pBUI1onckFfumXB8xlg35qb2uBAFfF1D-Myo/edit?usp=sharing"",""สุโขทัย!N431"")"),0)</f>
        <v>0</v>
      </c>
      <c r="R28" s="62">
        <f t="shared" ca="1" si="36"/>
        <v>0</v>
      </c>
      <c r="S28" s="57">
        <f ca="1">IFERROR(__xludf.DUMMYFUNCTION("IMPORTRANGE(""https://docs.google.com/spreadsheets/d/17HrOaa5pBUI1onckFfumXB8xlg35qb2uBAFfF1D-Myo/edit?usp=sharing"",""สุโขทัย!I433"")"),65)</f>
        <v>65</v>
      </c>
      <c r="T28" s="57">
        <f ca="1">IFERROR(__xludf.DUMMYFUNCTION("IMPORTRANGE(""https://docs.google.com/spreadsheets/d/17HrOaa5pBUI1onckFfumXB8xlg35qb2uBAFfF1D-Myo/edit?usp=sharing"",""สุโขทัย!I434"")"),2)</f>
        <v>2</v>
      </c>
      <c r="U28" s="57">
        <f ca="1">IFERROR(__xludf.DUMMYFUNCTION("IMPORTRANGE(""https://docs.google.com/spreadsheets/d/17HrOaa5pBUI1onckFfumXB8xlg35qb2uBAFfF1D-Myo/edit?usp=sharing"",""สุโขทัย!J433"")"),65)</f>
        <v>65</v>
      </c>
      <c r="V28" s="63">
        <f t="shared" ca="1" si="27"/>
        <v>100</v>
      </c>
      <c r="W28" s="57">
        <f ca="1">IFERROR(__xludf.DUMMYFUNCTION("IMPORTRANGE(""https://docs.google.com/spreadsheets/d/17HrOaa5pBUI1onckFfumXB8xlg35qb2uBAFfF1D-Myo/edit?usp=sharing"",""สุโขทัย!J434"")"),2)</f>
        <v>2</v>
      </c>
      <c r="X28" s="63">
        <f t="shared" ca="1" si="7"/>
        <v>100</v>
      </c>
      <c r="Y28" s="57">
        <f ca="1">IFERROR(__xludf.DUMMYFUNCTION("IMPORTRANGE(""https://docs.google.com/spreadsheets/d/17HrOaa5pBUI1onckFfumXB8xlg35qb2uBAFfF1D-Myo/edit?usp=sharing"",""สุโขทัย!I435"")"),65)</f>
        <v>65</v>
      </c>
      <c r="Z28" s="57">
        <f ca="1">IFERROR(__xludf.DUMMYFUNCTION("IMPORTRANGE(""https://docs.google.com/spreadsheets/d/17HrOaa5pBUI1onckFfumXB8xlg35qb2uBAFfF1D-Myo/edit?usp=sharing"",""สุโขทัย!J435"")"),65)</f>
        <v>65</v>
      </c>
      <c r="AA28" s="63">
        <f t="shared" ca="1" si="28"/>
        <v>100</v>
      </c>
      <c r="AB28" s="57">
        <f ca="1">IFERROR(__xludf.DUMMYFUNCTION("IMPORTRANGE(""https://docs.google.com/spreadsheets/d/17HrOaa5pBUI1onckFfumXB8xlg35qb2uBAFfF1D-Myo/edit?usp=sharing"",""สุโขทัย!I437"")"),50)</f>
        <v>50</v>
      </c>
      <c r="AC28" s="57">
        <f ca="1">IFERROR(__xludf.DUMMYFUNCTION("IMPORTRANGE(""https://docs.google.com/spreadsheets/d/17HrOaa5pBUI1onckFfumXB8xlg35qb2uBAFfF1D-Myo/edit?usp=sharing"",""สุโขทัย!I438"")"),1)</f>
        <v>1</v>
      </c>
      <c r="AD28" s="57">
        <f ca="1">IFERROR(__xludf.DUMMYFUNCTION("IMPORTRANGE(""https://docs.google.com/spreadsheets/d/17HrOaa5pBUI1onckFfumXB8xlg35qb2uBAFfF1D-Myo/edit?usp=sharing"",""สุโขทัย!J437"")"),50)</f>
        <v>50</v>
      </c>
      <c r="AE28" s="63">
        <f t="shared" ca="1" si="29"/>
        <v>100</v>
      </c>
      <c r="AF28" s="57">
        <f ca="1">IFERROR(__xludf.DUMMYFUNCTION("IMPORTRANGE(""https://docs.google.com/spreadsheets/d/17HrOaa5pBUI1onckFfumXB8xlg35qb2uBAFfF1D-Myo/edit?usp=sharing"",""สุโขทัย!J438"")"),1)</f>
        <v>1</v>
      </c>
      <c r="AG28" s="63">
        <f t="shared" ca="1" si="12"/>
        <v>100</v>
      </c>
      <c r="AH28" s="57">
        <f ca="1">IFERROR(__xludf.DUMMYFUNCTION("IMPORTRANGE(""https://docs.google.com/spreadsheets/d/17HrOaa5pBUI1onckFfumXB8xlg35qb2uBAFfF1D-Myo/edit?usp=sharing"",""สุโขทัย!I439"")"),15)</f>
        <v>15</v>
      </c>
      <c r="AI28" s="57">
        <f ca="1">IFERROR(__xludf.DUMMYFUNCTION("IMPORTRANGE(""https://docs.google.com/spreadsheets/d/17HrOaa5pBUI1onckFfumXB8xlg35qb2uBAFfF1D-Myo/edit?usp=sharing"",""สุโขทัย!I440"")"),1)</f>
        <v>1</v>
      </c>
      <c r="AJ28" s="57">
        <f ca="1">IFERROR(__xludf.DUMMYFUNCTION("IMPORTRANGE(""https://docs.google.com/spreadsheets/d/17HrOaa5pBUI1onckFfumXB8xlg35qb2uBAFfF1D-Myo/edit?usp=sharing"",""สุโขทัย!J439"")"),15)</f>
        <v>15</v>
      </c>
      <c r="AK28" s="63">
        <f t="shared" ca="1" si="30"/>
        <v>100</v>
      </c>
      <c r="AL28" s="57">
        <f ca="1">IFERROR(__xludf.DUMMYFUNCTION("IMPORTRANGE(""https://docs.google.com/spreadsheets/d/17HrOaa5pBUI1onckFfumXB8xlg35qb2uBAFfF1D-Myo/edit?usp=sharing"",""สุโขทัย!J440"")"),1)</f>
        <v>1</v>
      </c>
      <c r="AM28" s="63">
        <f t="shared" ca="1" si="15"/>
        <v>100</v>
      </c>
      <c r="AN28" s="57">
        <f ca="1">IFERROR(__xludf.DUMMYFUNCTION("IMPORTRANGE(""https://docs.google.com/spreadsheets/d/17HrOaa5pBUI1onckFfumXB8xlg35qb2uBAFfF1D-Myo/edit?usp=sharing"",""สุโขทัย!I441"")"),0)</f>
        <v>0</v>
      </c>
      <c r="AO28" s="57">
        <f ca="1">IFERROR(__xludf.DUMMYFUNCTION("IMPORTRANGE(""https://docs.google.com/spreadsheets/d/17HrOaa5pBUI1onckFfumXB8xlg35qb2uBAFfF1D-Myo/edit?usp=sharing"",""สุโขทัย!J441"")"),0)</f>
        <v>0</v>
      </c>
      <c r="AP28" s="63">
        <f t="shared" ca="1" si="31"/>
        <v>0</v>
      </c>
    </row>
    <row r="29" spans="1:42" ht="24" customHeight="1" x14ac:dyDescent="0.3">
      <c r="A29" s="54">
        <v>16</v>
      </c>
      <c r="B29" s="55" t="s">
        <v>50</v>
      </c>
      <c r="C29" s="56">
        <f t="shared" ca="1" si="42"/>
        <v>98660</v>
      </c>
      <c r="D29" s="57">
        <f ca="1">IFERROR(__xludf.DUMMYFUNCTION("IMPORTRANGE(""https://docs.google.com/spreadsheets/d/1ubs5cl16eYL9gHbdHTJtmtYb9MGzHBs7CAphn8kNCgM/edit?usp=sharing"",""อุตรดิตถ์!L424"")"),98660)</f>
        <v>98660</v>
      </c>
      <c r="E29" s="64">
        <f ca="1">IFERROR(__xludf.DUMMYFUNCTION("IMPORTRANGE(""https://docs.google.com/spreadsheets/d/1ubs5cl16eYL9gHbdHTJtmtYb9MGzHBs7CAphn8kNCgM/edit?usp=sharing"",""อุตรดิตถ์!L431"")"),0)</f>
        <v>0</v>
      </c>
      <c r="F29" s="64">
        <f ca="1">IFERROR(__xludf.DUMMYFUNCTION("IMPORTRANGE(""https://docs.google.com/spreadsheets/d/1ubs5cl16eYL9gHbdHTJtmtYb9MGzHBs7CAphn8kNCgM/edit?usp=sharing"",""อุตรดิตถ์!M424"")"),98660)</f>
        <v>98660</v>
      </c>
      <c r="G29" s="64">
        <f ca="1">IFERROR(__xludf.DUMMYFUNCTION("IMPORTRANGE(""https://docs.google.com/spreadsheets/d/1ubs5cl16eYL9gHbdHTJtmtYb9MGzHBs7CAphn8kNCgM/edit?usp=sharing"",""อุตรดิตถ์!M431"")"),0)</f>
        <v>0</v>
      </c>
      <c r="H29" s="58">
        <f t="shared" ca="1" si="26"/>
        <v>75721.5</v>
      </c>
      <c r="I29" s="59">
        <f t="shared" ca="1" si="1"/>
        <v>76.749949320900058</v>
      </c>
      <c r="J29" s="60">
        <f t="shared" ca="1" si="43"/>
        <v>75721.5</v>
      </c>
      <c r="K29" s="61">
        <f t="shared" ca="1" si="33"/>
        <v>76.749949320900058</v>
      </c>
      <c r="L29" s="61">
        <f t="shared" ca="1" si="34"/>
        <v>76.749949320900058</v>
      </c>
      <c r="M29" s="64">
        <f ca="1">IFERROR(__xludf.DUMMYFUNCTION("IMPORTRANGE(""https://docs.google.com/spreadsheets/d/1ubs5cl16eYL9gHbdHTJtmtYb9MGzHBs7CAphn8kNCgM/edit?usp=sharing"",""อุตรดิตถ์!N425"")"),32389.5)</f>
        <v>32389.5</v>
      </c>
      <c r="N29" s="64">
        <f ca="1">IFERROR(__xludf.DUMMYFUNCTION("IMPORTRANGE(""https://docs.google.com/spreadsheets/d/1ubs5cl16eYL9gHbdHTJtmtYb9MGzHBs7CAphn8kNCgM/edit?usp=sharing"",""อุตรดิตถ์!N426"")"),0)</f>
        <v>0</v>
      </c>
      <c r="O29" s="64">
        <f ca="1">IFERROR(__xludf.DUMMYFUNCTION("IMPORTRANGE(""https://docs.google.com/spreadsheets/d/1ubs5cl16eYL9gHbdHTJtmtYb9MGzHBs7CAphn8kNCgM/edit?usp=sharing"",""อุตรดิตถ์!N427"")"),0)</f>
        <v>0</v>
      </c>
      <c r="P29" s="64">
        <f ca="1">IFERROR(__xludf.DUMMYFUNCTION("IMPORTRANGE(""https://docs.google.com/spreadsheets/d/1ubs5cl16eYL9gHbdHTJtmtYb9MGzHBs7CAphn8kNCgM/edit?usp=sharing"",""อุตรดิตถ์!N428"")"),43332)</f>
        <v>43332</v>
      </c>
      <c r="Q29" s="62">
        <f ca="1">IFERROR(__xludf.DUMMYFUNCTION("IMPORTRANGE(""https://docs.google.com/spreadsheets/d/1ubs5cl16eYL9gHbdHTJtmtYb9MGzHBs7CAphn8kNCgM/edit?usp=sharing"",""อุตรดิตถ์!N431"")"),0)</f>
        <v>0</v>
      </c>
      <c r="R29" s="62">
        <f t="shared" ca="1" si="36"/>
        <v>0</v>
      </c>
      <c r="S29" s="57">
        <f ca="1">IFERROR(__xludf.DUMMYFUNCTION("IMPORTRANGE(""https://docs.google.com/spreadsheets/d/1ubs5cl16eYL9gHbdHTJtmtYb9MGzHBs7CAphn8kNCgM/edit?usp=sharing"",""อุตรดิตถ์!I433"")"),20)</f>
        <v>20</v>
      </c>
      <c r="T29" s="57">
        <f ca="1">IFERROR(__xludf.DUMMYFUNCTION("IMPORTRANGE(""https://docs.google.com/spreadsheets/d/1ubs5cl16eYL9gHbdHTJtmtYb9MGzHBs7CAphn8kNCgM/edit?usp=sharing"",""อุตรดิตถ์!I434"")"),1)</f>
        <v>1</v>
      </c>
      <c r="U29" s="57">
        <f ca="1">IFERROR(__xludf.DUMMYFUNCTION("IMPORTRANGE(""https://docs.google.com/spreadsheets/d/1ubs5cl16eYL9gHbdHTJtmtYb9MGzHBs7CAphn8kNCgM/edit?usp=sharing"",""อุตรดิตถ์!J433"")"),20)</f>
        <v>20</v>
      </c>
      <c r="V29" s="63">
        <f t="shared" ca="1" si="27"/>
        <v>100</v>
      </c>
      <c r="W29" s="57">
        <f ca="1">IFERROR(__xludf.DUMMYFUNCTION("IMPORTRANGE(""https://docs.google.com/spreadsheets/d/1ubs5cl16eYL9gHbdHTJtmtYb9MGzHBs7CAphn8kNCgM/edit?usp=sharing"",""อุตรดิตถ์!J434"")"),1)</f>
        <v>1</v>
      </c>
      <c r="X29" s="63">
        <f t="shared" ca="1" si="7"/>
        <v>100</v>
      </c>
      <c r="Y29" s="57">
        <f ca="1">IFERROR(__xludf.DUMMYFUNCTION("IMPORTRANGE(""https://docs.google.com/spreadsheets/d/1ubs5cl16eYL9gHbdHTJtmtYb9MGzHBs7CAphn8kNCgM/edit?usp=sharing"",""อุตรดิตถ์!I435"")"),20)</f>
        <v>20</v>
      </c>
      <c r="Z29" s="57">
        <f ca="1">IFERROR(__xludf.DUMMYFUNCTION("IMPORTRANGE(""https://docs.google.com/spreadsheets/d/1ubs5cl16eYL9gHbdHTJtmtYb9MGzHBs7CAphn8kNCgM/edit?usp=sharing"",""อุตรดิตถ์!J435"")"),20)</f>
        <v>20</v>
      </c>
      <c r="AA29" s="63">
        <f t="shared" ca="1" si="28"/>
        <v>100</v>
      </c>
      <c r="AB29" s="57">
        <f ca="1">IFERROR(__xludf.DUMMYFUNCTION("IMPORTRANGE(""https://docs.google.com/spreadsheets/d/1ubs5cl16eYL9gHbdHTJtmtYb9MGzHBs7CAphn8kNCgM/edit?usp=sharing"",""อุตรดิตถ์!I437"")"),0)</f>
        <v>0</v>
      </c>
      <c r="AC29" s="57">
        <f ca="1">IFERROR(__xludf.DUMMYFUNCTION("IMPORTRANGE(""https://docs.google.com/spreadsheets/d/1ubs5cl16eYL9gHbdHTJtmtYb9MGzHBs7CAphn8kNCgM/edit?usp=sharing"",""อุตรดิตถ์!I438"")"),0)</f>
        <v>0</v>
      </c>
      <c r="AD29" s="57">
        <f ca="1">IFERROR(__xludf.DUMMYFUNCTION("IMPORTRANGE(""https://docs.google.com/spreadsheets/d/1ubs5cl16eYL9gHbdHTJtmtYb9MGzHBs7CAphn8kNCgM/edit?usp=sharing"",""อุตรดิตถ์!J437"")"),0)</f>
        <v>0</v>
      </c>
      <c r="AE29" s="63">
        <f t="shared" ca="1" si="29"/>
        <v>0</v>
      </c>
      <c r="AF29" s="57">
        <f ca="1">IFERROR(__xludf.DUMMYFUNCTION("IMPORTRANGE(""https://docs.google.com/spreadsheets/d/1ubs5cl16eYL9gHbdHTJtmtYb9MGzHBs7CAphn8kNCgM/edit?usp=sharing"",""อุตรดิตถ์!J438"")"),0)</f>
        <v>0</v>
      </c>
      <c r="AG29" s="63">
        <f t="shared" ca="1" si="12"/>
        <v>0</v>
      </c>
      <c r="AH29" s="57">
        <f ca="1">IFERROR(__xludf.DUMMYFUNCTION("IMPORTRANGE(""https://docs.google.com/spreadsheets/d/1ubs5cl16eYL9gHbdHTJtmtYb9MGzHBs7CAphn8kNCgM/edit?usp=sharing"",""อุตรดิตถ์!I439"")"),20)</f>
        <v>20</v>
      </c>
      <c r="AI29" s="57">
        <f ca="1">IFERROR(__xludf.DUMMYFUNCTION("IMPORTRANGE(""https://docs.google.com/spreadsheets/d/1ubs5cl16eYL9gHbdHTJtmtYb9MGzHBs7CAphn8kNCgM/edit?usp=sharing"",""อุตรดิตถ์!I440"")"),1)</f>
        <v>1</v>
      </c>
      <c r="AJ29" s="57">
        <f ca="1">IFERROR(__xludf.DUMMYFUNCTION("IMPORTRANGE(""https://docs.google.com/spreadsheets/d/1ubs5cl16eYL9gHbdHTJtmtYb9MGzHBs7CAphn8kNCgM/edit?usp=sharing"",""อุตรดิตถ์!J439"")"),20)</f>
        <v>20</v>
      </c>
      <c r="AK29" s="63">
        <f t="shared" ca="1" si="30"/>
        <v>100</v>
      </c>
      <c r="AL29" s="57">
        <f ca="1">IFERROR(__xludf.DUMMYFUNCTION("IMPORTRANGE(""https://docs.google.com/spreadsheets/d/1ubs5cl16eYL9gHbdHTJtmtYb9MGzHBs7CAphn8kNCgM/edit?usp=sharing"",""อุตรดิตถ์!J440"")"),1)</f>
        <v>1</v>
      </c>
      <c r="AM29" s="63">
        <f t="shared" ca="1" si="15"/>
        <v>100</v>
      </c>
      <c r="AN29" s="57">
        <f ca="1">IFERROR(__xludf.DUMMYFUNCTION("IMPORTRANGE(""https://docs.google.com/spreadsheets/d/1ubs5cl16eYL9gHbdHTJtmtYb9MGzHBs7CAphn8kNCgM/edit?usp=sharing"",""อุตรดิตถ์!I441"")"),0)</f>
        <v>0</v>
      </c>
      <c r="AO29" s="57">
        <f ca="1">IFERROR(__xludf.DUMMYFUNCTION("IMPORTRANGE(""https://docs.google.com/spreadsheets/d/1ubs5cl16eYL9gHbdHTJtmtYb9MGzHBs7CAphn8kNCgM/edit?usp=sharing"",""อุตรดิตถ์!J441"")"),0)</f>
        <v>0</v>
      </c>
      <c r="AP29" s="63">
        <f t="shared" ca="1" si="31"/>
        <v>0</v>
      </c>
    </row>
    <row r="30" spans="1:42" ht="24" customHeight="1" x14ac:dyDescent="0.3">
      <c r="A30" s="65">
        <v>17</v>
      </c>
      <c r="B30" s="66" t="s">
        <v>51</v>
      </c>
      <c r="C30" s="67">
        <f t="shared" ca="1" si="42"/>
        <v>78660</v>
      </c>
      <c r="D30" s="68">
        <f ca="1">IFERROR(__xludf.DUMMYFUNCTION("IMPORTRANGE(""https://docs.google.com/spreadsheets/d/1kII0BjS6CtVrBvI8IrytgPdxDrlyQDyigzMsohRtDMs/edit?usp=sharing"",""อุทัยธานี!L424"")"),78660)</f>
        <v>78660</v>
      </c>
      <c r="E30" s="69">
        <f ca="1">IFERROR(__xludf.DUMMYFUNCTION("IMPORTRANGE(""https://docs.google.com/spreadsheets/d/1kII0BjS6CtVrBvI8IrytgPdxDrlyQDyigzMsohRtDMs/edit?usp=sharing"",""อุทัยธานี!L431"")"),0)</f>
        <v>0</v>
      </c>
      <c r="F30" s="69">
        <f ca="1">IFERROR(__xludf.DUMMYFUNCTION("IMPORTRANGE(""https://docs.google.com/spreadsheets/d/1kII0BjS6CtVrBvI8IrytgPdxDrlyQDyigzMsohRtDMs/edit?usp=sharing"",""อุทัยธานี!M424"")"),78660)</f>
        <v>78660</v>
      </c>
      <c r="G30" s="69">
        <f ca="1">IFERROR(__xludf.DUMMYFUNCTION("IMPORTRANGE(""https://docs.google.com/spreadsheets/d/1kII0BjS6CtVrBvI8IrytgPdxDrlyQDyigzMsohRtDMs/edit?usp=sharing"",""อุทัยธานี!M431"")"),0)</f>
        <v>0</v>
      </c>
      <c r="H30" s="70">
        <f t="shared" ca="1" si="26"/>
        <v>55285</v>
      </c>
      <c r="I30" s="71">
        <f t="shared" ca="1" si="1"/>
        <v>70.283498601576412</v>
      </c>
      <c r="J30" s="72">
        <f t="shared" ca="1" si="43"/>
        <v>55285</v>
      </c>
      <c r="K30" s="73">
        <f t="shared" ca="1" si="33"/>
        <v>70.283498601576412</v>
      </c>
      <c r="L30" s="73">
        <f t="shared" ca="1" si="34"/>
        <v>70.283498601576412</v>
      </c>
      <c r="M30" s="69">
        <f ca="1">IFERROR(__xludf.DUMMYFUNCTION("IMPORTRANGE(""https://docs.google.com/spreadsheets/d/1kII0BjS6CtVrBvI8IrytgPdxDrlyQDyigzMsohRtDMs/edit?usp=sharing"",""อุทัยธานี!N425"")"),48400)</f>
        <v>48400</v>
      </c>
      <c r="N30" s="69">
        <f ca="1">IFERROR(__xludf.DUMMYFUNCTION("IMPORTRANGE(""https://docs.google.com/spreadsheets/d/1kII0BjS6CtVrBvI8IrytgPdxDrlyQDyigzMsohRtDMs/edit?usp=sharing"",""อุทัยธานี!N426"")"),0)</f>
        <v>0</v>
      </c>
      <c r="O30" s="69">
        <f ca="1">IFERROR(__xludf.DUMMYFUNCTION("IMPORTRANGE(""https://docs.google.com/spreadsheets/d/1kII0BjS6CtVrBvI8IrytgPdxDrlyQDyigzMsohRtDMs/edit?usp=sharing"",""อุทัยธานี!N427"")"),0)</f>
        <v>0</v>
      </c>
      <c r="P30" s="69">
        <f ca="1">IFERROR(__xludf.DUMMYFUNCTION("IMPORTRANGE(""https://docs.google.com/spreadsheets/d/1kII0BjS6CtVrBvI8IrytgPdxDrlyQDyigzMsohRtDMs/edit?usp=sharing"",""อุทัยธานี!N428"")"),6885)</f>
        <v>6885</v>
      </c>
      <c r="Q30" s="74">
        <f ca="1">IFERROR(__xludf.DUMMYFUNCTION("IMPORTRANGE(""https://docs.google.com/spreadsheets/d/1kII0BjS6CtVrBvI8IrytgPdxDrlyQDyigzMsohRtDMs/edit?usp=sharing"",""อุทัยธานี!N431"")"),0)</f>
        <v>0</v>
      </c>
      <c r="R30" s="74">
        <f t="shared" ca="1" si="36"/>
        <v>0</v>
      </c>
      <c r="S30" s="68">
        <f ca="1">IFERROR(__xludf.DUMMYFUNCTION("IMPORTRANGE(""https://docs.google.com/spreadsheets/d/1kII0BjS6CtVrBvI8IrytgPdxDrlyQDyigzMsohRtDMs/edit?usp=sharing"",""อุทัยธานี!I433"")"),20)</f>
        <v>20</v>
      </c>
      <c r="T30" s="68">
        <f ca="1">IFERROR(__xludf.DUMMYFUNCTION("IMPORTRANGE(""https://docs.google.com/spreadsheets/d/1kII0BjS6CtVrBvI8IrytgPdxDrlyQDyigzMsohRtDMs/edit?usp=sharing"",""อุทัยธานี!I434"")"),1)</f>
        <v>1</v>
      </c>
      <c r="U30" s="68">
        <f ca="1">IFERROR(__xludf.DUMMYFUNCTION("IMPORTRANGE(""https://docs.google.com/spreadsheets/d/1kII0BjS6CtVrBvI8IrytgPdxDrlyQDyigzMsohRtDMs/edit?usp=sharing"",""อุทัยธานี!J433"")"),20)</f>
        <v>20</v>
      </c>
      <c r="V30" s="75">
        <f t="shared" ca="1" si="27"/>
        <v>100</v>
      </c>
      <c r="W30" s="68">
        <f ca="1">IFERROR(__xludf.DUMMYFUNCTION("IMPORTRANGE(""https://docs.google.com/spreadsheets/d/1kII0BjS6CtVrBvI8IrytgPdxDrlyQDyigzMsohRtDMs/edit?usp=sharing"",""อุทัยธานี!J434"")"),1)</f>
        <v>1</v>
      </c>
      <c r="X30" s="75">
        <f t="shared" ca="1" si="7"/>
        <v>100</v>
      </c>
      <c r="Y30" s="68">
        <f ca="1">IFERROR(__xludf.DUMMYFUNCTION("IMPORTRANGE(""https://docs.google.com/spreadsheets/d/1kII0BjS6CtVrBvI8IrytgPdxDrlyQDyigzMsohRtDMs/edit?usp=sharing"",""อุทัยธานี!I435"")"),20)</f>
        <v>20</v>
      </c>
      <c r="Z30" s="68">
        <f ca="1">IFERROR(__xludf.DUMMYFUNCTION("IMPORTRANGE(""https://docs.google.com/spreadsheets/d/1kII0BjS6CtVrBvI8IrytgPdxDrlyQDyigzMsohRtDMs/edit?usp=sharing"",""อุทัยธานี!J435"")"),20)</f>
        <v>20</v>
      </c>
      <c r="AA30" s="75">
        <f t="shared" ca="1" si="28"/>
        <v>100</v>
      </c>
      <c r="AB30" s="68">
        <f ca="1">IFERROR(__xludf.DUMMYFUNCTION("IMPORTRANGE(""https://docs.google.com/spreadsheets/d/1kII0BjS6CtVrBvI8IrytgPdxDrlyQDyigzMsohRtDMs/edit?usp=sharing"",""อุทัยธานี!I437"")"),0)</f>
        <v>0</v>
      </c>
      <c r="AC30" s="68">
        <f ca="1">IFERROR(__xludf.DUMMYFUNCTION("IMPORTRANGE(""https://docs.google.com/spreadsheets/d/1kII0BjS6CtVrBvI8IrytgPdxDrlyQDyigzMsohRtDMs/edit?usp=sharing"",""อุทัยธานี!I438"")"),0)</f>
        <v>0</v>
      </c>
      <c r="AD30" s="68">
        <f ca="1">IFERROR(__xludf.DUMMYFUNCTION("IMPORTRANGE(""https://docs.google.com/spreadsheets/d/1kII0BjS6CtVrBvI8IrytgPdxDrlyQDyigzMsohRtDMs/edit?usp=sharing"",""อุทัยธานี!J437"")"),0)</f>
        <v>0</v>
      </c>
      <c r="AE30" s="75">
        <f t="shared" ca="1" si="29"/>
        <v>0</v>
      </c>
      <c r="AF30" s="68">
        <f ca="1">IFERROR(__xludf.DUMMYFUNCTION("IMPORTRANGE(""https://docs.google.com/spreadsheets/d/1kII0BjS6CtVrBvI8IrytgPdxDrlyQDyigzMsohRtDMs/edit?usp=sharing"",""อุทัยธานี!J438"")"),0)</f>
        <v>0</v>
      </c>
      <c r="AG30" s="75">
        <f t="shared" ca="1" si="12"/>
        <v>0</v>
      </c>
      <c r="AH30" s="68">
        <f ca="1">IFERROR(__xludf.DUMMYFUNCTION("IMPORTRANGE(""https://docs.google.com/spreadsheets/d/1kII0BjS6CtVrBvI8IrytgPdxDrlyQDyigzMsohRtDMs/edit?usp=sharing"",""อุทัยธานี!I439"")"),20)</f>
        <v>20</v>
      </c>
      <c r="AI30" s="68">
        <f ca="1">IFERROR(__xludf.DUMMYFUNCTION("IMPORTRANGE(""https://docs.google.com/spreadsheets/d/1kII0BjS6CtVrBvI8IrytgPdxDrlyQDyigzMsohRtDMs/edit?usp=sharing"",""อุทัยธานี!I440"")"),1)</f>
        <v>1</v>
      </c>
      <c r="AJ30" s="68">
        <f ca="1">IFERROR(__xludf.DUMMYFUNCTION("IMPORTRANGE(""https://docs.google.com/spreadsheets/d/1kII0BjS6CtVrBvI8IrytgPdxDrlyQDyigzMsohRtDMs/edit?usp=sharing"",""อุทัยธานี!J439"")"),20)</f>
        <v>20</v>
      </c>
      <c r="AK30" s="75">
        <f t="shared" ca="1" si="30"/>
        <v>100</v>
      </c>
      <c r="AL30" s="68">
        <f ca="1">IFERROR(__xludf.DUMMYFUNCTION("IMPORTRANGE(""https://docs.google.com/spreadsheets/d/1kII0BjS6CtVrBvI8IrytgPdxDrlyQDyigzMsohRtDMs/edit?usp=sharing"",""อุทัยธานี!J440"")"),1)</f>
        <v>1</v>
      </c>
      <c r="AM30" s="75">
        <f t="shared" ca="1" si="15"/>
        <v>100</v>
      </c>
      <c r="AN30" s="68">
        <f ca="1">IFERROR(__xludf.DUMMYFUNCTION("IMPORTRANGE(""https://docs.google.com/spreadsheets/d/1kII0BjS6CtVrBvI8IrytgPdxDrlyQDyigzMsohRtDMs/edit?usp=sharing"",""อุทัยธานี!I441"")"),0)</f>
        <v>0</v>
      </c>
      <c r="AO30" s="68">
        <f ca="1">IFERROR(__xludf.DUMMYFUNCTION("IMPORTRANGE(""https://docs.google.com/spreadsheets/d/1kII0BjS6CtVrBvI8IrytgPdxDrlyQDyigzMsohRtDMs/edit?usp=sharing"",""อุทัยธานี!J441"")"),0)</f>
        <v>0</v>
      </c>
      <c r="AP30" s="75">
        <f t="shared" ca="1" si="31"/>
        <v>0</v>
      </c>
    </row>
    <row r="31" spans="1:42" ht="21" customHeight="1" x14ac:dyDescent="0.3">
      <c r="A31" s="177" t="s">
        <v>52</v>
      </c>
      <c r="B31" s="178"/>
      <c r="C31" s="76">
        <f t="shared" ref="C31:G31" ca="1" si="44">SUM(C32:C51)</f>
        <v>2044980</v>
      </c>
      <c r="D31" s="34">
        <f t="shared" ca="1" si="44"/>
        <v>2044980</v>
      </c>
      <c r="E31" s="34">
        <f t="shared" ca="1" si="44"/>
        <v>0</v>
      </c>
      <c r="F31" s="34">
        <f t="shared" ca="1" si="44"/>
        <v>2038975</v>
      </c>
      <c r="G31" s="34">
        <f t="shared" ca="1" si="44"/>
        <v>0</v>
      </c>
      <c r="H31" s="34">
        <f t="shared" ca="1" si="26"/>
        <v>1380674.3</v>
      </c>
      <c r="I31" s="35">
        <f t="shared" ca="1" si="1"/>
        <v>67.515295993114847</v>
      </c>
      <c r="J31" s="34">
        <f ca="1">SUM(J32:J51)</f>
        <v>1380674.3</v>
      </c>
      <c r="K31" s="35">
        <f t="shared" ca="1" si="33"/>
        <v>67.515295993114847</v>
      </c>
      <c r="L31" s="35">
        <f t="shared" ca="1" si="34"/>
        <v>67.714135779006611</v>
      </c>
      <c r="M31" s="34">
        <f t="shared" ref="M31:Q31" ca="1" si="45">SUM(M32:M51)</f>
        <v>968923</v>
      </c>
      <c r="N31" s="34">
        <f t="shared" ca="1" si="45"/>
        <v>9672</v>
      </c>
      <c r="O31" s="34">
        <f t="shared" ca="1" si="45"/>
        <v>0</v>
      </c>
      <c r="P31" s="34">
        <f t="shared" ca="1" si="45"/>
        <v>402079.3</v>
      </c>
      <c r="Q31" s="36">
        <f t="shared" ca="1" si="45"/>
        <v>0</v>
      </c>
      <c r="R31" s="36">
        <f t="shared" ca="1" si="36"/>
        <v>0</v>
      </c>
      <c r="S31" s="34">
        <f t="shared" ref="S31:U31" ca="1" si="46">SUM(S32:S51)</f>
        <v>535</v>
      </c>
      <c r="T31" s="34">
        <f t="shared" ca="1" si="46"/>
        <v>22</v>
      </c>
      <c r="U31" s="34">
        <f t="shared" ca="1" si="46"/>
        <v>460</v>
      </c>
      <c r="V31" s="37">
        <f t="shared" ca="1" si="27"/>
        <v>85.981308411214954</v>
      </c>
      <c r="W31" s="34">
        <f ca="1">SUM(W32:W51)</f>
        <v>20</v>
      </c>
      <c r="X31" s="37">
        <f t="shared" ca="1" si="7"/>
        <v>90.909090909090907</v>
      </c>
      <c r="Y31" s="34">
        <f t="shared" ref="Y31:Z31" ca="1" si="47">SUM(Y32:Y51)</f>
        <v>535</v>
      </c>
      <c r="Z31" s="34">
        <f t="shared" ca="1" si="47"/>
        <v>535</v>
      </c>
      <c r="AA31" s="37">
        <f t="shared" ca="1" si="28"/>
        <v>100</v>
      </c>
      <c r="AB31" s="34">
        <f t="shared" ref="AB31:AD31" ca="1" si="48">SUM(AB32:AB51)</f>
        <v>80</v>
      </c>
      <c r="AC31" s="34">
        <f t="shared" ca="1" si="48"/>
        <v>2</v>
      </c>
      <c r="AD31" s="34">
        <f t="shared" ca="1" si="48"/>
        <v>95</v>
      </c>
      <c r="AE31" s="37">
        <f t="shared" ca="1" si="29"/>
        <v>118.75</v>
      </c>
      <c r="AF31" s="34">
        <f ca="1">SUM(AF32:AF51)</f>
        <v>2</v>
      </c>
      <c r="AG31" s="37">
        <f t="shared" ca="1" si="12"/>
        <v>100</v>
      </c>
      <c r="AH31" s="34">
        <f t="shared" ref="AH31:AJ31" ca="1" si="49">SUM(AH32:AH51)</f>
        <v>455</v>
      </c>
      <c r="AI31" s="34">
        <f t="shared" ca="1" si="49"/>
        <v>20</v>
      </c>
      <c r="AJ31" s="34">
        <f t="shared" ca="1" si="49"/>
        <v>380</v>
      </c>
      <c r="AK31" s="37">
        <f t="shared" ca="1" si="30"/>
        <v>83.516483516483518</v>
      </c>
      <c r="AL31" s="34">
        <f ca="1">SUM(AL32:AL51)</f>
        <v>18</v>
      </c>
      <c r="AM31" s="37">
        <f t="shared" ca="1" si="15"/>
        <v>90</v>
      </c>
      <c r="AN31" s="34">
        <f t="shared" ref="AN31:AO31" ca="1" si="50">SUM(AN32:AN51)</f>
        <v>0</v>
      </c>
      <c r="AO31" s="34">
        <f t="shared" ca="1" si="50"/>
        <v>0</v>
      </c>
      <c r="AP31" s="37">
        <f t="shared" ca="1" si="31"/>
        <v>0</v>
      </c>
    </row>
    <row r="32" spans="1:42" ht="21" customHeight="1" x14ac:dyDescent="0.3">
      <c r="A32" s="54">
        <v>1</v>
      </c>
      <c r="B32" s="55" t="s">
        <v>53</v>
      </c>
      <c r="C32" s="56">
        <f t="shared" ref="C32:C51" ca="1" si="51">D32+E32</f>
        <v>78660</v>
      </c>
      <c r="D32" s="57">
        <f ca="1">IFERROR(__xludf.DUMMYFUNCTION("IMPORTRANGE(""https://docs.google.com/spreadsheets/d/1fb2B9NLcpJgjIieIJvenUTNPn0TimZDUi0OtYeiSQ_s/edit?usp=sharing"",""กาฬสินธุ์!L424"")"),78660)</f>
        <v>78660</v>
      </c>
      <c r="E32" s="57">
        <f ca="1">IFERROR(__xludf.DUMMYFUNCTION("IMPORTRANGE(""https://docs.google.com/spreadsheets/d/1fb2B9NLcpJgjIieIJvenUTNPn0TimZDUi0OtYeiSQ_s/edit?usp=sharing"",""กาฬสินธุ์!L431"")"),0)</f>
        <v>0</v>
      </c>
      <c r="F32" s="57">
        <f ca="1">IFERROR(__xludf.DUMMYFUNCTION("IMPORTRANGE(""https://docs.google.com/spreadsheets/d/1fb2B9NLcpJgjIieIJvenUTNPn0TimZDUi0OtYeiSQ_s/edit?usp=sharing"",""กาฬสินธุ์!M424"")"),78660)</f>
        <v>78660</v>
      </c>
      <c r="G32" s="57">
        <f ca="1">IFERROR(__xludf.DUMMYFUNCTION("IMPORTRANGE(""https://docs.google.com/spreadsheets/d/1fb2B9NLcpJgjIieIJvenUTNPn0TimZDUi0OtYeiSQ_s/edit?usp=sharing"",""กาฬสินธุ์!M431"")"),0)</f>
        <v>0</v>
      </c>
      <c r="H32" s="58">
        <f t="shared" ca="1" si="26"/>
        <v>78110</v>
      </c>
      <c r="I32" s="59">
        <f t="shared" ca="1" si="1"/>
        <v>99.300788202390038</v>
      </c>
      <c r="J32" s="60">
        <f t="shared" ref="J32:J51" ca="1" si="52">M32+N32+O32+P32</f>
        <v>78110</v>
      </c>
      <c r="K32" s="61">
        <f t="shared" ca="1" si="33"/>
        <v>99.300788202390038</v>
      </c>
      <c r="L32" s="61">
        <f t="shared" ca="1" si="34"/>
        <v>99.300788202390038</v>
      </c>
      <c r="M32" s="57">
        <f ca="1">IFERROR(__xludf.DUMMYFUNCTION("IMPORTRANGE(""https://docs.google.com/spreadsheets/d/1fb2B9NLcpJgjIieIJvenUTNPn0TimZDUi0OtYeiSQ_s/edit?usp=sharing"",""กาฬสินธุ์!N425"")"),48400)</f>
        <v>48400</v>
      </c>
      <c r="N32" s="57">
        <f ca="1">IFERROR(__xludf.DUMMYFUNCTION("IMPORTRANGE(""https://docs.google.com/spreadsheets/d/1fb2B9NLcpJgjIieIJvenUTNPn0TimZDUi0OtYeiSQ_s/edit?usp=sharing"",""กาฬสินธุ์!N426"")"),0)</f>
        <v>0</v>
      </c>
      <c r="O32" s="57">
        <f ca="1">IFERROR(__xludf.DUMMYFUNCTION("IMPORTRANGE(""https://docs.google.com/spreadsheets/d/1fb2B9NLcpJgjIieIJvenUTNPn0TimZDUi0OtYeiSQ_s/edit?usp=sharing"",""กาฬสินธุ์!N427"")"),0)</f>
        <v>0</v>
      </c>
      <c r="P32" s="57">
        <f ca="1">IFERROR(__xludf.DUMMYFUNCTION("IMPORTRANGE(""https://docs.google.com/spreadsheets/d/1fb2B9NLcpJgjIieIJvenUTNPn0TimZDUi0OtYeiSQ_s/edit?usp=sharing"",""กาฬสินธุ์!N428"")"),29710)</f>
        <v>29710</v>
      </c>
      <c r="Q32" s="62">
        <f ca="1">IFERROR(__xludf.DUMMYFUNCTION("IMPORTRANGE(""https://docs.google.com/spreadsheets/d/1fb2B9NLcpJgjIieIJvenUTNPn0TimZDUi0OtYeiSQ_s/edit?usp=sharing"",""กาฬสินธุ์!N431"")"),0)</f>
        <v>0</v>
      </c>
      <c r="R32" s="62">
        <f t="shared" ca="1" si="36"/>
        <v>0</v>
      </c>
      <c r="S32" s="57">
        <f ca="1">IFERROR(__xludf.DUMMYFUNCTION("IMPORTRANGE(""https://docs.google.com/spreadsheets/d/1fb2B9NLcpJgjIieIJvenUTNPn0TimZDUi0OtYeiSQ_s/edit?usp=sharing"",""กาฬสินธุ์!I433"")"),20)</f>
        <v>20</v>
      </c>
      <c r="T32" s="57">
        <f ca="1">IFERROR(__xludf.DUMMYFUNCTION("IMPORTRANGE(""https://docs.google.com/spreadsheets/d/1fb2B9NLcpJgjIieIJvenUTNPn0TimZDUi0OtYeiSQ_s/edit?usp=sharing"",""กาฬสินธุ์!I434"")"),1)</f>
        <v>1</v>
      </c>
      <c r="U32" s="57">
        <f ca="1">IFERROR(__xludf.DUMMYFUNCTION("IMPORTRANGE(""https://docs.google.com/spreadsheets/d/1fb2B9NLcpJgjIieIJvenUTNPn0TimZDUi0OtYeiSQ_s/edit?usp=sharing"",""กาฬสินธุ์!J433"")"),20)</f>
        <v>20</v>
      </c>
      <c r="V32" s="63">
        <f t="shared" ca="1" si="27"/>
        <v>100</v>
      </c>
      <c r="W32" s="57">
        <f ca="1">IFERROR(__xludf.DUMMYFUNCTION("IMPORTRANGE(""https://docs.google.com/spreadsheets/d/1fb2B9NLcpJgjIieIJvenUTNPn0TimZDUi0OtYeiSQ_s/edit?usp=sharing"",""กาฬสินธุ์!J434"")"),1)</f>
        <v>1</v>
      </c>
      <c r="X32" s="63">
        <f t="shared" ca="1" si="7"/>
        <v>100</v>
      </c>
      <c r="Y32" s="57">
        <f ca="1">IFERROR(__xludf.DUMMYFUNCTION("IMPORTRANGE(""https://docs.google.com/spreadsheets/d/1fb2B9NLcpJgjIieIJvenUTNPn0TimZDUi0OtYeiSQ_s/edit?usp=sharing"",""กาฬสินธุ์!I435"")"),20)</f>
        <v>20</v>
      </c>
      <c r="Z32" s="57">
        <f ca="1">IFERROR(__xludf.DUMMYFUNCTION("IMPORTRANGE(""https://docs.google.com/spreadsheets/d/1fb2B9NLcpJgjIieIJvenUTNPn0TimZDUi0OtYeiSQ_s/edit?usp=sharing"",""กาฬสินธุ์!J435"")"),20)</f>
        <v>20</v>
      </c>
      <c r="AA32" s="63">
        <f t="shared" ca="1" si="28"/>
        <v>100</v>
      </c>
      <c r="AB32" s="57">
        <f ca="1">IFERROR(__xludf.DUMMYFUNCTION("IMPORTRANGE(""https://docs.google.com/spreadsheets/d/1fb2B9NLcpJgjIieIJvenUTNPn0TimZDUi0OtYeiSQ_s/edit?usp=sharing"",""กาฬสินธุ์!I437"")"),0)</f>
        <v>0</v>
      </c>
      <c r="AC32" s="57">
        <f ca="1">IFERROR(__xludf.DUMMYFUNCTION("IMPORTRANGE(""https://docs.google.com/spreadsheets/d/1fb2B9NLcpJgjIieIJvenUTNPn0TimZDUi0OtYeiSQ_s/edit?usp=sharing"",""กาฬสินธุ์!I438"")"),0)</f>
        <v>0</v>
      </c>
      <c r="AD32" s="57">
        <f ca="1">IFERROR(__xludf.DUMMYFUNCTION("IMPORTRANGE(""https://docs.google.com/spreadsheets/d/1fb2B9NLcpJgjIieIJvenUTNPn0TimZDUi0OtYeiSQ_s/edit?usp=sharing"",""กาฬสินธุ์!J437"")"),0)</f>
        <v>0</v>
      </c>
      <c r="AE32" s="63">
        <f t="shared" ca="1" si="29"/>
        <v>0</v>
      </c>
      <c r="AF32" s="57">
        <f ca="1">IFERROR(__xludf.DUMMYFUNCTION("IMPORTRANGE(""https://docs.google.com/spreadsheets/d/1fb2B9NLcpJgjIieIJvenUTNPn0TimZDUi0OtYeiSQ_s/edit?usp=sharing"",""กาฬสินธุ์!J438"")"),0)</f>
        <v>0</v>
      </c>
      <c r="AG32" s="63">
        <f t="shared" ca="1" si="12"/>
        <v>0</v>
      </c>
      <c r="AH32" s="57">
        <f ca="1">IFERROR(__xludf.DUMMYFUNCTION("IMPORTRANGE(""https://docs.google.com/spreadsheets/d/1fb2B9NLcpJgjIieIJvenUTNPn0TimZDUi0OtYeiSQ_s/edit?usp=sharing"",""กาฬสินธุ์!I439"")"),20)</f>
        <v>20</v>
      </c>
      <c r="AI32" s="57">
        <f ca="1">IFERROR(__xludf.DUMMYFUNCTION("IMPORTRANGE(""https://docs.google.com/spreadsheets/d/1fb2B9NLcpJgjIieIJvenUTNPn0TimZDUi0OtYeiSQ_s/edit?usp=sharing"",""กาฬสินธุ์!I440"")"),1)</f>
        <v>1</v>
      </c>
      <c r="AJ32" s="57">
        <f ca="1">IFERROR(__xludf.DUMMYFUNCTION("IMPORTRANGE(""https://docs.google.com/spreadsheets/d/1fb2B9NLcpJgjIieIJvenUTNPn0TimZDUi0OtYeiSQ_s/edit?usp=sharing"",""กาฬสินธุ์!J439"")"),20)</f>
        <v>20</v>
      </c>
      <c r="AK32" s="63">
        <f t="shared" ca="1" si="30"/>
        <v>100</v>
      </c>
      <c r="AL32" s="57">
        <f ca="1">IFERROR(__xludf.DUMMYFUNCTION("IMPORTRANGE(""https://docs.google.com/spreadsheets/d/1fb2B9NLcpJgjIieIJvenUTNPn0TimZDUi0OtYeiSQ_s/edit?usp=sharing"",""กาฬสินธุ์!J440"")"),1)</f>
        <v>1</v>
      </c>
      <c r="AM32" s="63">
        <f t="shared" ca="1" si="15"/>
        <v>100</v>
      </c>
      <c r="AN32" s="57">
        <f ca="1">IFERROR(__xludf.DUMMYFUNCTION("IMPORTRANGE(""https://docs.google.com/spreadsheets/d/1fb2B9NLcpJgjIieIJvenUTNPn0TimZDUi0OtYeiSQ_s/edit?usp=sharing"",""กาฬสินธุ์!I441"")"),0)</f>
        <v>0</v>
      </c>
      <c r="AO32" s="57">
        <f ca="1">IFERROR(__xludf.DUMMYFUNCTION("IMPORTRANGE(""https://docs.google.com/spreadsheets/d/1fb2B9NLcpJgjIieIJvenUTNPn0TimZDUi0OtYeiSQ_s/edit?usp=sharing"",""กาฬสินธุ์!J441"")"),0)</f>
        <v>0</v>
      </c>
      <c r="AP32" s="63">
        <f t="shared" ca="1" si="31"/>
        <v>0</v>
      </c>
    </row>
    <row r="33" spans="1:42" ht="21" customHeight="1" x14ac:dyDescent="0.3">
      <c r="A33" s="54">
        <v>2</v>
      </c>
      <c r="B33" s="55" t="s">
        <v>54</v>
      </c>
      <c r="C33" s="56">
        <f t="shared" ca="1" si="51"/>
        <v>78660</v>
      </c>
      <c r="D33" s="57">
        <f ca="1">IFERROR(__xludf.DUMMYFUNCTION("IMPORTRANGE(""https://docs.google.com/spreadsheets/d/1SaMnqrwRGmFYNR0MhpWmHuL5niYUd5E7vDq8X7whAlI/edit?usp=sharing"",""ขอนแก่น!L424"")"),78660)</f>
        <v>78660</v>
      </c>
      <c r="E33" s="64">
        <f ca="1">IFERROR(__xludf.DUMMYFUNCTION("IMPORTRANGE(""https://docs.google.com/spreadsheets/d/1SaMnqrwRGmFYNR0MhpWmHuL5niYUd5E7vDq8X7whAlI/edit?usp=sharing"",""ขอนแก่น!L431"")"),0)</f>
        <v>0</v>
      </c>
      <c r="F33" s="64">
        <f ca="1">IFERROR(__xludf.DUMMYFUNCTION("IMPORTRANGE(""https://docs.google.com/spreadsheets/d/1SaMnqrwRGmFYNR0MhpWmHuL5niYUd5E7vDq8X7whAlI/edit?usp=sharing"",""ขอนแก่น!M424"")"),78660)</f>
        <v>78660</v>
      </c>
      <c r="G33" s="64">
        <f ca="1">IFERROR(__xludf.DUMMYFUNCTION("IMPORTRANGE(""https://docs.google.com/spreadsheets/d/1SaMnqrwRGmFYNR0MhpWmHuL5niYUd5E7vDq8X7whAlI/edit?usp=sharing"",""ขอนแก่น!M431"")"),0)</f>
        <v>0</v>
      </c>
      <c r="H33" s="58">
        <f t="shared" ca="1" si="26"/>
        <v>57070</v>
      </c>
      <c r="I33" s="59">
        <f t="shared" ca="1" si="1"/>
        <v>72.552758708365118</v>
      </c>
      <c r="J33" s="60">
        <f t="shared" ca="1" si="52"/>
        <v>57070</v>
      </c>
      <c r="K33" s="61">
        <f t="shared" ca="1" si="33"/>
        <v>72.552758708365118</v>
      </c>
      <c r="L33" s="61">
        <f t="shared" ca="1" si="34"/>
        <v>72.552758708365118</v>
      </c>
      <c r="M33" s="64">
        <f ca="1">IFERROR(__xludf.DUMMYFUNCTION("IMPORTRANGE(""https://docs.google.com/spreadsheets/d/1SaMnqrwRGmFYNR0MhpWmHuL5niYUd5E7vDq8X7whAlI/edit?usp=sharing"",""ขอนแก่น!N425"")"),33510)</f>
        <v>33510</v>
      </c>
      <c r="N33" s="64">
        <f ca="1">IFERROR(__xludf.DUMMYFUNCTION("IMPORTRANGE(""https://docs.google.com/spreadsheets/d/1SaMnqrwRGmFYNR0MhpWmHuL5niYUd5E7vDq8X7whAlI/edit?usp=sharing"",""ขอนแก่น!N426"")"),0)</f>
        <v>0</v>
      </c>
      <c r="O33" s="64">
        <f ca="1">IFERROR(__xludf.DUMMYFUNCTION("IMPORTRANGE(""https://docs.google.com/spreadsheets/d/1SaMnqrwRGmFYNR0MhpWmHuL5niYUd5E7vDq8X7whAlI/edit?usp=sharing"",""ขอนแก่น!N427"")"),0)</f>
        <v>0</v>
      </c>
      <c r="P33" s="64">
        <f ca="1">IFERROR(__xludf.DUMMYFUNCTION("IMPORTRANGE(""https://docs.google.com/spreadsheets/d/1SaMnqrwRGmFYNR0MhpWmHuL5niYUd5E7vDq8X7whAlI/edit?usp=sharing"",""ขอนแก่น!N428"")"),23560)</f>
        <v>23560</v>
      </c>
      <c r="Q33" s="62">
        <f ca="1">IFERROR(__xludf.DUMMYFUNCTION("IMPORTRANGE(""https://docs.google.com/spreadsheets/d/1SaMnqrwRGmFYNR0MhpWmHuL5niYUd5E7vDq8X7whAlI/edit?usp=sharing"",""ขอนแก่น!N431"")"),0)</f>
        <v>0</v>
      </c>
      <c r="R33" s="62">
        <f t="shared" ca="1" si="36"/>
        <v>0</v>
      </c>
      <c r="S33" s="57">
        <f ca="1">IFERROR(__xludf.DUMMYFUNCTION("IMPORTRANGE(""https://docs.google.com/spreadsheets/d/1SaMnqrwRGmFYNR0MhpWmHuL5niYUd5E7vDq8X7whAlI/edit?usp=sharing"",""ขอนแก่น!I433"")"),20)</f>
        <v>20</v>
      </c>
      <c r="T33" s="57">
        <f ca="1">IFERROR(__xludf.DUMMYFUNCTION("IMPORTRANGE(""https://docs.google.com/spreadsheets/d/1SaMnqrwRGmFYNR0MhpWmHuL5niYUd5E7vDq8X7whAlI/edit?usp=sharing"",""ขอนแก่น!I434"")"),1)</f>
        <v>1</v>
      </c>
      <c r="U33" s="57">
        <f ca="1">IFERROR(__xludf.DUMMYFUNCTION("IMPORTRANGE(""https://docs.google.com/spreadsheets/d/1SaMnqrwRGmFYNR0MhpWmHuL5niYUd5E7vDq8X7whAlI/edit?usp=sharing"",""ขอนแก่น!J433"")"),20)</f>
        <v>20</v>
      </c>
      <c r="V33" s="63">
        <f t="shared" ca="1" si="27"/>
        <v>100</v>
      </c>
      <c r="W33" s="57">
        <f ca="1">IFERROR(__xludf.DUMMYFUNCTION("IMPORTRANGE(""https://docs.google.com/spreadsheets/d/1SaMnqrwRGmFYNR0MhpWmHuL5niYUd5E7vDq8X7whAlI/edit?usp=sharing"",""ขอนแก่น!J434"")"),1)</f>
        <v>1</v>
      </c>
      <c r="X33" s="63">
        <f t="shared" ca="1" si="7"/>
        <v>100</v>
      </c>
      <c r="Y33" s="57">
        <f ca="1">IFERROR(__xludf.DUMMYFUNCTION("IMPORTRANGE(""https://docs.google.com/spreadsheets/d/1SaMnqrwRGmFYNR0MhpWmHuL5niYUd5E7vDq8X7whAlI/edit?usp=sharing"",""ขอนแก่น!I435"")"),20)</f>
        <v>20</v>
      </c>
      <c r="Z33" s="57">
        <f ca="1">IFERROR(__xludf.DUMMYFUNCTION("IMPORTRANGE(""https://docs.google.com/spreadsheets/d/1SaMnqrwRGmFYNR0MhpWmHuL5niYUd5E7vDq8X7whAlI/edit?usp=sharing"",""ขอนแก่น!J435"")"),20)</f>
        <v>20</v>
      </c>
      <c r="AA33" s="63">
        <f t="shared" ca="1" si="28"/>
        <v>100</v>
      </c>
      <c r="AB33" s="57">
        <f ca="1">IFERROR(__xludf.DUMMYFUNCTION("IMPORTRANGE(""https://docs.google.com/spreadsheets/d/1SaMnqrwRGmFYNR0MhpWmHuL5niYUd5E7vDq8X7whAlI/edit?usp=sharing"",""ขอนแก่น!I437"")"),0)</f>
        <v>0</v>
      </c>
      <c r="AC33" s="57">
        <f ca="1">IFERROR(__xludf.DUMMYFUNCTION("IMPORTRANGE(""https://docs.google.com/spreadsheets/d/1SaMnqrwRGmFYNR0MhpWmHuL5niYUd5E7vDq8X7whAlI/edit?usp=sharing"",""ขอนแก่น!I438"")"),0)</f>
        <v>0</v>
      </c>
      <c r="AD33" s="57">
        <f ca="1">IFERROR(__xludf.DUMMYFUNCTION("IMPORTRANGE(""https://docs.google.com/spreadsheets/d/1SaMnqrwRGmFYNR0MhpWmHuL5niYUd5E7vDq8X7whAlI/edit?usp=sharing"",""ขอนแก่น!J437"")"),0)</f>
        <v>0</v>
      </c>
      <c r="AE33" s="63">
        <f t="shared" ca="1" si="29"/>
        <v>0</v>
      </c>
      <c r="AF33" s="57">
        <f ca="1">IFERROR(__xludf.DUMMYFUNCTION("IMPORTRANGE(""https://docs.google.com/spreadsheets/d/1SaMnqrwRGmFYNR0MhpWmHuL5niYUd5E7vDq8X7whAlI/edit?usp=sharing"",""ขอนแก่น!J438"")"),0)</f>
        <v>0</v>
      </c>
      <c r="AG33" s="63">
        <f t="shared" ca="1" si="12"/>
        <v>0</v>
      </c>
      <c r="AH33" s="57">
        <f ca="1">IFERROR(__xludf.DUMMYFUNCTION("IMPORTRANGE(""https://docs.google.com/spreadsheets/d/1SaMnqrwRGmFYNR0MhpWmHuL5niYUd5E7vDq8X7whAlI/edit?usp=sharing"",""ขอนแก่น!I439"")"),20)</f>
        <v>20</v>
      </c>
      <c r="AI33" s="57">
        <f ca="1">IFERROR(__xludf.DUMMYFUNCTION("IMPORTRANGE(""https://docs.google.com/spreadsheets/d/1SaMnqrwRGmFYNR0MhpWmHuL5niYUd5E7vDq8X7whAlI/edit?usp=sharing"",""ขอนแก่น!I440"")"),1)</f>
        <v>1</v>
      </c>
      <c r="AJ33" s="57">
        <f ca="1">IFERROR(__xludf.DUMMYFUNCTION("IMPORTRANGE(""https://docs.google.com/spreadsheets/d/1SaMnqrwRGmFYNR0MhpWmHuL5niYUd5E7vDq8X7whAlI/edit?usp=sharing"",""ขอนแก่น!J439"")"),20)</f>
        <v>20</v>
      </c>
      <c r="AK33" s="63">
        <f t="shared" ca="1" si="30"/>
        <v>100</v>
      </c>
      <c r="AL33" s="57">
        <f ca="1">IFERROR(__xludf.DUMMYFUNCTION("IMPORTRANGE(""https://docs.google.com/spreadsheets/d/1SaMnqrwRGmFYNR0MhpWmHuL5niYUd5E7vDq8X7whAlI/edit?usp=sharing"",""ขอนแก่น!J440"")"),1)</f>
        <v>1</v>
      </c>
      <c r="AM33" s="63">
        <f t="shared" ca="1" si="15"/>
        <v>100</v>
      </c>
      <c r="AN33" s="57">
        <f ca="1">IFERROR(__xludf.DUMMYFUNCTION("IMPORTRANGE(""https://docs.google.com/spreadsheets/d/1SaMnqrwRGmFYNR0MhpWmHuL5niYUd5E7vDq8X7whAlI/edit?usp=sharing"",""ขอนแก่น!I441"")"),0)</f>
        <v>0</v>
      </c>
      <c r="AO33" s="57">
        <f ca="1">IFERROR(__xludf.DUMMYFUNCTION("IMPORTRANGE(""https://docs.google.com/spreadsheets/d/1SaMnqrwRGmFYNR0MhpWmHuL5niYUd5E7vDq8X7whAlI/edit?usp=sharing"",""ขอนแก่น!J441"")"),0)</f>
        <v>0</v>
      </c>
      <c r="AP33" s="63">
        <f t="shared" ca="1" si="31"/>
        <v>0</v>
      </c>
    </row>
    <row r="34" spans="1:42" ht="21" customHeight="1" x14ac:dyDescent="0.3">
      <c r="A34" s="54">
        <v>3</v>
      </c>
      <c r="B34" s="55" t="s">
        <v>55</v>
      </c>
      <c r="C34" s="56">
        <f t="shared" ca="1" si="51"/>
        <v>78660</v>
      </c>
      <c r="D34" s="57">
        <f ca="1">IFERROR(__xludf.DUMMYFUNCTION("IMPORTRANGE(""https://docs.google.com/spreadsheets/d/1xQzEtGHhTTgxHh6YUkKY1P4dRyjVhS74dGswLfAASA4/edit?usp=sharing"",""ชัยภูมิ!L424"")"),78660)</f>
        <v>78660</v>
      </c>
      <c r="E34" s="64">
        <f ca="1">IFERROR(__xludf.DUMMYFUNCTION("IMPORTRANGE(""https://docs.google.com/spreadsheets/d/1xQzEtGHhTTgxHh6YUkKY1P4dRyjVhS74dGswLfAASA4/edit?usp=sharing"",""ชัยภูมิ!L431"")"),0)</f>
        <v>0</v>
      </c>
      <c r="F34" s="64">
        <f ca="1">IFERROR(__xludf.DUMMYFUNCTION("IMPORTRANGE(""https://docs.google.com/spreadsheets/d/1xQzEtGHhTTgxHh6YUkKY1P4dRyjVhS74dGswLfAASA4/edit?usp=sharing"",""ชัยภูมิ!M424"")"),78660)</f>
        <v>78660</v>
      </c>
      <c r="G34" s="64">
        <f ca="1">IFERROR(__xludf.DUMMYFUNCTION("IMPORTRANGE(""https://docs.google.com/spreadsheets/d/1xQzEtGHhTTgxHh6YUkKY1P4dRyjVhS74dGswLfAASA4/edit?usp=sharing"",""ชัยภูมิ!M431"")"),0)</f>
        <v>0</v>
      </c>
      <c r="H34" s="58">
        <f t="shared" ca="1" si="26"/>
        <v>36872</v>
      </c>
      <c r="I34" s="59">
        <f t="shared" ca="1" si="1"/>
        <v>46.875158911772182</v>
      </c>
      <c r="J34" s="60">
        <f t="shared" ca="1" si="52"/>
        <v>36872</v>
      </c>
      <c r="K34" s="61">
        <f t="shared" ca="1" si="33"/>
        <v>46.875158911772182</v>
      </c>
      <c r="L34" s="61">
        <f t="shared" ca="1" si="34"/>
        <v>46.875158911772182</v>
      </c>
      <c r="M34" s="64">
        <f ca="1">IFERROR(__xludf.DUMMYFUNCTION("IMPORTRANGE(""https://docs.google.com/spreadsheets/d/1xQzEtGHhTTgxHh6YUkKY1P4dRyjVhS74dGswLfAASA4/edit?usp=sharing"",""ชัยภูมิ!N425"")"),27200)</f>
        <v>27200</v>
      </c>
      <c r="N34" s="64">
        <f ca="1">IFERROR(__xludf.DUMMYFUNCTION("IMPORTRANGE(""https://docs.google.com/spreadsheets/d/1xQzEtGHhTTgxHh6YUkKY1P4dRyjVhS74dGswLfAASA4/edit?usp=sharing"",""ชัยภูมิ!N426"")"),9672)</f>
        <v>9672</v>
      </c>
      <c r="O34" s="64">
        <f ca="1">IFERROR(__xludf.DUMMYFUNCTION("IMPORTRANGE(""https://docs.google.com/spreadsheets/d/1xQzEtGHhTTgxHh6YUkKY1P4dRyjVhS74dGswLfAASA4/edit?usp=sharing"",""ชัยภูมิ!N427"")"),0)</f>
        <v>0</v>
      </c>
      <c r="P34" s="64">
        <f ca="1">IFERROR(__xludf.DUMMYFUNCTION("IMPORTRANGE(""https://docs.google.com/spreadsheets/d/1xQzEtGHhTTgxHh6YUkKY1P4dRyjVhS74dGswLfAASA4/edit?usp=sharing"",""ชัยภูมิ!N428"")"),0)</f>
        <v>0</v>
      </c>
      <c r="Q34" s="62">
        <f ca="1">IFERROR(__xludf.DUMMYFUNCTION("IMPORTRANGE(""https://docs.google.com/spreadsheets/d/1xQzEtGHhTTgxHh6YUkKY1P4dRyjVhS74dGswLfAASA4/edit?usp=sharing"",""ชัยภูมิ!N431"")"),0)</f>
        <v>0</v>
      </c>
      <c r="R34" s="62">
        <f t="shared" ca="1" si="36"/>
        <v>0</v>
      </c>
      <c r="S34" s="57">
        <f ca="1">IFERROR(__xludf.DUMMYFUNCTION("IMPORTRANGE(""https://docs.google.com/spreadsheets/d/1xQzEtGHhTTgxHh6YUkKY1P4dRyjVhS74dGswLfAASA4/edit?usp=sharing"",""ชัยภูมิ!I433"")"),20)</f>
        <v>20</v>
      </c>
      <c r="T34" s="57">
        <f ca="1">IFERROR(__xludf.DUMMYFUNCTION("IMPORTRANGE(""https://docs.google.com/spreadsheets/d/1xQzEtGHhTTgxHh6YUkKY1P4dRyjVhS74dGswLfAASA4/edit?usp=sharing"",""ชัยภูมิ!I434"")"),1)</f>
        <v>1</v>
      </c>
      <c r="U34" s="57">
        <f ca="1">IFERROR(__xludf.DUMMYFUNCTION("IMPORTRANGE(""https://docs.google.com/spreadsheets/d/1xQzEtGHhTTgxHh6YUkKY1P4dRyjVhS74dGswLfAASA4/edit?usp=sharing"",""ชัยภูมิ!J433"")"),0)</f>
        <v>0</v>
      </c>
      <c r="V34" s="63">
        <f t="shared" ca="1" si="27"/>
        <v>0</v>
      </c>
      <c r="W34" s="57">
        <f ca="1">IFERROR(__xludf.DUMMYFUNCTION("IMPORTRANGE(""https://docs.google.com/spreadsheets/d/1xQzEtGHhTTgxHh6YUkKY1P4dRyjVhS74dGswLfAASA4/edit?usp=sharing"",""ชัยภูมิ!J434"")"),0)</f>
        <v>0</v>
      </c>
      <c r="X34" s="63">
        <f t="shared" ca="1" si="7"/>
        <v>0</v>
      </c>
      <c r="Y34" s="57">
        <f ca="1">IFERROR(__xludf.DUMMYFUNCTION("IMPORTRANGE(""https://docs.google.com/spreadsheets/d/1xQzEtGHhTTgxHh6YUkKY1P4dRyjVhS74dGswLfAASA4/edit?usp=sharing"",""ชัยภูมิ!I435"")"),20)</f>
        <v>20</v>
      </c>
      <c r="Z34" s="57">
        <f ca="1">IFERROR(__xludf.DUMMYFUNCTION("IMPORTRANGE(""https://docs.google.com/spreadsheets/d/1xQzEtGHhTTgxHh6YUkKY1P4dRyjVhS74dGswLfAASA4/edit?usp=sharing"",""ชัยภูมิ!J435"")"),20)</f>
        <v>20</v>
      </c>
      <c r="AA34" s="63">
        <f t="shared" ca="1" si="28"/>
        <v>100</v>
      </c>
      <c r="AB34" s="57">
        <f ca="1">IFERROR(__xludf.DUMMYFUNCTION("IMPORTRANGE(""https://docs.google.com/spreadsheets/d/1xQzEtGHhTTgxHh6YUkKY1P4dRyjVhS74dGswLfAASA4/edit?usp=sharing"",""ชัยภูมิ!I437"")"),0)</f>
        <v>0</v>
      </c>
      <c r="AC34" s="57">
        <f ca="1">IFERROR(__xludf.DUMMYFUNCTION("IMPORTRANGE(""https://docs.google.com/spreadsheets/d/1xQzEtGHhTTgxHh6YUkKY1P4dRyjVhS74dGswLfAASA4/edit?usp=sharing"",""ชัยภูมิ!I438"")"),0)</f>
        <v>0</v>
      </c>
      <c r="AD34" s="57">
        <f ca="1">IFERROR(__xludf.DUMMYFUNCTION("IMPORTRANGE(""https://docs.google.com/spreadsheets/d/1xQzEtGHhTTgxHh6YUkKY1P4dRyjVhS74dGswLfAASA4/edit?usp=sharing"",""ชัยภูมิ!J437"")"),0)</f>
        <v>0</v>
      </c>
      <c r="AE34" s="63">
        <f t="shared" ca="1" si="29"/>
        <v>0</v>
      </c>
      <c r="AF34" s="57">
        <f ca="1">IFERROR(__xludf.DUMMYFUNCTION("IMPORTRANGE(""https://docs.google.com/spreadsheets/d/1xQzEtGHhTTgxHh6YUkKY1P4dRyjVhS74dGswLfAASA4/edit?usp=sharing"",""ชัยภูมิ!J438"")"),0)</f>
        <v>0</v>
      </c>
      <c r="AG34" s="63">
        <f t="shared" ca="1" si="12"/>
        <v>0</v>
      </c>
      <c r="AH34" s="57">
        <f ca="1">IFERROR(__xludf.DUMMYFUNCTION("IMPORTRANGE(""https://docs.google.com/spreadsheets/d/1xQzEtGHhTTgxHh6YUkKY1P4dRyjVhS74dGswLfAASA4/edit?usp=sharing"",""ชัยภูมิ!I439"")"),20)</f>
        <v>20</v>
      </c>
      <c r="AI34" s="57">
        <f ca="1">IFERROR(__xludf.DUMMYFUNCTION("IMPORTRANGE(""https://docs.google.com/spreadsheets/d/1xQzEtGHhTTgxHh6YUkKY1P4dRyjVhS74dGswLfAASA4/edit?usp=sharing"",""ชัยภูมิ!I440"")"),1)</f>
        <v>1</v>
      </c>
      <c r="AJ34" s="57">
        <f ca="1">IFERROR(__xludf.DUMMYFUNCTION("IMPORTRANGE(""https://docs.google.com/spreadsheets/d/1xQzEtGHhTTgxHh6YUkKY1P4dRyjVhS74dGswLfAASA4/edit?usp=sharing"",""ชัยภูมิ!J439"")"),0)</f>
        <v>0</v>
      </c>
      <c r="AK34" s="63">
        <f t="shared" ca="1" si="30"/>
        <v>0</v>
      </c>
      <c r="AL34" s="57">
        <f ca="1">IFERROR(__xludf.DUMMYFUNCTION("IMPORTRANGE(""https://docs.google.com/spreadsheets/d/1xQzEtGHhTTgxHh6YUkKY1P4dRyjVhS74dGswLfAASA4/edit?usp=sharing"",""ชัยภูมิ!J440"")"),0)</f>
        <v>0</v>
      </c>
      <c r="AM34" s="63">
        <f t="shared" ca="1" si="15"/>
        <v>0</v>
      </c>
      <c r="AN34" s="57">
        <f ca="1">IFERROR(__xludf.DUMMYFUNCTION("IMPORTRANGE(""https://docs.google.com/spreadsheets/d/1xQzEtGHhTTgxHh6YUkKY1P4dRyjVhS74dGswLfAASA4/edit?usp=sharing"",""ชัยภูมิ!I441"")"),0)</f>
        <v>0</v>
      </c>
      <c r="AO34" s="57">
        <f ca="1">IFERROR(__xludf.DUMMYFUNCTION("IMPORTRANGE(""https://docs.google.com/spreadsheets/d/1xQzEtGHhTTgxHh6YUkKY1P4dRyjVhS74dGswLfAASA4/edit?usp=sharing"",""ชัยภูมิ!J441"")"),0)</f>
        <v>0</v>
      </c>
      <c r="AP34" s="63">
        <f t="shared" ca="1" si="31"/>
        <v>0</v>
      </c>
    </row>
    <row r="35" spans="1:42" ht="21" customHeight="1" x14ac:dyDescent="0.3">
      <c r="A35" s="54">
        <v>4</v>
      </c>
      <c r="B35" s="55" t="s">
        <v>56</v>
      </c>
      <c r="C35" s="56">
        <f t="shared" ca="1" si="51"/>
        <v>104060</v>
      </c>
      <c r="D35" s="57">
        <f ca="1">IFERROR(__xludf.DUMMYFUNCTION("IMPORTRANGE(""https://docs.google.com/spreadsheets/d/1EXMBoBxU3OFbjT2TRpneM33qFjqDzrKmn9ydcflfI0o/edit?usp=sharing"",""นครพนม!L424"")"),104060)</f>
        <v>104060</v>
      </c>
      <c r="E35" s="64">
        <f ca="1">IFERROR(__xludf.DUMMYFUNCTION("IMPORTRANGE(""https://docs.google.com/spreadsheets/d/1EXMBoBxU3OFbjT2TRpneM33qFjqDzrKmn9ydcflfI0o/edit?usp=sharing"",""นครพนม!L431"")"),0)</f>
        <v>0</v>
      </c>
      <c r="F35" s="64">
        <f ca="1">IFERROR(__xludf.DUMMYFUNCTION("IMPORTRANGE(""https://docs.google.com/spreadsheets/d/1EXMBoBxU3OFbjT2TRpneM33qFjqDzrKmn9ydcflfI0o/edit?usp=sharing"",""นครพนม!M424"")"),104060)</f>
        <v>104060</v>
      </c>
      <c r="G35" s="64">
        <f ca="1">IFERROR(__xludf.DUMMYFUNCTION("IMPORTRANGE(""https://docs.google.com/spreadsheets/d/1EXMBoBxU3OFbjT2TRpneM33qFjqDzrKmn9ydcflfI0o/edit?usp=sharing"",""นครพนม!M431"")"),0)</f>
        <v>0</v>
      </c>
      <c r="H35" s="58">
        <f t="shared" ca="1" si="26"/>
        <v>76405</v>
      </c>
      <c r="I35" s="59">
        <f t="shared" ca="1" si="1"/>
        <v>73.423986161829717</v>
      </c>
      <c r="J35" s="60">
        <f t="shared" ca="1" si="52"/>
        <v>76405</v>
      </c>
      <c r="K35" s="61">
        <f t="shared" ca="1" si="33"/>
        <v>73.423986161829717</v>
      </c>
      <c r="L35" s="61">
        <f t="shared" ca="1" si="34"/>
        <v>73.423986161829717</v>
      </c>
      <c r="M35" s="64">
        <f ca="1">IFERROR(__xludf.DUMMYFUNCTION("IMPORTRANGE(""https://docs.google.com/spreadsheets/d/1EXMBoBxU3OFbjT2TRpneM33qFjqDzrKmn9ydcflfI0o/edit?usp=sharing"",""นครพนม!N425"")"),39965)</f>
        <v>39965</v>
      </c>
      <c r="N35" s="64">
        <f ca="1">IFERROR(__xludf.DUMMYFUNCTION("IMPORTRANGE(""https://docs.google.com/spreadsheets/d/1EXMBoBxU3OFbjT2TRpneM33qFjqDzrKmn9ydcflfI0o/edit?usp=sharing"",""นครพนม!N426"")"),0)</f>
        <v>0</v>
      </c>
      <c r="O35" s="64">
        <f ca="1">IFERROR(__xludf.DUMMYFUNCTION("IMPORTRANGE(""https://docs.google.com/spreadsheets/d/1EXMBoBxU3OFbjT2TRpneM33qFjqDzrKmn9ydcflfI0o/edit?usp=sharing"",""นครพนม!N427"")"),0)</f>
        <v>0</v>
      </c>
      <c r="P35" s="64">
        <f ca="1">IFERROR(__xludf.DUMMYFUNCTION("IMPORTRANGE(""https://docs.google.com/spreadsheets/d/1EXMBoBxU3OFbjT2TRpneM33qFjqDzrKmn9ydcflfI0o/edit?usp=sharing"",""นครพนม!N428"")"),36440)</f>
        <v>36440</v>
      </c>
      <c r="Q35" s="62">
        <f ca="1">IFERROR(__xludf.DUMMYFUNCTION("IMPORTRANGE(""https://docs.google.com/spreadsheets/d/1EXMBoBxU3OFbjT2TRpneM33qFjqDzrKmn9ydcflfI0o/edit?usp=sharing"",""นครพนม!N431"")"),0)</f>
        <v>0</v>
      </c>
      <c r="R35" s="62">
        <f t="shared" ca="1" si="36"/>
        <v>0</v>
      </c>
      <c r="S35" s="57">
        <f ca="1">IFERROR(__xludf.DUMMYFUNCTION("IMPORTRANGE(""https://docs.google.com/spreadsheets/d/1EXMBoBxU3OFbjT2TRpneM33qFjqDzrKmn9ydcflfI0o/edit?usp=sharing"",""นครพนม!I433"")"),20)</f>
        <v>20</v>
      </c>
      <c r="T35" s="57">
        <f ca="1">IFERROR(__xludf.DUMMYFUNCTION("IMPORTRANGE(""https://docs.google.com/spreadsheets/d/1EXMBoBxU3OFbjT2TRpneM33qFjqDzrKmn9ydcflfI0o/edit?usp=sharing"",""นครพนม!I434"")"),1)</f>
        <v>1</v>
      </c>
      <c r="U35" s="57">
        <f ca="1">IFERROR(__xludf.DUMMYFUNCTION("IMPORTRANGE(""https://docs.google.com/spreadsheets/d/1EXMBoBxU3OFbjT2TRpneM33qFjqDzrKmn9ydcflfI0o/edit?usp=sharing"",""นครพนม!J433"")"),20)</f>
        <v>20</v>
      </c>
      <c r="V35" s="63">
        <f t="shared" ca="1" si="27"/>
        <v>100</v>
      </c>
      <c r="W35" s="57">
        <f ca="1">IFERROR(__xludf.DUMMYFUNCTION("IMPORTRANGE(""https://docs.google.com/spreadsheets/d/1EXMBoBxU3OFbjT2TRpneM33qFjqDzrKmn9ydcflfI0o/edit?usp=sharing"",""นครพนม!J434"")"),1)</f>
        <v>1</v>
      </c>
      <c r="X35" s="63">
        <f t="shared" ca="1" si="7"/>
        <v>100</v>
      </c>
      <c r="Y35" s="57">
        <f ca="1">IFERROR(__xludf.DUMMYFUNCTION("IMPORTRANGE(""https://docs.google.com/spreadsheets/d/1EXMBoBxU3OFbjT2TRpneM33qFjqDzrKmn9ydcflfI0o/edit?usp=sharing"",""นครพนม!I435"")"),20)</f>
        <v>20</v>
      </c>
      <c r="Z35" s="57">
        <f ca="1">IFERROR(__xludf.DUMMYFUNCTION("IMPORTRANGE(""https://docs.google.com/spreadsheets/d/1EXMBoBxU3OFbjT2TRpneM33qFjqDzrKmn9ydcflfI0o/edit?usp=sharing"",""นครพนม!J435"")"),20)</f>
        <v>20</v>
      </c>
      <c r="AA35" s="63">
        <f t="shared" ca="1" si="28"/>
        <v>100</v>
      </c>
      <c r="AB35" s="57">
        <f ca="1">IFERROR(__xludf.DUMMYFUNCTION("IMPORTRANGE(""https://docs.google.com/spreadsheets/d/1EXMBoBxU3OFbjT2TRpneM33qFjqDzrKmn9ydcflfI0o/edit?usp=sharing"",""นครพนม!I437"")"),0)</f>
        <v>0</v>
      </c>
      <c r="AC35" s="57">
        <f ca="1">IFERROR(__xludf.DUMMYFUNCTION("IMPORTRANGE(""https://docs.google.com/spreadsheets/d/1EXMBoBxU3OFbjT2TRpneM33qFjqDzrKmn9ydcflfI0o/edit?usp=sharing"",""นครพนม!I438"")"),0)</f>
        <v>0</v>
      </c>
      <c r="AD35" s="57">
        <f ca="1">IFERROR(__xludf.DUMMYFUNCTION("IMPORTRANGE(""https://docs.google.com/spreadsheets/d/1EXMBoBxU3OFbjT2TRpneM33qFjqDzrKmn9ydcflfI0o/edit?usp=sharing"",""นครพนม!J437"")"),0)</f>
        <v>0</v>
      </c>
      <c r="AE35" s="63">
        <f t="shared" ca="1" si="29"/>
        <v>0</v>
      </c>
      <c r="AF35" s="57">
        <f ca="1">IFERROR(__xludf.DUMMYFUNCTION("IMPORTRANGE(""https://docs.google.com/spreadsheets/d/1EXMBoBxU3OFbjT2TRpneM33qFjqDzrKmn9ydcflfI0o/edit?usp=sharing"",""นครพนม!J438"")"),0)</f>
        <v>0</v>
      </c>
      <c r="AG35" s="63">
        <f t="shared" ca="1" si="12"/>
        <v>0</v>
      </c>
      <c r="AH35" s="57">
        <f ca="1">IFERROR(__xludf.DUMMYFUNCTION("IMPORTRANGE(""https://docs.google.com/spreadsheets/d/1EXMBoBxU3OFbjT2TRpneM33qFjqDzrKmn9ydcflfI0o/edit?usp=sharing"",""นครพนม!I439"")"),20)</f>
        <v>20</v>
      </c>
      <c r="AI35" s="57">
        <f ca="1">IFERROR(__xludf.DUMMYFUNCTION("IMPORTRANGE(""https://docs.google.com/spreadsheets/d/1EXMBoBxU3OFbjT2TRpneM33qFjqDzrKmn9ydcflfI0o/edit?usp=sharing"",""นครพนม!I440"")"),1)</f>
        <v>1</v>
      </c>
      <c r="AJ35" s="57">
        <f ca="1">IFERROR(__xludf.DUMMYFUNCTION("IMPORTRANGE(""https://docs.google.com/spreadsheets/d/1EXMBoBxU3OFbjT2TRpneM33qFjqDzrKmn9ydcflfI0o/edit?usp=sharing"",""นครพนม!J439"")"),20)</f>
        <v>20</v>
      </c>
      <c r="AK35" s="63">
        <f t="shared" ca="1" si="30"/>
        <v>100</v>
      </c>
      <c r="AL35" s="57">
        <f ca="1">IFERROR(__xludf.DUMMYFUNCTION("IMPORTRANGE(""https://docs.google.com/spreadsheets/d/1EXMBoBxU3OFbjT2TRpneM33qFjqDzrKmn9ydcflfI0o/edit?usp=sharing"",""นครพนม!J440"")"),1)</f>
        <v>1</v>
      </c>
      <c r="AM35" s="63">
        <f t="shared" ca="1" si="15"/>
        <v>100</v>
      </c>
      <c r="AN35" s="57">
        <f ca="1">IFERROR(__xludf.DUMMYFUNCTION("IMPORTRANGE(""https://docs.google.com/spreadsheets/d/1EXMBoBxU3OFbjT2TRpneM33qFjqDzrKmn9ydcflfI0o/edit?usp=sharing"",""นครพนม!I441"")"),0)</f>
        <v>0</v>
      </c>
      <c r="AO35" s="57">
        <f ca="1">IFERROR(__xludf.DUMMYFUNCTION("IMPORTRANGE(""https://docs.google.com/spreadsheets/d/1EXMBoBxU3OFbjT2TRpneM33qFjqDzrKmn9ydcflfI0o/edit?usp=sharing"",""นครพนม!J441"")"),0)</f>
        <v>0</v>
      </c>
      <c r="AP35" s="63">
        <f t="shared" ca="1" si="31"/>
        <v>0</v>
      </c>
    </row>
    <row r="36" spans="1:42" ht="21" customHeight="1" x14ac:dyDescent="0.3">
      <c r="A36" s="54">
        <v>5</v>
      </c>
      <c r="B36" s="55" t="s">
        <v>57</v>
      </c>
      <c r="C36" s="56">
        <f t="shared" ca="1" si="51"/>
        <v>238260</v>
      </c>
      <c r="D36" s="57">
        <f ca="1">IFERROR(__xludf.DUMMYFUNCTION("IMPORTRANGE(""https://docs.google.com/spreadsheets/d/1bDQrolntRWtHumK8W-x-HXKntwxB9S3sF5aDeRS66Ko/edit?usp=sharing"",""นครราชสีมา!L424"")"),238260)</f>
        <v>238260</v>
      </c>
      <c r="E36" s="64">
        <f ca="1">IFERROR(__xludf.DUMMYFUNCTION("IMPORTRANGE(""https://docs.google.com/spreadsheets/d/1bDQrolntRWtHumK8W-x-HXKntwxB9S3sF5aDeRS66Ko/edit?usp=sharing"",""นครราชสีมา!L431"")"),0)</f>
        <v>0</v>
      </c>
      <c r="F36" s="64">
        <f ca="1">IFERROR(__xludf.DUMMYFUNCTION("IMPORTRANGE(""https://docs.google.com/spreadsheets/d/1bDQrolntRWtHumK8W-x-HXKntwxB9S3sF5aDeRS66Ko/edit?usp=sharing"",""นครราชสีมา!M424"")"),234260)</f>
        <v>234260</v>
      </c>
      <c r="G36" s="64">
        <f ca="1">IFERROR(__xludf.DUMMYFUNCTION("IMPORTRANGE(""https://docs.google.com/spreadsheets/d/1bDQrolntRWtHumK8W-x-HXKntwxB9S3sF5aDeRS66Ko/edit?usp=sharing"",""นครราชสีมา!M431"")"),0)</f>
        <v>0</v>
      </c>
      <c r="H36" s="58">
        <f t="shared" ca="1" si="26"/>
        <v>55090</v>
      </c>
      <c r="I36" s="59">
        <f t="shared" ca="1" si="1"/>
        <v>23.121799714597497</v>
      </c>
      <c r="J36" s="60">
        <f t="shared" ca="1" si="52"/>
        <v>55090</v>
      </c>
      <c r="K36" s="61">
        <f t="shared" ca="1" si="33"/>
        <v>23.121799714597497</v>
      </c>
      <c r="L36" s="61">
        <f t="shared" ca="1" si="34"/>
        <v>23.516605481089389</v>
      </c>
      <c r="M36" s="64">
        <f ca="1">IFERROR(__xludf.DUMMYFUNCTION("IMPORTRANGE(""https://docs.google.com/spreadsheets/d/1bDQrolntRWtHumK8W-x-HXKntwxB9S3sF5aDeRS66Ko/edit?usp=sharing"",""นครราชสีมา!N425"")"),33240)</f>
        <v>33240</v>
      </c>
      <c r="N36" s="64">
        <f ca="1">IFERROR(__xludf.DUMMYFUNCTION("IMPORTRANGE(""https://docs.google.com/spreadsheets/d/1bDQrolntRWtHumK8W-x-HXKntwxB9S3sF5aDeRS66Ko/edit?usp=sharing"",""นครราชสีมา!N426"")"),0)</f>
        <v>0</v>
      </c>
      <c r="O36" s="64">
        <f ca="1">IFERROR(__xludf.DUMMYFUNCTION("IMPORTRANGE(""https://docs.google.com/spreadsheets/d/1bDQrolntRWtHumK8W-x-HXKntwxB9S3sF5aDeRS66Ko/edit?usp=sharing"",""นครราชสีมา!N427"")"),0)</f>
        <v>0</v>
      </c>
      <c r="P36" s="64">
        <f ca="1">IFERROR(__xludf.DUMMYFUNCTION("IMPORTRANGE(""https://docs.google.com/spreadsheets/d/1bDQrolntRWtHumK8W-x-HXKntwxB9S3sF5aDeRS66Ko/edit?usp=sharing"",""นครราชสีมา!N428"")"),21850)</f>
        <v>21850</v>
      </c>
      <c r="Q36" s="62">
        <f ca="1">IFERROR(__xludf.DUMMYFUNCTION("IMPORTRANGE(""https://docs.google.com/spreadsheets/d/1bDQrolntRWtHumK8W-x-HXKntwxB9S3sF5aDeRS66Ko/edit?usp=sharing"",""นครราชสีมา!N431"")"),0)</f>
        <v>0</v>
      </c>
      <c r="R36" s="62">
        <f t="shared" ca="1" si="36"/>
        <v>0</v>
      </c>
      <c r="S36" s="57">
        <f ca="1">IFERROR(__xludf.DUMMYFUNCTION("IMPORTRANGE(""https://docs.google.com/spreadsheets/d/1bDQrolntRWtHumK8W-x-HXKntwxB9S3sF5aDeRS66Ko/edit?usp=sharing"",""นครราชสีมา!I433"")"),70)</f>
        <v>70</v>
      </c>
      <c r="T36" s="57">
        <f ca="1">IFERROR(__xludf.DUMMYFUNCTION("IMPORTRANGE(""https://docs.google.com/spreadsheets/d/1bDQrolntRWtHumK8W-x-HXKntwxB9S3sF5aDeRS66Ko/edit?usp=sharing"",""นครราชสีมา!I434"")"),2)</f>
        <v>2</v>
      </c>
      <c r="U36" s="57">
        <f ca="1">IFERROR(__xludf.DUMMYFUNCTION("IMPORTRANGE(""https://docs.google.com/spreadsheets/d/1bDQrolntRWtHumK8W-x-HXKntwxB9S3sF5aDeRS66Ko/edit?usp=sharing"",""นครราชสีมา!J433"")"),70)</f>
        <v>70</v>
      </c>
      <c r="V36" s="63">
        <f t="shared" ca="1" si="27"/>
        <v>100</v>
      </c>
      <c r="W36" s="57">
        <f ca="1">IFERROR(__xludf.DUMMYFUNCTION("IMPORTRANGE(""https://docs.google.com/spreadsheets/d/1bDQrolntRWtHumK8W-x-HXKntwxB9S3sF5aDeRS66Ko/edit?usp=sharing"",""นครราชสีมา!J434"")"),2)</f>
        <v>2</v>
      </c>
      <c r="X36" s="63">
        <f t="shared" ca="1" si="7"/>
        <v>100</v>
      </c>
      <c r="Y36" s="57">
        <f ca="1">IFERROR(__xludf.DUMMYFUNCTION("IMPORTRANGE(""https://docs.google.com/spreadsheets/d/1bDQrolntRWtHumK8W-x-HXKntwxB9S3sF5aDeRS66Ko/edit?usp=sharing"",""นครราชสีมา!I435"")"),70)</f>
        <v>70</v>
      </c>
      <c r="Z36" s="57">
        <f ca="1">IFERROR(__xludf.DUMMYFUNCTION("IMPORTRANGE(""https://docs.google.com/spreadsheets/d/1bDQrolntRWtHumK8W-x-HXKntwxB9S3sF5aDeRS66Ko/edit?usp=sharing"",""นครราชสีมา!J435"")"),70)</f>
        <v>70</v>
      </c>
      <c r="AA36" s="63">
        <f t="shared" ca="1" si="28"/>
        <v>100</v>
      </c>
      <c r="AB36" s="57">
        <f ca="1">IFERROR(__xludf.DUMMYFUNCTION("IMPORTRANGE(""https://docs.google.com/spreadsheets/d/1bDQrolntRWtHumK8W-x-HXKntwxB9S3sF5aDeRS66Ko/edit?usp=sharing"",""นครราชสีมา!I437"")"),50)</f>
        <v>50</v>
      </c>
      <c r="AC36" s="57">
        <f ca="1">IFERROR(__xludf.DUMMYFUNCTION("IMPORTRANGE(""https://docs.google.com/spreadsheets/d/1bDQrolntRWtHumK8W-x-HXKntwxB9S3sF5aDeRS66Ko/edit?usp=sharing"",""นครราชสีมา!I438"")"),1)</f>
        <v>1</v>
      </c>
      <c r="AD36" s="57">
        <f ca="1">IFERROR(__xludf.DUMMYFUNCTION("IMPORTRANGE(""https://docs.google.com/spreadsheets/d/1bDQrolntRWtHumK8W-x-HXKntwxB9S3sF5aDeRS66Ko/edit?usp=sharing"",""นครราชสีมา!J437"")"),50)</f>
        <v>50</v>
      </c>
      <c r="AE36" s="63">
        <f t="shared" ca="1" si="29"/>
        <v>100</v>
      </c>
      <c r="AF36" s="57">
        <f ca="1">IFERROR(__xludf.DUMMYFUNCTION("IMPORTRANGE(""https://docs.google.com/spreadsheets/d/1bDQrolntRWtHumK8W-x-HXKntwxB9S3sF5aDeRS66Ko/edit?usp=sharing"",""นครราชสีมา!J438"")"),1)</f>
        <v>1</v>
      </c>
      <c r="AG36" s="63">
        <f t="shared" ca="1" si="12"/>
        <v>100</v>
      </c>
      <c r="AH36" s="57">
        <f ca="1">IFERROR(__xludf.DUMMYFUNCTION("IMPORTRANGE(""https://docs.google.com/spreadsheets/d/1bDQrolntRWtHumK8W-x-HXKntwxB9S3sF5aDeRS66Ko/edit?usp=sharing"",""นครราชสีมา!I439"")"),20)</f>
        <v>20</v>
      </c>
      <c r="AI36" s="57">
        <f ca="1">IFERROR(__xludf.DUMMYFUNCTION("IMPORTRANGE(""https://docs.google.com/spreadsheets/d/1bDQrolntRWtHumK8W-x-HXKntwxB9S3sF5aDeRS66Ko/edit?usp=sharing"",""นครราชสีมา!I440"")"),1)</f>
        <v>1</v>
      </c>
      <c r="AJ36" s="57">
        <f ca="1">IFERROR(__xludf.DUMMYFUNCTION("IMPORTRANGE(""https://docs.google.com/spreadsheets/d/1bDQrolntRWtHumK8W-x-HXKntwxB9S3sF5aDeRS66Ko/edit?usp=sharing"",""นครราชสีมา!J439"")"),20)</f>
        <v>20</v>
      </c>
      <c r="AK36" s="63">
        <f t="shared" ca="1" si="30"/>
        <v>100</v>
      </c>
      <c r="AL36" s="57">
        <f ca="1">IFERROR(__xludf.DUMMYFUNCTION("IMPORTRANGE(""https://docs.google.com/spreadsheets/d/1bDQrolntRWtHumK8W-x-HXKntwxB9S3sF5aDeRS66Ko/edit?usp=sharing"",""นครราชสีมา!J440"")"),1)</f>
        <v>1</v>
      </c>
      <c r="AM36" s="63">
        <f t="shared" ca="1" si="15"/>
        <v>100</v>
      </c>
      <c r="AN36" s="57">
        <f ca="1">IFERROR(__xludf.DUMMYFUNCTION("IMPORTRANGE(""https://docs.google.com/spreadsheets/d/1bDQrolntRWtHumK8W-x-HXKntwxB9S3sF5aDeRS66Ko/edit?usp=sharing"",""นครราชสีมา!I441"")"),0)</f>
        <v>0</v>
      </c>
      <c r="AO36" s="57">
        <f ca="1">IFERROR(__xludf.DUMMYFUNCTION("IMPORTRANGE(""https://docs.google.com/spreadsheets/d/1bDQrolntRWtHumK8W-x-HXKntwxB9S3sF5aDeRS66Ko/edit?usp=sharing"",""นครราชสีมา!J441"")"),0)</f>
        <v>0</v>
      </c>
      <c r="AP36" s="63">
        <f t="shared" ca="1" si="31"/>
        <v>0</v>
      </c>
    </row>
    <row r="37" spans="1:42" ht="21" customHeight="1" x14ac:dyDescent="0.3">
      <c r="A37" s="54">
        <v>6</v>
      </c>
      <c r="B37" s="55" t="s">
        <v>58</v>
      </c>
      <c r="C37" s="56">
        <f t="shared" ca="1" si="51"/>
        <v>66760</v>
      </c>
      <c r="D37" s="57">
        <f ca="1">IFERROR(__xludf.DUMMYFUNCTION("IMPORTRANGE(""https://docs.google.com/spreadsheets/d/1_MzZ-2gVPiCW-d2VcafoCmFJQTSrZ6SQyFcMqRRQQ2w/edit?usp=sharing"",""บึงกาฬ!L424"")"),66760)</f>
        <v>66760</v>
      </c>
      <c r="E37" s="64">
        <f ca="1">IFERROR(__xludf.DUMMYFUNCTION("IMPORTRANGE(""https://docs.google.com/spreadsheets/d/1_MzZ-2gVPiCW-d2VcafoCmFJQTSrZ6SQyFcMqRRQQ2w/edit?usp=sharing"",""บึงกาฬ!L431"")"),0)</f>
        <v>0</v>
      </c>
      <c r="F37" s="64">
        <f ca="1">IFERROR(__xludf.DUMMYFUNCTION("IMPORTRANGE(""https://docs.google.com/spreadsheets/d/1_MzZ-2gVPiCW-d2VcafoCmFJQTSrZ6SQyFcMqRRQQ2w/edit?usp=sharing"",""บึงกาฬ!M424"")"),66760)</f>
        <v>66760</v>
      </c>
      <c r="G37" s="64">
        <f ca="1">IFERROR(__xludf.DUMMYFUNCTION("IMPORTRANGE(""https://docs.google.com/spreadsheets/d/1_MzZ-2gVPiCW-d2VcafoCmFJQTSrZ6SQyFcMqRRQQ2w/edit?usp=sharing"",""บึงกาฬ!M431"")"),0)</f>
        <v>0</v>
      </c>
      <c r="H37" s="58">
        <f t="shared" ca="1" si="26"/>
        <v>55990</v>
      </c>
      <c r="I37" s="59">
        <f t="shared" ca="1" si="1"/>
        <v>83.867585380467347</v>
      </c>
      <c r="J37" s="60">
        <f t="shared" ca="1" si="52"/>
        <v>55990</v>
      </c>
      <c r="K37" s="61">
        <f t="shared" ca="1" si="33"/>
        <v>83.867585380467347</v>
      </c>
      <c r="L37" s="61">
        <f t="shared" ca="1" si="34"/>
        <v>83.867585380467347</v>
      </c>
      <c r="M37" s="64">
        <f ca="1">IFERROR(__xludf.DUMMYFUNCTION("IMPORTRANGE(""https://docs.google.com/spreadsheets/d/1_MzZ-2gVPiCW-d2VcafoCmFJQTSrZ6SQyFcMqRRQQ2w/edit?usp=sharing"",""บึงกาฬ!N425"")"),47530)</f>
        <v>47530</v>
      </c>
      <c r="N37" s="64">
        <f ca="1">IFERROR(__xludf.DUMMYFUNCTION("IMPORTRANGE(""https://docs.google.com/spreadsheets/d/1_MzZ-2gVPiCW-d2VcafoCmFJQTSrZ6SQyFcMqRRQQ2w/edit?usp=sharing"",""บึงกาฬ!N426"")"),0)</f>
        <v>0</v>
      </c>
      <c r="O37" s="64">
        <f ca="1">IFERROR(__xludf.DUMMYFUNCTION("IMPORTRANGE(""https://docs.google.com/spreadsheets/d/1_MzZ-2gVPiCW-d2VcafoCmFJQTSrZ6SQyFcMqRRQQ2w/edit?usp=sharing"",""บึงกาฬ!N427"")"),0)</f>
        <v>0</v>
      </c>
      <c r="P37" s="64">
        <f ca="1">IFERROR(__xludf.DUMMYFUNCTION("IMPORTRANGE(""https://docs.google.com/spreadsheets/d/1_MzZ-2gVPiCW-d2VcafoCmFJQTSrZ6SQyFcMqRRQQ2w/edit?usp=sharing"",""บึงกาฬ!N428"")"),8460)</f>
        <v>8460</v>
      </c>
      <c r="Q37" s="62">
        <f ca="1">IFERROR(__xludf.DUMMYFUNCTION("IMPORTRANGE(""https://docs.google.com/spreadsheets/d/1_MzZ-2gVPiCW-d2VcafoCmFJQTSrZ6SQyFcMqRRQQ2w/edit?usp=sharing"",""บึงกาฬ!N431"")"),0)</f>
        <v>0</v>
      </c>
      <c r="R37" s="62">
        <f t="shared" ca="1" si="36"/>
        <v>0</v>
      </c>
      <c r="S37" s="57">
        <f ca="1">IFERROR(__xludf.DUMMYFUNCTION("IMPORTRANGE(""https://docs.google.com/spreadsheets/d/1_MzZ-2gVPiCW-d2VcafoCmFJQTSrZ6SQyFcMqRRQQ2w/edit?usp=sharing"",""บึงกาฬ!I433"")"),15)</f>
        <v>15</v>
      </c>
      <c r="T37" s="57">
        <f ca="1">IFERROR(__xludf.DUMMYFUNCTION("IMPORTRANGE(""https://docs.google.com/spreadsheets/d/1_MzZ-2gVPiCW-d2VcafoCmFJQTSrZ6SQyFcMqRRQQ2w/edit?usp=sharing"",""บึงกาฬ!I434"")"),1)</f>
        <v>1</v>
      </c>
      <c r="U37" s="57">
        <f ca="1">IFERROR(__xludf.DUMMYFUNCTION("IMPORTRANGE(""https://docs.google.com/spreadsheets/d/1_MzZ-2gVPiCW-d2VcafoCmFJQTSrZ6SQyFcMqRRQQ2w/edit?usp=sharing"",""บึงกาฬ!J433"")"),15)</f>
        <v>15</v>
      </c>
      <c r="V37" s="63">
        <f t="shared" ca="1" si="27"/>
        <v>100</v>
      </c>
      <c r="W37" s="57">
        <f ca="1">IFERROR(__xludf.DUMMYFUNCTION("IMPORTRANGE(""https://docs.google.com/spreadsheets/d/1_MzZ-2gVPiCW-d2VcafoCmFJQTSrZ6SQyFcMqRRQQ2w/edit?usp=sharing"",""บึงกาฬ!J434"")"),1)</f>
        <v>1</v>
      </c>
      <c r="X37" s="63">
        <f t="shared" ca="1" si="7"/>
        <v>100</v>
      </c>
      <c r="Y37" s="57">
        <f ca="1">IFERROR(__xludf.DUMMYFUNCTION("IMPORTRANGE(""https://docs.google.com/spreadsheets/d/1_MzZ-2gVPiCW-d2VcafoCmFJQTSrZ6SQyFcMqRRQQ2w/edit?usp=sharing"",""บึงกาฬ!I435"")"),15)</f>
        <v>15</v>
      </c>
      <c r="Z37" s="57">
        <f ca="1">IFERROR(__xludf.DUMMYFUNCTION("IMPORTRANGE(""https://docs.google.com/spreadsheets/d/1_MzZ-2gVPiCW-d2VcafoCmFJQTSrZ6SQyFcMqRRQQ2w/edit?usp=sharing"",""บึงกาฬ!J435"")"),15)</f>
        <v>15</v>
      </c>
      <c r="AA37" s="63">
        <f t="shared" ca="1" si="28"/>
        <v>100</v>
      </c>
      <c r="AB37" s="57">
        <f ca="1">IFERROR(__xludf.DUMMYFUNCTION("IMPORTRANGE(""https://docs.google.com/spreadsheets/d/1_MzZ-2gVPiCW-d2VcafoCmFJQTSrZ6SQyFcMqRRQQ2w/edit?usp=sharing"",""บึงกาฬ!I437"")"),0)</f>
        <v>0</v>
      </c>
      <c r="AC37" s="57">
        <f ca="1">IFERROR(__xludf.DUMMYFUNCTION("IMPORTRANGE(""https://docs.google.com/spreadsheets/d/1_MzZ-2gVPiCW-d2VcafoCmFJQTSrZ6SQyFcMqRRQQ2w/edit?usp=sharing"",""บึงกาฬ!I438"")"),0)</f>
        <v>0</v>
      </c>
      <c r="AD37" s="57">
        <f ca="1">IFERROR(__xludf.DUMMYFUNCTION("IMPORTRANGE(""https://docs.google.com/spreadsheets/d/1_MzZ-2gVPiCW-d2VcafoCmFJQTSrZ6SQyFcMqRRQQ2w/edit?usp=sharing"",""บึงกาฬ!J437"")"),0)</f>
        <v>0</v>
      </c>
      <c r="AE37" s="63">
        <f t="shared" ca="1" si="29"/>
        <v>0</v>
      </c>
      <c r="AF37" s="57">
        <f ca="1">IFERROR(__xludf.DUMMYFUNCTION("IMPORTRANGE(""https://docs.google.com/spreadsheets/d/1_MzZ-2gVPiCW-d2VcafoCmFJQTSrZ6SQyFcMqRRQQ2w/edit?usp=sharing"",""บึงกาฬ!J438"")"),0)</f>
        <v>0</v>
      </c>
      <c r="AG37" s="63">
        <f t="shared" ca="1" si="12"/>
        <v>0</v>
      </c>
      <c r="AH37" s="57">
        <f ca="1">IFERROR(__xludf.DUMMYFUNCTION("IMPORTRANGE(""https://docs.google.com/spreadsheets/d/1_MzZ-2gVPiCW-d2VcafoCmFJQTSrZ6SQyFcMqRRQQ2w/edit?usp=sharing"",""บึงกาฬ!I439"")"),15)</f>
        <v>15</v>
      </c>
      <c r="AI37" s="57">
        <f ca="1">IFERROR(__xludf.DUMMYFUNCTION("IMPORTRANGE(""https://docs.google.com/spreadsheets/d/1_MzZ-2gVPiCW-d2VcafoCmFJQTSrZ6SQyFcMqRRQQ2w/edit?usp=sharing"",""บึงกาฬ!I440"")"),1)</f>
        <v>1</v>
      </c>
      <c r="AJ37" s="57">
        <f ca="1">IFERROR(__xludf.DUMMYFUNCTION("IMPORTRANGE(""https://docs.google.com/spreadsheets/d/1_MzZ-2gVPiCW-d2VcafoCmFJQTSrZ6SQyFcMqRRQQ2w/edit?usp=sharing"",""บึงกาฬ!J439"")"),15)</f>
        <v>15</v>
      </c>
      <c r="AK37" s="63">
        <f t="shared" ca="1" si="30"/>
        <v>100</v>
      </c>
      <c r="AL37" s="57">
        <f ca="1">IFERROR(__xludf.DUMMYFUNCTION("IMPORTRANGE(""https://docs.google.com/spreadsheets/d/1_MzZ-2gVPiCW-d2VcafoCmFJQTSrZ6SQyFcMqRRQQ2w/edit?usp=sharing"",""บึงกาฬ!J440"")"),1)</f>
        <v>1</v>
      </c>
      <c r="AM37" s="63">
        <f t="shared" ca="1" si="15"/>
        <v>100</v>
      </c>
      <c r="AN37" s="57">
        <f ca="1">IFERROR(__xludf.DUMMYFUNCTION("IMPORTRANGE(""https://docs.google.com/spreadsheets/d/1_MzZ-2gVPiCW-d2VcafoCmFJQTSrZ6SQyFcMqRRQQ2w/edit?usp=sharing"",""บึงกาฬ!I441"")"),0)</f>
        <v>0</v>
      </c>
      <c r="AO37" s="57">
        <f ca="1">IFERROR(__xludf.DUMMYFUNCTION("IMPORTRANGE(""https://docs.google.com/spreadsheets/d/1_MzZ-2gVPiCW-d2VcafoCmFJQTSrZ6SQyFcMqRRQQ2w/edit?usp=sharing"",""บึงกาฬ!J441"")"),0)</f>
        <v>0</v>
      </c>
      <c r="AP37" s="63">
        <f t="shared" ca="1" si="31"/>
        <v>0</v>
      </c>
    </row>
    <row r="38" spans="1:42" ht="21" customHeight="1" x14ac:dyDescent="0.3">
      <c r="A38" s="54">
        <v>7</v>
      </c>
      <c r="B38" s="55" t="s">
        <v>59</v>
      </c>
      <c r="C38" s="56">
        <f t="shared" ca="1" si="51"/>
        <v>79660</v>
      </c>
      <c r="D38" s="57">
        <f ca="1">IFERROR(__xludf.DUMMYFUNCTION("IMPORTRANGE(""https://docs.google.com/spreadsheets/d/1B3lPpzOuaNwVItLwLEZYl_qEblfcx7dRnbRkAw0l-pE/edit?usp=sharing"",""บุรีรัมย์!L424"")"),79660)</f>
        <v>79660</v>
      </c>
      <c r="E38" s="64">
        <f ca="1">IFERROR(__xludf.DUMMYFUNCTION("IMPORTRANGE(""https://docs.google.com/spreadsheets/d/1B3lPpzOuaNwVItLwLEZYl_qEblfcx7dRnbRkAw0l-pE/edit?usp=sharing"",""บุรีรัมย์!L431"")"),0)</f>
        <v>0</v>
      </c>
      <c r="F38" s="64">
        <f ca="1">IFERROR(__xludf.DUMMYFUNCTION("IMPORTRANGE(""https://docs.google.com/spreadsheets/d/1B3lPpzOuaNwVItLwLEZYl_qEblfcx7dRnbRkAw0l-pE/edit?usp=sharing"",""บุรีรัมย์!M424"")"),79660)</f>
        <v>79660</v>
      </c>
      <c r="G38" s="64">
        <f ca="1">IFERROR(__xludf.DUMMYFUNCTION("IMPORTRANGE(""https://docs.google.com/spreadsheets/d/1B3lPpzOuaNwVItLwLEZYl_qEblfcx7dRnbRkAw0l-pE/edit?usp=sharing"",""บุรีรัมย์!M431"")"),0)</f>
        <v>0</v>
      </c>
      <c r="H38" s="58">
        <f t="shared" ca="1" si="26"/>
        <v>47225</v>
      </c>
      <c r="I38" s="59">
        <f t="shared" ca="1" si="1"/>
        <v>59.283203615365302</v>
      </c>
      <c r="J38" s="60">
        <f t="shared" ca="1" si="52"/>
        <v>47225</v>
      </c>
      <c r="K38" s="61">
        <f t="shared" ca="1" si="33"/>
        <v>59.283203615365302</v>
      </c>
      <c r="L38" s="61">
        <f t="shared" ca="1" si="34"/>
        <v>59.283203615365302</v>
      </c>
      <c r="M38" s="64">
        <f ca="1">IFERROR(__xludf.DUMMYFUNCTION("IMPORTRANGE(""https://docs.google.com/spreadsheets/d/1B3lPpzOuaNwVItLwLEZYl_qEblfcx7dRnbRkAw0l-pE/edit?usp=sharing"",""บุรีรัมย์!N425"")"),43675)</f>
        <v>43675</v>
      </c>
      <c r="N38" s="64">
        <f ca="1">IFERROR(__xludf.DUMMYFUNCTION("IMPORTRANGE(""https://docs.google.com/spreadsheets/d/1B3lPpzOuaNwVItLwLEZYl_qEblfcx7dRnbRkAw0l-pE/edit?usp=sharing"",""บุรีรัมย์!N426"")"),0)</f>
        <v>0</v>
      </c>
      <c r="O38" s="64">
        <f ca="1">IFERROR(__xludf.DUMMYFUNCTION("IMPORTRANGE(""https://docs.google.com/spreadsheets/d/1B3lPpzOuaNwVItLwLEZYl_qEblfcx7dRnbRkAw0l-pE/edit?usp=sharing"",""บุรีรัมย์!N427"")"),0)</f>
        <v>0</v>
      </c>
      <c r="P38" s="64">
        <f ca="1">IFERROR(__xludf.DUMMYFUNCTION("IMPORTRANGE(""https://docs.google.com/spreadsheets/d/1B3lPpzOuaNwVItLwLEZYl_qEblfcx7dRnbRkAw0l-pE/edit?usp=sharing"",""บุรีรัมย์!N428"")"),3550)</f>
        <v>3550</v>
      </c>
      <c r="Q38" s="62">
        <f ca="1">IFERROR(__xludf.DUMMYFUNCTION("IMPORTRANGE(""https://docs.google.com/spreadsheets/d/1B3lPpzOuaNwVItLwLEZYl_qEblfcx7dRnbRkAw0l-pE/edit?usp=sharing"",""บุรีรัมย์!N431"")"),0)</f>
        <v>0</v>
      </c>
      <c r="R38" s="62">
        <f t="shared" ca="1" si="36"/>
        <v>0</v>
      </c>
      <c r="S38" s="57">
        <f ca="1">IFERROR(__xludf.DUMMYFUNCTION("IMPORTRANGE(""https://docs.google.com/spreadsheets/d/1B3lPpzOuaNwVItLwLEZYl_qEblfcx7dRnbRkAw0l-pE/edit?usp=sharing"",""บุรีรัมย์!I433"")"),20)</f>
        <v>20</v>
      </c>
      <c r="T38" s="57">
        <f ca="1">IFERROR(__xludf.DUMMYFUNCTION("IMPORTRANGE(""https://docs.google.com/spreadsheets/d/1B3lPpzOuaNwVItLwLEZYl_qEblfcx7dRnbRkAw0l-pE/edit?usp=sharing"",""บุรีรัมย์!I434"")"),1)</f>
        <v>1</v>
      </c>
      <c r="U38" s="57">
        <f ca="1">IFERROR(__xludf.DUMMYFUNCTION("IMPORTRANGE(""https://docs.google.com/spreadsheets/d/1B3lPpzOuaNwVItLwLEZYl_qEblfcx7dRnbRkAw0l-pE/edit?usp=sharing"",""บุรีรัมย์!J433"")"),20)</f>
        <v>20</v>
      </c>
      <c r="V38" s="63">
        <f t="shared" ca="1" si="27"/>
        <v>100</v>
      </c>
      <c r="W38" s="57">
        <f ca="1">IFERROR(__xludf.DUMMYFUNCTION("IMPORTRANGE(""https://docs.google.com/spreadsheets/d/1B3lPpzOuaNwVItLwLEZYl_qEblfcx7dRnbRkAw0l-pE/edit?usp=sharing"",""บุรีรัมย์!J434"")"),1)</f>
        <v>1</v>
      </c>
      <c r="X38" s="63">
        <f t="shared" ca="1" si="7"/>
        <v>100</v>
      </c>
      <c r="Y38" s="57">
        <f ca="1">IFERROR(__xludf.DUMMYFUNCTION("IMPORTRANGE(""https://docs.google.com/spreadsheets/d/1B3lPpzOuaNwVItLwLEZYl_qEblfcx7dRnbRkAw0l-pE/edit?usp=sharing"",""บุรีรัมย์!I435"")"),20)</f>
        <v>20</v>
      </c>
      <c r="Z38" s="57">
        <f ca="1">IFERROR(__xludf.DUMMYFUNCTION("IMPORTRANGE(""https://docs.google.com/spreadsheets/d/1B3lPpzOuaNwVItLwLEZYl_qEblfcx7dRnbRkAw0l-pE/edit?usp=sharing"",""บุรีรัมย์!J435"")"),20)</f>
        <v>20</v>
      </c>
      <c r="AA38" s="63">
        <f t="shared" ca="1" si="28"/>
        <v>100</v>
      </c>
      <c r="AB38" s="57">
        <f ca="1">IFERROR(__xludf.DUMMYFUNCTION("IMPORTRANGE(""https://docs.google.com/spreadsheets/d/1B3lPpzOuaNwVItLwLEZYl_qEblfcx7dRnbRkAw0l-pE/edit?usp=sharing"",""บุรีรัมย์!I437"")"),0)</f>
        <v>0</v>
      </c>
      <c r="AC38" s="57">
        <f ca="1">IFERROR(__xludf.DUMMYFUNCTION("IMPORTRANGE(""https://docs.google.com/spreadsheets/d/1B3lPpzOuaNwVItLwLEZYl_qEblfcx7dRnbRkAw0l-pE/edit?usp=sharing"",""บุรีรัมย์!I438"")"),0)</f>
        <v>0</v>
      </c>
      <c r="AD38" s="57">
        <f ca="1">IFERROR(__xludf.DUMMYFUNCTION("IMPORTRANGE(""https://docs.google.com/spreadsheets/d/1B3lPpzOuaNwVItLwLEZYl_qEblfcx7dRnbRkAw0l-pE/edit?usp=sharing"",""บุรีรัมย์!J437"")"),0)</f>
        <v>0</v>
      </c>
      <c r="AE38" s="63">
        <f t="shared" ca="1" si="29"/>
        <v>0</v>
      </c>
      <c r="AF38" s="57">
        <f ca="1">IFERROR(__xludf.DUMMYFUNCTION("IMPORTRANGE(""https://docs.google.com/spreadsheets/d/1B3lPpzOuaNwVItLwLEZYl_qEblfcx7dRnbRkAw0l-pE/edit?usp=sharing"",""บุรีรัมย์!J438"")"),0)</f>
        <v>0</v>
      </c>
      <c r="AG38" s="63">
        <f t="shared" ca="1" si="12"/>
        <v>0</v>
      </c>
      <c r="AH38" s="57">
        <f ca="1">IFERROR(__xludf.DUMMYFUNCTION("IMPORTRANGE(""https://docs.google.com/spreadsheets/d/1B3lPpzOuaNwVItLwLEZYl_qEblfcx7dRnbRkAw0l-pE/edit?usp=sharing"",""บุรีรัมย์!I439"")"),20)</f>
        <v>20</v>
      </c>
      <c r="AI38" s="57">
        <f ca="1">IFERROR(__xludf.DUMMYFUNCTION("IMPORTRANGE(""https://docs.google.com/spreadsheets/d/1B3lPpzOuaNwVItLwLEZYl_qEblfcx7dRnbRkAw0l-pE/edit?usp=sharing"",""บุรีรัมย์!I440"")"),1)</f>
        <v>1</v>
      </c>
      <c r="AJ38" s="57">
        <f ca="1">IFERROR(__xludf.DUMMYFUNCTION("IMPORTRANGE(""https://docs.google.com/spreadsheets/d/1B3lPpzOuaNwVItLwLEZYl_qEblfcx7dRnbRkAw0l-pE/edit?usp=sharing"",""บุรีรัมย์!J439"")"),20)</f>
        <v>20</v>
      </c>
      <c r="AK38" s="63">
        <f t="shared" ca="1" si="30"/>
        <v>100</v>
      </c>
      <c r="AL38" s="57">
        <f ca="1">IFERROR(__xludf.DUMMYFUNCTION("IMPORTRANGE(""https://docs.google.com/spreadsheets/d/1B3lPpzOuaNwVItLwLEZYl_qEblfcx7dRnbRkAw0l-pE/edit?usp=sharing"",""บุรีรัมย์!J440"")"),1)</f>
        <v>1</v>
      </c>
      <c r="AM38" s="63">
        <f t="shared" ca="1" si="15"/>
        <v>100</v>
      </c>
      <c r="AN38" s="57">
        <f ca="1">IFERROR(__xludf.DUMMYFUNCTION("IMPORTRANGE(""https://docs.google.com/spreadsheets/d/1B3lPpzOuaNwVItLwLEZYl_qEblfcx7dRnbRkAw0l-pE/edit?usp=sharing"",""บุรีรัมย์!I441"")"),0)</f>
        <v>0</v>
      </c>
      <c r="AO38" s="57">
        <f ca="1">IFERROR(__xludf.DUMMYFUNCTION("IMPORTRANGE(""https://docs.google.com/spreadsheets/d/1B3lPpzOuaNwVItLwLEZYl_qEblfcx7dRnbRkAw0l-pE/edit?usp=sharing"",""บุรีรัมย์!J441"")"),0)</f>
        <v>0</v>
      </c>
      <c r="AP38" s="63">
        <f t="shared" ca="1" si="31"/>
        <v>0</v>
      </c>
    </row>
    <row r="39" spans="1:42" ht="21" customHeight="1" x14ac:dyDescent="0.3">
      <c r="A39" s="54">
        <v>8</v>
      </c>
      <c r="B39" s="55" t="s">
        <v>60</v>
      </c>
      <c r="C39" s="56">
        <f t="shared" ca="1" si="51"/>
        <v>98560</v>
      </c>
      <c r="D39" s="57">
        <f ca="1">IFERROR(__xludf.DUMMYFUNCTION("IMPORTRANGE(""https://docs.google.com/spreadsheets/d/19GOkiOqnzYbevLYWrMk4qFOXe3rX14BkSA8X-mq-a40/edit?usp=sharing"",""มหาสารคาม!L424"")"),98560)</f>
        <v>98560</v>
      </c>
      <c r="E39" s="64">
        <f ca="1">IFERROR(__xludf.DUMMYFUNCTION("IMPORTRANGE(""https://docs.google.com/spreadsheets/d/19GOkiOqnzYbevLYWrMk4qFOXe3rX14BkSA8X-mq-a40/edit?usp=sharing"",""มหาสารคาม!L431"")"),0)</f>
        <v>0</v>
      </c>
      <c r="F39" s="64">
        <f ca="1">IFERROR(__xludf.DUMMYFUNCTION("IMPORTRANGE(""https://docs.google.com/spreadsheets/d/19GOkiOqnzYbevLYWrMk4qFOXe3rX14BkSA8X-mq-a40/edit?usp=sharing"",""มหาสารคาม!M424"")"),98560)</f>
        <v>98560</v>
      </c>
      <c r="G39" s="64">
        <f ca="1">IFERROR(__xludf.DUMMYFUNCTION("IMPORTRANGE(""https://docs.google.com/spreadsheets/d/19GOkiOqnzYbevLYWrMk4qFOXe3rX14BkSA8X-mq-a40/edit?usp=sharing"",""มหาสารคาม!M431"")"),0)</f>
        <v>0</v>
      </c>
      <c r="H39" s="58">
        <f t="shared" ca="1" si="26"/>
        <v>85890</v>
      </c>
      <c r="I39" s="59">
        <f t="shared" ca="1" si="1"/>
        <v>87.14488636363636</v>
      </c>
      <c r="J39" s="60">
        <f t="shared" ca="1" si="52"/>
        <v>85890</v>
      </c>
      <c r="K39" s="61">
        <f t="shared" ca="1" si="33"/>
        <v>87.14488636363636</v>
      </c>
      <c r="L39" s="61">
        <f t="shared" ca="1" si="34"/>
        <v>87.14488636363636</v>
      </c>
      <c r="M39" s="64">
        <f ca="1">IFERROR(__xludf.DUMMYFUNCTION("IMPORTRANGE(""https://docs.google.com/spreadsheets/d/19GOkiOqnzYbevLYWrMk4qFOXe3rX14BkSA8X-mq-a40/edit?usp=sharing"",""มหาสารคาม!N425"")"),70556)</f>
        <v>70556</v>
      </c>
      <c r="N39" s="64">
        <f ca="1">IFERROR(__xludf.DUMMYFUNCTION("IMPORTRANGE(""https://docs.google.com/spreadsheets/d/19GOkiOqnzYbevLYWrMk4qFOXe3rX14BkSA8X-mq-a40/edit?usp=sharing"",""มหาสารคาม!N426"")"),0)</f>
        <v>0</v>
      </c>
      <c r="O39" s="64">
        <f ca="1">IFERROR(__xludf.DUMMYFUNCTION("IMPORTRANGE(""https://docs.google.com/spreadsheets/d/19GOkiOqnzYbevLYWrMk4qFOXe3rX14BkSA8X-mq-a40/edit?usp=sharing"",""มหาสารคาม!N427"")"),0)</f>
        <v>0</v>
      </c>
      <c r="P39" s="64">
        <f ca="1">IFERROR(__xludf.DUMMYFUNCTION("IMPORTRANGE(""https://docs.google.com/spreadsheets/d/19GOkiOqnzYbevLYWrMk4qFOXe3rX14BkSA8X-mq-a40/edit?usp=sharing"",""มหาสารคาม!N428"")"),15334)</f>
        <v>15334</v>
      </c>
      <c r="Q39" s="62">
        <f ca="1">IFERROR(__xludf.DUMMYFUNCTION("IMPORTRANGE(""https://docs.google.com/spreadsheets/d/19GOkiOqnzYbevLYWrMk4qFOXe3rX14BkSA8X-mq-a40/edit?usp=sharing"",""มหาสารคาม!N431"")"),0)</f>
        <v>0</v>
      </c>
      <c r="R39" s="62">
        <f t="shared" ca="1" si="36"/>
        <v>0</v>
      </c>
      <c r="S39" s="57">
        <f ca="1">IFERROR(__xludf.DUMMYFUNCTION("IMPORTRANGE(""https://docs.google.com/spreadsheets/d/19GOkiOqnzYbevLYWrMk4qFOXe3rX14BkSA8X-mq-a40/edit?usp=sharing"",""มหาสารคาม!I433"")"),20)</f>
        <v>20</v>
      </c>
      <c r="T39" s="57">
        <f ca="1">IFERROR(__xludf.DUMMYFUNCTION("IMPORTRANGE(""https://docs.google.com/spreadsheets/d/19GOkiOqnzYbevLYWrMk4qFOXe3rX14BkSA8X-mq-a40/edit?usp=sharing"",""มหาสารคาม!I434"")"),1)</f>
        <v>1</v>
      </c>
      <c r="U39" s="57">
        <f ca="1">IFERROR(__xludf.DUMMYFUNCTION("IMPORTRANGE(""https://docs.google.com/spreadsheets/d/19GOkiOqnzYbevLYWrMk4qFOXe3rX14BkSA8X-mq-a40/edit?usp=sharing"",""มหาสารคาม!J433"")"),20)</f>
        <v>20</v>
      </c>
      <c r="V39" s="63">
        <f t="shared" ca="1" si="27"/>
        <v>100</v>
      </c>
      <c r="W39" s="57">
        <f ca="1">IFERROR(__xludf.DUMMYFUNCTION("IMPORTRANGE(""https://docs.google.com/spreadsheets/d/19GOkiOqnzYbevLYWrMk4qFOXe3rX14BkSA8X-mq-a40/edit?usp=sharing"",""มหาสารคาม!J434"")"),1)</f>
        <v>1</v>
      </c>
      <c r="X39" s="63">
        <f t="shared" ca="1" si="7"/>
        <v>100</v>
      </c>
      <c r="Y39" s="57">
        <f ca="1">IFERROR(__xludf.DUMMYFUNCTION("IMPORTRANGE(""https://docs.google.com/spreadsheets/d/19GOkiOqnzYbevLYWrMk4qFOXe3rX14BkSA8X-mq-a40/edit?usp=sharing"",""มหาสารคาม!I435"")"),20)</f>
        <v>20</v>
      </c>
      <c r="Z39" s="57">
        <f ca="1">IFERROR(__xludf.DUMMYFUNCTION("IMPORTRANGE(""https://docs.google.com/spreadsheets/d/19GOkiOqnzYbevLYWrMk4qFOXe3rX14BkSA8X-mq-a40/edit?usp=sharing"",""มหาสารคาม!J435"")"),20)</f>
        <v>20</v>
      </c>
      <c r="AA39" s="63">
        <f t="shared" ca="1" si="28"/>
        <v>100</v>
      </c>
      <c r="AB39" s="57">
        <f ca="1">IFERROR(__xludf.DUMMYFUNCTION("IMPORTRANGE(""https://docs.google.com/spreadsheets/d/19GOkiOqnzYbevLYWrMk4qFOXe3rX14BkSA8X-mq-a40/edit?usp=sharing"",""มหาสารคาม!I437"")"),0)</f>
        <v>0</v>
      </c>
      <c r="AC39" s="57">
        <f ca="1">IFERROR(__xludf.DUMMYFUNCTION("IMPORTRANGE(""https://docs.google.com/spreadsheets/d/19GOkiOqnzYbevLYWrMk4qFOXe3rX14BkSA8X-mq-a40/edit?usp=sharing"",""มหาสารคาม!I438"")"),0)</f>
        <v>0</v>
      </c>
      <c r="AD39" s="57">
        <f ca="1">IFERROR(__xludf.DUMMYFUNCTION("IMPORTRANGE(""https://docs.google.com/spreadsheets/d/19GOkiOqnzYbevLYWrMk4qFOXe3rX14BkSA8X-mq-a40/edit?usp=sharing"",""มหาสารคาม!J437"")"),0)</f>
        <v>0</v>
      </c>
      <c r="AE39" s="63">
        <f t="shared" ca="1" si="29"/>
        <v>0</v>
      </c>
      <c r="AF39" s="57">
        <f ca="1">IFERROR(__xludf.DUMMYFUNCTION("IMPORTRANGE(""https://docs.google.com/spreadsheets/d/19GOkiOqnzYbevLYWrMk4qFOXe3rX14BkSA8X-mq-a40/edit?usp=sharing"",""มหาสารคาม!J438"")"),0)</f>
        <v>0</v>
      </c>
      <c r="AG39" s="63">
        <f t="shared" ca="1" si="12"/>
        <v>0</v>
      </c>
      <c r="AH39" s="57">
        <f ca="1">IFERROR(__xludf.DUMMYFUNCTION("IMPORTRANGE(""https://docs.google.com/spreadsheets/d/19GOkiOqnzYbevLYWrMk4qFOXe3rX14BkSA8X-mq-a40/edit?usp=sharing"",""มหาสารคาม!I439"")"),20)</f>
        <v>20</v>
      </c>
      <c r="AI39" s="57">
        <f ca="1">IFERROR(__xludf.DUMMYFUNCTION("IMPORTRANGE(""https://docs.google.com/spreadsheets/d/19GOkiOqnzYbevLYWrMk4qFOXe3rX14BkSA8X-mq-a40/edit?usp=sharing"",""มหาสารคาม!I440"")"),1)</f>
        <v>1</v>
      </c>
      <c r="AJ39" s="57">
        <f ca="1">IFERROR(__xludf.DUMMYFUNCTION("IMPORTRANGE(""https://docs.google.com/spreadsheets/d/19GOkiOqnzYbevLYWrMk4qFOXe3rX14BkSA8X-mq-a40/edit?usp=sharing"",""มหาสารคาม!J439"")"),20)</f>
        <v>20</v>
      </c>
      <c r="AK39" s="63">
        <f t="shared" ca="1" si="30"/>
        <v>100</v>
      </c>
      <c r="AL39" s="57">
        <f ca="1">IFERROR(__xludf.DUMMYFUNCTION("IMPORTRANGE(""https://docs.google.com/spreadsheets/d/19GOkiOqnzYbevLYWrMk4qFOXe3rX14BkSA8X-mq-a40/edit?usp=sharing"",""มหาสารคาม!J440"")"),1)</f>
        <v>1</v>
      </c>
      <c r="AM39" s="63">
        <f t="shared" ca="1" si="15"/>
        <v>100</v>
      </c>
      <c r="AN39" s="57">
        <f ca="1">IFERROR(__xludf.DUMMYFUNCTION("IMPORTRANGE(""https://docs.google.com/spreadsheets/d/19GOkiOqnzYbevLYWrMk4qFOXe3rX14BkSA8X-mq-a40/edit?usp=sharing"",""มหาสารคาม!I441"")"),0)</f>
        <v>0</v>
      </c>
      <c r="AO39" s="57">
        <f ca="1">IFERROR(__xludf.DUMMYFUNCTION("IMPORTRANGE(""https://docs.google.com/spreadsheets/d/19GOkiOqnzYbevLYWrMk4qFOXe3rX14BkSA8X-mq-a40/edit?usp=sharing"",""มหาสารคาม!J441"")"),0)</f>
        <v>0</v>
      </c>
      <c r="AP39" s="63">
        <f t="shared" ca="1" si="31"/>
        <v>0</v>
      </c>
    </row>
    <row r="40" spans="1:42" ht="21" customHeight="1" x14ac:dyDescent="0.3">
      <c r="A40" s="54">
        <v>9</v>
      </c>
      <c r="B40" s="55" t="s">
        <v>61</v>
      </c>
      <c r="C40" s="56">
        <f t="shared" ca="1" si="51"/>
        <v>115060</v>
      </c>
      <c r="D40" s="57">
        <f ca="1">IFERROR(__xludf.DUMMYFUNCTION("IMPORTRANGE(""https://docs.google.com/spreadsheets/d/1uMKqWwuNQ-TCKboGA3Bb1qXb5uj2-faACNUINCz8PN4/edit?usp=sharing"",""มุกดาหาร!L424"")"),115060)</f>
        <v>115060</v>
      </c>
      <c r="E40" s="64">
        <f ca="1">IFERROR(__xludf.DUMMYFUNCTION("IMPORTRANGE(""https://docs.google.com/spreadsheets/d/1uMKqWwuNQ-TCKboGA3Bb1qXb5uj2-faACNUINCz8PN4/edit?usp=sharing"",""มุกดาหาร!L431"")"),0)</f>
        <v>0</v>
      </c>
      <c r="F40" s="64">
        <f ca="1">IFERROR(__xludf.DUMMYFUNCTION("IMPORTRANGE(""https://docs.google.com/spreadsheets/d/1uMKqWwuNQ-TCKboGA3Bb1qXb5uj2-faACNUINCz8PN4/edit?usp=sharing"",""มุกดาหาร!M424"")"),115060)</f>
        <v>115060</v>
      </c>
      <c r="G40" s="64">
        <f ca="1">IFERROR(__xludf.DUMMYFUNCTION("IMPORTRANGE(""https://docs.google.com/spreadsheets/d/1uMKqWwuNQ-TCKboGA3Bb1qXb5uj2-faACNUINCz8PN4/edit?usp=sharing"",""มุกดาหาร!M431"")"),0)</f>
        <v>0</v>
      </c>
      <c r="H40" s="58">
        <f t="shared" ca="1" si="26"/>
        <v>105050</v>
      </c>
      <c r="I40" s="59">
        <f t="shared" ca="1" si="1"/>
        <v>91.300191204588913</v>
      </c>
      <c r="J40" s="60">
        <f t="shared" ca="1" si="52"/>
        <v>105050</v>
      </c>
      <c r="K40" s="61">
        <f t="shared" ca="1" si="33"/>
        <v>91.300191204588913</v>
      </c>
      <c r="L40" s="61">
        <f t="shared" ca="1" si="34"/>
        <v>91.300191204588913</v>
      </c>
      <c r="M40" s="64">
        <f ca="1">IFERROR(__xludf.DUMMYFUNCTION("IMPORTRANGE(""https://docs.google.com/spreadsheets/d/1uMKqWwuNQ-TCKboGA3Bb1qXb5uj2-faACNUINCz8PN4/edit?usp=sharing"",""มุกดาหาร!N425"")"),84800)</f>
        <v>84800</v>
      </c>
      <c r="N40" s="64">
        <f ca="1">IFERROR(__xludf.DUMMYFUNCTION("IMPORTRANGE(""https://docs.google.com/spreadsheets/d/1uMKqWwuNQ-TCKboGA3Bb1qXb5uj2-faACNUINCz8PN4/edit?usp=sharing"",""มุกดาหาร!N426"")"),0)</f>
        <v>0</v>
      </c>
      <c r="O40" s="64">
        <f ca="1">IFERROR(__xludf.DUMMYFUNCTION("IMPORTRANGE(""https://docs.google.com/spreadsheets/d/1uMKqWwuNQ-TCKboGA3Bb1qXb5uj2-faACNUINCz8PN4/edit?usp=sharing"",""มุกดาหาร!N427"")"),0)</f>
        <v>0</v>
      </c>
      <c r="P40" s="64">
        <f ca="1">IFERROR(__xludf.DUMMYFUNCTION("IMPORTRANGE(""https://docs.google.com/spreadsheets/d/1uMKqWwuNQ-TCKboGA3Bb1qXb5uj2-faACNUINCz8PN4/edit?usp=sharing"",""มุกดาหาร!N428"")"),20250)</f>
        <v>20250</v>
      </c>
      <c r="Q40" s="62">
        <f ca="1">IFERROR(__xludf.DUMMYFUNCTION("IMPORTRANGE(""https://docs.google.com/spreadsheets/d/1uMKqWwuNQ-TCKboGA3Bb1qXb5uj2-faACNUINCz8PN4/edit?usp=sharing"",""มุกดาหาร!N431"")"),0)</f>
        <v>0</v>
      </c>
      <c r="R40" s="62">
        <f t="shared" ca="1" si="36"/>
        <v>0</v>
      </c>
      <c r="S40" s="57">
        <f ca="1">IFERROR(__xludf.DUMMYFUNCTION("IMPORTRANGE(""https://docs.google.com/spreadsheets/d/1uMKqWwuNQ-TCKboGA3Bb1qXb5uj2-faACNUINCz8PN4/edit?usp=sharing"",""มุกดาหาร!I433"")"),35)</f>
        <v>35</v>
      </c>
      <c r="T40" s="57">
        <f ca="1">IFERROR(__xludf.DUMMYFUNCTION("IMPORTRANGE(""https://docs.google.com/spreadsheets/d/1uMKqWwuNQ-TCKboGA3Bb1qXb5uj2-faACNUINCz8PN4/edit?usp=sharing"",""มุกดาหาร!I434"")"),1)</f>
        <v>1</v>
      </c>
      <c r="U40" s="57">
        <f ca="1">IFERROR(__xludf.DUMMYFUNCTION("IMPORTRANGE(""https://docs.google.com/spreadsheets/d/1uMKqWwuNQ-TCKboGA3Bb1qXb5uj2-faACNUINCz8PN4/edit?usp=sharing"",""มุกดาหาร!J433"")"),35)</f>
        <v>35</v>
      </c>
      <c r="V40" s="63">
        <f t="shared" ca="1" si="27"/>
        <v>100</v>
      </c>
      <c r="W40" s="57">
        <f ca="1">IFERROR(__xludf.DUMMYFUNCTION("IMPORTRANGE(""https://docs.google.com/spreadsheets/d/1uMKqWwuNQ-TCKboGA3Bb1qXb5uj2-faACNUINCz8PN4/edit?usp=sharing"",""มุกดาหาร!J434"")"),1)</f>
        <v>1</v>
      </c>
      <c r="X40" s="63">
        <f t="shared" ca="1" si="7"/>
        <v>100</v>
      </c>
      <c r="Y40" s="57">
        <f ca="1">IFERROR(__xludf.DUMMYFUNCTION("IMPORTRANGE(""https://docs.google.com/spreadsheets/d/1uMKqWwuNQ-TCKboGA3Bb1qXb5uj2-faACNUINCz8PN4/edit?usp=sharing"",""มุกดาหาร!I435"")"),35)</f>
        <v>35</v>
      </c>
      <c r="Z40" s="57">
        <f ca="1">IFERROR(__xludf.DUMMYFUNCTION("IMPORTRANGE(""https://docs.google.com/spreadsheets/d/1uMKqWwuNQ-TCKboGA3Bb1qXb5uj2-faACNUINCz8PN4/edit?usp=sharing"",""มุกดาหาร!J435"")"),35)</f>
        <v>35</v>
      </c>
      <c r="AA40" s="63">
        <f t="shared" ca="1" si="28"/>
        <v>100</v>
      </c>
      <c r="AB40" s="57">
        <f ca="1">IFERROR(__xludf.DUMMYFUNCTION("IMPORTRANGE(""https://docs.google.com/spreadsheets/d/1uMKqWwuNQ-TCKboGA3Bb1qXb5uj2-faACNUINCz8PN4/edit?usp=sharing"",""มุกดาหาร!I437"")"),0)</f>
        <v>0</v>
      </c>
      <c r="AC40" s="57">
        <f ca="1">IFERROR(__xludf.DUMMYFUNCTION("IMPORTRANGE(""https://docs.google.com/spreadsheets/d/1uMKqWwuNQ-TCKboGA3Bb1qXb5uj2-faACNUINCz8PN4/edit?usp=sharing"",""มุกดาหาร!I438"")"),0)</f>
        <v>0</v>
      </c>
      <c r="AD40" s="57">
        <f ca="1">IFERROR(__xludf.DUMMYFUNCTION("IMPORTRANGE(""https://docs.google.com/spreadsheets/d/1uMKqWwuNQ-TCKboGA3Bb1qXb5uj2-faACNUINCz8PN4/edit?usp=sharing"",""มุกดาหาร!J437"")"),0)</f>
        <v>0</v>
      </c>
      <c r="AE40" s="63">
        <f t="shared" ca="1" si="29"/>
        <v>0</v>
      </c>
      <c r="AF40" s="57">
        <f ca="1">IFERROR(__xludf.DUMMYFUNCTION("IMPORTRANGE(""https://docs.google.com/spreadsheets/d/1uMKqWwuNQ-TCKboGA3Bb1qXb5uj2-faACNUINCz8PN4/edit?usp=sharing"",""มุกดาหาร!J438"")"),0)</f>
        <v>0</v>
      </c>
      <c r="AG40" s="63">
        <f t="shared" ca="1" si="12"/>
        <v>0</v>
      </c>
      <c r="AH40" s="57">
        <f ca="1">IFERROR(__xludf.DUMMYFUNCTION("IMPORTRANGE(""https://docs.google.com/spreadsheets/d/1uMKqWwuNQ-TCKboGA3Bb1qXb5uj2-faACNUINCz8PN4/edit?usp=sharing"",""มุกดาหาร!I439"")"),35)</f>
        <v>35</v>
      </c>
      <c r="AI40" s="57">
        <f ca="1">IFERROR(__xludf.DUMMYFUNCTION("IMPORTRANGE(""https://docs.google.com/spreadsheets/d/1uMKqWwuNQ-TCKboGA3Bb1qXb5uj2-faACNUINCz8PN4/edit?usp=sharing"",""มุกดาหาร!I440"")"),1)</f>
        <v>1</v>
      </c>
      <c r="AJ40" s="57">
        <f ca="1">IFERROR(__xludf.DUMMYFUNCTION("IMPORTRANGE(""https://docs.google.com/spreadsheets/d/1uMKqWwuNQ-TCKboGA3Bb1qXb5uj2-faACNUINCz8PN4/edit?usp=sharing"",""มุกดาหาร!J439"")"),35)</f>
        <v>35</v>
      </c>
      <c r="AK40" s="63">
        <f t="shared" ca="1" si="30"/>
        <v>100</v>
      </c>
      <c r="AL40" s="57">
        <f ca="1">IFERROR(__xludf.DUMMYFUNCTION("IMPORTRANGE(""https://docs.google.com/spreadsheets/d/1uMKqWwuNQ-TCKboGA3Bb1qXb5uj2-faACNUINCz8PN4/edit?usp=sharing"",""มุกดาหาร!J440"")"),1)</f>
        <v>1</v>
      </c>
      <c r="AM40" s="63">
        <f t="shared" ca="1" si="15"/>
        <v>100</v>
      </c>
      <c r="AN40" s="57">
        <f ca="1">IFERROR(__xludf.DUMMYFUNCTION("IMPORTRANGE(""https://docs.google.com/spreadsheets/d/1uMKqWwuNQ-TCKboGA3Bb1qXb5uj2-faACNUINCz8PN4/edit?usp=sharing"",""มุกดาหาร!I441"")"),0)</f>
        <v>0</v>
      </c>
      <c r="AO40" s="57">
        <f ca="1">IFERROR(__xludf.DUMMYFUNCTION("IMPORTRANGE(""https://docs.google.com/spreadsheets/d/1uMKqWwuNQ-TCKboGA3Bb1qXb5uj2-faACNUINCz8PN4/edit?usp=sharing"",""มุกดาหาร!J441"")"),0)</f>
        <v>0</v>
      </c>
      <c r="AP40" s="63">
        <f t="shared" ca="1" si="31"/>
        <v>0</v>
      </c>
    </row>
    <row r="41" spans="1:42" ht="21" customHeight="1" x14ac:dyDescent="0.3">
      <c r="A41" s="54">
        <v>10</v>
      </c>
      <c r="B41" s="55" t="s">
        <v>62</v>
      </c>
      <c r="C41" s="56">
        <f t="shared" ca="1" si="51"/>
        <v>78660</v>
      </c>
      <c r="D41" s="57">
        <f ca="1">IFERROR(__xludf.DUMMYFUNCTION("IMPORTRANGE(""https://docs.google.com/spreadsheets/d/1oKaccgDdQABndOzGr688Dbfxb_V3YcF67VqEPBtdzsc/edit?usp=sharing"",""ยโสธร!L424"")"),78660)</f>
        <v>78660</v>
      </c>
      <c r="E41" s="64">
        <f ca="1">IFERROR(__xludf.DUMMYFUNCTION("IMPORTRANGE(""https://docs.google.com/spreadsheets/d/1oKaccgDdQABndOzGr688Dbfxb_V3YcF67VqEPBtdzsc/edit?usp=sharing"",""ยโสธร!L431"")"),0)</f>
        <v>0</v>
      </c>
      <c r="F41" s="64">
        <f ca="1">IFERROR(__xludf.DUMMYFUNCTION("IMPORTRANGE(""https://docs.google.com/spreadsheets/d/1oKaccgDdQABndOzGr688Dbfxb_V3YcF67VqEPBtdzsc/edit?usp=sharing"",""ยโสธร!M424"")"),78660)</f>
        <v>78660</v>
      </c>
      <c r="G41" s="64">
        <f ca="1">IFERROR(__xludf.DUMMYFUNCTION("IMPORTRANGE(""https://docs.google.com/spreadsheets/d/1oKaccgDdQABndOzGr688Dbfxb_V3YcF67VqEPBtdzsc/edit?usp=sharing"",""ยโสธร!M431"")"),0)</f>
        <v>0</v>
      </c>
      <c r="H41" s="58">
        <f t="shared" ca="1" si="26"/>
        <v>62640</v>
      </c>
      <c r="I41" s="59">
        <f t="shared" ca="1" si="1"/>
        <v>79.633867276887869</v>
      </c>
      <c r="J41" s="60">
        <f t="shared" ca="1" si="52"/>
        <v>62640</v>
      </c>
      <c r="K41" s="61">
        <f t="shared" ca="1" si="33"/>
        <v>79.633867276887869</v>
      </c>
      <c r="L41" s="61">
        <f t="shared" ca="1" si="34"/>
        <v>79.633867276887869</v>
      </c>
      <c r="M41" s="64">
        <f ca="1">IFERROR(__xludf.DUMMYFUNCTION("IMPORTRANGE(""https://docs.google.com/spreadsheets/d/1oKaccgDdQABndOzGr688Dbfxb_V3YcF67VqEPBtdzsc/edit?usp=sharing"",""ยโสธร!N425"")"),47480)</f>
        <v>47480</v>
      </c>
      <c r="N41" s="64">
        <f ca="1">IFERROR(__xludf.DUMMYFUNCTION("IMPORTRANGE(""https://docs.google.com/spreadsheets/d/1oKaccgDdQABndOzGr688Dbfxb_V3YcF67VqEPBtdzsc/edit?usp=sharing"",""ยโสธร!N426"")"),0)</f>
        <v>0</v>
      </c>
      <c r="O41" s="64">
        <f ca="1">IFERROR(__xludf.DUMMYFUNCTION("IMPORTRANGE(""https://docs.google.com/spreadsheets/d/1oKaccgDdQABndOzGr688Dbfxb_V3YcF67VqEPBtdzsc/edit?usp=sharing"",""ยโสธร!N427"")"),0)</f>
        <v>0</v>
      </c>
      <c r="P41" s="64">
        <f ca="1">IFERROR(__xludf.DUMMYFUNCTION("IMPORTRANGE(""https://docs.google.com/spreadsheets/d/1oKaccgDdQABndOzGr688Dbfxb_V3YcF67VqEPBtdzsc/edit?usp=sharing"",""ยโสธร!N428"")"),15160)</f>
        <v>15160</v>
      </c>
      <c r="Q41" s="62">
        <f ca="1">IFERROR(__xludf.DUMMYFUNCTION("IMPORTRANGE(""https://docs.google.com/spreadsheets/d/1oKaccgDdQABndOzGr688Dbfxb_V3YcF67VqEPBtdzsc/edit?usp=sharing"",""ยโสธร!N431"")"),0)</f>
        <v>0</v>
      </c>
      <c r="R41" s="62">
        <f t="shared" ca="1" si="36"/>
        <v>0</v>
      </c>
      <c r="S41" s="57">
        <f ca="1">IFERROR(__xludf.DUMMYFUNCTION("IMPORTRANGE(""https://docs.google.com/spreadsheets/d/1oKaccgDdQABndOzGr688Dbfxb_V3YcF67VqEPBtdzsc/edit?usp=sharing"",""ยโสธร!I433"")"),20)</f>
        <v>20</v>
      </c>
      <c r="T41" s="57">
        <f ca="1">IFERROR(__xludf.DUMMYFUNCTION("IMPORTRANGE(""https://docs.google.com/spreadsheets/d/1oKaccgDdQABndOzGr688Dbfxb_V3YcF67VqEPBtdzsc/edit?usp=sharing"",""ยโสธร!I434"")"),1)</f>
        <v>1</v>
      </c>
      <c r="U41" s="57">
        <f ca="1">IFERROR(__xludf.DUMMYFUNCTION("IMPORTRANGE(""https://docs.google.com/spreadsheets/d/1oKaccgDdQABndOzGr688Dbfxb_V3YcF67VqEPBtdzsc/edit?usp=sharing"",""ยโสธร!J433"")"),20)</f>
        <v>20</v>
      </c>
      <c r="V41" s="63">
        <f t="shared" ca="1" si="27"/>
        <v>100</v>
      </c>
      <c r="W41" s="57">
        <f ca="1">IFERROR(__xludf.DUMMYFUNCTION("IMPORTRANGE(""https://docs.google.com/spreadsheets/d/1oKaccgDdQABndOzGr688Dbfxb_V3YcF67VqEPBtdzsc/edit?usp=sharing"",""ยโสธร!J434"")"),1)</f>
        <v>1</v>
      </c>
      <c r="X41" s="63">
        <f t="shared" ca="1" si="7"/>
        <v>100</v>
      </c>
      <c r="Y41" s="57">
        <f ca="1">IFERROR(__xludf.DUMMYFUNCTION("IMPORTRANGE(""https://docs.google.com/spreadsheets/d/1oKaccgDdQABndOzGr688Dbfxb_V3YcF67VqEPBtdzsc/edit?usp=sharing"",""ยโสธร!I435"")"),20)</f>
        <v>20</v>
      </c>
      <c r="Z41" s="57">
        <f ca="1">IFERROR(__xludf.DUMMYFUNCTION("IMPORTRANGE(""https://docs.google.com/spreadsheets/d/1oKaccgDdQABndOzGr688Dbfxb_V3YcF67VqEPBtdzsc/edit?usp=sharing"",""ยโสธร!J435"")"),20)</f>
        <v>20</v>
      </c>
      <c r="AA41" s="63">
        <f t="shared" ca="1" si="28"/>
        <v>100</v>
      </c>
      <c r="AB41" s="57">
        <f ca="1">IFERROR(__xludf.DUMMYFUNCTION("IMPORTRANGE(""https://docs.google.com/spreadsheets/d/1oKaccgDdQABndOzGr688Dbfxb_V3YcF67VqEPBtdzsc/edit?usp=sharing"",""ยโสธร!I437"")"),0)</f>
        <v>0</v>
      </c>
      <c r="AC41" s="57">
        <f ca="1">IFERROR(__xludf.DUMMYFUNCTION("IMPORTRANGE(""https://docs.google.com/spreadsheets/d/1oKaccgDdQABndOzGr688Dbfxb_V3YcF67VqEPBtdzsc/edit?usp=sharing"",""ยโสธร!I438"")"),0)</f>
        <v>0</v>
      </c>
      <c r="AD41" s="57">
        <f ca="1">IFERROR(__xludf.DUMMYFUNCTION("IMPORTRANGE(""https://docs.google.com/spreadsheets/d/1oKaccgDdQABndOzGr688Dbfxb_V3YcF67VqEPBtdzsc/edit?usp=sharing"",""ยโสธร!J437"")"),0)</f>
        <v>0</v>
      </c>
      <c r="AE41" s="63">
        <f t="shared" ca="1" si="29"/>
        <v>0</v>
      </c>
      <c r="AF41" s="57">
        <f ca="1">IFERROR(__xludf.DUMMYFUNCTION("IMPORTRANGE(""https://docs.google.com/spreadsheets/d/1oKaccgDdQABndOzGr688Dbfxb_V3YcF67VqEPBtdzsc/edit?usp=sharing"",""ยโสธร!J438"")"),0)</f>
        <v>0</v>
      </c>
      <c r="AG41" s="63">
        <f t="shared" ca="1" si="12"/>
        <v>0</v>
      </c>
      <c r="AH41" s="57">
        <f ca="1">IFERROR(__xludf.DUMMYFUNCTION("IMPORTRANGE(""https://docs.google.com/spreadsheets/d/1oKaccgDdQABndOzGr688Dbfxb_V3YcF67VqEPBtdzsc/edit?usp=sharing"",""ยโสธร!I439"")"),20)</f>
        <v>20</v>
      </c>
      <c r="AI41" s="57">
        <f ca="1">IFERROR(__xludf.DUMMYFUNCTION("IMPORTRANGE(""https://docs.google.com/spreadsheets/d/1oKaccgDdQABndOzGr688Dbfxb_V3YcF67VqEPBtdzsc/edit?usp=sharing"",""ยโสธร!I440"")"),1)</f>
        <v>1</v>
      </c>
      <c r="AJ41" s="57">
        <f ca="1">IFERROR(__xludf.DUMMYFUNCTION("IMPORTRANGE(""https://docs.google.com/spreadsheets/d/1oKaccgDdQABndOzGr688Dbfxb_V3YcF67VqEPBtdzsc/edit?usp=sharing"",""ยโสธร!J439"")"),20)</f>
        <v>20</v>
      </c>
      <c r="AK41" s="63">
        <f t="shared" ca="1" si="30"/>
        <v>100</v>
      </c>
      <c r="AL41" s="57">
        <f ca="1">IFERROR(__xludf.DUMMYFUNCTION("IMPORTRANGE(""https://docs.google.com/spreadsheets/d/1oKaccgDdQABndOzGr688Dbfxb_V3YcF67VqEPBtdzsc/edit?usp=sharing"",""ยโสธร!J440"")"),1)</f>
        <v>1</v>
      </c>
      <c r="AM41" s="63">
        <f t="shared" ca="1" si="15"/>
        <v>100</v>
      </c>
      <c r="AN41" s="57">
        <f ca="1">IFERROR(__xludf.DUMMYFUNCTION("IMPORTRANGE(""https://docs.google.com/spreadsheets/d/1oKaccgDdQABndOzGr688Dbfxb_V3YcF67VqEPBtdzsc/edit?usp=sharing"",""ยโสธร!I441"")"),0)</f>
        <v>0</v>
      </c>
      <c r="AO41" s="57">
        <f ca="1">IFERROR(__xludf.DUMMYFUNCTION("IMPORTRANGE(""https://docs.google.com/spreadsheets/d/1oKaccgDdQABndOzGr688Dbfxb_V3YcF67VqEPBtdzsc/edit?usp=sharing"",""ยโสธร!J441"")"),0)</f>
        <v>0</v>
      </c>
      <c r="AP41" s="63">
        <f t="shared" ca="1" si="31"/>
        <v>0</v>
      </c>
    </row>
    <row r="42" spans="1:42" ht="21" customHeight="1" x14ac:dyDescent="0.3">
      <c r="A42" s="54">
        <v>11</v>
      </c>
      <c r="B42" s="55" t="s">
        <v>63</v>
      </c>
      <c r="C42" s="56">
        <f t="shared" ca="1" si="51"/>
        <v>78660</v>
      </c>
      <c r="D42" s="57">
        <f ca="1">IFERROR(__xludf.DUMMYFUNCTION("IMPORTRANGE(""https://docs.google.com/spreadsheets/d/1BRgc8xKpxZ0PX-gauieMVkV_IOxKSotf0yW8MabGprQ/edit?usp=sharing"",""ร้อยเอ็ด!L424"")"),78660)</f>
        <v>78660</v>
      </c>
      <c r="E42" s="64">
        <f ca="1">IFERROR(__xludf.DUMMYFUNCTION("IMPORTRANGE(""https://docs.google.com/spreadsheets/d/1BRgc8xKpxZ0PX-gauieMVkV_IOxKSotf0yW8MabGprQ/edit?usp=sharing"",""ร้อยเอ็ด!L431"")"),0)</f>
        <v>0</v>
      </c>
      <c r="F42" s="64">
        <f ca="1">IFERROR(__xludf.DUMMYFUNCTION("IMPORTRANGE(""https://docs.google.com/spreadsheets/d/1BRgc8xKpxZ0PX-gauieMVkV_IOxKSotf0yW8MabGprQ/edit?usp=sharing"",""ร้อยเอ็ด!M424"")"),78660)</f>
        <v>78660</v>
      </c>
      <c r="G42" s="64">
        <f ca="1">IFERROR(__xludf.DUMMYFUNCTION("IMPORTRANGE(""https://docs.google.com/spreadsheets/d/1BRgc8xKpxZ0PX-gauieMVkV_IOxKSotf0yW8MabGprQ/edit?usp=sharing"",""ร้อยเอ็ด!M431"")"),0)</f>
        <v>0</v>
      </c>
      <c r="H42" s="58">
        <f t="shared" ca="1" si="26"/>
        <v>77840</v>
      </c>
      <c r="I42" s="59">
        <f t="shared" ca="1" si="1"/>
        <v>98.957538774472411</v>
      </c>
      <c r="J42" s="60">
        <f t="shared" ca="1" si="52"/>
        <v>77840</v>
      </c>
      <c r="K42" s="61">
        <f t="shared" ca="1" si="33"/>
        <v>98.957538774472411</v>
      </c>
      <c r="L42" s="61">
        <f t="shared" ca="1" si="34"/>
        <v>98.957538774472411</v>
      </c>
      <c r="M42" s="64">
        <f ca="1">IFERROR(__xludf.DUMMYFUNCTION("IMPORTRANGE(""https://docs.google.com/spreadsheets/d/1BRgc8xKpxZ0PX-gauieMVkV_IOxKSotf0yW8MabGprQ/edit?usp=sharing"",""ร้อยเอ็ด!N425"")"),0)</f>
        <v>0</v>
      </c>
      <c r="N42" s="64">
        <f ca="1">IFERROR(__xludf.DUMMYFUNCTION("IMPORTRANGE(""https://docs.google.com/spreadsheets/d/1BRgc8xKpxZ0PX-gauieMVkV_IOxKSotf0yW8MabGprQ/edit?usp=sharing"",""ร้อยเอ็ด!N426"")"),0)</f>
        <v>0</v>
      </c>
      <c r="O42" s="64">
        <f ca="1">IFERROR(__xludf.DUMMYFUNCTION("IMPORTRANGE(""https://docs.google.com/spreadsheets/d/1BRgc8xKpxZ0PX-gauieMVkV_IOxKSotf0yW8MabGprQ/edit?usp=sharing"",""ร้อยเอ็ด!N427"")"),0)</f>
        <v>0</v>
      </c>
      <c r="P42" s="64">
        <f ca="1">IFERROR(__xludf.DUMMYFUNCTION("IMPORTRANGE(""https://docs.google.com/spreadsheets/d/1BRgc8xKpxZ0PX-gauieMVkV_IOxKSotf0yW8MabGprQ/edit?usp=sharing"",""ร้อยเอ็ด!N428"")"),77840)</f>
        <v>77840</v>
      </c>
      <c r="Q42" s="62">
        <f ca="1">IFERROR(__xludf.DUMMYFUNCTION("IMPORTRANGE(""https://docs.google.com/spreadsheets/d/1BRgc8xKpxZ0PX-gauieMVkV_IOxKSotf0yW8MabGprQ/edit?usp=sharing"",""ร้อยเอ็ด!N431"")"),0)</f>
        <v>0</v>
      </c>
      <c r="R42" s="62">
        <f t="shared" ca="1" si="36"/>
        <v>0</v>
      </c>
      <c r="S42" s="57">
        <f ca="1">IFERROR(__xludf.DUMMYFUNCTION("IMPORTRANGE(""https://docs.google.com/spreadsheets/d/1BRgc8xKpxZ0PX-gauieMVkV_IOxKSotf0yW8MabGprQ/edit?usp=sharing"",""ร้อยเอ็ด!I433"")"),20)</f>
        <v>20</v>
      </c>
      <c r="T42" s="57">
        <f ca="1">IFERROR(__xludf.DUMMYFUNCTION("IMPORTRANGE(""https://docs.google.com/spreadsheets/d/1BRgc8xKpxZ0PX-gauieMVkV_IOxKSotf0yW8MabGprQ/edit?usp=sharing"",""ร้อยเอ็ด!I434"")"),1)</f>
        <v>1</v>
      </c>
      <c r="U42" s="57">
        <f ca="1">IFERROR(__xludf.DUMMYFUNCTION("IMPORTRANGE(""https://docs.google.com/spreadsheets/d/1BRgc8xKpxZ0PX-gauieMVkV_IOxKSotf0yW8MabGprQ/edit?usp=sharing"",""ร้อยเอ็ด!J433"")"),20)</f>
        <v>20</v>
      </c>
      <c r="V42" s="63">
        <f t="shared" ca="1" si="27"/>
        <v>100</v>
      </c>
      <c r="W42" s="57">
        <f ca="1">IFERROR(__xludf.DUMMYFUNCTION("IMPORTRANGE(""https://docs.google.com/spreadsheets/d/1BRgc8xKpxZ0PX-gauieMVkV_IOxKSotf0yW8MabGprQ/edit?usp=sharing"",""ร้อยเอ็ด!J434"")"),1)</f>
        <v>1</v>
      </c>
      <c r="X42" s="63">
        <f t="shared" ca="1" si="7"/>
        <v>100</v>
      </c>
      <c r="Y42" s="57">
        <f ca="1">IFERROR(__xludf.DUMMYFUNCTION("IMPORTRANGE(""https://docs.google.com/spreadsheets/d/1BRgc8xKpxZ0PX-gauieMVkV_IOxKSotf0yW8MabGprQ/edit?usp=sharing"",""ร้อยเอ็ด!I435"")"),20)</f>
        <v>20</v>
      </c>
      <c r="Z42" s="57">
        <f ca="1">IFERROR(__xludf.DUMMYFUNCTION("IMPORTRANGE(""https://docs.google.com/spreadsheets/d/1BRgc8xKpxZ0PX-gauieMVkV_IOxKSotf0yW8MabGprQ/edit?usp=sharing"",""ร้อยเอ็ด!J435"")"),20)</f>
        <v>20</v>
      </c>
      <c r="AA42" s="63">
        <f t="shared" ca="1" si="28"/>
        <v>100</v>
      </c>
      <c r="AB42" s="57">
        <f ca="1">IFERROR(__xludf.DUMMYFUNCTION("IMPORTRANGE(""https://docs.google.com/spreadsheets/d/1BRgc8xKpxZ0PX-gauieMVkV_IOxKSotf0yW8MabGprQ/edit?usp=sharing"",""ร้อยเอ็ด!I437"")"),0)</f>
        <v>0</v>
      </c>
      <c r="AC42" s="57">
        <f ca="1">IFERROR(__xludf.DUMMYFUNCTION("IMPORTRANGE(""https://docs.google.com/spreadsheets/d/1BRgc8xKpxZ0PX-gauieMVkV_IOxKSotf0yW8MabGprQ/edit?usp=sharing"",""ร้อยเอ็ด!I438"")"),0)</f>
        <v>0</v>
      </c>
      <c r="AD42" s="57">
        <f ca="1">IFERROR(__xludf.DUMMYFUNCTION("IMPORTRANGE(""https://docs.google.com/spreadsheets/d/1BRgc8xKpxZ0PX-gauieMVkV_IOxKSotf0yW8MabGprQ/edit?usp=sharing"",""ร้อยเอ็ด!J437"")"),0)</f>
        <v>0</v>
      </c>
      <c r="AE42" s="63">
        <f t="shared" ca="1" si="29"/>
        <v>0</v>
      </c>
      <c r="AF42" s="57">
        <f ca="1">IFERROR(__xludf.DUMMYFUNCTION("IMPORTRANGE(""https://docs.google.com/spreadsheets/d/1BRgc8xKpxZ0PX-gauieMVkV_IOxKSotf0yW8MabGprQ/edit?usp=sharing"",""ร้อยเอ็ด!J438"")"),0)</f>
        <v>0</v>
      </c>
      <c r="AG42" s="63">
        <f t="shared" ca="1" si="12"/>
        <v>0</v>
      </c>
      <c r="AH42" s="57">
        <f ca="1">IFERROR(__xludf.DUMMYFUNCTION("IMPORTRANGE(""https://docs.google.com/spreadsheets/d/1BRgc8xKpxZ0PX-gauieMVkV_IOxKSotf0yW8MabGprQ/edit?usp=sharing"",""ร้อยเอ็ด!I439"")"),20)</f>
        <v>20</v>
      </c>
      <c r="AI42" s="57">
        <f ca="1">IFERROR(__xludf.DUMMYFUNCTION("IMPORTRANGE(""https://docs.google.com/spreadsheets/d/1BRgc8xKpxZ0PX-gauieMVkV_IOxKSotf0yW8MabGprQ/edit?usp=sharing"",""ร้อยเอ็ด!I440"")"),1)</f>
        <v>1</v>
      </c>
      <c r="AJ42" s="57">
        <f ca="1">IFERROR(__xludf.DUMMYFUNCTION("IMPORTRANGE(""https://docs.google.com/spreadsheets/d/1BRgc8xKpxZ0PX-gauieMVkV_IOxKSotf0yW8MabGprQ/edit?usp=sharing"",""ร้อยเอ็ด!J439"")"),20)</f>
        <v>20</v>
      </c>
      <c r="AK42" s="63">
        <f t="shared" ca="1" si="30"/>
        <v>100</v>
      </c>
      <c r="AL42" s="57">
        <f ca="1">IFERROR(__xludf.DUMMYFUNCTION("IMPORTRANGE(""https://docs.google.com/spreadsheets/d/1BRgc8xKpxZ0PX-gauieMVkV_IOxKSotf0yW8MabGprQ/edit?usp=sharing"",""ร้อยเอ็ด!J440"")"),1)</f>
        <v>1</v>
      </c>
      <c r="AM42" s="63">
        <f t="shared" ca="1" si="15"/>
        <v>100</v>
      </c>
      <c r="AN42" s="57">
        <f ca="1">IFERROR(__xludf.DUMMYFUNCTION("IMPORTRANGE(""https://docs.google.com/spreadsheets/d/1BRgc8xKpxZ0PX-gauieMVkV_IOxKSotf0yW8MabGprQ/edit?usp=sharing"",""ร้อยเอ็ด!I441"")"),0)</f>
        <v>0</v>
      </c>
      <c r="AO42" s="57">
        <f ca="1">IFERROR(__xludf.DUMMYFUNCTION("IMPORTRANGE(""https://docs.google.com/spreadsheets/d/1BRgc8xKpxZ0PX-gauieMVkV_IOxKSotf0yW8MabGprQ/edit?usp=sharing"",""ร้อยเอ็ด!J441"")"),0)</f>
        <v>0</v>
      </c>
      <c r="AP42" s="63">
        <f t="shared" ca="1" si="31"/>
        <v>0</v>
      </c>
    </row>
    <row r="43" spans="1:42" ht="21" customHeight="1" x14ac:dyDescent="0.3">
      <c r="A43" s="54">
        <v>12</v>
      </c>
      <c r="B43" s="55" t="s">
        <v>64</v>
      </c>
      <c r="C43" s="56">
        <f t="shared" ca="1" si="51"/>
        <v>78660</v>
      </c>
      <c r="D43" s="57">
        <f ca="1">IFERROR(__xludf.DUMMYFUNCTION("IMPORTRANGE(""https://docs.google.com/spreadsheets/d/1IdolZc-dfdgMwAm_KZxYJl1sUOcIgnbGQzbWOlddedo/edit?usp=sharing"",""เลย!L424"")"),78660)</f>
        <v>78660</v>
      </c>
      <c r="E43" s="64">
        <f ca="1">IFERROR(__xludf.DUMMYFUNCTION("IMPORTRANGE(""https://docs.google.com/spreadsheets/d/1IdolZc-dfdgMwAm_KZxYJl1sUOcIgnbGQzbWOlddedo/edit?usp=sharing"",""เลย!L431"")"),0)</f>
        <v>0</v>
      </c>
      <c r="F43" s="64">
        <f ca="1">IFERROR(__xludf.DUMMYFUNCTION("IMPORTRANGE(""https://docs.google.com/spreadsheets/d/1IdolZc-dfdgMwAm_KZxYJl1sUOcIgnbGQzbWOlddedo/edit?usp=sharing"",""เลย!M424"")"),78660)</f>
        <v>78660</v>
      </c>
      <c r="G43" s="64">
        <f ca="1">IFERROR(__xludf.DUMMYFUNCTION("IMPORTRANGE(""https://docs.google.com/spreadsheets/d/1IdolZc-dfdgMwAm_KZxYJl1sUOcIgnbGQzbWOlddedo/edit?usp=sharing"",""เลย!M431"")"),0)</f>
        <v>0</v>
      </c>
      <c r="H43" s="58">
        <f t="shared" ca="1" si="26"/>
        <v>63440</v>
      </c>
      <c r="I43" s="59">
        <f t="shared" ca="1" si="1"/>
        <v>80.650902618865999</v>
      </c>
      <c r="J43" s="60">
        <f t="shared" ca="1" si="52"/>
        <v>63440</v>
      </c>
      <c r="K43" s="61">
        <f t="shared" ca="1" si="33"/>
        <v>80.650902618865999</v>
      </c>
      <c r="L43" s="61">
        <f t="shared" ca="1" si="34"/>
        <v>80.650902618865999</v>
      </c>
      <c r="M43" s="64">
        <f ca="1">IFERROR(__xludf.DUMMYFUNCTION("IMPORTRANGE(""https://docs.google.com/spreadsheets/d/1IdolZc-dfdgMwAm_KZxYJl1sUOcIgnbGQzbWOlddedo/edit?usp=sharing"",""เลย!N425"")"),48400)</f>
        <v>48400</v>
      </c>
      <c r="N43" s="64">
        <f ca="1">IFERROR(__xludf.DUMMYFUNCTION("IMPORTRANGE(""https://docs.google.com/spreadsheets/d/1IdolZc-dfdgMwAm_KZxYJl1sUOcIgnbGQzbWOlddedo/edit?usp=sharing"",""เลย!N426"")"),0)</f>
        <v>0</v>
      </c>
      <c r="O43" s="64">
        <f ca="1">IFERROR(__xludf.DUMMYFUNCTION("IMPORTRANGE(""https://docs.google.com/spreadsheets/d/1IdolZc-dfdgMwAm_KZxYJl1sUOcIgnbGQzbWOlddedo/edit?usp=sharing"",""เลย!N427"")"),0)</f>
        <v>0</v>
      </c>
      <c r="P43" s="64">
        <f ca="1">IFERROR(__xludf.DUMMYFUNCTION("IMPORTRANGE(""https://docs.google.com/spreadsheets/d/1IdolZc-dfdgMwAm_KZxYJl1sUOcIgnbGQzbWOlddedo/edit?usp=sharing"",""เลย!N428"")"),15040)</f>
        <v>15040</v>
      </c>
      <c r="Q43" s="62">
        <f ca="1">IFERROR(__xludf.DUMMYFUNCTION("IMPORTRANGE(""https://docs.google.com/spreadsheets/d/1IdolZc-dfdgMwAm_KZxYJl1sUOcIgnbGQzbWOlddedo/edit?usp=sharing"",""เลย!N431"")"),0)</f>
        <v>0</v>
      </c>
      <c r="R43" s="62">
        <f t="shared" ca="1" si="36"/>
        <v>0</v>
      </c>
      <c r="S43" s="57">
        <f ca="1">IFERROR(__xludf.DUMMYFUNCTION("IMPORTRANGE(""https://docs.google.com/spreadsheets/d/1IdolZc-dfdgMwAm_KZxYJl1sUOcIgnbGQzbWOlddedo/edit?usp=sharing"",""เลย!I433"")"),20)</f>
        <v>20</v>
      </c>
      <c r="T43" s="57">
        <f ca="1">IFERROR(__xludf.DUMMYFUNCTION("IMPORTRANGE(""https://docs.google.com/spreadsheets/d/1IdolZc-dfdgMwAm_KZxYJl1sUOcIgnbGQzbWOlddedo/edit?usp=sharing"",""เลย!I434"")"),1)</f>
        <v>1</v>
      </c>
      <c r="U43" s="57">
        <f ca="1">IFERROR(__xludf.DUMMYFUNCTION("IMPORTRANGE(""https://docs.google.com/spreadsheets/d/1IdolZc-dfdgMwAm_KZxYJl1sUOcIgnbGQzbWOlddedo/edit?usp=sharing"",""เลย!J433"")"),20)</f>
        <v>20</v>
      </c>
      <c r="V43" s="63">
        <f t="shared" ca="1" si="27"/>
        <v>100</v>
      </c>
      <c r="W43" s="57">
        <f ca="1">IFERROR(__xludf.DUMMYFUNCTION("IMPORTRANGE(""https://docs.google.com/spreadsheets/d/1IdolZc-dfdgMwAm_KZxYJl1sUOcIgnbGQzbWOlddedo/edit?usp=sharing"",""เลย!J434"")"),1)</f>
        <v>1</v>
      </c>
      <c r="X43" s="63">
        <f t="shared" ca="1" si="7"/>
        <v>100</v>
      </c>
      <c r="Y43" s="57">
        <f ca="1">IFERROR(__xludf.DUMMYFUNCTION("IMPORTRANGE(""https://docs.google.com/spreadsheets/d/1IdolZc-dfdgMwAm_KZxYJl1sUOcIgnbGQzbWOlddedo/edit?usp=sharing"",""เลย!I435"")"),20)</f>
        <v>20</v>
      </c>
      <c r="Z43" s="57">
        <f ca="1">IFERROR(__xludf.DUMMYFUNCTION("IMPORTRANGE(""https://docs.google.com/spreadsheets/d/1IdolZc-dfdgMwAm_KZxYJl1sUOcIgnbGQzbWOlddedo/edit?usp=sharing"",""เลย!J435"")"),20)</f>
        <v>20</v>
      </c>
      <c r="AA43" s="63">
        <f t="shared" ca="1" si="28"/>
        <v>100</v>
      </c>
      <c r="AB43" s="57">
        <f ca="1">IFERROR(__xludf.DUMMYFUNCTION("IMPORTRANGE(""https://docs.google.com/spreadsheets/d/1IdolZc-dfdgMwAm_KZxYJl1sUOcIgnbGQzbWOlddedo/edit?usp=sharing"",""เลย!I437"")"),0)</f>
        <v>0</v>
      </c>
      <c r="AC43" s="57">
        <f ca="1">IFERROR(__xludf.DUMMYFUNCTION("IMPORTRANGE(""https://docs.google.com/spreadsheets/d/1IdolZc-dfdgMwAm_KZxYJl1sUOcIgnbGQzbWOlddedo/edit?usp=sharing"",""เลย!I438"")"),0)</f>
        <v>0</v>
      </c>
      <c r="AD43" s="57">
        <f ca="1">IFERROR(__xludf.DUMMYFUNCTION("IMPORTRANGE(""https://docs.google.com/spreadsheets/d/1IdolZc-dfdgMwAm_KZxYJl1sUOcIgnbGQzbWOlddedo/edit?usp=sharing"",""เลย!J437"")"),0)</f>
        <v>0</v>
      </c>
      <c r="AE43" s="63">
        <f t="shared" ca="1" si="29"/>
        <v>0</v>
      </c>
      <c r="AF43" s="57">
        <f ca="1">IFERROR(__xludf.DUMMYFUNCTION("IMPORTRANGE(""https://docs.google.com/spreadsheets/d/1IdolZc-dfdgMwAm_KZxYJl1sUOcIgnbGQzbWOlddedo/edit?usp=sharing"",""เลย!J438"")"),0)</f>
        <v>0</v>
      </c>
      <c r="AG43" s="63">
        <f t="shared" ca="1" si="12"/>
        <v>0</v>
      </c>
      <c r="AH43" s="57">
        <f ca="1">IFERROR(__xludf.DUMMYFUNCTION("IMPORTRANGE(""https://docs.google.com/spreadsheets/d/1IdolZc-dfdgMwAm_KZxYJl1sUOcIgnbGQzbWOlddedo/edit?usp=sharing"",""เลย!I439"")"),20)</f>
        <v>20</v>
      </c>
      <c r="AI43" s="57">
        <f ca="1">IFERROR(__xludf.DUMMYFUNCTION("IMPORTRANGE(""https://docs.google.com/spreadsheets/d/1IdolZc-dfdgMwAm_KZxYJl1sUOcIgnbGQzbWOlddedo/edit?usp=sharing"",""เลย!I440"")"),1)</f>
        <v>1</v>
      </c>
      <c r="AJ43" s="57">
        <f ca="1">IFERROR(__xludf.DUMMYFUNCTION("IMPORTRANGE(""https://docs.google.com/spreadsheets/d/1IdolZc-dfdgMwAm_KZxYJl1sUOcIgnbGQzbWOlddedo/edit?usp=sharing"",""เลย!J439"")"),20)</f>
        <v>20</v>
      </c>
      <c r="AK43" s="63">
        <f t="shared" ca="1" si="30"/>
        <v>100</v>
      </c>
      <c r="AL43" s="57">
        <f ca="1">IFERROR(__xludf.DUMMYFUNCTION("IMPORTRANGE(""https://docs.google.com/spreadsheets/d/1IdolZc-dfdgMwAm_KZxYJl1sUOcIgnbGQzbWOlddedo/edit?usp=sharing"",""เลย!J440"")"),1)</f>
        <v>1</v>
      </c>
      <c r="AM43" s="63">
        <f t="shared" ca="1" si="15"/>
        <v>100</v>
      </c>
      <c r="AN43" s="57">
        <f ca="1">IFERROR(__xludf.DUMMYFUNCTION("IMPORTRANGE(""https://docs.google.com/spreadsheets/d/1IdolZc-dfdgMwAm_KZxYJl1sUOcIgnbGQzbWOlddedo/edit?usp=sharing"",""เลย!I441"")"),0)</f>
        <v>0</v>
      </c>
      <c r="AO43" s="57">
        <f ca="1">IFERROR(__xludf.DUMMYFUNCTION("IMPORTRANGE(""https://docs.google.com/spreadsheets/d/1IdolZc-dfdgMwAm_KZxYJl1sUOcIgnbGQzbWOlddedo/edit?usp=sharing"",""เลย!J441"")"),0)</f>
        <v>0</v>
      </c>
      <c r="AP43" s="63">
        <f t="shared" ca="1" si="31"/>
        <v>0</v>
      </c>
    </row>
    <row r="44" spans="1:42" ht="21" customHeight="1" x14ac:dyDescent="0.3">
      <c r="A44" s="54">
        <v>13</v>
      </c>
      <c r="B44" s="55" t="s">
        <v>65</v>
      </c>
      <c r="C44" s="56">
        <f t="shared" ca="1" si="51"/>
        <v>163360</v>
      </c>
      <c r="D44" s="57">
        <f ca="1">IFERROR(__xludf.DUMMYFUNCTION("IMPORTRANGE(""https://docs.google.com/spreadsheets/d/1tZ0nmtGuIRCaGAMXHlQU8EpR9LOAJvyKfc4f7EFmE34/edit?usp=sharing"",""ศรีสะเกษ!L424"")"),163360)</f>
        <v>163360</v>
      </c>
      <c r="E44" s="64">
        <f ca="1">IFERROR(__xludf.DUMMYFUNCTION("IMPORTRANGE(""https://docs.google.com/spreadsheets/d/1tZ0nmtGuIRCaGAMXHlQU8EpR9LOAJvyKfc4f7EFmE34/edit?usp=sharing"",""ศรีสะเกษ!L431"")"),0)</f>
        <v>0</v>
      </c>
      <c r="F44" s="64">
        <f ca="1">IFERROR(__xludf.DUMMYFUNCTION("IMPORTRANGE(""https://docs.google.com/spreadsheets/d/1tZ0nmtGuIRCaGAMXHlQU8EpR9LOAJvyKfc4f7EFmE34/edit?usp=sharing"",""ศรีสะเกษ!M424"")"),163360)</f>
        <v>163360</v>
      </c>
      <c r="G44" s="64">
        <f ca="1">IFERROR(__xludf.DUMMYFUNCTION("IMPORTRANGE(""https://docs.google.com/spreadsheets/d/1tZ0nmtGuIRCaGAMXHlQU8EpR9LOAJvyKfc4f7EFmE34/edit?usp=sharing"",""ศรีสะเกษ!M431"")"),0)</f>
        <v>0</v>
      </c>
      <c r="H44" s="58">
        <f t="shared" ca="1" si="26"/>
        <v>24380</v>
      </c>
      <c r="I44" s="59">
        <f t="shared" ca="1" si="1"/>
        <v>14.92409402546523</v>
      </c>
      <c r="J44" s="60">
        <f t="shared" ca="1" si="52"/>
        <v>24380</v>
      </c>
      <c r="K44" s="61">
        <f t="shared" ca="1" si="33"/>
        <v>14.92409402546523</v>
      </c>
      <c r="L44" s="61">
        <f t="shared" ca="1" si="34"/>
        <v>14.92409402546523</v>
      </c>
      <c r="M44" s="64">
        <f ca="1">IFERROR(__xludf.DUMMYFUNCTION("IMPORTRANGE(""https://docs.google.com/spreadsheets/d/1tZ0nmtGuIRCaGAMXHlQU8EpR9LOAJvyKfc4f7EFmE34/edit?usp=sharing"",""ศรีสะเกษ!N425"")"),18960)</f>
        <v>18960</v>
      </c>
      <c r="N44" s="64">
        <f ca="1">IFERROR(__xludf.DUMMYFUNCTION("IMPORTRANGE(""https://docs.google.com/spreadsheets/d/1tZ0nmtGuIRCaGAMXHlQU8EpR9LOAJvyKfc4f7EFmE34/edit?usp=sharing"",""ศรีสะเกษ!N426"")"),0)</f>
        <v>0</v>
      </c>
      <c r="O44" s="64">
        <f ca="1">IFERROR(__xludf.DUMMYFUNCTION("IMPORTRANGE(""https://docs.google.com/spreadsheets/d/1tZ0nmtGuIRCaGAMXHlQU8EpR9LOAJvyKfc4f7EFmE34/edit?usp=sharing"",""ศรีสะเกษ!N427"")"),0)</f>
        <v>0</v>
      </c>
      <c r="P44" s="64">
        <f ca="1">IFERROR(__xludf.DUMMYFUNCTION("IMPORTRANGE(""https://docs.google.com/spreadsheets/d/1tZ0nmtGuIRCaGAMXHlQU8EpR9LOAJvyKfc4f7EFmE34/edit?usp=sharing"",""ศรีสะเกษ!N428"")"),5420)</f>
        <v>5420</v>
      </c>
      <c r="Q44" s="62">
        <f ca="1">IFERROR(__xludf.DUMMYFUNCTION("IMPORTRANGE(""https://docs.google.com/spreadsheets/d/1tZ0nmtGuIRCaGAMXHlQU8EpR9LOAJvyKfc4f7EFmE34/edit?usp=sharing"",""ศรีสะเกษ!N431"")"),0)</f>
        <v>0</v>
      </c>
      <c r="R44" s="62">
        <f t="shared" ca="1" si="36"/>
        <v>0</v>
      </c>
      <c r="S44" s="57">
        <f ca="1">IFERROR(__xludf.DUMMYFUNCTION("IMPORTRANGE(""https://docs.google.com/spreadsheets/d/1tZ0nmtGuIRCaGAMXHlQU8EpR9LOAJvyKfc4f7EFmE34/edit?usp=sharing"",""ศรีสะเกษ!I433"")"),55)</f>
        <v>55</v>
      </c>
      <c r="T44" s="57">
        <f ca="1">IFERROR(__xludf.DUMMYFUNCTION("IMPORTRANGE(""https://docs.google.com/spreadsheets/d/1tZ0nmtGuIRCaGAMXHlQU8EpR9LOAJvyKfc4f7EFmE34/edit?usp=sharing"",""ศรีสะเกษ!I434"")"),1)</f>
        <v>1</v>
      </c>
      <c r="U44" s="57">
        <f ca="1">IFERROR(__xludf.DUMMYFUNCTION("IMPORTRANGE(""https://docs.google.com/spreadsheets/d/1tZ0nmtGuIRCaGAMXHlQU8EpR9LOAJvyKfc4f7EFmE34/edit?usp=sharing"",""ศรีสะเกษ!J433"")"),0)</f>
        <v>0</v>
      </c>
      <c r="V44" s="63">
        <f t="shared" ca="1" si="27"/>
        <v>0</v>
      </c>
      <c r="W44" s="57">
        <f ca="1">IFERROR(__xludf.DUMMYFUNCTION("IMPORTRANGE(""https://docs.google.com/spreadsheets/d/1tZ0nmtGuIRCaGAMXHlQU8EpR9LOAJvyKfc4f7EFmE34/edit?usp=sharing"",""ศรีสะเกษ!J434"")"),0)</f>
        <v>0</v>
      </c>
      <c r="X44" s="63">
        <f t="shared" ca="1" si="7"/>
        <v>0</v>
      </c>
      <c r="Y44" s="57">
        <f ca="1">IFERROR(__xludf.DUMMYFUNCTION("IMPORTRANGE(""https://docs.google.com/spreadsheets/d/1tZ0nmtGuIRCaGAMXHlQU8EpR9LOAJvyKfc4f7EFmE34/edit?usp=sharing"",""ศรีสะเกษ!I435"")"),55)</f>
        <v>55</v>
      </c>
      <c r="Z44" s="57">
        <f ca="1">IFERROR(__xludf.DUMMYFUNCTION("IMPORTRANGE(""https://docs.google.com/spreadsheets/d/1tZ0nmtGuIRCaGAMXHlQU8EpR9LOAJvyKfc4f7EFmE34/edit?usp=sharing"",""ศรีสะเกษ!J435"")"),55)</f>
        <v>55</v>
      </c>
      <c r="AA44" s="63">
        <f t="shared" ca="1" si="28"/>
        <v>100</v>
      </c>
      <c r="AB44" s="57">
        <f ca="1">IFERROR(__xludf.DUMMYFUNCTION("IMPORTRANGE(""https://docs.google.com/spreadsheets/d/1tZ0nmtGuIRCaGAMXHlQU8EpR9LOAJvyKfc4f7EFmE34/edit?usp=sharing"",""ศรีสะเกษ!I437"")"),0)</f>
        <v>0</v>
      </c>
      <c r="AC44" s="57">
        <f ca="1">IFERROR(__xludf.DUMMYFUNCTION("IMPORTRANGE(""https://docs.google.com/spreadsheets/d/1tZ0nmtGuIRCaGAMXHlQU8EpR9LOAJvyKfc4f7EFmE34/edit?usp=sharing"",""ศรีสะเกษ!I438"")"),0)</f>
        <v>0</v>
      </c>
      <c r="AD44" s="57">
        <f ca="1">IFERROR(__xludf.DUMMYFUNCTION("IMPORTRANGE(""https://docs.google.com/spreadsheets/d/1tZ0nmtGuIRCaGAMXHlQU8EpR9LOAJvyKfc4f7EFmE34/edit?usp=sharing"",""ศรีสะเกษ!J437"")"),0)</f>
        <v>0</v>
      </c>
      <c r="AE44" s="63">
        <f t="shared" ca="1" si="29"/>
        <v>0</v>
      </c>
      <c r="AF44" s="57">
        <f ca="1">IFERROR(__xludf.DUMMYFUNCTION("IMPORTRANGE(""https://docs.google.com/spreadsheets/d/1tZ0nmtGuIRCaGAMXHlQU8EpR9LOAJvyKfc4f7EFmE34/edit?usp=sharing"",""ศรีสะเกษ!J438"")"),0)</f>
        <v>0</v>
      </c>
      <c r="AG44" s="63">
        <f t="shared" ca="1" si="12"/>
        <v>0</v>
      </c>
      <c r="AH44" s="57">
        <f ca="1">IFERROR(__xludf.DUMMYFUNCTION("IMPORTRANGE(""https://docs.google.com/spreadsheets/d/1tZ0nmtGuIRCaGAMXHlQU8EpR9LOAJvyKfc4f7EFmE34/edit?usp=sharing"",""ศรีสะเกษ!I439"")"),55)</f>
        <v>55</v>
      </c>
      <c r="AI44" s="57">
        <f ca="1">IFERROR(__xludf.DUMMYFUNCTION("IMPORTRANGE(""https://docs.google.com/spreadsheets/d/1tZ0nmtGuIRCaGAMXHlQU8EpR9LOAJvyKfc4f7EFmE34/edit?usp=sharing"",""ศรีสะเกษ!I440"")"),1)</f>
        <v>1</v>
      </c>
      <c r="AJ44" s="57">
        <f ca="1">IFERROR(__xludf.DUMMYFUNCTION("IMPORTRANGE(""https://docs.google.com/spreadsheets/d/1tZ0nmtGuIRCaGAMXHlQU8EpR9LOAJvyKfc4f7EFmE34/edit?usp=sharing"",""ศรีสะเกษ!J439"")"),0)</f>
        <v>0</v>
      </c>
      <c r="AK44" s="63">
        <f t="shared" ca="1" si="30"/>
        <v>0</v>
      </c>
      <c r="AL44" s="57">
        <f ca="1">IFERROR(__xludf.DUMMYFUNCTION("IMPORTRANGE(""https://docs.google.com/spreadsheets/d/1tZ0nmtGuIRCaGAMXHlQU8EpR9LOAJvyKfc4f7EFmE34/edit?usp=sharing"",""ศรีสะเกษ!J440"")"),0)</f>
        <v>0</v>
      </c>
      <c r="AM44" s="63">
        <f t="shared" ca="1" si="15"/>
        <v>0</v>
      </c>
      <c r="AN44" s="57">
        <f ca="1">IFERROR(__xludf.DUMMYFUNCTION("IMPORTRANGE(""https://docs.google.com/spreadsheets/d/1tZ0nmtGuIRCaGAMXHlQU8EpR9LOAJvyKfc4f7EFmE34/edit?usp=sharing"",""ศรีสะเกษ!I441"")"),0)</f>
        <v>0</v>
      </c>
      <c r="AO44" s="57">
        <f ca="1">IFERROR(__xludf.DUMMYFUNCTION("IMPORTRANGE(""https://docs.google.com/spreadsheets/d/1tZ0nmtGuIRCaGAMXHlQU8EpR9LOAJvyKfc4f7EFmE34/edit?usp=sharing"",""ศรีสะเกษ!J441"")"),0)</f>
        <v>0</v>
      </c>
      <c r="AP44" s="63">
        <f t="shared" ca="1" si="31"/>
        <v>0</v>
      </c>
    </row>
    <row r="45" spans="1:42" ht="21" customHeight="1" x14ac:dyDescent="0.3">
      <c r="A45" s="54">
        <v>14</v>
      </c>
      <c r="B45" s="55" t="s">
        <v>66</v>
      </c>
      <c r="C45" s="56">
        <f t="shared" ca="1" si="51"/>
        <v>103360</v>
      </c>
      <c r="D45" s="57">
        <f ca="1">IFERROR(__xludf.DUMMYFUNCTION("IMPORTRANGE(""https://docs.google.com/spreadsheets/d/1QC8psz9w0f9IVE9Xuc2FT_btkaOzZbbUSgYObpBuetM/edit?usp=sharing"",""สกลนคร!L424"")"),103360)</f>
        <v>103360</v>
      </c>
      <c r="E45" s="64">
        <f ca="1">IFERROR(__xludf.DUMMYFUNCTION("IMPORTRANGE(""https://docs.google.com/spreadsheets/d/1QC8psz9w0f9IVE9Xuc2FT_btkaOzZbbUSgYObpBuetM/edit?usp=sharing"",""สกลนคร!L431"")"),0)</f>
        <v>0</v>
      </c>
      <c r="F45" s="64">
        <f ca="1">IFERROR(__xludf.DUMMYFUNCTION("IMPORTRANGE(""https://docs.google.com/spreadsheets/d/1QC8psz9w0f9IVE9Xuc2FT_btkaOzZbbUSgYObpBuetM/edit?usp=sharing"",""สกลนคร!M424"")"),101355)</f>
        <v>101355</v>
      </c>
      <c r="G45" s="64">
        <f ca="1">IFERROR(__xludf.DUMMYFUNCTION("IMPORTRANGE(""https://docs.google.com/spreadsheets/d/1QC8psz9w0f9IVE9Xuc2FT_btkaOzZbbUSgYObpBuetM/edit?usp=sharing"",""สกลนคร!M431"")"),0)</f>
        <v>0</v>
      </c>
      <c r="H45" s="58">
        <f t="shared" ca="1" si="26"/>
        <v>84105</v>
      </c>
      <c r="I45" s="59">
        <f t="shared" ca="1" si="1"/>
        <v>81.370936532507741</v>
      </c>
      <c r="J45" s="60">
        <f t="shared" ca="1" si="52"/>
        <v>84105</v>
      </c>
      <c r="K45" s="61">
        <f t="shared" ca="1" si="33"/>
        <v>81.370936532507741</v>
      </c>
      <c r="L45" s="61">
        <f t="shared" ca="1" si="34"/>
        <v>82.980612697942874</v>
      </c>
      <c r="M45" s="64">
        <f ca="1">IFERROR(__xludf.DUMMYFUNCTION("IMPORTRANGE(""https://docs.google.com/spreadsheets/d/1QC8psz9w0f9IVE9Xuc2FT_btkaOzZbbUSgYObpBuetM/edit?usp=sharing"",""สกลนคร!N425"")"),50280)</f>
        <v>50280</v>
      </c>
      <c r="N45" s="64">
        <f ca="1">IFERROR(__xludf.DUMMYFUNCTION("IMPORTRANGE(""https://docs.google.com/spreadsheets/d/1QC8psz9w0f9IVE9Xuc2FT_btkaOzZbbUSgYObpBuetM/edit?usp=sharing"",""สกลนคร!N426"")"),0)</f>
        <v>0</v>
      </c>
      <c r="O45" s="64">
        <f ca="1">IFERROR(__xludf.DUMMYFUNCTION("IMPORTRANGE(""https://docs.google.com/spreadsheets/d/1QC8psz9w0f9IVE9Xuc2FT_btkaOzZbbUSgYObpBuetM/edit?usp=sharing"",""สกลนคร!N427"")"),0)</f>
        <v>0</v>
      </c>
      <c r="P45" s="64">
        <f ca="1">IFERROR(__xludf.DUMMYFUNCTION("IMPORTRANGE(""https://docs.google.com/spreadsheets/d/1QC8psz9w0f9IVE9Xuc2FT_btkaOzZbbUSgYObpBuetM/edit?usp=sharing"",""สกลนคร!N428"")"),33825)</f>
        <v>33825</v>
      </c>
      <c r="Q45" s="62">
        <f ca="1">IFERROR(__xludf.DUMMYFUNCTION("IMPORTRANGE(""https://docs.google.com/spreadsheets/d/1QC8psz9w0f9IVE9Xuc2FT_btkaOzZbbUSgYObpBuetM/edit?usp=sharing"",""สกลนคร!N431"")"),0)</f>
        <v>0</v>
      </c>
      <c r="R45" s="62">
        <f t="shared" ca="1" si="36"/>
        <v>0</v>
      </c>
      <c r="S45" s="57">
        <f ca="1">IFERROR(__xludf.DUMMYFUNCTION("IMPORTRANGE(""https://docs.google.com/spreadsheets/d/1QC8psz9w0f9IVE9Xuc2FT_btkaOzZbbUSgYObpBuetM/edit?usp=sharing"",""สกลนคร!I433"")"),20)</f>
        <v>20</v>
      </c>
      <c r="T45" s="57">
        <f ca="1">IFERROR(__xludf.DUMMYFUNCTION("IMPORTRANGE(""https://docs.google.com/spreadsheets/d/1QC8psz9w0f9IVE9Xuc2FT_btkaOzZbbUSgYObpBuetM/edit?usp=sharing"",""สกลนคร!I434"")"),1)</f>
        <v>1</v>
      </c>
      <c r="U45" s="57">
        <f ca="1">IFERROR(__xludf.DUMMYFUNCTION("IMPORTRANGE(""https://docs.google.com/spreadsheets/d/1QC8psz9w0f9IVE9Xuc2FT_btkaOzZbbUSgYObpBuetM/edit?usp=sharing"",""สกลนคร!J433"")"),20)</f>
        <v>20</v>
      </c>
      <c r="V45" s="63">
        <f t="shared" ca="1" si="27"/>
        <v>100</v>
      </c>
      <c r="W45" s="57">
        <f ca="1">IFERROR(__xludf.DUMMYFUNCTION("IMPORTRANGE(""https://docs.google.com/spreadsheets/d/1QC8psz9w0f9IVE9Xuc2FT_btkaOzZbbUSgYObpBuetM/edit?usp=sharing"",""สกลนคร!J434"")"),1)</f>
        <v>1</v>
      </c>
      <c r="X45" s="63">
        <f t="shared" ca="1" si="7"/>
        <v>100</v>
      </c>
      <c r="Y45" s="57">
        <f ca="1">IFERROR(__xludf.DUMMYFUNCTION("IMPORTRANGE(""https://docs.google.com/spreadsheets/d/1QC8psz9w0f9IVE9Xuc2FT_btkaOzZbbUSgYObpBuetM/edit?usp=sharing"",""สกลนคร!I435"")"),20)</f>
        <v>20</v>
      </c>
      <c r="Z45" s="57">
        <f ca="1">IFERROR(__xludf.DUMMYFUNCTION("IMPORTRANGE(""https://docs.google.com/spreadsheets/d/1QC8psz9w0f9IVE9Xuc2FT_btkaOzZbbUSgYObpBuetM/edit?usp=sharing"",""สกลนคร!J435"")"),20)</f>
        <v>20</v>
      </c>
      <c r="AA45" s="63">
        <f t="shared" ca="1" si="28"/>
        <v>100</v>
      </c>
      <c r="AB45" s="57">
        <f ca="1">IFERROR(__xludf.DUMMYFUNCTION("IMPORTRANGE(""https://docs.google.com/spreadsheets/d/1QC8psz9w0f9IVE9Xuc2FT_btkaOzZbbUSgYObpBuetM/edit?usp=sharing"",""สกลนคร!I437"")"),0)</f>
        <v>0</v>
      </c>
      <c r="AC45" s="57">
        <f ca="1">IFERROR(__xludf.DUMMYFUNCTION("IMPORTRANGE(""https://docs.google.com/spreadsheets/d/1QC8psz9w0f9IVE9Xuc2FT_btkaOzZbbUSgYObpBuetM/edit?usp=sharing"",""สกลนคร!I438"")"),0)</f>
        <v>0</v>
      </c>
      <c r="AD45" s="57">
        <f ca="1">IFERROR(__xludf.DUMMYFUNCTION("IMPORTRANGE(""https://docs.google.com/spreadsheets/d/1QC8psz9w0f9IVE9Xuc2FT_btkaOzZbbUSgYObpBuetM/edit?usp=sharing"",""สกลนคร!J437"")"),0)</f>
        <v>0</v>
      </c>
      <c r="AE45" s="63">
        <f t="shared" ca="1" si="29"/>
        <v>0</v>
      </c>
      <c r="AF45" s="57">
        <f ca="1">IFERROR(__xludf.DUMMYFUNCTION("IMPORTRANGE(""https://docs.google.com/spreadsheets/d/1QC8psz9w0f9IVE9Xuc2FT_btkaOzZbbUSgYObpBuetM/edit?usp=sharing"",""สกลนคร!J438"")"),0)</f>
        <v>0</v>
      </c>
      <c r="AG45" s="63">
        <f t="shared" ca="1" si="12"/>
        <v>0</v>
      </c>
      <c r="AH45" s="57">
        <f ca="1">IFERROR(__xludf.DUMMYFUNCTION("IMPORTRANGE(""https://docs.google.com/spreadsheets/d/1QC8psz9w0f9IVE9Xuc2FT_btkaOzZbbUSgYObpBuetM/edit?usp=sharing"",""สกลนคร!I439"")"),20)</f>
        <v>20</v>
      </c>
      <c r="AI45" s="57">
        <f ca="1">IFERROR(__xludf.DUMMYFUNCTION("IMPORTRANGE(""https://docs.google.com/spreadsheets/d/1QC8psz9w0f9IVE9Xuc2FT_btkaOzZbbUSgYObpBuetM/edit?usp=sharing"",""สกลนคร!I440"")"),1)</f>
        <v>1</v>
      </c>
      <c r="AJ45" s="57">
        <f ca="1">IFERROR(__xludf.DUMMYFUNCTION("IMPORTRANGE(""https://docs.google.com/spreadsheets/d/1QC8psz9w0f9IVE9Xuc2FT_btkaOzZbbUSgYObpBuetM/edit?usp=sharing"",""สกลนคร!J439"")"),20)</f>
        <v>20</v>
      </c>
      <c r="AK45" s="63">
        <f t="shared" ca="1" si="30"/>
        <v>100</v>
      </c>
      <c r="AL45" s="57">
        <f ca="1">IFERROR(__xludf.DUMMYFUNCTION("IMPORTRANGE(""https://docs.google.com/spreadsheets/d/1QC8psz9w0f9IVE9Xuc2FT_btkaOzZbbUSgYObpBuetM/edit?usp=sharing"",""สกลนคร!J440"")"),1)</f>
        <v>1</v>
      </c>
      <c r="AM45" s="63">
        <f t="shared" ca="1" si="15"/>
        <v>100</v>
      </c>
      <c r="AN45" s="57">
        <f ca="1">IFERROR(__xludf.DUMMYFUNCTION("IMPORTRANGE(""https://docs.google.com/spreadsheets/d/1QC8psz9w0f9IVE9Xuc2FT_btkaOzZbbUSgYObpBuetM/edit?usp=sharing"",""สกลนคร!I441"")"),0)</f>
        <v>0</v>
      </c>
      <c r="AO45" s="57">
        <f ca="1">IFERROR(__xludf.DUMMYFUNCTION("IMPORTRANGE(""https://docs.google.com/spreadsheets/d/1QC8psz9w0f9IVE9Xuc2FT_btkaOzZbbUSgYObpBuetM/edit?usp=sharing"",""สกลนคร!J441"")"),0)</f>
        <v>0</v>
      </c>
      <c r="AP45" s="63">
        <f t="shared" ca="1" si="31"/>
        <v>0</v>
      </c>
    </row>
    <row r="46" spans="1:42" ht="21" customHeight="1" x14ac:dyDescent="0.3">
      <c r="A46" s="54">
        <v>15</v>
      </c>
      <c r="B46" s="55" t="s">
        <v>67</v>
      </c>
      <c r="C46" s="56">
        <f t="shared" ca="1" si="51"/>
        <v>161140</v>
      </c>
      <c r="D46" s="57">
        <f ca="1">IFERROR(__xludf.DUMMYFUNCTION("IMPORTRANGE(""https://docs.google.com/spreadsheets/d/1wPdvRbu02d33MYVlbsCnyTiZpefEBs9NNktAnT1HZvw/edit?usp=sharing"",""สุรินทร์!L424"")"),161140)</f>
        <v>161140</v>
      </c>
      <c r="E46" s="64">
        <f ca="1">IFERROR(__xludf.DUMMYFUNCTION("IMPORTRANGE(""https://docs.google.com/spreadsheets/d/1wPdvRbu02d33MYVlbsCnyTiZpefEBs9NNktAnT1HZvw/edit?usp=sharing"",""สุรินทร์!L431"")"),0)</f>
        <v>0</v>
      </c>
      <c r="F46" s="64">
        <f ca="1">IFERROR(__xludf.DUMMYFUNCTION("IMPORTRANGE(""https://docs.google.com/spreadsheets/d/1wPdvRbu02d33MYVlbsCnyTiZpefEBs9NNktAnT1HZvw/edit?usp=sharing"",""สุรินทร์!M424"")"),161140)</f>
        <v>161140</v>
      </c>
      <c r="G46" s="64">
        <f ca="1">IFERROR(__xludf.DUMMYFUNCTION("IMPORTRANGE(""https://docs.google.com/spreadsheets/d/1wPdvRbu02d33MYVlbsCnyTiZpefEBs9NNktAnT1HZvw/edit?usp=sharing"",""สุรินทร์!M431"")"),0)</f>
        <v>0</v>
      </c>
      <c r="H46" s="58">
        <f t="shared" ca="1" si="26"/>
        <v>140667.29999999999</v>
      </c>
      <c r="I46" s="59">
        <f t="shared" ca="1" si="1"/>
        <v>87.295085019237916</v>
      </c>
      <c r="J46" s="60">
        <f t="shared" ca="1" si="52"/>
        <v>140667.29999999999</v>
      </c>
      <c r="K46" s="61">
        <f t="shared" ca="1" si="33"/>
        <v>87.295085019237916</v>
      </c>
      <c r="L46" s="61">
        <f t="shared" ca="1" si="34"/>
        <v>87.295085019237916</v>
      </c>
      <c r="M46" s="64">
        <f ca="1">IFERROR(__xludf.DUMMYFUNCTION("IMPORTRANGE(""https://docs.google.com/spreadsheets/d/1wPdvRbu02d33MYVlbsCnyTiZpefEBs9NNktAnT1HZvw/edit?usp=sharing"",""สุรินทร์!N425"")"),130880)</f>
        <v>130880</v>
      </c>
      <c r="N46" s="64">
        <f ca="1">IFERROR(__xludf.DUMMYFUNCTION("IMPORTRANGE(""https://docs.google.com/spreadsheets/d/1wPdvRbu02d33MYVlbsCnyTiZpefEBs9NNktAnT1HZvw/edit?usp=sharing"",""สุรินทร์!N426"")"),0)</f>
        <v>0</v>
      </c>
      <c r="O46" s="64">
        <f ca="1">IFERROR(__xludf.DUMMYFUNCTION("IMPORTRANGE(""https://docs.google.com/spreadsheets/d/1wPdvRbu02d33MYVlbsCnyTiZpefEBs9NNktAnT1HZvw/edit?usp=sharing"",""สุรินทร์!N427"")"),0)</f>
        <v>0</v>
      </c>
      <c r="P46" s="64">
        <f ca="1">IFERROR(__xludf.DUMMYFUNCTION("IMPORTRANGE(""https://docs.google.com/spreadsheets/d/1wPdvRbu02d33MYVlbsCnyTiZpefEBs9NNktAnT1HZvw/edit?usp=sharing"",""สุรินทร์!N428"")"),9787.3)</f>
        <v>9787.2999999999993</v>
      </c>
      <c r="Q46" s="62">
        <f ca="1">IFERROR(__xludf.DUMMYFUNCTION("IMPORTRANGE(""https://docs.google.com/spreadsheets/d/1wPdvRbu02d33MYVlbsCnyTiZpefEBs9NNktAnT1HZvw/edit?usp=sharing"",""สุรินทร์!N431"")"),0)</f>
        <v>0</v>
      </c>
      <c r="R46" s="62">
        <f t="shared" ca="1" si="36"/>
        <v>0</v>
      </c>
      <c r="S46" s="57">
        <f ca="1">IFERROR(__xludf.DUMMYFUNCTION("IMPORTRANGE(""https://docs.google.com/spreadsheets/d/1wPdvRbu02d33MYVlbsCnyTiZpefEBs9NNktAnT1HZvw/edit?usp=sharing"",""สุรินทร์!I433"")"),50)</f>
        <v>50</v>
      </c>
      <c r="T46" s="57">
        <f ca="1">IFERROR(__xludf.DUMMYFUNCTION("IMPORTRANGE(""https://docs.google.com/spreadsheets/d/1wPdvRbu02d33MYVlbsCnyTiZpefEBs9NNktAnT1HZvw/edit?usp=sharing"",""สุรินทร์!I434"")"),2)</f>
        <v>2</v>
      </c>
      <c r="U46" s="57">
        <f ca="1">IFERROR(__xludf.DUMMYFUNCTION("IMPORTRANGE(""https://docs.google.com/spreadsheets/d/1wPdvRbu02d33MYVlbsCnyTiZpefEBs9NNktAnT1HZvw/edit?usp=sharing"",""สุรินทร์!J433"")"),50)</f>
        <v>50</v>
      </c>
      <c r="V46" s="63">
        <f t="shared" ca="1" si="27"/>
        <v>100</v>
      </c>
      <c r="W46" s="57">
        <f ca="1">IFERROR(__xludf.DUMMYFUNCTION("IMPORTRANGE(""https://docs.google.com/spreadsheets/d/1wPdvRbu02d33MYVlbsCnyTiZpefEBs9NNktAnT1HZvw/edit?usp=sharing"",""สุรินทร์!J434"")"),2)</f>
        <v>2</v>
      </c>
      <c r="X46" s="63">
        <f t="shared" ca="1" si="7"/>
        <v>100</v>
      </c>
      <c r="Y46" s="57">
        <f ca="1">IFERROR(__xludf.DUMMYFUNCTION("IMPORTRANGE(""https://docs.google.com/spreadsheets/d/1wPdvRbu02d33MYVlbsCnyTiZpefEBs9NNktAnT1HZvw/edit?usp=sharing"",""สุรินทร์!I435"")"),50)</f>
        <v>50</v>
      </c>
      <c r="Z46" s="57">
        <f ca="1">IFERROR(__xludf.DUMMYFUNCTION("IMPORTRANGE(""https://docs.google.com/spreadsheets/d/1wPdvRbu02d33MYVlbsCnyTiZpefEBs9NNktAnT1HZvw/edit?usp=sharing"",""สุรินทร์!J435"")"),50)</f>
        <v>50</v>
      </c>
      <c r="AA46" s="63">
        <f t="shared" ca="1" si="28"/>
        <v>100</v>
      </c>
      <c r="AB46" s="57">
        <f ca="1">IFERROR(__xludf.DUMMYFUNCTION("IMPORTRANGE(""https://docs.google.com/spreadsheets/d/1wPdvRbu02d33MYVlbsCnyTiZpefEBs9NNktAnT1HZvw/edit?usp=sharing"",""สุรินทร์!I437"")"),30)</f>
        <v>30</v>
      </c>
      <c r="AC46" s="57">
        <f ca="1">IFERROR(__xludf.DUMMYFUNCTION("IMPORTRANGE(""https://docs.google.com/spreadsheets/d/1wPdvRbu02d33MYVlbsCnyTiZpefEBs9NNktAnT1HZvw/edit?usp=sharing"",""สุรินทร์!I438"")"),1)</f>
        <v>1</v>
      </c>
      <c r="AD46" s="57">
        <f ca="1">IFERROR(__xludf.DUMMYFUNCTION("IMPORTRANGE(""https://docs.google.com/spreadsheets/d/1wPdvRbu02d33MYVlbsCnyTiZpefEBs9NNktAnT1HZvw/edit?usp=sharing"",""สุรินทร์!J437"")"),30)</f>
        <v>30</v>
      </c>
      <c r="AE46" s="63">
        <f t="shared" ca="1" si="29"/>
        <v>100</v>
      </c>
      <c r="AF46" s="57">
        <f ca="1">IFERROR(__xludf.DUMMYFUNCTION("IMPORTRANGE(""https://docs.google.com/spreadsheets/d/1wPdvRbu02d33MYVlbsCnyTiZpefEBs9NNktAnT1HZvw/edit?usp=sharing"",""สุรินทร์!J438"")"),1)</f>
        <v>1</v>
      </c>
      <c r="AG46" s="63">
        <f t="shared" ca="1" si="12"/>
        <v>100</v>
      </c>
      <c r="AH46" s="57">
        <f ca="1">IFERROR(__xludf.DUMMYFUNCTION("IMPORTRANGE(""https://docs.google.com/spreadsheets/d/1wPdvRbu02d33MYVlbsCnyTiZpefEBs9NNktAnT1HZvw/edit?usp=sharing"",""สุรินทร์!I439"")"),20)</f>
        <v>20</v>
      </c>
      <c r="AI46" s="57">
        <f ca="1">IFERROR(__xludf.DUMMYFUNCTION("IMPORTRANGE(""https://docs.google.com/spreadsheets/d/1wPdvRbu02d33MYVlbsCnyTiZpefEBs9NNktAnT1HZvw/edit?usp=sharing"",""สุรินทร์!I440"")"),1)</f>
        <v>1</v>
      </c>
      <c r="AJ46" s="57">
        <f ca="1">IFERROR(__xludf.DUMMYFUNCTION("IMPORTRANGE(""https://docs.google.com/spreadsheets/d/1wPdvRbu02d33MYVlbsCnyTiZpefEBs9NNktAnT1HZvw/edit?usp=sharing"",""สุรินทร์!J439"")"),20)</f>
        <v>20</v>
      </c>
      <c r="AK46" s="63">
        <f t="shared" ca="1" si="30"/>
        <v>100</v>
      </c>
      <c r="AL46" s="57">
        <f ca="1">IFERROR(__xludf.DUMMYFUNCTION("IMPORTRANGE(""https://docs.google.com/spreadsheets/d/1wPdvRbu02d33MYVlbsCnyTiZpefEBs9NNktAnT1HZvw/edit?usp=sharing"",""สุรินทร์!J440"")"),1)</f>
        <v>1</v>
      </c>
      <c r="AM46" s="63">
        <f t="shared" ca="1" si="15"/>
        <v>100</v>
      </c>
      <c r="AN46" s="57">
        <f ca="1">IFERROR(__xludf.DUMMYFUNCTION("IMPORTRANGE(""https://docs.google.com/spreadsheets/d/1wPdvRbu02d33MYVlbsCnyTiZpefEBs9NNktAnT1HZvw/edit?usp=sharing"",""สุรินทร์!I441"")"),0)</f>
        <v>0</v>
      </c>
      <c r="AO46" s="57">
        <f ca="1">IFERROR(__xludf.DUMMYFUNCTION("IMPORTRANGE(""https://docs.google.com/spreadsheets/d/1wPdvRbu02d33MYVlbsCnyTiZpefEBs9NNktAnT1HZvw/edit?usp=sharing"",""สุรินทร์!J441"")"),0)</f>
        <v>0</v>
      </c>
      <c r="AP46" s="63">
        <f t="shared" ca="1" si="31"/>
        <v>0</v>
      </c>
    </row>
    <row r="47" spans="1:42" ht="21" customHeight="1" x14ac:dyDescent="0.3">
      <c r="A47" s="54">
        <v>16</v>
      </c>
      <c r="B47" s="55" t="s">
        <v>68</v>
      </c>
      <c r="C47" s="56">
        <f t="shared" ca="1" si="51"/>
        <v>78660</v>
      </c>
      <c r="D47" s="57">
        <f ca="1">IFERROR(__xludf.DUMMYFUNCTION("IMPORTRANGE(""https://docs.google.com/spreadsheets/d/1GVExpf-Exi_2gmuqTYH28fseTB9MoKPXWcXCbSt_YrM/edit?usp=sharing"",""หนองคาย!L424"")"),78660)</f>
        <v>78660</v>
      </c>
      <c r="E47" s="64">
        <f ca="1">IFERROR(__xludf.DUMMYFUNCTION("IMPORTRANGE(""https://docs.google.com/spreadsheets/d/1GVExpf-Exi_2gmuqTYH28fseTB9MoKPXWcXCbSt_YrM/edit?usp=sharing"",""หนองคาย!L431"")"),0)</f>
        <v>0</v>
      </c>
      <c r="F47" s="64">
        <f ca="1">IFERROR(__xludf.DUMMYFUNCTION("IMPORTRANGE(""https://docs.google.com/spreadsheets/d/1GVExpf-Exi_2gmuqTYH28fseTB9MoKPXWcXCbSt_YrM/edit?usp=sharing"",""หนองคาย!M424"")"),78660)</f>
        <v>78660</v>
      </c>
      <c r="G47" s="64">
        <f ca="1">IFERROR(__xludf.DUMMYFUNCTION("IMPORTRANGE(""https://docs.google.com/spreadsheets/d/1GVExpf-Exi_2gmuqTYH28fseTB9MoKPXWcXCbSt_YrM/edit?usp=sharing"",""หนองคาย!M431"")"),0)</f>
        <v>0</v>
      </c>
      <c r="H47" s="58">
        <f t="shared" ca="1" si="26"/>
        <v>57839</v>
      </c>
      <c r="I47" s="59">
        <f t="shared" ca="1" si="1"/>
        <v>73.530383930841595</v>
      </c>
      <c r="J47" s="60">
        <f t="shared" ca="1" si="52"/>
        <v>57839</v>
      </c>
      <c r="K47" s="61">
        <f t="shared" ca="1" si="33"/>
        <v>73.530383930841595</v>
      </c>
      <c r="L47" s="61">
        <f t="shared" ca="1" si="34"/>
        <v>73.530383930841595</v>
      </c>
      <c r="M47" s="64">
        <f ca="1">IFERROR(__xludf.DUMMYFUNCTION("IMPORTRANGE(""https://docs.google.com/spreadsheets/d/1GVExpf-Exi_2gmuqTYH28fseTB9MoKPXWcXCbSt_YrM/edit?usp=sharing"",""หนองคาย!N425"")"),52139)</f>
        <v>52139</v>
      </c>
      <c r="N47" s="64">
        <f ca="1">IFERROR(__xludf.DUMMYFUNCTION("IMPORTRANGE(""https://docs.google.com/spreadsheets/d/1GVExpf-Exi_2gmuqTYH28fseTB9MoKPXWcXCbSt_YrM/edit?usp=sharing"",""หนองคาย!N426"")"),0)</f>
        <v>0</v>
      </c>
      <c r="O47" s="64">
        <f ca="1">IFERROR(__xludf.DUMMYFUNCTION("IMPORTRANGE(""https://docs.google.com/spreadsheets/d/1GVExpf-Exi_2gmuqTYH28fseTB9MoKPXWcXCbSt_YrM/edit?usp=sharing"",""หนองคาย!N427"")"),0)</f>
        <v>0</v>
      </c>
      <c r="P47" s="64">
        <f ca="1">IFERROR(__xludf.DUMMYFUNCTION("IMPORTRANGE(""https://docs.google.com/spreadsheets/d/1GVExpf-Exi_2gmuqTYH28fseTB9MoKPXWcXCbSt_YrM/edit?usp=sharing"",""หนองคาย!N428"")"),5700)</f>
        <v>5700</v>
      </c>
      <c r="Q47" s="62">
        <f ca="1">IFERROR(__xludf.DUMMYFUNCTION("IMPORTRANGE(""https://docs.google.com/spreadsheets/d/1GVExpf-Exi_2gmuqTYH28fseTB9MoKPXWcXCbSt_YrM/edit?usp=sharing"",""หนองคาย!N431"")"),0)</f>
        <v>0</v>
      </c>
      <c r="R47" s="62">
        <f t="shared" ca="1" si="36"/>
        <v>0</v>
      </c>
      <c r="S47" s="57">
        <f ca="1">IFERROR(__xludf.DUMMYFUNCTION("IMPORTRANGE(""https://docs.google.com/spreadsheets/d/1GVExpf-Exi_2gmuqTYH28fseTB9MoKPXWcXCbSt_YrM/edit?usp=sharing"",""หนองคาย!I433"")"),20)</f>
        <v>20</v>
      </c>
      <c r="T47" s="57">
        <f ca="1">IFERROR(__xludf.DUMMYFUNCTION("IMPORTRANGE(""https://docs.google.com/spreadsheets/d/1GVExpf-Exi_2gmuqTYH28fseTB9MoKPXWcXCbSt_YrM/edit?usp=sharing"",""หนองคาย!I434"")"),1)</f>
        <v>1</v>
      </c>
      <c r="U47" s="57">
        <f ca="1">IFERROR(__xludf.DUMMYFUNCTION("IMPORTRANGE(""https://docs.google.com/spreadsheets/d/1GVExpf-Exi_2gmuqTYH28fseTB9MoKPXWcXCbSt_YrM/edit?usp=sharing"",""หนองคาย!J433"")"),20)</f>
        <v>20</v>
      </c>
      <c r="V47" s="63">
        <f t="shared" ca="1" si="27"/>
        <v>100</v>
      </c>
      <c r="W47" s="57">
        <f ca="1">IFERROR(__xludf.DUMMYFUNCTION("IMPORTRANGE(""https://docs.google.com/spreadsheets/d/1GVExpf-Exi_2gmuqTYH28fseTB9MoKPXWcXCbSt_YrM/edit?usp=sharing"",""หนองคาย!J434"")"),1)</f>
        <v>1</v>
      </c>
      <c r="X47" s="63">
        <f t="shared" ca="1" si="7"/>
        <v>100</v>
      </c>
      <c r="Y47" s="57">
        <f ca="1">IFERROR(__xludf.DUMMYFUNCTION("IMPORTRANGE(""https://docs.google.com/spreadsheets/d/1GVExpf-Exi_2gmuqTYH28fseTB9MoKPXWcXCbSt_YrM/edit?usp=sharing"",""หนองคาย!I435"")"),20)</f>
        <v>20</v>
      </c>
      <c r="Z47" s="57">
        <f ca="1">IFERROR(__xludf.DUMMYFUNCTION("IMPORTRANGE(""https://docs.google.com/spreadsheets/d/1GVExpf-Exi_2gmuqTYH28fseTB9MoKPXWcXCbSt_YrM/edit?usp=sharing"",""หนองคาย!J435"")"),20)</f>
        <v>20</v>
      </c>
      <c r="AA47" s="63">
        <f t="shared" ca="1" si="28"/>
        <v>100</v>
      </c>
      <c r="AB47" s="57">
        <f ca="1">IFERROR(__xludf.DUMMYFUNCTION("IMPORTRANGE(""https://docs.google.com/spreadsheets/d/1GVExpf-Exi_2gmuqTYH28fseTB9MoKPXWcXCbSt_YrM/edit?usp=sharing"",""หนองคาย!I437"")"),0)</f>
        <v>0</v>
      </c>
      <c r="AC47" s="57">
        <f ca="1">IFERROR(__xludf.DUMMYFUNCTION("IMPORTRANGE(""https://docs.google.com/spreadsheets/d/1GVExpf-Exi_2gmuqTYH28fseTB9MoKPXWcXCbSt_YrM/edit?usp=sharing"",""หนองคาย!I438"")"),0)</f>
        <v>0</v>
      </c>
      <c r="AD47" s="57">
        <f ca="1">IFERROR(__xludf.DUMMYFUNCTION("IMPORTRANGE(""https://docs.google.com/spreadsheets/d/1GVExpf-Exi_2gmuqTYH28fseTB9MoKPXWcXCbSt_YrM/edit?usp=sharing"",""หนองคาย!J437"")"),0)</f>
        <v>0</v>
      </c>
      <c r="AE47" s="63">
        <f t="shared" ca="1" si="29"/>
        <v>0</v>
      </c>
      <c r="AF47" s="57">
        <f ca="1">IFERROR(__xludf.DUMMYFUNCTION("IMPORTRANGE(""https://docs.google.com/spreadsheets/d/1GVExpf-Exi_2gmuqTYH28fseTB9MoKPXWcXCbSt_YrM/edit?usp=sharing"",""หนองคาย!J438"")"),0)</f>
        <v>0</v>
      </c>
      <c r="AG47" s="63">
        <f t="shared" ca="1" si="12"/>
        <v>0</v>
      </c>
      <c r="AH47" s="57">
        <f ca="1">IFERROR(__xludf.DUMMYFUNCTION("IMPORTRANGE(""https://docs.google.com/spreadsheets/d/1GVExpf-Exi_2gmuqTYH28fseTB9MoKPXWcXCbSt_YrM/edit?usp=sharing"",""หนองคาย!I439"")"),20)</f>
        <v>20</v>
      </c>
      <c r="AI47" s="57">
        <f ca="1">IFERROR(__xludf.DUMMYFUNCTION("IMPORTRANGE(""https://docs.google.com/spreadsheets/d/1GVExpf-Exi_2gmuqTYH28fseTB9MoKPXWcXCbSt_YrM/edit?usp=sharing"",""หนองคาย!I440"")"),1)</f>
        <v>1</v>
      </c>
      <c r="AJ47" s="57">
        <f ca="1">IFERROR(__xludf.DUMMYFUNCTION("IMPORTRANGE(""https://docs.google.com/spreadsheets/d/1GVExpf-Exi_2gmuqTYH28fseTB9MoKPXWcXCbSt_YrM/edit?usp=sharing"",""หนองคาย!J439"")"),20)</f>
        <v>20</v>
      </c>
      <c r="AK47" s="63">
        <f t="shared" ca="1" si="30"/>
        <v>100</v>
      </c>
      <c r="AL47" s="57">
        <f ca="1">IFERROR(__xludf.DUMMYFUNCTION("IMPORTRANGE(""https://docs.google.com/spreadsheets/d/1GVExpf-Exi_2gmuqTYH28fseTB9MoKPXWcXCbSt_YrM/edit?usp=sharing"",""หนองคาย!J440"")"),1)</f>
        <v>1</v>
      </c>
      <c r="AM47" s="63">
        <f t="shared" ca="1" si="15"/>
        <v>100</v>
      </c>
      <c r="AN47" s="57">
        <f ca="1">IFERROR(__xludf.DUMMYFUNCTION("IMPORTRANGE(""https://docs.google.com/spreadsheets/d/1GVExpf-Exi_2gmuqTYH28fseTB9MoKPXWcXCbSt_YrM/edit?usp=sharing"",""หนองคาย!I441"")"),0)</f>
        <v>0</v>
      </c>
      <c r="AO47" s="57">
        <f ca="1">IFERROR(__xludf.DUMMYFUNCTION("IMPORTRANGE(""https://docs.google.com/spreadsheets/d/1GVExpf-Exi_2gmuqTYH28fseTB9MoKPXWcXCbSt_YrM/edit?usp=sharing"",""หนองคาย!J441"")"),0)</f>
        <v>0</v>
      </c>
      <c r="AP47" s="63">
        <f t="shared" ca="1" si="31"/>
        <v>0</v>
      </c>
    </row>
    <row r="48" spans="1:42" ht="21" customHeight="1" x14ac:dyDescent="0.3">
      <c r="A48" s="54">
        <v>17</v>
      </c>
      <c r="B48" s="55" t="s">
        <v>69</v>
      </c>
      <c r="C48" s="56">
        <f t="shared" ca="1" si="51"/>
        <v>78660</v>
      </c>
      <c r="D48" s="57">
        <f ca="1">IFERROR(__xludf.DUMMYFUNCTION("IMPORTRANGE(""https://docs.google.com/spreadsheets/d/16UeMz0UgOB5BZcoxP75eYGcLFtGYRn9GoesD4OX9m5U/edit?usp=sharing"",""หนองบัวลำภู!L424"")"),78660)</f>
        <v>78660</v>
      </c>
      <c r="E48" s="64">
        <f ca="1">IFERROR(__xludf.DUMMYFUNCTION("IMPORTRANGE(""https://docs.google.com/spreadsheets/d/16UeMz0UgOB5BZcoxP75eYGcLFtGYRn9GoesD4OX9m5U/edit?usp=sharing"",""หนองบัวลำภู!L431"")"),0)</f>
        <v>0</v>
      </c>
      <c r="F48" s="64">
        <f ca="1">IFERROR(__xludf.DUMMYFUNCTION("IMPORTRANGE(""https://docs.google.com/spreadsheets/d/16UeMz0UgOB5BZcoxP75eYGcLFtGYRn9GoesD4OX9m5U/edit?usp=sharing"",""หนองบัวลำภู!M424"")"),78660)</f>
        <v>78660</v>
      </c>
      <c r="G48" s="64">
        <f ca="1">IFERROR(__xludf.DUMMYFUNCTION("IMPORTRANGE(""https://docs.google.com/spreadsheets/d/16UeMz0UgOB5BZcoxP75eYGcLFtGYRn9GoesD4OX9m5U/edit?usp=sharing"",""หนองบัวลำภู!M431"")"),0)</f>
        <v>0</v>
      </c>
      <c r="H48" s="58">
        <f t="shared" ca="1" si="26"/>
        <v>55183</v>
      </c>
      <c r="I48" s="59">
        <f t="shared" ca="1" si="1"/>
        <v>70.153826595474186</v>
      </c>
      <c r="J48" s="60">
        <f t="shared" ca="1" si="52"/>
        <v>55183</v>
      </c>
      <c r="K48" s="61">
        <f t="shared" ca="1" si="33"/>
        <v>70.153826595474186</v>
      </c>
      <c r="L48" s="61">
        <f t="shared" ca="1" si="34"/>
        <v>70.153826595474186</v>
      </c>
      <c r="M48" s="64">
        <f ca="1">IFERROR(__xludf.DUMMYFUNCTION("IMPORTRANGE(""https://docs.google.com/spreadsheets/d/16UeMz0UgOB5BZcoxP75eYGcLFtGYRn9GoesD4OX9m5U/edit?usp=sharing"",""หนองบัวลำภู!N425"")"),55183)</f>
        <v>55183</v>
      </c>
      <c r="N48" s="64">
        <f ca="1">IFERROR(__xludf.DUMMYFUNCTION("IMPORTRANGE(""https://docs.google.com/spreadsheets/d/16UeMz0UgOB5BZcoxP75eYGcLFtGYRn9GoesD4OX9m5U/edit?usp=sharing"",""หนองบัวลำภู!N426"")"),0)</f>
        <v>0</v>
      </c>
      <c r="O48" s="64">
        <f ca="1">IFERROR(__xludf.DUMMYFUNCTION("IMPORTRANGE(""https://docs.google.com/spreadsheets/d/16UeMz0UgOB5BZcoxP75eYGcLFtGYRn9GoesD4OX9m5U/edit?usp=sharing"",""หนองบัวลำภู!N427"")"),0)</f>
        <v>0</v>
      </c>
      <c r="P48" s="64">
        <f ca="1">IFERROR(__xludf.DUMMYFUNCTION("IMPORTRANGE(""https://docs.google.com/spreadsheets/d/16UeMz0UgOB5BZcoxP75eYGcLFtGYRn9GoesD4OX9m5U/edit?usp=sharing"",""หนองบัวลำภู!N428"")"),0)</f>
        <v>0</v>
      </c>
      <c r="Q48" s="62">
        <f ca="1">IFERROR(__xludf.DUMMYFUNCTION("IMPORTRANGE(""https://docs.google.com/spreadsheets/d/16UeMz0UgOB5BZcoxP75eYGcLFtGYRn9GoesD4OX9m5U/edit?usp=sharing"",""หนองบัวลำภู!N431"")"),0)</f>
        <v>0</v>
      </c>
      <c r="R48" s="62">
        <f t="shared" ca="1" si="36"/>
        <v>0</v>
      </c>
      <c r="S48" s="57">
        <f ca="1">IFERROR(__xludf.DUMMYFUNCTION("IMPORTRANGE(""https://docs.google.com/spreadsheets/d/16UeMz0UgOB5BZcoxP75eYGcLFtGYRn9GoesD4OX9m5U/edit?usp=sharing"",""หนองบัวลำภู!I433"")"),20)</f>
        <v>20</v>
      </c>
      <c r="T48" s="57">
        <f ca="1">IFERROR(__xludf.DUMMYFUNCTION("IMPORTRANGE(""https://docs.google.com/spreadsheets/d/16UeMz0UgOB5BZcoxP75eYGcLFtGYRn9GoesD4OX9m5U/edit?usp=sharing"",""หนองบัวลำภู!I434"")"),1)</f>
        <v>1</v>
      </c>
      <c r="U48" s="57">
        <f ca="1">IFERROR(__xludf.DUMMYFUNCTION("IMPORTRANGE(""https://docs.google.com/spreadsheets/d/16UeMz0UgOB5BZcoxP75eYGcLFtGYRn9GoesD4OX9m5U/edit?usp=sharing"",""หนองบัวลำภู!J433"")"),20)</f>
        <v>20</v>
      </c>
      <c r="V48" s="63">
        <f t="shared" ca="1" si="27"/>
        <v>100</v>
      </c>
      <c r="W48" s="57">
        <f ca="1">IFERROR(__xludf.DUMMYFUNCTION("IMPORTRANGE(""https://docs.google.com/spreadsheets/d/16UeMz0UgOB5BZcoxP75eYGcLFtGYRn9GoesD4OX9m5U/edit?usp=sharing"",""หนองบัวลำภู!J434"")"),1)</f>
        <v>1</v>
      </c>
      <c r="X48" s="63">
        <f t="shared" ca="1" si="7"/>
        <v>100</v>
      </c>
      <c r="Y48" s="57">
        <f ca="1">IFERROR(__xludf.DUMMYFUNCTION("IMPORTRANGE(""https://docs.google.com/spreadsheets/d/16UeMz0UgOB5BZcoxP75eYGcLFtGYRn9GoesD4OX9m5U/edit?usp=sharing"",""หนองบัวลำภู!I435"")"),20)</f>
        <v>20</v>
      </c>
      <c r="Z48" s="57">
        <f ca="1">IFERROR(__xludf.DUMMYFUNCTION("IMPORTRANGE(""https://docs.google.com/spreadsheets/d/16UeMz0UgOB5BZcoxP75eYGcLFtGYRn9GoesD4OX9m5U/edit?usp=sharing"",""หนองบัวลำภู!J435"")"),20)</f>
        <v>20</v>
      </c>
      <c r="AA48" s="63">
        <f t="shared" ca="1" si="28"/>
        <v>100</v>
      </c>
      <c r="AB48" s="57">
        <f ca="1">IFERROR(__xludf.DUMMYFUNCTION("IMPORTRANGE(""https://docs.google.com/spreadsheets/d/16UeMz0UgOB5BZcoxP75eYGcLFtGYRn9GoesD4OX9m5U/edit?usp=sharing"",""หนองบัวลำภู!I437"")"),0)</f>
        <v>0</v>
      </c>
      <c r="AC48" s="57">
        <f ca="1">IFERROR(__xludf.DUMMYFUNCTION("IMPORTRANGE(""https://docs.google.com/spreadsheets/d/16UeMz0UgOB5BZcoxP75eYGcLFtGYRn9GoesD4OX9m5U/edit?usp=sharing"",""หนองบัวลำภู!I438"")"),0)</f>
        <v>0</v>
      </c>
      <c r="AD48" s="57">
        <f ca="1">IFERROR(__xludf.DUMMYFUNCTION("IMPORTRANGE(""https://docs.google.com/spreadsheets/d/16UeMz0UgOB5BZcoxP75eYGcLFtGYRn9GoesD4OX9m5U/edit?usp=sharing"",""หนองบัวลำภู!J437"")"),0)</f>
        <v>0</v>
      </c>
      <c r="AE48" s="63">
        <f t="shared" ca="1" si="29"/>
        <v>0</v>
      </c>
      <c r="AF48" s="57">
        <f ca="1">IFERROR(__xludf.DUMMYFUNCTION("IMPORTRANGE(""https://docs.google.com/spreadsheets/d/16UeMz0UgOB5BZcoxP75eYGcLFtGYRn9GoesD4OX9m5U/edit?usp=sharing"",""หนองบัวลำภู!J438"")"),0)</f>
        <v>0</v>
      </c>
      <c r="AG48" s="63">
        <f t="shared" ca="1" si="12"/>
        <v>0</v>
      </c>
      <c r="AH48" s="57">
        <f ca="1">IFERROR(__xludf.DUMMYFUNCTION("IMPORTRANGE(""https://docs.google.com/spreadsheets/d/16UeMz0UgOB5BZcoxP75eYGcLFtGYRn9GoesD4OX9m5U/edit?usp=sharing"",""หนองบัวลำภู!I439"")"),20)</f>
        <v>20</v>
      </c>
      <c r="AI48" s="57">
        <f ca="1">IFERROR(__xludf.DUMMYFUNCTION("IMPORTRANGE(""https://docs.google.com/spreadsheets/d/16UeMz0UgOB5BZcoxP75eYGcLFtGYRn9GoesD4OX9m5U/edit?usp=sharing"",""หนองบัวลำภู!I440"")"),1)</f>
        <v>1</v>
      </c>
      <c r="AJ48" s="57">
        <f ca="1">IFERROR(__xludf.DUMMYFUNCTION("IMPORTRANGE(""https://docs.google.com/spreadsheets/d/16UeMz0UgOB5BZcoxP75eYGcLFtGYRn9GoesD4OX9m5U/edit?usp=sharing"",""หนองบัวลำภู!J439"")"),20)</f>
        <v>20</v>
      </c>
      <c r="AK48" s="63">
        <f t="shared" ca="1" si="30"/>
        <v>100</v>
      </c>
      <c r="AL48" s="57">
        <f ca="1">IFERROR(__xludf.DUMMYFUNCTION("IMPORTRANGE(""https://docs.google.com/spreadsheets/d/16UeMz0UgOB5BZcoxP75eYGcLFtGYRn9GoesD4OX9m5U/edit?usp=sharing"",""หนองบัวลำภู!J440"")"),1)</f>
        <v>1</v>
      </c>
      <c r="AM48" s="63">
        <f t="shared" ca="1" si="15"/>
        <v>100</v>
      </c>
      <c r="AN48" s="57">
        <f ca="1">IFERROR(__xludf.DUMMYFUNCTION("IMPORTRANGE(""https://docs.google.com/spreadsheets/d/16UeMz0UgOB5BZcoxP75eYGcLFtGYRn9GoesD4OX9m5U/edit?usp=sharing"",""หนองบัวลำภู!I441"")"),0)</f>
        <v>0</v>
      </c>
      <c r="AO48" s="57">
        <f ca="1">IFERROR(__xludf.DUMMYFUNCTION("IMPORTRANGE(""https://docs.google.com/spreadsheets/d/16UeMz0UgOB5BZcoxP75eYGcLFtGYRn9GoesD4OX9m5U/edit?usp=sharing"",""หนองบัวลำภู!J441"")"),0)</f>
        <v>0</v>
      </c>
      <c r="AP48" s="63">
        <f t="shared" ca="1" si="31"/>
        <v>0</v>
      </c>
    </row>
    <row r="49" spans="1:42" ht="21" customHeight="1" x14ac:dyDescent="0.3">
      <c r="A49" s="54">
        <v>18</v>
      </c>
      <c r="B49" s="55" t="s">
        <v>70</v>
      </c>
      <c r="C49" s="56">
        <f t="shared" ca="1" si="51"/>
        <v>102860</v>
      </c>
      <c r="D49" s="57">
        <f ca="1">IFERROR(__xludf.DUMMYFUNCTION("IMPORTRANGE(""https://docs.google.com/spreadsheets/d/1uUP8Zo1-qaJLuIkRU0qlwLSE3DHkbdrrj2JGJiWBQZE/edit?usp=sharing"",""อำนาจเจริญ!L424"")"),102860)</f>
        <v>102860</v>
      </c>
      <c r="E49" s="64">
        <f ca="1">IFERROR(__xludf.DUMMYFUNCTION("IMPORTRANGE(""https://docs.google.com/spreadsheets/d/1uUP8Zo1-qaJLuIkRU0qlwLSE3DHkbdrrj2JGJiWBQZE/edit?usp=sharing"",""อำนาจเจริญ!L431"")"),0)</f>
        <v>0</v>
      </c>
      <c r="F49" s="64">
        <f ca="1">IFERROR(__xludf.DUMMYFUNCTION("IMPORTRANGE(""https://docs.google.com/spreadsheets/d/1uUP8Zo1-qaJLuIkRU0qlwLSE3DHkbdrrj2JGJiWBQZE/edit?usp=sharing"",""อำนาจเจริญ!M424"")"),102860)</f>
        <v>102860</v>
      </c>
      <c r="G49" s="64">
        <f ca="1">IFERROR(__xludf.DUMMYFUNCTION("IMPORTRANGE(""https://docs.google.com/spreadsheets/d/1uUP8Zo1-qaJLuIkRU0qlwLSE3DHkbdrrj2JGJiWBQZE/edit?usp=sharing"",""อำนาจเจริญ!M431"")"),0)</f>
        <v>0</v>
      </c>
      <c r="H49" s="58">
        <f t="shared" ca="1" si="26"/>
        <v>44555</v>
      </c>
      <c r="I49" s="59">
        <f t="shared" ca="1" si="1"/>
        <v>43.316157884503205</v>
      </c>
      <c r="J49" s="60">
        <f t="shared" ca="1" si="52"/>
        <v>44555</v>
      </c>
      <c r="K49" s="61">
        <f t="shared" ca="1" si="33"/>
        <v>43.316157884503205</v>
      </c>
      <c r="L49" s="61">
        <f t="shared" ca="1" si="34"/>
        <v>43.316157884503205</v>
      </c>
      <c r="M49" s="64">
        <f ca="1">IFERROR(__xludf.DUMMYFUNCTION("IMPORTRANGE(""https://docs.google.com/spreadsheets/d/1uUP8Zo1-qaJLuIkRU0qlwLSE3DHkbdrrj2JGJiWBQZE/edit?usp=sharing"",""อำนาจเจริญ!N425"")"),16055)</f>
        <v>16055</v>
      </c>
      <c r="N49" s="64">
        <f ca="1">IFERROR(__xludf.DUMMYFUNCTION("IMPORTRANGE(""https://docs.google.com/spreadsheets/d/1uUP8Zo1-qaJLuIkRU0qlwLSE3DHkbdrrj2JGJiWBQZE/edit?usp=sharing"",""อำนาจเจริญ!N426"")"),0)</f>
        <v>0</v>
      </c>
      <c r="O49" s="64">
        <f ca="1">IFERROR(__xludf.DUMMYFUNCTION("IMPORTRANGE(""https://docs.google.com/spreadsheets/d/1uUP8Zo1-qaJLuIkRU0qlwLSE3DHkbdrrj2JGJiWBQZE/edit?usp=sharing"",""อำนาจเจริญ!N427"")"),0)</f>
        <v>0</v>
      </c>
      <c r="P49" s="64">
        <f ca="1">IFERROR(__xludf.DUMMYFUNCTION("IMPORTRANGE(""https://docs.google.com/spreadsheets/d/1uUP8Zo1-qaJLuIkRU0qlwLSE3DHkbdrrj2JGJiWBQZE/edit?usp=sharing"",""อำนาจเจริญ!N428"")"),28500)</f>
        <v>28500</v>
      </c>
      <c r="Q49" s="62">
        <f ca="1">IFERROR(__xludf.DUMMYFUNCTION("IMPORTRANGE(""https://docs.google.com/spreadsheets/d/1uUP8Zo1-qaJLuIkRU0qlwLSE3DHkbdrrj2JGJiWBQZE/edit?usp=sharing"",""อำนาจเจริญ!N431"")"),0)</f>
        <v>0</v>
      </c>
      <c r="R49" s="62">
        <f t="shared" ca="1" si="36"/>
        <v>0</v>
      </c>
      <c r="S49" s="57">
        <f ca="1">IFERROR(__xludf.DUMMYFUNCTION("IMPORTRANGE(""https://docs.google.com/spreadsheets/d/1uUP8Zo1-qaJLuIkRU0qlwLSE3DHkbdrrj2JGJiWBQZE/edit?usp=sharing"",""อำนาจเจริญ!I433"")"),20)</f>
        <v>20</v>
      </c>
      <c r="T49" s="57">
        <f ca="1">IFERROR(__xludf.DUMMYFUNCTION("IMPORTRANGE(""https://docs.google.com/spreadsheets/d/1uUP8Zo1-qaJLuIkRU0qlwLSE3DHkbdrrj2JGJiWBQZE/edit?usp=sharing"",""อำนาจเจริญ!I434"")"),1)</f>
        <v>1</v>
      </c>
      <c r="U49" s="57">
        <f ca="1">IFERROR(__xludf.DUMMYFUNCTION("IMPORTRANGE(""https://docs.google.com/spreadsheets/d/1uUP8Zo1-qaJLuIkRU0qlwLSE3DHkbdrrj2JGJiWBQZE/edit?usp=sharing"",""อำนาจเจริญ!J433"")"),20)</f>
        <v>20</v>
      </c>
      <c r="V49" s="63">
        <f t="shared" ca="1" si="27"/>
        <v>100</v>
      </c>
      <c r="W49" s="57">
        <f ca="1">IFERROR(__xludf.DUMMYFUNCTION("IMPORTRANGE(""https://docs.google.com/spreadsheets/d/1uUP8Zo1-qaJLuIkRU0qlwLSE3DHkbdrrj2JGJiWBQZE/edit?usp=sharing"",""อำนาจเจริญ!J434"")"),1)</f>
        <v>1</v>
      </c>
      <c r="X49" s="63">
        <f t="shared" ca="1" si="7"/>
        <v>100</v>
      </c>
      <c r="Y49" s="57">
        <f ca="1">IFERROR(__xludf.DUMMYFUNCTION("IMPORTRANGE(""https://docs.google.com/spreadsheets/d/1uUP8Zo1-qaJLuIkRU0qlwLSE3DHkbdrrj2JGJiWBQZE/edit?usp=sharing"",""อำนาจเจริญ!I435"")"),20)</f>
        <v>20</v>
      </c>
      <c r="Z49" s="57">
        <f ca="1">IFERROR(__xludf.DUMMYFUNCTION("IMPORTRANGE(""https://docs.google.com/spreadsheets/d/1uUP8Zo1-qaJLuIkRU0qlwLSE3DHkbdrrj2JGJiWBQZE/edit?usp=sharing"",""อำนาจเจริญ!J435"")"),20)</f>
        <v>20</v>
      </c>
      <c r="AA49" s="63">
        <f t="shared" ca="1" si="28"/>
        <v>100</v>
      </c>
      <c r="AB49" s="57">
        <f ca="1">IFERROR(__xludf.DUMMYFUNCTION("IMPORTRANGE(""https://docs.google.com/spreadsheets/d/1uUP8Zo1-qaJLuIkRU0qlwLSE3DHkbdrrj2JGJiWBQZE/edit?usp=sharing"",""อำนาจเจริญ!I437"")"),0)</f>
        <v>0</v>
      </c>
      <c r="AC49" s="57">
        <f ca="1">IFERROR(__xludf.DUMMYFUNCTION("IMPORTRANGE(""https://docs.google.com/spreadsheets/d/1uUP8Zo1-qaJLuIkRU0qlwLSE3DHkbdrrj2JGJiWBQZE/edit?usp=sharing"",""อำนาจเจริญ!I438"")"),0)</f>
        <v>0</v>
      </c>
      <c r="AD49" s="57">
        <f ca="1">IFERROR(__xludf.DUMMYFUNCTION("IMPORTRANGE(""https://docs.google.com/spreadsheets/d/1uUP8Zo1-qaJLuIkRU0qlwLSE3DHkbdrrj2JGJiWBQZE/edit?usp=sharing"",""อำนาจเจริญ!J437"")"),0)</f>
        <v>0</v>
      </c>
      <c r="AE49" s="63">
        <f t="shared" ca="1" si="29"/>
        <v>0</v>
      </c>
      <c r="AF49" s="57">
        <f ca="1">IFERROR(__xludf.DUMMYFUNCTION("IMPORTRANGE(""https://docs.google.com/spreadsheets/d/1uUP8Zo1-qaJLuIkRU0qlwLSE3DHkbdrrj2JGJiWBQZE/edit?usp=sharing"",""อำนาจเจริญ!J438"")"),0)</f>
        <v>0</v>
      </c>
      <c r="AG49" s="63">
        <f t="shared" ca="1" si="12"/>
        <v>0</v>
      </c>
      <c r="AH49" s="57">
        <f ca="1">IFERROR(__xludf.DUMMYFUNCTION("IMPORTRANGE(""https://docs.google.com/spreadsheets/d/1uUP8Zo1-qaJLuIkRU0qlwLSE3DHkbdrrj2JGJiWBQZE/edit?usp=sharing"",""อำนาจเจริญ!I439"")"),20)</f>
        <v>20</v>
      </c>
      <c r="AI49" s="57">
        <f ca="1">IFERROR(__xludf.DUMMYFUNCTION("IMPORTRANGE(""https://docs.google.com/spreadsheets/d/1uUP8Zo1-qaJLuIkRU0qlwLSE3DHkbdrrj2JGJiWBQZE/edit?usp=sharing"",""อำนาจเจริญ!I440"")"),1)</f>
        <v>1</v>
      </c>
      <c r="AJ49" s="57">
        <f ca="1">IFERROR(__xludf.DUMMYFUNCTION("IMPORTRANGE(""https://docs.google.com/spreadsheets/d/1uUP8Zo1-qaJLuIkRU0qlwLSE3DHkbdrrj2JGJiWBQZE/edit?usp=sharing"",""อำนาจเจริญ!J439"")"),20)</f>
        <v>20</v>
      </c>
      <c r="AK49" s="63">
        <f t="shared" ca="1" si="30"/>
        <v>100</v>
      </c>
      <c r="AL49" s="57">
        <f ca="1">IFERROR(__xludf.DUMMYFUNCTION("IMPORTRANGE(""https://docs.google.com/spreadsheets/d/1uUP8Zo1-qaJLuIkRU0qlwLSE3DHkbdrrj2JGJiWBQZE/edit?usp=sharing"",""อำนาจเจริญ!J440"")"),1)</f>
        <v>1</v>
      </c>
      <c r="AM49" s="63">
        <f t="shared" ca="1" si="15"/>
        <v>100</v>
      </c>
      <c r="AN49" s="57">
        <f ca="1">IFERROR(__xludf.DUMMYFUNCTION("IMPORTRANGE(""https://docs.google.com/spreadsheets/d/1uUP8Zo1-qaJLuIkRU0qlwLSE3DHkbdrrj2JGJiWBQZE/edit?usp=sharing"",""อำนาจเจริญ!I441"")"),0)</f>
        <v>0</v>
      </c>
      <c r="AO49" s="57">
        <f ca="1">IFERROR(__xludf.DUMMYFUNCTION("IMPORTRANGE(""https://docs.google.com/spreadsheets/d/1uUP8Zo1-qaJLuIkRU0qlwLSE3DHkbdrrj2JGJiWBQZE/edit?usp=sharing"",""อำนาจเจริญ!J441"")"),0)</f>
        <v>0</v>
      </c>
      <c r="AP49" s="63">
        <f t="shared" ca="1" si="31"/>
        <v>0</v>
      </c>
    </row>
    <row r="50" spans="1:42" ht="21" customHeight="1" x14ac:dyDescent="0.3">
      <c r="A50" s="54">
        <v>19</v>
      </c>
      <c r="B50" s="55" t="s">
        <v>71</v>
      </c>
      <c r="C50" s="56">
        <f t="shared" ca="1" si="51"/>
        <v>67560</v>
      </c>
      <c r="D50" s="57">
        <f ca="1">IFERROR(__xludf.DUMMYFUNCTION("IMPORTRANGE(""https://docs.google.com/spreadsheets/d/1hb_taSOHanzRjqfzWPiFo8yiT83VV1L7vvUCLhOiHKc/edit?usp=sharing"",""อุดรธานี!L424"")"),67560)</f>
        <v>67560</v>
      </c>
      <c r="E50" s="64">
        <f ca="1">IFERROR(__xludf.DUMMYFUNCTION("IMPORTRANGE(""https://docs.google.com/spreadsheets/d/1hb_taSOHanzRjqfzWPiFo8yiT83VV1L7vvUCLhOiHKc/edit?usp=sharing"",""อุดรธานี!L431"")"),0)</f>
        <v>0</v>
      </c>
      <c r="F50" s="64">
        <f ca="1">IFERROR(__xludf.DUMMYFUNCTION("IMPORTRANGE(""https://docs.google.com/spreadsheets/d/1hb_taSOHanzRjqfzWPiFo8yiT83VV1L7vvUCLhOiHKc/edit?usp=sharing"",""อุดรธานี!M424"")"),67560)</f>
        <v>67560</v>
      </c>
      <c r="G50" s="64">
        <f ca="1">IFERROR(__xludf.DUMMYFUNCTION("IMPORTRANGE(""https://docs.google.com/spreadsheets/d/1hb_taSOHanzRjqfzWPiFo8yiT83VV1L7vvUCLhOiHKc/edit?usp=sharing"",""อุดรธานี!M431"")"),0)</f>
        <v>0</v>
      </c>
      <c r="H50" s="58">
        <f t="shared" ca="1" si="26"/>
        <v>57263</v>
      </c>
      <c r="I50" s="59">
        <f t="shared" ca="1" si="1"/>
        <v>84.758732978093548</v>
      </c>
      <c r="J50" s="60">
        <f t="shared" ca="1" si="52"/>
        <v>57263</v>
      </c>
      <c r="K50" s="61">
        <f t="shared" ca="1" si="33"/>
        <v>84.758732978093548</v>
      </c>
      <c r="L50" s="61">
        <f t="shared" ca="1" si="34"/>
        <v>84.758732978093548</v>
      </c>
      <c r="M50" s="64">
        <f ca="1">IFERROR(__xludf.DUMMYFUNCTION("IMPORTRANGE(""https://docs.google.com/spreadsheets/d/1hb_taSOHanzRjqfzWPiFo8yiT83VV1L7vvUCLhOiHKc/edit?usp=sharing"",""อุดรธานี!N425"")"),37300)</f>
        <v>37300</v>
      </c>
      <c r="N50" s="64">
        <f ca="1">IFERROR(__xludf.DUMMYFUNCTION("IMPORTRANGE(""https://docs.google.com/spreadsheets/d/1hb_taSOHanzRjqfzWPiFo8yiT83VV1L7vvUCLhOiHKc/edit?usp=sharing"",""อุดรธานี!N426"")"),0)</f>
        <v>0</v>
      </c>
      <c r="O50" s="64">
        <f ca="1">IFERROR(__xludf.DUMMYFUNCTION("IMPORTRANGE(""https://docs.google.com/spreadsheets/d/1hb_taSOHanzRjqfzWPiFo8yiT83VV1L7vvUCLhOiHKc/edit?usp=sharing"",""อุดรธานี!N427"")"),0)</f>
        <v>0</v>
      </c>
      <c r="P50" s="64">
        <f ca="1">IFERROR(__xludf.DUMMYFUNCTION("IMPORTRANGE(""https://docs.google.com/spreadsheets/d/1hb_taSOHanzRjqfzWPiFo8yiT83VV1L7vvUCLhOiHKc/edit?usp=sharing"",""อุดรธานี!N428"")"),19963)</f>
        <v>19963</v>
      </c>
      <c r="Q50" s="62">
        <f ca="1">IFERROR(__xludf.DUMMYFUNCTION("IMPORTRANGE(""https://docs.google.com/spreadsheets/d/1hb_taSOHanzRjqfzWPiFo8yiT83VV1L7vvUCLhOiHKc/edit?usp=sharing"",""อุดรธานี!N431"")"),0)</f>
        <v>0</v>
      </c>
      <c r="R50" s="62">
        <f t="shared" ca="1" si="36"/>
        <v>0</v>
      </c>
      <c r="S50" s="57">
        <f ca="1">IFERROR(__xludf.DUMMYFUNCTION("IMPORTRANGE(""https://docs.google.com/spreadsheets/d/1hb_taSOHanzRjqfzWPiFo8yiT83VV1L7vvUCLhOiHKc/edit?usp=sharing"",""อุดรธานี!I433"")"),15)</f>
        <v>15</v>
      </c>
      <c r="T50" s="57">
        <f ca="1">IFERROR(__xludf.DUMMYFUNCTION("IMPORTRANGE(""https://docs.google.com/spreadsheets/d/1hb_taSOHanzRjqfzWPiFo8yiT83VV1L7vvUCLhOiHKc/edit?usp=sharing"",""อุดรธานี!I434"")"),1)</f>
        <v>1</v>
      </c>
      <c r="U50" s="57">
        <f ca="1">IFERROR(__xludf.DUMMYFUNCTION("IMPORTRANGE(""https://docs.google.com/spreadsheets/d/1hb_taSOHanzRjqfzWPiFo8yiT83VV1L7vvUCLhOiHKc/edit?usp=sharing"",""อุดรธานี!J433"")"),15)</f>
        <v>15</v>
      </c>
      <c r="V50" s="63">
        <f t="shared" ca="1" si="27"/>
        <v>100</v>
      </c>
      <c r="W50" s="57">
        <f ca="1">IFERROR(__xludf.DUMMYFUNCTION("IMPORTRANGE(""https://docs.google.com/spreadsheets/d/1hb_taSOHanzRjqfzWPiFo8yiT83VV1L7vvUCLhOiHKc/edit?usp=sharing"",""อุดรธานี!J434"")"),1)</f>
        <v>1</v>
      </c>
      <c r="X50" s="63">
        <f t="shared" ca="1" si="7"/>
        <v>100</v>
      </c>
      <c r="Y50" s="57">
        <f ca="1">IFERROR(__xludf.DUMMYFUNCTION("IMPORTRANGE(""https://docs.google.com/spreadsheets/d/1hb_taSOHanzRjqfzWPiFo8yiT83VV1L7vvUCLhOiHKc/edit?usp=sharing"",""อุดรธานี!I435"")"),15)</f>
        <v>15</v>
      </c>
      <c r="Z50" s="57">
        <f ca="1">IFERROR(__xludf.DUMMYFUNCTION("IMPORTRANGE(""https://docs.google.com/spreadsheets/d/1hb_taSOHanzRjqfzWPiFo8yiT83VV1L7vvUCLhOiHKc/edit?usp=sharing"",""อุดรธานี!J435"")"),15)</f>
        <v>15</v>
      </c>
      <c r="AA50" s="63">
        <f t="shared" ca="1" si="28"/>
        <v>100</v>
      </c>
      <c r="AB50" s="57">
        <f ca="1">IFERROR(__xludf.DUMMYFUNCTION("IMPORTRANGE(""https://docs.google.com/spreadsheets/d/1hb_taSOHanzRjqfzWPiFo8yiT83VV1L7vvUCLhOiHKc/edit?usp=sharing"",""อุดรธานี!I437"")"),0)</f>
        <v>0</v>
      </c>
      <c r="AC50" s="57">
        <f ca="1">IFERROR(__xludf.DUMMYFUNCTION("IMPORTRANGE(""https://docs.google.com/spreadsheets/d/1hb_taSOHanzRjqfzWPiFo8yiT83VV1L7vvUCLhOiHKc/edit?usp=sharing"",""อุดรธานี!I438"")"),0)</f>
        <v>0</v>
      </c>
      <c r="AD50" s="57">
        <f ca="1">IFERROR(__xludf.DUMMYFUNCTION("IMPORTRANGE(""https://docs.google.com/spreadsheets/d/1hb_taSOHanzRjqfzWPiFo8yiT83VV1L7vvUCLhOiHKc/edit?usp=sharing"",""อุดรธานี!J437"")"),15)</f>
        <v>15</v>
      </c>
      <c r="AE50" s="63">
        <f t="shared" ca="1" si="29"/>
        <v>0</v>
      </c>
      <c r="AF50" s="57">
        <f ca="1">IFERROR(__xludf.DUMMYFUNCTION("IMPORTRANGE(""https://docs.google.com/spreadsheets/d/1hb_taSOHanzRjqfzWPiFo8yiT83VV1L7vvUCLhOiHKc/edit?usp=sharing"",""อุดรธานี!J438"")"),0)</f>
        <v>0</v>
      </c>
      <c r="AG50" s="63">
        <f t="shared" ca="1" si="12"/>
        <v>0</v>
      </c>
      <c r="AH50" s="57">
        <f ca="1">IFERROR(__xludf.DUMMYFUNCTION("IMPORTRANGE(""https://docs.google.com/spreadsheets/d/1hb_taSOHanzRjqfzWPiFo8yiT83VV1L7vvUCLhOiHKc/edit?usp=sharing"",""อุดรธานี!I439"")"),15)</f>
        <v>15</v>
      </c>
      <c r="AI50" s="57">
        <f ca="1">IFERROR(__xludf.DUMMYFUNCTION("IMPORTRANGE(""https://docs.google.com/spreadsheets/d/1hb_taSOHanzRjqfzWPiFo8yiT83VV1L7vvUCLhOiHKc/edit?usp=sharing"",""อุดรธานี!I440"")"),1)</f>
        <v>1</v>
      </c>
      <c r="AJ50" s="57">
        <f ca="1">IFERROR(__xludf.DUMMYFUNCTION("IMPORTRANGE(""https://docs.google.com/spreadsheets/d/1hb_taSOHanzRjqfzWPiFo8yiT83VV1L7vvUCLhOiHKc/edit?usp=sharing"",""อุดรธานี!J439"")"),15)</f>
        <v>15</v>
      </c>
      <c r="AK50" s="63">
        <f t="shared" ca="1" si="30"/>
        <v>100</v>
      </c>
      <c r="AL50" s="57">
        <f ca="1">IFERROR(__xludf.DUMMYFUNCTION("IMPORTRANGE(""https://docs.google.com/spreadsheets/d/1hb_taSOHanzRjqfzWPiFo8yiT83VV1L7vvUCLhOiHKc/edit?usp=sharing"",""อุดรธานี!J440"")"),1)</f>
        <v>1</v>
      </c>
      <c r="AM50" s="63">
        <f t="shared" ca="1" si="15"/>
        <v>100</v>
      </c>
      <c r="AN50" s="57">
        <f ca="1">IFERROR(__xludf.DUMMYFUNCTION("IMPORTRANGE(""https://docs.google.com/spreadsheets/d/1hb_taSOHanzRjqfzWPiFo8yiT83VV1L7vvUCLhOiHKc/edit?usp=sharing"",""อุดรธานี!I441"")"),0)</f>
        <v>0</v>
      </c>
      <c r="AO50" s="57">
        <f ca="1">IFERROR(__xludf.DUMMYFUNCTION("IMPORTRANGE(""https://docs.google.com/spreadsheets/d/1hb_taSOHanzRjqfzWPiFo8yiT83VV1L7vvUCLhOiHKc/edit?usp=sharing"",""อุดรธานี!J441"")"),0)</f>
        <v>0</v>
      </c>
      <c r="AP50" s="63">
        <f t="shared" ca="1" si="31"/>
        <v>0</v>
      </c>
    </row>
    <row r="51" spans="1:42" ht="21" customHeight="1" x14ac:dyDescent="0.3">
      <c r="A51" s="65">
        <v>20</v>
      </c>
      <c r="B51" s="66" t="s">
        <v>72</v>
      </c>
      <c r="C51" s="67">
        <f t="shared" ca="1" si="51"/>
        <v>115060</v>
      </c>
      <c r="D51" s="68">
        <f ca="1">IFERROR(__xludf.DUMMYFUNCTION("IMPORTRANGE(""https://docs.google.com/spreadsheets/d/17IOkEwkUd63EGNfyNDnM5de9YlZ7rwzTiW6-dokVjKI/edit?usp=sharing"",""อุบลราชธานี!L424"")"),115060)</f>
        <v>115060</v>
      </c>
      <c r="E51" s="69">
        <f ca="1">IFERROR(__xludf.DUMMYFUNCTION("IMPORTRANGE(""https://docs.google.com/spreadsheets/d/17IOkEwkUd63EGNfyNDnM5de9YlZ7rwzTiW6-dokVjKI/edit?usp=sharing"",""อุบลราชธานี!L431"")"),0)</f>
        <v>0</v>
      </c>
      <c r="F51" s="69">
        <f ca="1">IFERROR(__xludf.DUMMYFUNCTION("IMPORTRANGE(""https://docs.google.com/spreadsheets/d/17IOkEwkUd63EGNfyNDnM5de9YlZ7rwzTiW6-dokVjKI/edit?usp=sharing"",""อุบลราชธานี!M424"")"),115060)</f>
        <v>115060</v>
      </c>
      <c r="G51" s="69">
        <f ca="1">IFERROR(__xludf.DUMMYFUNCTION("IMPORTRANGE(""https://docs.google.com/spreadsheets/d/17IOkEwkUd63EGNfyNDnM5de9YlZ7rwzTiW6-dokVjKI/edit?usp=sharing"",""อุบลราชธานี!M431"")"),0)</f>
        <v>0</v>
      </c>
      <c r="H51" s="70">
        <f t="shared" ca="1" si="26"/>
        <v>115060</v>
      </c>
      <c r="I51" s="71">
        <f t="shared" ca="1" si="1"/>
        <v>100</v>
      </c>
      <c r="J51" s="72">
        <f t="shared" ca="1" si="52"/>
        <v>115060</v>
      </c>
      <c r="K51" s="73">
        <f t="shared" ca="1" si="33"/>
        <v>100</v>
      </c>
      <c r="L51" s="73">
        <f t="shared" ca="1" si="34"/>
        <v>100</v>
      </c>
      <c r="M51" s="69">
        <f ca="1">IFERROR(__xludf.DUMMYFUNCTION("IMPORTRANGE(""https://docs.google.com/spreadsheets/d/17IOkEwkUd63EGNfyNDnM5de9YlZ7rwzTiW6-dokVjKI/edit?usp=sharing"",""อุบลราชธานี!N425"")"),83370)</f>
        <v>83370</v>
      </c>
      <c r="N51" s="69">
        <f ca="1">IFERROR(__xludf.DUMMYFUNCTION("IMPORTRANGE(""https://docs.google.com/spreadsheets/d/17IOkEwkUd63EGNfyNDnM5de9YlZ7rwzTiW6-dokVjKI/edit?usp=sharing"",""อุบลราชธานี!N426"")"),0)</f>
        <v>0</v>
      </c>
      <c r="O51" s="69">
        <f ca="1">IFERROR(__xludf.DUMMYFUNCTION("IMPORTRANGE(""https://docs.google.com/spreadsheets/d/17IOkEwkUd63EGNfyNDnM5de9YlZ7rwzTiW6-dokVjKI/edit?usp=sharing"",""อุบลราชธานี!N427"")"),0)</f>
        <v>0</v>
      </c>
      <c r="P51" s="69">
        <f ca="1">IFERROR(__xludf.DUMMYFUNCTION("IMPORTRANGE(""https://docs.google.com/spreadsheets/d/17IOkEwkUd63EGNfyNDnM5de9YlZ7rwzTiW6-dokVjKI/edit?usp=sharing"",""อุบลราชธานี!N428"")"),31690)</f>
        <v>31690</v>
      </c>
      <c r="Q51" s="74">
        <f ca="1">IFERROR(__xludf.DUMMYFUNCTION("IMPORTRANGE(""https://docs.google.com/spreadsheets/d/17IOkEwkUd63EGNfyNDnM5de9YlZ7rwzTiW6-dokVjKI/edit?usp=sharing"",""อุบลราชธานี!N431"")"),0)</f>
        <v>0</v>
      </c>
      <c r="R51" s="74">
        <f t="shared" ca="1" si="36"/>
        <v>0</v>
      </c>
      <c r="S51" s="68">
        <f ca="1">IFERROR(__xludf.DUMMYFUNCTION("IMPORTRANGE(""https://docs.google.com/spreadsheets/d/17IOkEwkUd63EGNfyNDnM5de9YlZ7rwzTiW6-dokVjKI/edit?usp=sharing"",""อุบลราชธานี!I433"")"),35)</f>
        <v>35</v>
      </c>
      <c r="T51" s="68">
        <f ca="1">IFERROR(__xludf.DUMMYFUNCTION("IMPORTRANGE(""https://docs.google.com/spreadsheets/d/17IOkEwkUd63EGNfyNDnM5de9YlZ7rwzTiW6-dokVjKI/edit?usp=sharing"",""อุบลราชธานี!I434"")"),1)</f>
        <v>1</v>
      </c>
      <c r="U51" s="68">
        <f ca="1">IFERROR(__xludf.DUMMYFUNCTION("IMPORTRANGE(""https://docs.google.com/spreadsheets/d/17IOkEwkUd63EGNfyNDnM5de9YlZ7rwzTiW6-dokVjKI/edit?usp=sharing"",""อุบลราชธานี!J433"")"),35)</f>
        <v>35</v>
      </c>
      <c r="V51" s="75">
        <f t="shared" ca="1" si="27"/>
        <v>100</v>
      </c>
      <c r="W51" s="68">
        <f ca="1">IFERROR(__xludf.DUMMYFUNCTION("IMPORTRANGE(""https://docs.google.com/spreadsheets/d/17IOkEwkUd63EGNfyNDnM5de9YlZ7rwzTiW6-dokVjKI/edit?usp=sharing"",""อุบลราชธานี!J434"")"),1)</f>
        <v>1</v>
      </c>
      <c r="X51" s="75">
        <f t="shared" ca="1" si="7"/>
        <v>100</v>
      </c>
      <c r="Y51" s="68">
        <f ca="1">IFERROR(__xludf.DUMMYFUNCTION("IMPORTRANGE(""https://docs.google.com/spreadsheets/d/17IOkEwkUd63EGNfyNDnM5de9YlZ7rwzTiW6-dokVjKI/edit?usp=sharing"",""อุบลราชธานี!I435"")"),35)</f>
        <v>35</v>
      </c>
      <c r="Z51" s="68">
        <f ca="1">IFERROR(__xludf.DUMMYFUNCTION("IMPORTRANGE(""https://docs.google.com/spreadsheets/d/17IOkEwkUd63EGNfyNDnM5de9YlZ7rwzTiW6-dokVjKI/edit?usp=sharing"",""อุบลราชธานี!J435"")"),35)</f>
        <v>35</v>
      </c>
      <c r="AA51" s="75">
        <f t="shared" ca="1" si="28"/>
        <v>100</v>
      </c>
      <c r="AB51" s="68">
        <f ca="1">IFERROR(__xludf.DUMMYFUNCTION("IMPORTRANGE(""https://docs.google.com/spreadsheets/d/17IOkEwkUd63EGNfyNDnM5de9YlZ7rwzTiW6-dokVjKI/edit?usp=sharing"",""อุบลราชธานี!I437"")"),0)</f>
        <v>0</v>
      </c>
      <c r="AC51" s="68">
        <f ca="1">IFERROR(__xludf.DUMMYFUNCTION("IMPORTRANGE(""https://docs.google.com/spreadsheets/d/17IOkEwkUd63EGNfyNDnM5de9YlZ7rwzTiW6-dokVjKI/edit?usp=sharing"",""อุบลราชธานี!I438"")"),0)</f>
        <v>0</v>
      </c>
      <c r="AD51" s="68">
        <f ca="1">IFERROR(__xludf.DUMMYFUNCTION("IMPORTRANGE(""https://docs.google.com/spreadsheets/d/17IOkEwkUd63EGNfyNDnM5de9YlZ7rwzTiW6-dokVjKI/edit?usp=sharing"",""อุบลราชธานี!J437"")"),0)</f>
        <v>0</v>
      </c>
      <c r="AE51" s="75">
        <f t="shared" ca="1" si="29"/>
        <v>0</v>
      </c>
      <c r="AF51" s="68">
        <f ca="1">IFERROR(__xludf.DUMMYFUNCTION("IMPORTRANGE(""https://docs.google.com/spreadsheets/d/17IOkEwkUd63EGNfyNDnM5de9YlZ7rwzTiW6-dokVjKI/edit?usp=sharing"",""อุบลราชธานี!J438"")"),0)</f>
        <v>0</v>
      </c>
      <c r="AG51" s="75">
        <f t="shared" ca="1" si="12"/>
        <v>0</v>
      </c>
      <c r="AH51" s="68">
        <f ca="1">IFERROR(__xludf.DUMMYFUNCTION("IMPORTRANGE(""https://docs.google.com/spreadsheets/d/17IOkEwkUd63EGNfyNDnM5de9YlZ7rwzTiW6-dokVjKI/edit?usp=sharing"",""อุบลราชธานี!I439"")"),35)</f>
        <v>35</v>
      </c>
      <c r="AI51" s="68">
        <f ca="1">IFERROR(__xludf.DUMMYFUNCTION("IMPORTRANGE(""https://docs.google.com/spreadsheets/d/17IOkEwkUd63EGNfyNDnM5de9YlZ7rwzTiW6-dokVjKI/edit?usp=sharing"",""อุบลราชธานี!I440"")"),1)</f>
        <v>1</v>
      </c>
      <c r="AJ51" s="68">
        <f ca="1">IFERROR(__xludf.DUMMYFUNCTION("IMPORTRANGE(""https://docs.google.com/spreadsheets/d/17IOkEwkUd63EGNfyNDnM5de9YlZ7rwzTiW6-dokVjKI/edit?usp=sharing"",""อุบลราชธานี!J439"")"),35)</f>
        <v>35</v>
      </c>
      <c r="AK51" s="75">
        <f t="shared" ca="1" si="30"/>
        <v>100</v>
      </c>
      <c r="AL51" s="68">
        <f ca="1">IFERROR(__xludf.DUMMYFUNCTION("IMPORTRANGE(""https://docs.google.com/spreadsheets/d/17IOkEwkUd63EGNfyNDnM5de9YlZ7rwzTiW6-dokVjKI/edit?usp=sharing"",""อุบลราชธานี!J440"")"),1)</f>
        <v>1</v>
      </c>
      <c r="AM51" s="75">
        <f t="shared" ca="1" si="15"/>
        <v>100</v>
      </c>
      <c r="AN51" s="68">
        <f ca="1">IFERROR(__xludf.DUMMYFUNCTION("IMPORTRANGE(""https://docs.google.com/spreadsheets/d/17IOkEwkUd63EGNfyNDnM5de9YlZ7rwzTiW6-dokVjKI/edit?usp=sharing"",""อุบลราชธานี!I441"")"),0)</f>
        <v>0</v>
      </c>
      <c r="AO51" s="68">
        <f ca="1">IFERROR(__xludf.DUMMYFUNCTION("IMPORTRANGE(""https://docs.google.com/spreadsheets/d/17IOkEwkUd63EGNfyNDnM5de9YlZ7rwzTiW6-dokVjKI/edit?usp=sharing"",""อุบลราชธานี!J441"")"),0)</f>
        <v>0</v>
      </c>
      <c r="AP51" s="75">
        <f t="shared" ca="1" si="31"/>
        <v>0</v>
      </c>
    </row>
    <row r="52" spans="1:42" ht="21" customHeight="1" x14ac:dyDescent="0.3">
      <c r="A52" s="186" t="s">
        <v>73</v>
      </c>
      <c r="B52" s="178"/>
      <c r="C52" s="76">
        <f t="shared" ref="C52:G52" ca="1" si="53">SUM(C53:C73)</f>
        <v>2267170</v>
      </c>
      <c r="D52" s="34">
        <f t="shared" ca="1" si="53"/>
        <v>2267170</v>
      </c>
      <c r="E52" s="34">
        <f t="shared" ca="1" si="53"/>
        <v>0</v>
      </c>
      <c r="F52" s="34">
        <f t="shared" ca="1" si="53"/>
        <v>2244470</v>
      </c>
      <c r="G52" s="34">
        <f t="shared" ca="1" si="53"/>
        <v>0</v>
      </c>
      <c r="H52" s="34">
        <f t="shared" ca="1" si="26"/>
        <v>1826633.54</v>
      </c>
      <c r="I52" s="35">
        <f t="shared" ca="1" si="1"/>
        <v>80.568882792203496</v>
      </c>
      <c r="J52" s="34">
        <f ca="1">SUM(J53:J73)</f>
        <v>1826633.54</v>
      </c>
      <c r="K52" s="35">
        <f t="shared" ca="1" si="33"/>
        <v>80.568882792203496</v>
      </c>
      <c r="L52" s="35">
        <f t="shared" ca="1" si="34"/>
        <v>81.383736026768005</v>
      </c>
      <c r="M52" s="34">
        <f t="shared" ref="M52:Q52" ca="1" si="54">SUM(M53:M73)</f>
        <v>1536905.4</v>
      </c>
      <c r="N52" s="34">
        <f t="shared" ca="1" si="54"/>
        <v>9900</v>
      </c>
      <c r="O52" s="34">
        <f t="shared" ca="1" si="54"/>
        <v>0</v>
      </c>
      <c r="P52" s="34">
        <f t="shared" ca="1" si="54"/>
        <v>279828.14</v>
      </c>
      <c r="Q52" s="36">
        <f t="shared" ca="1" si="54"/>
        <v>0</v>
      </c>
      <c r="R52" s="36">
        <f t="shared" ca="1" si="36"/>
        <v>0</v>
      </c>
      <c r="S52" s="34">
        <f t="shared" ref="S52:U52" ca="1" si="55">SUM(S53:S73)</f>
        <v>585</v>
      </c>
      <c r="T52" s="34">
        <f t="shared" ca="1" si="55"/>
        <v>27</v>
      </c>
      <c r="U52" s="34">
        <f t="shared" ca="1" si="55"/>
        <v>550</v>
      </c>
      <c r="V52" s="37">
        <f t="shared" ca="1" si="27"/>
        <v>94.017094017094024</v>
      </c>
      <c r="W52" s="34">
        <f ca="1">SUM(W53:W73)</f>
        <v>29</v>
      </c>
      <c r="X52" s="37">
        <f t="shared" ca="1" si="7"/>
        <v>107.4074074074074</v>
      </c>
      <c r="Y52" s="34">
        <f t="shared" ref="Y52:Z52" ca="1" si="56">SUM(Y53:Y73)</f>
        <v>585</v>
      </c>
      <c r="Z52" s="34">
        <f t="shared" ca="1" si="56"/>
        <v>586</v>
      </c>
      <c r="AA52" s="37">
        <f t="shared" ca="1" si="28"/>
        <v>100.17094017094017</v>
      </c>
      <c r="AB52" s="34">
        <f t="shared" ref="AB52:AD52" ca="1" si="57">SUM(AB53:AB73)</f>
        <v>210</v>
      </c>
      <c r="AC52" s="34">
        <f t="shared" ca="1" si="57"/>
        <v>5</v>
      </c>
      <c r="AD52" s="34">
        <f t="shared" ca="1" si="57"/>
        <v>210</v>
      </c>
      <c r="AE52" s="37">
        <f t="shared" ca="1" si="29"/>
        <v>100</v>
      </c>
      <c r="AF52" s="34">
        <f ca="1">SUM(AF53:AF73)</f>
        <v>5</v>
      </c>
      <c r="AG52" s="37">
        <f t="shared" ca="1" si="12"/>
        <v>100</v>
      </c>
      <c r="AH52" s="34">
        <f t="shared" ref="AH52:AJ52" ca="1" si="58">SUM(AH53:AH73)</f>
        <v>375</v>
      </c>
      <c r="AI52" s="34">
        <f t="shared" ca="1" si="58"/>
        <v>22</v>
      </c>
      <c r="AJ52" s="34">
        <f t="shared" ca="1" si="58"/>
        <v>391</v>
      </c>
      <c r="AK52" s="37">
        <f t="shared" ca="1" si="30"/>
        <v>104.26666666666667</v>
      </c>
      <c r="AL52" s="34">
        <f ca="1">SUM(AL53:AL73)</f>
        <v>24</v>
      </c>
      <c r="AM52" s="37">
        <f t="shared" ca="1" si="15"/>
        <v>109.09090909090909</v>
      </c>
      <c r="AN52" s="34">
        <f t="shared" ref="AN52:AO52" ca="1" si="59">SUM(AN53:AN73)</f>
        <v>0</v>
      </c>
      <c r="AO52" s="34">
        <f t="shared" ca="1" si="59"/>
        <v>0</v>
      </c>
      <c r="AP52" s="37">
        <f t="shared" ca="1" si="31"/>
        <v>0</v>
      </c>
    </row>
    <row r="53" spans="1:42" ht="21" customHeight="1" x14ac:dyDescent="0.3">
      <c r="A53" s="54">
        <v>1</v>
      </c>
      <c r="B53" s="55" t="s">
        <v>74</v>
      </c>
      <c r="C53" s="56">
        <f t="shared" ref="C53:C73" ca="1" si="60">D53+E53</f>
        <v>95860</v>
      </c>
      <c r="D53" s="57">
        <f ca="1">IFERROR(__xludf.DUMMYFUNCTION("IMPORTRANGE(""https://docs.google.com/spreadsheets/d/1hKO5uv94SSRZWOvrh72HRcpyoEQF9TsE_Cvxl77XNU4/edit?usp=sharing"",""กาญจนบุรี!L424"")"),95860)</f>
        <v>95860</v>
      </c>
      <c r="E53" s="57">
        <f ca="1">IFERROR(__xludf.DUMMYFUNCTION("IMPORTRANGE(""https://docs.google.com/spreadsheets/d/1hKO5uv94SSRZWOvrh72HRcpyoEQF9TsE_Cvxl77XNU4/edit?usp=sharing"",""กาญจนบุรี!L431"")"),0)</f>
        <v>0</v>
      </c>
      <c r="F53" s="57">
        <f ca="1">IFERROR(__xludf.DUMMYFUNCTION("IMPORTRANGE(""https://docs.google.com/spreadsheets/d/1hKO5uv94SSRZWOvrh72HRcpyoEQF9TsE_Cvxl77XNU4/edit?usp=sharing"",""กาญจนบุรี!M424"")"),95860)</f>
        <v>95860</v>
      </c>
      <c r="G53" s="57">
        <f ca="1">IFERROR(__xludf.DUMMYFUNCTION("IMPORTRANGE(""https://docs.google.com/spreadsheets/d/1hKO5uv94SSRZWOvrh72HRcpyoEQF9TsE_Cvxl77XNU4/edit?usp=sharing"",""กาญจนบุรี!M431"")"),0)</f>
        <v>0</v>
      </c>
      <c r="H53" s="58">
        <f t="shared" ca="1" si="26"/>
        <v>49200</v>
      </c>
      <c r="I53" s="59">
        <f t="shared" ca="1" si="1"/>
        <v>51.324848737742542</v>
      </c>
      <c r="J53" s="60">
        <f t="shared" ref="J53:J73" ca="1" si="61">M53+N53+O53+P53</f>
        <v>49200</v>
      </c>
      <c r="K53" s="61">
        <f t="shared" ca="1" si="33"/>
        <v>51.324848737742542</v>
      </c>
      <c r="L53" s="61">
        <f t="shared" ca="1" si="34"/>
        <v>51.324848737742542</v>
      </c>
      <c r="M53" s="57">
        <f ca="1">IFERROR(__xludf.DUMMYFUNCTION("IMPORTRANGE(""https://docs.google.com/spreadsheets/d/1hKO5uv94SSRZWOvrh72HRcpyoEQF9TsE_Cvxl77XNU4/edit?usp=sharing"",""กาญจนบุรี!N425"")"),49200)</f>
        <v>49200</v>
      </c>
      <c r="N53" s="57">
        <f ca="1">IFERROR(__xludf.DUMMYFUNCTION("IMPORTRANGE(""https://docs.google.com/spreadsheets/d/1hKO5uv94SSRZWOvrh72HRcpyoEQF9TsE_Cvxl77XNU4/edit?usp=sharing"",""กาญจนบุรี!N426"")"),0)</f>
        <v>0</v>
      </c>
      <c r="O53" s="57">
        <f ca="1">IFERROR(__xludf.DUMMYFUNCTION("IMPORTRANGE(""https://docs.google.com/spreadsheets/d/1hKO5uv94SSRZWOvrh72HRcpyoEQF9TsE_Cvxl77XNU4/edit?usp=sharing"",""กาญจนบุรี!N427"")"),0)</f>
        <v>0</v>
      </c>
      <c r="P53" s="57">
        <f ca="1">IFERROR(__xludf.DUMMYFUNCTION("IMPORTRANGE(""https://docs.google.com/spreadsheets/d/1hKO5uv94SSRZWOvrh72HRcpyoEQF9TsE_Cvxl77XNU4/edit?usp=sharing"",""กาญจนบุรี!N428"")"),0)</f>
        <v>0</v>
      </c>
      <c r="Q53" s="62">
        <f ca="1">IFERROR(__xludf.DUMMYFUNCTION("IMPORTRANGE(""https://docs.google.com/spreadsheets/d/1hKO5uv94SSRZWOvrh72HRcpyoEQF9TsE_Cvxl77XNU4/edit?usp=sharing"",""กาญจนบุรี!N431"")"),0)</f>
        <v>0</v>
      </c>
      <c r="R53" s="62">
        <f t="shared" ca="1" si="36"/>
        <v>0</v>
      </c>
      <c r="S53" s="57">
        <f ca="1">IFERROR(__xludf.DUMMYFUNCTION("IMPORTRANGE(""https://docs.google.com/spreadsheets/d/1hKO5uv94SSRZWOvrh72HRcpyoEQF9TsE_Cvxl77XNU4/edit?usp=sharing"",""กาญจนบุรี!I433"")"),20)</f>
        <v>20</v>
      </c>
      <c r="T53" s="57">
        <f ca="1">IFERROR(__xludf.DUMMYFUNCTION("IMPORTRANGE(""https://docs.google.com/spreadsheets/d/1hKO5uv94SSRZWOvrh72HRcpyoEQF9TsE_Cvxl77XNU4/edit?usp=sharing"",""กาญจนบุรี!I434"")"),1)</f>
        <v>1</v>
      </c>
      <c r="U53" s="57">
        <f ca="1">IFERROR(__xludf.DUMMYFUNCTION("IMPORTRANGE(""https://docs.google.com/spreadsheets/d/1hKO5uv94SSRZWOvrh72HRcpyoEQF9TsE_Cvxl77XNU4/edit?usp=sharing"",""กาญจนบุรี!J433"")"),20)</f>
        <v>20</v>
      </c>
      <c r="V53" s="63">
        <f t="shared" ca="1" si="27"/>
        <v>100</v>
      </c>
      <c r="W53" s="57">
        <f ca="1">IFERROR(__xludf.DUMMYFUNCTION("IMPORTRANGE(""https://docs.google.com/spreadsheets/d/1hKO5uv94SSRZWOvrh72HRcpyoEQF9TsE_Cvxl77XNU4/edit?usp=sharing"",""กาญจนบุรี!J434"")"),1)</f>
        <v>1</v>
      </c>
      <c r="X53" s="63">
        <f t="shared" ca="1" si="7"/>
        <v>100</v>
      </c>
      <c r="Y53" s="57">
        <f ca="1">IFERROR(__xludf.DUMMYFUNCTION("IMPORTRANGE(""https://docs.google.com/spreadsheets/d/1hKO5uv94SSRZWOvrh72HRcpyoEQF9TsE_Cvxl77XNU4/edit?usp=sharing"",""กาญจนบุรี!I435"")"),20)</f>
        <v>20</v>
      </c>
      <c r="Z53" s="57">
        <f ca="1">IFERROR(__xludf.DUMMYFUNCTION("IMPORTRANGE(""https://docs.google.com/spreadsheets/d/1hKO5uv94SSRZWOvrh72HRcpyoEQF9TsE_Cvxl77XNU4/edit?usp=sharing"",""กาญจนบุรี!J435"")"),20)</f>
        <v>20</v>
      </c>
      <c r="AA53" s="63">
        <f t="shared" ca="1" si="28"/>
        <v>100</v>
      </c>
      <c r="AB53" s="57">
        <f ca="1">IFERROR(__xludf.DUMMYFUNCTION("IMPORTRANGE(""https://docs.google.com/spreadsheets/d/1hKO5uv94SSRZWOvrh72HRcpyoEQF9TsE_Cvxl77XNU4/edit?usp=sharing"",""กาญจนบุรี!I437"")"),0)</f>
        <v>0</v>
      </c>
      <c r="AC53" s="57">
        <f ca="1">IFERROR(__xludf.DUMMYFUNCTION("IMPORTRANGE(""https://docs.google.com/spreadsheets/d/1hKO5uv94SSRZWOvrh72HRcpyoEQF9TsE_Cvxl77XNU4/edit?usp=sharing"",""กาญจนบุรี!I438"")"),0)</f>
        <v>0</v>
      </c>
      <c r="AD53" s="57">
        <f ca="1">IFERROR(__xludf.DUMMYFUNCTION("IMPORTRANGE(""https://docs.google.com/spreadsheets/d/1hKO5uv94SSRZWOvrh72HRcpyoEQF9TsE_Cvxl77XNU4/edit?usp=sharing"",""กาญจนบุรี!J437"")"),0)</f>
        <v>0</v>
      </c>
      <c r="AE53" s="63">
        <f t="shared" ca="1" si="29"/>
        <v>0</v>
      </c>
      <c r="AF53" s="57">
        <f ca="1">IFERROR(__xludf.DUMMYFUNCTION("IMPORTRANGE(""https://docs.google.com/spreadsheets/d/1hKO5uv94SSRZWOvrh72HRcpyoEQF9TsE_Cvxl77XNU4/edit?usp=sharing"",""กาญจนบุรี!J438"")"),0)</f>
        <v>0</v>
      </c>
      <c r="AG53" s="63">
        <f t="shared" ca="1" si="12"/>
        <v>0</v>
      </c>
      <c r="AH53" s="57">
        <f ca="1">IFERROR(__xludf.DUMMYFUNCTION("IMPORTRANGE(""https://docs.google.com/spreadsheets/d/1hKO5uv94SSRZWOvrh72HRcpyoEQF9TsE_Cvxl77XNU4/edit?usp=sharing"",""กาญจนบุรี!I439"")"),20)</f>
        <v>20</v>
      </c>
      <c r="AI53" s="57">
        <f ca="1">IFERROR(__xludf.DUMMYFUNCTION("IMPORTRANGE(""https://docs.google.com/spreadsheets/d/1hKO5uv94SSRZWOvrh72HRcpyoEQF9TsE_Cvxl77XNU4/edit?usp=sharing"",""กาญจนบุรี!I440"")"),1)</f>
        <v>1</v>
      </c>
      <c r="AJ53" s="57">
        <f ca="1">IFERROR(__xludf.DUMMYFUNCTION("IMPORTRANGE(""https://docs.google.com/spreadsheets/d/1hKO5uv94SSRZWOvrh72HRcpyoEQF9TsE_Cvxl77XNU4/edit?usp=sharing"",""กาญจนบุรี!J439"")"),20)</f>
        <v>20</v>
      </c>
      <c r="AK53" s="63">
        <f t="shared" ca="1" si="30"/>
        <v>100</v>
      </c>
      <c r="AL53" s="57">
        <f ca="1">IFERROR(__xludf.DUMMYFUNCTION("IMPORTRANGE(""https://docs.google.com/spreadsheets/d/1hKO5uv94SSRZWOvrh72HRcpyoEQF9TsE_Cvxl77XNU4/edit?usp=sharing"",""กาญจนบุรี!J440"")"),1)</f>
        <v>1</v>
      </c>
      <c r="AM53" s="63">
        <f t="shared" ca="1" si="15"/>
        <v>100</v>
      </c>
      <c r="AN53" s="57">
        <f ca="1">IFERROR(__xludf.DUMMYFUNCTION("IMPORTRANGE(""https://docs.google.com/spreadsheets/d/1hKO5uv94SSRZWOvrh72HRcpyoEQF9TsE_Cvxl77XNU4/edit?usp=sharing"",""กาญจนบุรี!I441"")"),0)</f>
        <v>0</v>
      </c>
      <c r="AO53" s="57">
        <f ca="1">IFERROR(__xludf.DUMMYFUNCTION("IMPORTRANGE(""https://docs.google.com/spreadsheets/d/1hKO5uv94SSRZWOvrh72HRcpyoEQF9TsE_Cvxl77XNU4/edit?usp=sharing"",""กาญจนบุรี!J441"")"),0)</f>
        <v>0</v>
      </c>
      <c r="AP53" s="63">
        <f t="shared" ca="1" si="31"/>
        <v>0</v>
      </c>
    </row>
    <row r="54" spans="1:42" ht="21" customHeight="1" x14ac:dyDescent="0.3">
      <c r="A54" s="54">
        <v>2</v>
      </c>
      <c r="B54" s="55" t="s">
        <v>75</v>
      </c>
      <c r="C54" s="56">
        <f t="shared" ca="1" si="60"/>
        <v>78660</v>
      </c>
      <c r="D54" s="57">
        <f ca="1">IFERROR(__xludf.DUMMYFUNCTION("IMPORTRANGE(""https://docs.google.com/spreadsheets/d/1njBaP_xXd-Uotvo2D9zb01TTCFkLJLDK97Tk1l9Qux0/edit?usp=sharing"",""จันทบุรี!L424"")"),78660)</f>
        <v>78660</v>
      </c>
      <c r="E54" s="64">
        <f ca="1">IFERROR(__xludf.DUMMYFUNCTION("IMPORTRANGE(""https://docs.google.com/spreadsheets/d/1njBaP_xXd-Uotvo2D9zb01TTCFkLJLDK97Tk1l9Qux0/edit?usp=sharing"",""จันทบุรี!L431"")"),0)</f>
        <v>0</v>
      </c>
      <c r="F54" s="64">
        <f ca="1">IFERROR(__xludf.DUMMYFUNCTION("IMPORTRANGE(""https://docs.google.com/spreadsheets/d/1njBaP_xXd-Uotvo2D9zb01TTCFkLJLDK97Tk1l9Qux0/edit?usp=sharing"",""จันทบุรี!M424"")"),78660)</f>
        <v>78660</v>
      </c>
      <c r="G54" s="64">
        <f ca="1">IFERROR(__xludf.DUMMYFUNCTION("IMPORTRANGE(""https://docs.google.com/spreadsheets/d/1njBaP_xXd-Uotvo2D9zb01TTCFkLJLDK97Tk1l9Qux0/edit?usp=sharing"",""จันทบุรี!M431"")"),0)</f>
        <v>0</v>
      </c>
      <c r="H54" s="58">
        <f t="shared" ca="1" si="26"/>
        <v>52710</v>
      </c>
      <c r="I54" s="59">
        <f t="shared" ca="1" si="1"/>
        <v>67.009916094584284</v>
      </c>
      <c r="J54" s="60">
        <f t="shared" ca="1" si="61"/>
        <v>52710</v>
      </c>
      <c r="K54" s="61">
        <f t="shared" ca="1" si="33"/>
        <v>67.009916094584284</v>
      </c>
      <c r="L54" s="61">
        <f t="shared" ca="1" si="34"/>
        <v>67.009916094584284</v>
      </c>
      <c r="M54" s="64">
        <f ca="1">IFERROR(__xludf.DUMMYFUNCTION("IMPORTRANGE(""https://docs.google.com/spreadsheets/d/1njBaP_xXd-Uotvo2D9zb01TTCFkLJLDK97Tk1l9Qux0/edit?usp=sharing"",""จันทบุรี!N425"")"),50610)</f>
        <v>50610</v>
      </c>
      <c r="N54" s="64">
        <f ca="1">IFERROR(__xludf.DUMMYFUNCTION("IMPORTRANGE(""https://docs.google.com/spreadsheets/d/1njBaP_xXd-Uotvo2D9zb01TTCFkLJLDK97Tk1l9Qux0/edit?usp=sharing"",""จันทบุรี!N426"")"),0)</f>
        <v>0</v>
      </c>
      <c r="O54" s="64">
        <f ca="1">IFERROR(__xludf.DUMMYFUNCTION("IMPORTRANGE(""https://docs.google.com/spreadsheets/d/1njBaP_xXd-Uotvo2D9zb01TTCFkLJLDK97Tk1l9Qux0/edit?usp=sharing"",""จันทบุรี!N427"")"),0)</f>
        <v>0</v>
      </c>
      <c r="P54" s="64">
        <f ca="1">IFERROR(__xludf.DUMMYFUNCTION("IMPORTRANGE(""https://docs.google.com/spreadsheets/d/1njBaP_xXd-Uotvo2D9zb01TTCFkLJLDK97Tk1l9Qux0/edit?usp=sharing"",""จันทบุรี!N428"")"),2100)</f>
        <v>2100</v>
      </c>
      <c r="Q54" s="62">
        <f ca="1">IFERROR(__xludf.DUMMYFUNCTION("IMPORTRANGE(""https://docs.google.com/spreadsheets/d/1njBaP_xXd-Uotvo2D9zb01TTCFkLJLDK97Tk1l9Qux0/edit?usp=sharing"",""จันทบุรี!N431"")"),0)</f>
        <v>0</v>
      </c>
      <c r="R54" s="62">
        <f t="shared" ca="1" si="36"/>
        <v>0</v>
      </c>
      <c r="S54" s="57">
        <f ca="1">IFERROR(__xludf.DUMMYFUNCTION("IMPORTRANGE(""https://docs.google.com/spreadsheets/d/1njBaP_xXd-Uotvo2D9zb01TTCFkLJLDK97Tk1l9Qux0/edit?usp=sharing"",""จันทบุรี!I433"")"),20)</f>
        <v>20</v>
      </c>
      <c r="T54" s="57">
        <f ca="1">IFERROR(__xludf.DUMMYFUNCTION("IMPORTRANGE(""https://docs.google.com/spreadsheets/d/1njBaP_xXd-Uotvo2D9zb01TTCFkLJLDK97Tk1l9Qux0/edit?usp=sharing"",""จันทบุรี!I434"")"),1)</f>
        <v>1</v>
      </c>
      <c r="U54" s="57">
        <f ca="1">IFERROR(__xludf.DUMMYFUNCTION("IMPORTRANGE(""https://docs.google.com/spreadsheets/d/1njBaP_xXd-Uotvo2D9zb01TTCFkLJLDK97Tk1l9Qux0/edit?usp=sharing"",""จันทบุรี!J433"")"),20)</f>
        <v>20</v>
      </c>
      <c r="V54" s="63">
        <f t="shared" ca="1" si="27"/>
        <v>100</v>
      </c>
      <c r="W54" s="57">
        <f ca="1">IFERROR(__xludf.DUMMYFUNCTION("IMPORTRANGE(""https://docs.google.com/spreadsheets/d/1njBaP_xXd-Uotvo2D9zb01TTCFkLJLDK97Tk1l9Qux0/edit?usp=sharing"",""จันทบุรี!J434"")"),1)</f>
        <v>1</v>
      </c>
      <c r="X54" s="63">
        <f t="shared" ca="1" si="7"/>
        <v>100</v>
      </c>
      <c r="Y54" s="57">
        <f ca="1">IFERROR(__xludf.DUMMYFUNCTION("IMPORTRANGE(""https://docs.google.com/spreadsheets/d/1njBaP_xXd-Uotvo2D9zb01TTCFkLJLDK97Tk1l9Qux0/edit?usp=sharing"",""จันทบุรี!I435"")"),20)</f>
        <v>20</v>
      </c>
      <c r="Z54" s="57">
        <f ca="1">IFERROR(__xludf.DUMMYFUNCTION("IMPORTRANGE(""https://docs.google.com/spreadsheets/d/1njBaP_xXd-Uotvo2D9zb01TTCFkLJLDK97Tk1l9Qux0/edit?usp=sharing"",""จันทบุรี!J435"")"),20)</f>
        <v>20</v>
      </c>
      <c r="AA54" s="63">
        <f t="shared" ca="1" si="28"/>
        <v>100</v>
      </c>
      <c r="AB54" s="57">
        <f ca="1">IFERROR(__xludf.DUMMYFUNCTION("IMPORTRANGE(""https://docs.google.com/spreadsheets/d/1njBaP_xXd-Uotvo2D9zb01TTCFkLJLDK97Tk1l9Qux0/edit?usp=sharing"",""จันทบุรี!I437"")"),0)</f>
        <v>0</v>
      </c>
      <c r="AC54" s="57">
        <f ca="1">IFERROR(__xludf.DUMMYFUNCTION("IMPORTRANGE(""https://docs.google.com/spreadsheets/d/1njBaP_xXd-Uotvo2D9zb01TTCFkLJLDK97Tk1l9Qux0/edit?usp=sharing"",""จันทบุรี!I438"")"),0)</f>
        <v>0</v>
      </c>
      <c r="AD54" s="57">
        <f ca="1">IFERROR(__xludf.DUMMYFUNCTION("IMPORTRANGE(""https://docs.google.com/spreadsheets/d/1njBaP_xXd-Uotvo2D9zb01TTCFkLJLDK97Tk1l9Qux0/edit?usp=sharing"",""จันทบุรี!J437"")"),0)</f>
        <v>0</v>
      </c>
      <c r="AE54" s="63">
        <f t="shared" ca="1" si="29"/>
        <v>0</v>
      </c>
      <c r="AF54" s="57">
        <f ca="1">IFERROR(__xludf.DUMMYFUNCTION("IMPORTRANGE(""https://docs.google.com/spreadsheets/d/1njBaP_xXd-Uotvo2D9zb01TTCFkLJLDK97Tk1l9Qux0/edit?usp=sharing"",""จันทบุรี!J438"")"),0)</f>
        <v>0</v>
      </c>
      <c r="AG54" s="63">
        <f t="shared" ca="1" si="12"/>
        <v>0</v>
      </c>
      <c r="AH54" s="57">
        <f ca="1">IFERROR(__xludf.DUMMYFUNCTION("IMPORTRANGE(""https://docs.google.com/spreadsheets/d/1njBaP_xXd-Uotvo2D9zb01TTCFkLJLDK97Tk1l9Qux0/edit?usp=sharing"",""จันทบุรี!I439"")"),20)</f>
        <v>20</v>
      </c>
      <c r="AI54" s="57">
        <f ca="1">IFERROR(__xludf.DUMMYFUNCTION("IMPORTRANGE(""https://docs.google.com/spreadsheets/d/1njBaP_xXd-Uotvo2D9zb01TTCFkLJLDK97Tk1l9Qux0/edit?usp=sharing"",""จันทบุรี!I440"")"),1)</f>
        <v>1</v>
      </c>
      <c r="AJ54" s="57">
        <f ca="1">IFERROR(__xludf.DUMMYFUNCTION("IMPORTRANGE(""https://docs.google.com/spreadsheets/d/1njBaP_xXd-Uotvo2D9zb01TTCFkLJLDK97Tk1l9Qux0/edit?usp=sharing"",""จันทบุรี!J439"")"),20)</f>
        <v>20</v>
      </c>
      <c r="AK54" s="63">
        <f t="shared" ca="1" si="30"/>
        <v>100</v>
      </c>
      <c r="AL54" s="57">
        <f ca="1">IFERROR(__xludf.DUMMYFUNCTION("IMPORTRANGE(""https://docs.google.com/spreadsheets/d/1njBaP_xXd-Uotvo2D9zb01TTCFkLJLDK97Tk1l9Qux0/edit?usp=sharing"",""จันทบุรี!J440"")"),1)</f>
        <v>1</v>
      </c>
      <c r="AM54" s="63">
        <f t="shared" ca="1" si="15"/>
        <v>100</v>
      </c>
      <c r="AN54" s="57">
        <f ca="1">IFERROR(__xludf.DUMMYFUNCTION("IMPORTRANGE(""https://docs.google.com/spreadsheets/d/1njBaP_xXd-Uotvo2D9zb01TTCFkLJLDK97Tk1l9Qux0/edit?usp=sharing"",""จันทบุรี!I441"")"),0)</f>
        <v>0</v>
      </c>
      <c r="AO54" s="57">
        <f ca="1">IFERROR(__xludf.DUMMYFUNCTION("IMPORTRANGE(""https://docs.google.com/spreadsheets/d/1njBaP_xXd-Uotvo2D9zb01TTCFkLJLDK97Tk1l9Qux0/edit?usp=sharing"",""จันทบุรี!J441"")"),0)</f>
        <v>0</v>
      </c>
      <c r="AP54" s="63">
        <f t="shared" ca="1" si="31"/>
        <v>0</v>
      </c>
    </row>
    <row r="55" spans="1:42" ht="21" customHeight="1" x14ac:dyDescent="0.3">
      <c r="A55" s="54">
        <v>3</v>
      </c>
      <c r="B55" s="55" t="s">
        <v>76</v>
      </c>
      <c r="C55" s="56">
        <f t="shared" ca="1" si="60"/>
        <v>133680</v>
      </c>
      <c r="D55" s="57">
        <f ca="1">IFERROR(__xludf.DUMMYFUNCTION("IMPORTRANGE(""https://docs.google.com/spreadsheets/d/14xp6qUzrGFnUk_qnc1eEmfiaNRd4_grkhpfQH_46fa8/edit?usp=sharing"",""ฉะเชิงเทรา!L424"")"),133680)</f>
        <v>133680</v>
      </c>
      <c r="E55" s="64">
        <f ca="1">IFERROR(__xludf.DUMMYFUNCTION("IMPORTRANGE(""https://docs.google.com/spreadsheets/d/14xp6qUzrGFnUk_qnc1eEmfiaNRd4_grkhpfQH_46fa8/edit?usp=sharing"",""ฉะเชิงเทรา!L431"")"),0)</f>
        <v>0</v>
      </c>
      <c r="F55" s="64">
        <f ca="1">IFERROR(__xludf.DUMMYFUNCTION("IMPORTRANGE(""https://docs.google.com/spreadsheets/d/14xp6qUzrGFnUk_qnc1eEmfiaNRd4_grkhpfQH_46fa8/edit?usp=sharing"",""ฉะเชิงเทรา!M424"")"),133680)</f>
        <v>133680</v>
      </c>
      <c r="G55" s="64">
        <f ca="1">IFERROR(__xludf.DUMMYFUNCTION("IMPORTRANGE(""https://docs.google.com/spreadsheets/d/14xp6qUzrGFnUk_qnc1eEmfiaNRd4_grkhpfQH_46fa8/edit?usp=sharing"",""ฉะเชิงเทรา!M431"")"),0)</f>
        <v>0</v>
      </c>
      <c r="H55" s="58">
        <f t="shared" ca="1" si="26"/>
        <v>122570.1</v>
      </c>
      <c r="I55" s="59">
        <f t="shared" ca="1" si="1"/>
        <v>91.68918312387791</v>
      </c>
      <c r="J55" s="60">
        <f t="shared" ca="1" si="61"/>
        <v>122570.1</v>
      </c>
      <c r="K55" s="61">
        <f t="shared" ca="1" si="33"/>
        <v>91.68918312387791</v>
      </c>
      <c r="L55" s="61">
        <f t="shared" ca="1" si="34"/>
        <v>91.68918312387791</v>
      </c>
      <c r="M55" s="64">
        <f ca="1">IFERROR(__xludf.DUMMYFUNCTION("IMPORTRANGE(""https://docs.google.com/spreadsheets/d/14xp6qUzrGFnUk_qnc1eEmfiaNRd4_grkhpfQH_46fa8/edit?usp=sharing"",""ฉะเชิงเทรา!N425"")"),99620)</f>
        <v>99620</v>
      </c>
      <c r="N55" s="64">
        <f ca="1">IFERROR(__xludf.DUMMYFUNCTION("IMPORTRANGE(""https://docs.google.com/spreadsheets/d/14xp6qUzrGFnUk_qnc1eEmfiaNRd4_grkhpfQH_46fa8/edit?usp=sharing"",""ฉะเชิงเทรา!N426"")"),0)</f>
        <v>0</v>
      </c>
      <c r="O55" s="64">
        <f ca="1">IFERROR(__xludf.DUMMYFUNCTION("IMPORTRANGE(""https://docs.google.com/spreadsheets/d/14xp6qUzrGFnUk_qnc1eEmfiaNRd4_grkhpfQH_46fa8/edit?usp=sharing"",""ฉะเชิงเทรา!N427"")"),0)</f>
        <v>0</v>
      </c>
      <c r="P55" s="64">
        <f ca="1">IFERROR(__xludf.DUMMYFUNCTION("IMPORTRANGE(""https://docs.google.com/spreadsheets/d/14xp6qUzrGFnUk_qnc1eEmfiaNRd4_grkhpfQH_46fa8/edit?usp=sharing"",""ฉะเชิงเทรา!N428"")"),22950.1)</f>
        <v>22950.1</v>
      </c>
      <c r="Q55" s="62">
        <f ca="1">IFERROR(__xludf.DUMMYFUNCTION("IMPORTRANGE(""https://docs.google.com/spreadsheets/d/14xp6qUzrGFnUk_qnc1eEmfiaNRd4_grkhpfQH_46fa8/edit?usp=sharing"",""ฉะเชิงเทรา!N431"")"),0)</f>
        <v>0</v>
      </c>
      <c r="R55" s="62">
        <f t="shared" ca="1" si="36"/>
        <v>0</v>
      </c>
      <c r="S55" s="57">
        <f ca="1">IFERROR(__xludf.DUMMYFUNCTION("IMPORTRANGE(""https://docs.google.com/spreadsheets/d/14xp6qUzrGFnUk_qnc1eEmfiaNRd4_grkhpfQH_46fa8/edit?usp=sharing"",""ฉะเชิงเทรา!I433"")"),40)</f>
        <v>40</v>
      </c>
      <c r="T55" s="57">
        <f ca="1">IFERROR(__xludf.DUMMYFUNCTION("IMPORTRANGE(""https://docs.google.com/spreadsheets/d/14xp6qUzrGFnUk_qnc1eEmfiaNRd4_grkhpfQH_46fa8/edit?usp=sharing"",""ฉะเชิงเทรา!I434"")"),2)</f>
        <v>2</v>
      </c>
      <c r="U55" s="57">
        <f ca="1">IFERROR(__xludf.DUMMYFUNCTION("IMPORTRANGE(""https://docs.google.com/spreadsheets/d/14xp6qUzrGFnUk_qnc1eEmfiaNRd4_grkhpfQH_46fa8/edit?usp=sharing"",""ฉะเชิงเทรา!J433"")"),40)</f>
        <v>40</v>
      </c>
      <c r="V55" s="63">
        <f t="shared" ca="1" si="27"/>
        <v>100</v>
      </c>
      <c r="W55" s="57">
        <f ca="1">IFERROR(__xludf.DUMMYFUNCTION("IMPORTRANGE(""https://docs.google.com/spreadsheets/d/14xp6qUzrGFnUk_qnc1eEmfiaNRd4_grkhpfQH_46fa8/edit?usp=sharing"",""ฉะเชิงเทรา!J434"")"),2)</f>
        <v>2</v>
      </c>
      <c r="X55" s="63">
        <f t="shared" ca="1" si="7"/>
        <v>100</v>
      </c>
      <c r="Y55" s="57">
        <f ca="1">IFERROR(__xludf.DUMMYFUNCTION("IMPORTRANGE(""https://docs.google.com/spreadsheets/d/14xp6qUzrGFnUk_qnc1eEmfiaNRd4_grkhpfQH_46fa8/edit?usp=sharing"",""ฉะเชิงเทรา!I435"")"),40)</f>
        <v>40</v>
      </c>
      <c r="Z55" s="57">
        <f ca="1">IFERROR(__xludf.DUMMYFUNCTION("IMPORTRANGE(""https://docs.google.com/spreadsheets/d/14xp6qUzrGFnUk_qnc1eEmfiaNRd4_grkhpfQH_46fa8/edit?usp=sharing"",""ฉะเชิงเทรา!J435"")"),40)</f>
        <v>40</v>
      </c>
      <c r="AA55" s="63">
        <f t="shared" ca="1" si="28"/>
        <v>100</v>
      </c>
      <c r="AB55" s="57">
        <f ca="1">IFERROR(__xludf.DUMMYFUNCTION("IMPORTRANGE(""https://docs.google.com/spreadsheets/d/14xp6qUzrGFnUk_qnc1eEmfiaNRd4_grkhpfQH_46fa8/edit?usp=sharing"",""ฉะเชิงเทรา!I437"")"),20)</f>
        <v>20</v>
      </c>
      <c r="AC55" s="57">
        <f ca="1">IFERROR(__xludf.DUMMYFUNCTION("IMPORTRANGE(""https://docs.google.com/spreadsheets/d/14xp6qUzrGFnUk_qnc1eEmfiaNRd4_grkhpfQH_46fa8/edit?usp=sharing"",""ฉะเชิงเทรา!I438"")"),1)</f>
        <v>1</v>
      </c>
      <c r="AD55" s="57">
        <f ca="1">IFERROR(__xludf.DUMMYFUNCTION("IMPORTRANGE(""https://docs.google.com/spreadsheets/d/14xp6qUzrGFnUk_qnc1eEmfiaNRd4_grkhpfQH_46fa8/edit?usp=sharing"",""ฉะเชิงเทรา!J437"")"),20)</f>
        <v>20</v>
      </c>
      <c r="AE55" s="63">
        <f t="shared" ca="1" si="29"/>
        <v>100</v>
      </c>
      <c r="AF55" s="57">
        <f ca="1">IFERROR(__xludf.DUMMYFUNCTION("IMPORTRANGE(""https://docs.google.com/spreadsheets/d/14xp6qUzrGFnUk_qnc1eEmfiaNRd4_grkhpfQH_46fa8/edit?usp=sharing"",""ฉะเชิงเทรา!J438"")"),1)</f>
        <v>1</v>
      </c>
      <c r="AG55" s="63">
        <f t="shared" ca="1" si="12"/>
        <v>100</v>
      </c>
      <c r="AH55" s="57">
        <f ca="1">IFERROR(__xludf.DUMMYFUNCTION("IMPORTRANGE(""https://docs.google.com/spreadsheets/d/14xp6qUzrGFnUk_qnc1eEmfiaNRd4_grkhpfQH_46fa8/edit?usp=sharing"",""ฉะเชิงเทรา!I439"")"),20)</f>
        <v>20</v>
      </c>
      <c r="AI55" s="57">
        <f ca="1">IFERROR(__xludf.DUMMYFUNCTION("IMPORTRANGE(""https://docs.google.com/spreadsheets/d/14xp6qUzrGFnUk_qnc1eEmfiaNRd4_grkhpfQH_46fa8/edit?usp=sharing"",""ฉะเชิงเทรา!I440"")"),1)</f>
        <v>1</v>
      </c>
      <c r="AJ55" s="57">
        <f ca="1">IFERROR(__xludf.DUMMYFUNCTION("IMPORTRANGE(""https://docs.google.com/spreadsheets/d/14xp6qUzrGFnUk_qnc1eEmfiaNRd4_grkhpfQH_46fa8/edit?usp=sharing"",""ฉะเชิงเทรา!J439"")"),20)</f>
        <v>20</v>
      </c>
      <c r="AK55" s="63">
        <f t="shared" ca="1" si="30"/>
        <v>100</v>
      </c>
      <c r="AL55" s="57">
        <f ca="1">IFERROR(__xludf.DUMMYFUNCTION("IMPORTRANGE(""https://docs.google.com/spreadsheets/d/14xp6qUzrGFnUk_qnc1eEmfiaNRd4_grkhpfQH_46fa8/edit?usp=sharing"",""ฉะเชิงเทรา!J440"")"),1)</f>
        <v>1</v>
      </c>
      <c r="AM55" s="63">
        <f t="shared" ca="1" si="15"/>
        <v>100</v>
      </c>
      <c r="AN55" s="57">
        <f ca="1">IFERROR(__xludf.DUMMYFUNCTION("IMPORTRANGE(""https://docs.google.com/spreadsheets/d/14xp6qUzrGFnUk_qnc1eEmfiaNRd4_grkhpfQH_46fa8/edit?usp=sharing"",""ฉะเชิงเทรา!I441"")"),0)</f>
        <v>0</v>
      </c>
      <c r="AO55" s="57">
        <f ca="1">IFERROR(__xludf.DUMMYFUNCTION("IMPORTRANGE(""https://docs.google.com/spreadsheets/d/14xp6qUzrGFnUk_qnc1eEmfiaNRd4_grkhpfQH_46fa8/edit?usp=sharing"",""ฉะเชิงเทรา!J441"")"),0)</f>
        <v>0</v>
      </c>
      <c r="AP55" s="63">
        <f t="shared" ca="1" si="31"/>
        <v>0</v>
      </c>
    </row>
    <row r="56" spans="1:42" ht="21" customHeight="1" x14ac:dyDescent="0.3">
      <c r="A56" s="54">
        <v>4</v>
      </c>
      <c r="B56" s="55" t="s">
        <v>77</v>
      </c>
      <c r="C56" s="56">
        <f t="shared" ca="1" si="60"/>
        <v>95460</v>
      </c>
      <c r="D56" s="57">
        <f ca="1">IFERROR(__xludf.DUMMYFUNCTION("IMPORTRANGE(""https://docs.google.com/spreadsheets/d/1_Zwps30dlVa-pZFsorjVf1Pil6WXwzCsJU0U2whO3NI/edit?usp=sharing"",""ชลบุรี!L424"")"),95460)</f>
        <v>95460</v>
      </c>
      <c r="E56" s="64">
        <f ca="1">IFERROR(__xludf.DUMMYFUNCTION("IMPORTRANGE(""https://docs.google.com/spreadsheets/d/1_Zwps30dlVa-pZFsorjVf1Pil6WXwzCsJU0U2whO3NI/edit?usp=sharing"",""ชลบุรี!L431"")"),0)</f>
        <v>0</v>
      </c>
      <c r="F56" s="64">
        <f ca="1">IFERROR(__xludf.DUMMYFUNCTION("IMPORTRANGE(""https://docs.google.com/spreadsheets/d/1_Zwps30dlVa-pZFsorjVf1Pil6WXwzCsJU0U2whO3NI/edit?usp=sharing"",""ชลบุรี!M424"")"),90620)</f>
        <v>90620</v>
      </c>
      <c r="G56" s="64">
        <f ca="1">IFERROR(__xludf.DUMMYFUNCTION("IMPORTRANGE(""https://docs.google.com/spreadsheets/d/1_Zwps30dlVa-pZFsorjVf1Pil6WXwzCsJU0U2whO3NI/edit?usp=sharing"",""ชลบุรี!M431"")"),0)</f>
        <v>0</v>
      </c>
      <c r="H56" s="58">
        <f t="shared" ca="1" si="26"/>
        <v>57689</v>
      </c>
      <c r="I56" s="59">
        <f t="shared" ca="1" si="1"/>
        <v>60.432641944269854</v>
      </c>
      <c r="J56" s="60">
        <f t="shared" ca="1" si="61"/>
        <v>57689</v>
      </c>
      <c r="K56" s="61">
        <f t="shared" ca="1" si="33"/>
        <v>60.432641944269854</v>
      </c>
      <c r="L56" s="61">
        <f t="shared" ca="1" si="34"/>
        <v>63.660339880821013</v>
      </c>
      <c r="M56" s="64">
        <f ca="1">IFERROR(__xludf.DUMMYFUNCTION("IMPORTRANGE(""https://docs.google.com/spreadsheets/d/1_Zwps30dlVa-pZFsorjVf1Pil6WXwzCsJU0U2whO3NI/edit?usp=sharing"",""ชลบุรี!N425"")"),40889)</f>
        <v>40889</v>
      </c>
      <c r="N56" s="64">
        <f ca="1">IFERROR(__xludf.DUMMYFUNCTION("IMPORTRANGE(""https://docs.google.com/spreadsheets/d/1_Zwps30dlVa-pZFsorjVf1Pil6WXwzCsJU0U2whO3NI/edit?usp=sharing"",""ชลบุรี!N426"")"),0)</f>
        <v>0</v>
      </c>
      <c r="O56" s="64">
        <f ca="1">IFERROR(__xludf.DUMMYFUNCTION("IMPORTRANGE(""https://docs.google.com/spreadsheets/d/1_Zwps30dlVa-pZFsorjVf1Pil6WXwzCsJU0U2whO3NI/edit?usp=sharing"",""ชลบุรี!N427"")"),0)</f>
        <v>0</v>
      </c>
      <c r="P56" s="64">
        <f ca="1">IFERROR(__xludf.DUMMYFUNCTION("IMPORTRANGE(""https://docs.google.com/spreadsheets/d/1_Zwps30dlVa-pZFsorjVf1Pil6WXwzCsJU0U2whO3NI/edit?usp=sharing"",""ชลบุรี!N428"")"),16800)</f>
        <v>16800</v>
      </c>
      <c r="Q56" s="62">
        <f ca="1">IFERROR(__xludf.DUMMYFUNCTION("IMPORTRANGE(""https://docs.google.com/spreadsheets/d/1_Zwps30dlVa-pZFsorjVf1Pil6WXwzCsJU0U2whO3NI/edit?usp=sharing"",""ชลบุรี!N431"")"),0)</f>
        <v>0</v>
      </c>
      <c r="R56" s="62">
        <f t="shared" ca="1" si="36"/>
        <v>0</v>
      </c>
      <c r="S56" s="57">
        <f ca="1">IFERROR(__xludf.DUMMYFUNCTION("IMPORTRANGE(""https://docs.google.com/spreadsheets/d/1_Zwps30dlVa-pZFsorjVf1Pil6WXwzCsJU0U2whO3NI/edit?usp=sharing"",""ชลบุรี!I433"")"),20)</f>
        <v>20</v>
      </c>
      <c r="T56" s="57">
        <f ca="1">IFERROR(__xludf.DUMMYFUNCTION("IMPORTRANGE(""https://docs.google.com/spreadsheets/d/1_Zwps30dlVa-pZFsorjVf1Pil6WXwzCsJU0U2whO3NI/edit?usp=sharing"",""ชลบุรี!I434"")"),1)</f>
        <v>1</v>
      </c>
      <c r="U56" s="57">
        <f ca="1">IFERROR(__xludf.DUMMYFUNCTION("IMPORTRANGE(""https://docs.google.com/spreadsheets/d/1_Zwps30dlVa-pZFsorjVf1Pil6WXwzCsJU0U2whO3NI/edit?usp=sharing"",""ชลบุรี!J433"")"),20)</f>
        <v>20</v>
      </c>
      <c r="V56" s="63">
        <f t="shared" ca="1" si="27"/>
        <v>100</v>
      </c>
      <c r="W56" s="57">
        <f ca="1">IFERROR(__xludf.DUMMYFUNCTION("IMPORTRANGE(""https://docs.google.com/spreadsheets/d/1_Zwps30dlVa-pZFsorjVf1Pil6WXwzCsJU0U2whO3NI/edit?usp=sharing"",""ชลบุรี!J434"")"),1)</f>
        <v>1</v>
      </c>
      <c r="X56" s="63">
        <f t="shared" ca="1" si="7"/>
        <v>100</v>
      </c>
      <c r="Y56" s="57">
        <f ca="1">IFERROR(__xludf.DUMMYFUNCTION("IMPORTRANGE(""https://docs.google.com/spreadsheets/d/1_Zwps30dlVa-pZFsorjVf1Pil6WXwzCsJU0U2whO3NI/edit?usp=sharing"",""ชลบุรี!I435"")"),20)</f>
        <v>20</v>
      </c>
      <c r="Z56" s="57">
        <f ca="1">IFERROR(__xludf.DUMMYFUNCTION("IMPORTRANGE(""https://docs.google.com/spreadsheets/d/1_Zwps30dlVa-pZFsorjVf1Pil6WXwzCsJU0U2whO3NI/edit?usp=sharing"",""ชลบุรี!J435"")"),20)</f>
        <v>20</v>
      </c>
      <c r="AA56" s="63">
        <f t="shared" ca="1" si="28"/>
        <v>100</v>
      </c>
      <c r="AB56" s="57">
        <f ca="1">IFERROR(__xludf.DUMMYFUNCTION("IMPORTRANGE(""https://docs.google.com/spreadsheets/d/1_Zwps30dlVa-pZFsorjVf1Pil6WXwzCsJU0U2whO3NI/edit?usp=sharing"",""ชลบุรี!I437"")"),0)</f>
        <v>0</v>
      </c>
      <c r="AC56" s="57">
        <f ca="1">IFERROR(__xludf.DUMMYFUNCTION("IMPORTRANGE(""https://docs.google.com/spreadsheets/d/1_Zwps30dlVa-pZFsorjVf1Pil6WXwzCsJU0U2whO3NI/edit?usp=sharing"",""ชลบุรี!I438"")"),0)</f>
        <v>0</v>
      </c>
      <c r="AD56" s="57">
        <f ca="1">IFERROR(__xludf.DUMMYFUNCTION("IMPORTRANGE(""https://docs.google.com/spreadsheets/d/1_Zwps30dlVa-pZFsorjVf1Pil6WXwzCsJU0U2whO3NI/edit?usp=sharing"",""ชลบุรี!J437"")"),0)</f>
        <v>0</v>
      </c>
      <c r="AE56" s="63">
        <f t="shared" ca="1" si="29"/>
        <v>0</v>
      </c>
      <c r="AF56" s="57">
        <f ca="1">IFERROR(__xludf.DUMMYFUNCTION("IMPORTRANGE(""https://docs.google.com/spreadsheets/d/1_Zwps30dlVa-pZFsorjVf1Pil6WXwzCsJU0U2whO3NI/edit?usp=sharing"",""ชลบุรี!J438"")"),0)</f>
        <v>0</v>
      </c>
      <c r="AG56" s="63">
        <f t="shared" ca="1" si="12"/>
        <v>0</v>
      </c>
      <c r="AH56" s="57">
        <f ca="1">IFERROR(__xludf.DUMMYFUNCTION("IMPORTRANGE(""https://docs.google.com/spreadsheets/d/1_Zwps30dlVa-pZFsorjVf1Pil6WXwzCsJU0U2whO3NI/edit?usp=sharing"",""ชลบุรี!I439"")"),20)</f>
        <v>20</v>
      </c>
      <c r="AI56" s="57">
        <f ca="1">IFERROR(__xludf.DUMMYFUNCTION("IMPORTRANGE(""https://docs.google.com/spreadsheets/d/1_Zwps30dlVa-pZFsorjVf1Pil6WXwzCsJU0U2whO3NI/edit?usp=sharing"",""ชลบุรี!I440"")"),1)</f>
        <v>1</v>
      </c>
      <c r="AJ56" s="57">
        <f ca="1">IFERROR(__xludf.DUMMYFUNCTION("IMPORTRANGE(""https://docs.google.com/spreadsheets/d/1_Zwps30dlVa-pZFsorjVf1Pil6WXwzCsJU0U2whO3NI/edit?usp=sharing"",""ชลบุรี!J439"")"),20)</f>
        <v>20</v>
      </c>
      <c r="AK56" s="63">
        <f t="shared" ca="1" si="30"/>
        <v>100</v>
      </c>
      <c r="AL56" s="57">
        <f ca="1">IFERROR(__xludf.DUMMYFUNCTION("IMPORTRANGE(""https://docs.google.com/spreadsheets/d/1_Zwps30dlVa-pZFsorjVf1Pil6WXwzCsJU0U2whO3NI/edit?usp=sharing"",""ชลบุรี!J440"")"),1)</f>
        <v>1</v>
      </c>
      <c r="AM56" s="63">
        <f t="shared" ca="1" si="15"/>
        <v>100</v>
      </c>
      <c r="AN56" s="57">
        <f ca="1">IFERROR(__xludf.DUMMYFUNCTION("IMPORTRANGE(""https://docs.google.com/spreadsheets/d/1_Zwps30dlVa-pZFsorjVf1Pil6WXwzCsJU0U2whO3NI/edit?usp=sharing"",""ชลบุรี!I441"")"),0)</f>
        <v>0</v>
      </c>
      <c r="AO56" s="57">
        <f ca="1">IFERROR(__xludf.DUMMYFUNCTION("IMPORTRANGE(""https://docs.google.com/spreadsheets/d/1_Zwps30dlVa-pZFsorjVf1Pil6WXwzCsJU0U2whO3NI/edit?usp=sharing"",""ชลบุรี!J441"")"),0)</f>
        <v>0</v>
      </c>
      <c r="AP56" s="63">
        <f t="shared" ca="1" si="31"/>
        <v>0</v>
      </c>
    </row>
    <row r="57" spans="1:42" ht="21" customHeight="1" x14ac:dyDescent="0.3">
      <c r="A57" s="54">
        <v>5</v>
      </c>
      <c r="B57" s="55" t="s">
        <v>78</v>
      </c>
      <c r="C57" s="56">
        <f t="shared" ca="1" si="60"/>
        <v>78660</v>
      </c>
      <c r="D57" s="57">
        <f ca="1">IFERROR(__xludf.DUMMYFUNCTION("IMPORTRANGE(""https://docs.google.com/spreadsheets/d/1xAsT4sUbBlom7l0acStESh_15nvjZcXjZM7fK5uZSq8/edit?usp=sharing"",""ชัยนาท!L424"")"),78660)</f>
        <v>78660</v>
      </c>
      <c r="E57" s="64">
        <f ca="1">IFERROR(__xludf.DUMMYFUNCTION("IMPORTRANGE(""https://docs.google.com/spreadsheets/d/1xAsT4sUbBlom7l0acStESh_15nvjZcXjZM7fK5uZSq8/edit?usp=sharing"",""ชัยนาท!L431"")"),0)</f>
        <v>0</v>
      </c>
      <c r="F57" s="64">
        <f ca="1">IFERROR(__xludf.DUMMYFUNCTION("IMPORTRANGE(""https://docs.google.com/spreadsheets/d/1xAsT4sUbBlom7l0acStESh_15nvjZcXjZM7fK5uZSq8/edit?usp=sharing"",""ชัยนาท!M424"")"),78660)</f>
        <v>78660</v>
      </c>
      <c r="G57" s="64">
        <f ca="1">IFERROR(__xludf.DUMMYFUNCTION("IMPORTRANGE(""https://docs.google.com/spreadsheets/d/1xAsT4sUbBlom7l0acStESh_15nvjZcXjZM7fK5uZSq8/edit?usp=sharing"",""ชัยนาท!M431"")"),0)</f>
        <v>0</v>
      </c>
      <c r="H57" s="58">
        <f t="shared" ca="1" si="26"/>
        <v>66150</v>
      </c>
      <c r="I57" s="59">
        <f t="shared" ca="1" si="1"/>
        <v>84.096109839816933</v>
      </c>
      <c r="J57" s="60">
        <f t="shared" ca="1" si="61"/>
        <v>66150</v>
      </c>
      <c r="K57" s="61">
        <f t="shared" ca="1" si="33"/>
        <v>84.096109839816933</v>
      </c>
      <c r="L57" s="61">
        <f t="shared" ca="1" si="34"/>
        <v>84.096109839816933</v>
      </c>
      <c r="M57" s="64">
        <f ca="1">IFERROR(__xludf.DUMMYFUNCTION("IMPORTRANGE(""https://docs.google.com/spreadsheets/d/1xAsT4sUbBlom7l0acStESh_15nvjZcXjZM7fK5uZSq8/edit?usp=sharing"",""ชัยนาท!N425"")"),48400)</f>
        <v>48400</v>
      </c>
      <c r="N57" s="64">
        <f ca="1">IFERROR(__xludf.DUMMYFUNCTION("IMPORTRANGE(""https://docs.google.com/spreadsheets/d/1xAsT4sUbBlom7l0acStESh_15nvjZcXjZM7fK5uZSq8/edit?usp=sharing"",""ชัยนาท!N426"")"),6500)</f>
        <v>6500</v>
      </c>
      <c r="O57" s="64">
        <f ca="1">IFERROR(__xludf.DUMMYFUNCTION("IMPORTRANGE(""https://docs.google.com/spreadsheets/d/1xAsT4sUbBlom7l0acStESh_15nvjZcXjZM7fK5uZSq8/edit?usp=sharing"",""ชัยนาท!N427"")"),0)</f>
        <v>0</v>
      </c>
      <c r="P57" s="64">
        <f ca="1">IFERROR(__xludf.DUMMYFUNCTION("IMPORTRANGE(""https://docs.google.com/spreadsheets/d/1xAsT4sUbBlom7l0acStESh_15nvjZcXjZM7fK5uZSq8/edit?usp=sharing"",""ชัยนาท!N428"")"),11250)</f>
        <v>11250</v>
      </c>
      <c r="Q57" s="62">
        <f ca="1">IFERROR(__xludf.DUMMYFUNCTION("IMPORTRANGE(""https://docs.google.com/spreadsheets/d/1xAsT4sUbBlom7l0acStESh_15nvjZcXjZM7fK5uZSq8/edit?usp=sharing"",""ชัยนาท!N431"")"),0)</f>
        <v>0</v>
      </c>
      <c r="R57" s="62">
        <f t="shared" ca="1" si="36"/>
        <v>0</v>
      </c>
      <c r="S57" s="57">
        <f ca="1">IFERROR(__xludf.DUMMYFUNCTION("IMPORTRANGE(""https://docs.google.com/spreadsheets/d/1xAsT4sUbBlom7l0acStESh_15nvjZcXjZM7fK5uZSq8/edit?usp=sharing"",""ชัยนาท!I433"")"),20)</f>
        <v>20</v>
      </c>
      <c r="T57" s="57">
        <f ca="1">IFERROR(__xludf.DUMMYFUNCTION("IMPORTRANGE(""https://docs.google.com/spreadsheets/d/1xAsT4sUbBlom7l0acStESh_15nvjZcXjZM7fK5uZSq8/edit?usp=sharing"",""ชัยนาท!I434"")"),1)</f>
        <v>1</v>
      </c>
      <c r="U57" s="57">
        <f ca="1">IFERROR(__xludf.DUMMYFUNCTION("IMPORTRANGE(""https://docs.google.com/spreadsheets/d/1xAsT4sUbBlom7l0acStESh_15nvjZcXjZM7fK5uZSq8/edit?usp=sharing"",""ชัยนาท!J433"")"),20)</f>
        <v>20</v>
      </c>
      <c r="V57" s="63">
        <f t="shared" ca="1" si="27"/>
        <v>100</v>
      </c>
      <c r="W57" s="57">
        <f ca="1">IFERROR(__xludf.DUMMYFUNCTION("IMPORTRANGE(""https://docs.google.com/spreadsheets/d/1xAsT4sUbBlom7l0acStESh_15nvjZcXjZM7fK5uZSq8/edit?usp=sharing"",""ชัยนาท!J434"")"),1)</f>
        <v>1</v>
      </c>
      <c r="X57" s="63">
        <f t="shared" ca="1" si="7"/>
        <v>100</v>
      </c>
      <c r="Y57" s="57">
        <f ca="1">IFERROR(__xludf.DUMMYFUNCTION("IMPORTRANGE(""https://docs.google.com/spreadsheets/d/1xAsT4sUbBlom7l0acStESh_15nvjZcXjZM7fK5uZSq8/edit?usp=sharing"",""ชัยนาท!I435"")"),20)</f>
        <v>20</v>
      </c>
      <c r="Z57" s="57">
        <f ca="1">IFERROR(__xludf.DUMMYFUNCTION("IMPORTRANGE(""https://docs.google.com/spreadsheets/d/1xAsT4sUbBlom7l0acStESh_15nvjZcXjZM7fK5uZSq8/edit?usp=sharing"",""ชัยนาท!J435"")"),20)</f>
        <v>20</v>
      </c>
      <c r="AA57" s="63">
        <f t="shared" ca="1" si="28"/>
        <v>100</v>
      </c>
      <c r="AB57" s="57">
        <f ca="1">IFERROR(__xludf.DUMMYFUNCTION("IMPORTRANGE(""https://docs.google.com/spreadsheets/d/1xAsT4sUbBlom7l0acStESh_15nvjZcXjZM7fK5uZSq8/edit?usp=sharing"",""ชัยนาท!I437"")"),0)</f>
        <v>0</v>
      </c>
      <c r="AC57" s="57">
        <f ca="1">IFERROR(__xludf.DUMMYFUNCTION("IMPORTRANGE(""https://docs.google.com/spreadsheets/d/1xAsT4sUbBlom7l0acStESh_15nvjZcXjZM7fK5uZSq8/edit?usp=sharing"",""ชัยนาท!I438"")"),0)</f>
        <v>0</v>
      </c>
      <c r="AD57" s="57">
        <f ca="1">IFERROR(__xludf.DUMMYFUNCTION("IMPORTRANGE(""https://docs.google.com/spreadsheets/d/1xAsT4sUbBlom7l0acStESh_15nvjZcXjZM7fK5uZSq8/edit?usp=sharing"",""ชัยนาท!J437"")"),0)</f>
        <v>0</v>
      </c>
      <c r="AE57" s="63">
        <f t="shared" ca="1" si="29"/>
        <v>0</v>
      </c>
      <c r="AF57" s="57">
        <f ca="1">IFERROR(__xludf.DUMMYFUNCTION("IMPORTRANGE(""https://docs.google.com/spreadsheets/d/1xAsT4sUbBlom7l0acStESh_15nvjZcXjZM7fK5uZSq8/edit?usp=sharing"",""ชัยนาท!J438"")"),0)</f>
        <v>0</v>
      </c>
      <c r="AG57" s="63">
        <f t="shared" ca="1" si="12"/>
        <v>0</v>
      </c>
      <c r="AH57" s="57">
        <f ca="1">IFERROR(__xludf.DUMMYFUNCTION("IMPORTRANGE(""https://docs.google.com/spreadsheets/d/1xAsT4sUbBlom7l0acStESh_15nvjZcXjZM7fK5uZSq8/edit?usp=sharing"",""ชัยนาท!I439"")"),20)</f>
        <v>20</v>
      </c>
      <c r="AI57" s="57">
        <f ca="1">IFERROR(__xludf.DUMMYFUNCTION("IMPORTRANGE(""https://docs.google.com/spreadsheets/d/1xAsT4sUbBlom7l0acStESh_15nvjZcXjZM7fK5uZSq8/edit?usp=sharing"",""ชัยนาท!I440"")"),1)</f>
        <v>1</v>
      </c>
      <c r="AJ57" s="57">
        <f ca="1">IFERROR(__xludf.DUMMYFUNCTION("IMPORTRANGE(""https://docs.google.com/spreadsheets/d/1xAsT4sUbBlom7l0acStESh_15nvjZcXjZM7fK5uZSq8/edit?usp=sharing"",""ชัยนาท!J439"")"),20)</f>
        <v>20</v>
      </c>
      <c r="AK57" s="63">
        <f t="shared" ca="1" si="30"/>
        <v>100</v>
      </c>
      <c r="AL57" s="57">
        <f ca="1">IFERROR(__xludf.DUMMYFUNCTION("IMPORTRANGE(""https://docs.google.com/spreadsheets/d/1xAsT4sUbBlom7l0acStESh_15nvjZcXjZM7fK5uZSq8/edit?usp=sharing"",""ชัยนาท!J440"")"),1)</f>
        <v>1</v>
      </c>
      <c r="AM57" s="63">
        <f t="shared" ca="1" si="15"/>
        <v>100</v>
      </c>
      <c r="AN57" s="57">
        <f ca="1">IFERROR(__xludf.DUMMYFUNCTION("IMPORTRANGE(""https://docs.google.com/spreadsheets/d/1xAsT4sUbBlom7l0acStESh_15nvjZcXjZM7fK5uZSq8/edit?usp=sharing"",""ชัยนาท!I441"")"),0)</f>
        <v>0</v>
      </c>
      <c r="AO57" s="57">
        <f ca="1">IFERROR(__xludf.DUMMYFUNCTION("IMPORTRANGE(""https://docs.google.com/spreadsheets/d/1xAsT4sUbBlom7l0acStESh_15nvjZcXjZM7fK5uZSq8/edit?usp=sharing"",""ชัยนาท!J441"")"),0)</f>
        <v>0</v>
      </c>
      <c r="AP57" s="63">
        <f t="shared" ca="1" si="31"/>
        <v>0</v>
      </c>
    </row>
    <row r="58" spans="1:42" ht="21" customHeight="1" x14ac:dyDescent="0.3">
      <c r="A58" s="54">
        <v>6</v>
      </c>
      <c r="B58" s="55" t="s">
        <v>79</v>
      </c>
      <c r="C58" s="56">
        <f t="shared" ca="1" si="60"/>
        <v>66560</v>
      </c>
      <c r="D58" s="57">
        <f ca="1">IFERROR(__xludf.DUMMYFUNCTION("IMPORTRANGE(""https://docs.google.com/spreadsheets/d/1vWPVBOAaZ6mHSI8yf95DNqHwTJ1cpeFsvqt6cxV34QA/edit?usp=sharing"",""ตราด!L424"")"),66560)</f>
        <v>66560</v>
      </c>
      <c r="E58" s="64">
        <f ca="1">IFERROR(__xludf.DUMMYFUNCTION("IMPORTRANGE(""https://docs.google.com/spreadsheets/d/1vWPVBOAaZ6mHSI8yf95DNqHwTJ1cpeFsvqt6cxV34QA/edit?usp=sharing"",""ตราด!L431"")"),0)</f>
        <v>0</v>
      </c>
      <c r="F58" s="64">
        <f ca="1">IFERROR(__xludf.DUMMYFUNCTION("IMPORTRANGE(""https://docs.google.com/spreadsheets/d/1vWPVBOAaZ6mHSI8yf95DNqHwTJ1cpeFsvqt6cxV34QA/edit?usp=sharing"",""ตราด!M424"")"),66560)</f>
        <v>66560</v>
      </c>
      <c r="G58" s="64">
        <f ca="1">IFERROR(__xludf.DUMMYFUNCTION("IMPORTRANGE(""https://docs.google.com/spreadsheets/d/1vWPVBOAaZ6mHSI8yf95DNqHwTJ1cpeFsvqt6cxV34QA/edit?usp=sharing"",""ตราด!M431"")"),0)</f>
        <v>0</v>
      </c>
      <c r="H58" s="58">
        <f t="shared" ca="1" si="26"/>
        <v>39910</v>
      </c>
      <c r="I58" s="59">
        <f t="shared" ca="1" si="1"/>
        <v>59.9609375</v>
      </c>
      <c r="J58" s="60">
        <f t="shared" ca="1" si="61"/>
        <v>39910</v>
      </c>
      <c r="K58" s="61">
        <f t="shared" ca="1" si="33"/>
        <v>59.9609375</v>
      </c>
      <c r="L58" s="61">
        <f t="shared" ca="1" si="34"/>
        <v>59.9609375</v>
      </c>
      <c r="M58" s="64">
        <f ca="1">IFERROR(__xludf.DUMMYFUNCTION("IMPORTRANGE(""https://docs.google.com/spreadsheets/d/1vWPVBOAaZ6mHSI8yf95DNqHwTJ1cpeFsvqt6cxV34QA/edit?usp=sharing"",""ตราด!N425"")"),36300)</f>
        <v>36300</v>
      </c>
      <c r="N58" s="64">
        <f ca="1">IFERROR(__xludf.DUMMYFUNCTION("IMPORTRANGE(""https://docs.google.com/spreadsheets/d/1vWPVBOAaZ6mHSI8yf95DNqHwTJ1cpeFsvqt6cxV34QA/edit?usp=sharing"",""ตราด!N426"")"),0)</f>
        <v>0</v>
      </c>
      <c r="O58" s="64">
        <f ca="1">IFERROR(__xludf.DUMMYFUNCTION("IMPORTRANGE(""https://docs.google.com/spreadsheets/d/1vWPVBOAaZ6mHSI8yf95DNqHwTJ1cpeFsvqt6cxV34QA/edit?usp=sharing"",""ตราด!N427"")"),0)</f>
        <v>0</v>
      </c>
      <c r="P58" s="64">
        <f ca="1">IFERROR(__xludf.DUMMYFUNCTION("IMPORTRANGE(""https://docs.google.com/spreadsheets/d/1vWPVBOAaZ6mHSI8yf95DNqHwTJ1cpeFsvqt6cxV34QA/edit?usp=sharing"",""ตราด!N428"")"),3610)</f>
        <v>3610</v>
      </c>
      <c r="Q58" s="62">
        <f ca="1">IFERROR(__xludf.DUMMYFUNCTION("IMPORTRANGE(""https://docs.google.com/spreadsheets/d/1vWPVBOAaZ6mHSI8yf95DNqHwTJ1cpeFsvqt6cxV34QA/edit?usp=sharing"",""ตราด!N431"")"),0)</f>
        <v>0</v>
      </c>
      <c r="R58" s="62">
        <f t="shared" ca="1" si="36"/>
        <v>0</v>
      </c>
      <c r="S58" s="57">
        <f ca="1">IFERROR(__xludf.DUMMYFUNCTION("IMPORTRANGE(""https://docs.google.com/spreadsheets/d/1vWPVBOAaZ6mHSI8yf95DNqHwTJ1cpeFsvqt6cxV34QA/edit?usp=sharing"",""ตราด!I433"")"),15)</f>
        <v>15</v>
      </c>
      <c r="T58" s="57">
        <f ca="1">IFERROR(__xludf.DUMMYFUNCTION("IMPORTRANGE(""https://docs.google.com/spreadsheets/d/1vWPVBOAaZ6mHSI8yf95DNqHwTJ1cpeFsvqt6cxV34QA/edit?usp=sharing"",""ตราด!I434"")"),1)</f>
        <v>1</v>
      </c>
      <c r="U58" s="57">
        <f ca="1">IFERROR(__xludf.DUMMYFUNCTION("IMPORTRANGE(""https://docs.google.com/spreadsheets/d/1vWPVBOAaZ6mHSI8yf95DNqHwTJ1cpeFsvqt6cxV34QA/edit?usp=sharing"",""ตราด!J433"")"),15)</f>
        <v>15</v>
      </c>
      <c r="V58" s="63">
        <f t="shared" ca="1" si="27"/>
        <v>100</v>
      </c>
      <c r="W58" s="57">
        <f ca="1">IFERROR(__xludf.DUMMYFUNCTION("IMPORTRANGE(""https://docs.google.com/spreadsheets/d/1vWPVBOAaZ6mHSI8yf95DNqHwTJ1cpeFsvqt6cxV34QA/edit?usp=sharing"",""ตราด!J434"")"),1)</f>
        <v>1</v>
      </c>
      <c r="X58" s="63">
        <f t="shared" ca="1" si="7"/>
        <v>100</v>
      </c>
      <c r="Y58" s="57">
        <f ca="1">IFERROR(__xludf.DUMMYFUNCTION("IMPORTRANGE(""https://docs.google.com/spreadsheets/d/1vWPVBOAaZ6mHSI8yf95DNqHwTJ1cpeFsvqt6cxV34QA/edit?usp=sharing"",""ตราด!I435"")"),15)</f>
        <v>15</v>
      </c>
      <c r="Z58" s="57">
        <f ca="1">IFERROR(__xludf.DUMMYFUNCTION("IMPORTRANGE(""https://docs.google.com/spreadsheets/d/1vWPVBOAaZ6mHSI8yf95DNqHwTJ1cpeFsvqt6cxV34QA/edit?usp=sharing"",""ตราด!J435"")"),15)</f>
        <v>15</v>
      </c>
      <c r="AA58" s="63">
        <f t="shared" ca="1" si="28"/>
        <v>100</v>
      </c>
      <c r="AB58" s="57">
        <f ca="1">IFERROR(__xludf.DUMMYFUNCTION("IMPORTRANGE(""https://docs.google.com/spreadsheets/d/1vWPVBOAaZ6mHSI8yf95DNqHwTJ1cpeFsvqt6cxV34QA/edit?usp=sharing"",""ตราด!I437"")"),0)</f>
        <v>0</v>
      </c>
      <c r="AC58" s="57">
        <f ca="1">IFERROR(__xludf.DUMMYFUNCTION("IMPORTRANGE(""https://docs.google.com/spreadsheets/d/1vWPVBOAaZ6mHSI8yf95DNqHwTJ1cpeFsvqt6cxV34QA/edit?usp=sharing"",""ตราด!I438"")"),0)</f>
        <v>0</v>
      </c>
      <c r="AD58" s="57">
        <f ca="1">IFERROR(__xludf.DUMMYFUNCTION("IMPORTRANGE(""https://docs.google.com/spreadsheets/d/1vWPVBOAaZ6mHSI8yf95DNqHwTJ1cpeFsvqt6cxV34QA/edit?usp=sharing"",""ตราด!J437"")"),0)</f>
        <v>0</v>
      </c>
      <c r="AE58" s="63">
        <f t="shared" ca="1" si="29"/>
        <v>0</v>
      </c>
      <c r="AF58" s="57">
        <f ca="1">IFERROR(__xludf.DUMMYFUNCTION("IMPORTRANGE(""https://docs.google.com/spreadsheets/d/1vWPVBOAaZ6mHSI8yf95DNqHwTJ1cpeFsvqt6cxV34QA/edit?usp=sharing"",""ตราด!J438"")"),0)</f>
        <v>0</v>
      </c>
      <c r="AG58" s="63">
        <f t="shared" ca="1" si="12"/>
        <v>0</v>
      </c>
      <c r="AH58" s="57">
        <f ca="1">IFERROR(__xludf.DUMMYFUNCTION("IMPORTRANGE(""https://docs.google.com/spreadsheets/d/1vWPVBOAaZ6mHSI8yf95DNqHwTJ1cpeFsvqt6cxV34QA/edit?usp=sharing"",""ตราด!I439"")"),15)</f>
        <v>15</v>
      </c>
      <c r="AI58" s="57">
        <f ca="1">IFERROR(__xludf.DUMMYFUNCTION("IMPORTRANGE(""https://docs.google.com/spreadsheets/d/1vWPVBOAaZ6mHSI8yf95DNqHwTJ1cpeFsvqt6cxV34QA/edit?usp=sharing"",""ตราด!I440"")"),1)</f>
        <v>1</v>
      </c>
      <c r="AJ58" s="57">
        <f ca="1">IFERROR(__xludf.DUMMYFUNCTION("IMPORTRANGE(""https://docs.google.com/spreadsheets/d/1vWPVBOAaZ6mHSI8yf95DNqHwTJ1cpeFsvqt6cxV34QA/edit?usp=sharing"",""ตราด!J439"")"),15)</f>
        <v>15</v>
      </c>
      <c r="AK58" s="63">
        <f t="shared" ca="1" si="30"/>
        <v>100</v>
      </c>
      <c r="AL58" s="57">
        <f ca="1">IFERROR(__xludf.DUMMYFUNCTION("IMPORTRANGE(""https://docs.google.com/spreadsheets/d/1vWPVBOAaZ6mHSI8yf95DNqHwTJ1cpeFsvqt6cxV34QA/edit?usp=sharing"",""ตราด!J440"")"),1)</f>
        <v>1</v>
      </c>
      <c r="AM58" s="63">
        <f t="shared" ca="1" si="15"/>
        <v>100</v>
      </c>
      <c r="AN58" s="57">
        <f ca="1">IFERROR(__xludf.DUMMYFUNCTION("IMPORTRANGE(""https://docs.google.com/spreadsheets/d/1vWPVBOAaZ6mHSI8yf95DNqHwTJ1cpeFsvqt6cxV34QA/edit?usp=sharing"",""ตราด!I441"")"),0)</f>
        <v>0</v>
      </c>
      <c r="AO58" s="57">
        <f ca="1">IFERROR(__xludf.DUMMYFUNCTION("IMPORTRANGE(""https://docs.google.com/spreadsheets/d/1vWPVBOAaZ6mHSI8yf95DNqHwTJ1cpeFsvqt6cxV34QA/edit?usp=sharing"",""ตราด!J441"")"),0)</f>
        <v>0</v>
      </c>
      <c r="AP58" s="63">
        <f t="shared" ca="1" si="31"/>
        <v>0</v>
      </c>
    </row>
    <row r="59" spans="1:42" ht="21" customHeight="1" x14ac:dyDescent="0.3">
      <c r="A59" s="54">
        <v>7</v>
      </c>
      <c r="B59" s="55" t="s">
        <v>80</v>
      </c>
      <c r="C59" s="56">
        <f t="shared" ca="1" si="60"/>
        <v>271030</v>
      </c>
      <c r="D59" s="57">
        <f ca="1">IFERROR(__xludf.DUMMYFUNCTION("IMPORTRANGE(""https://docs.google.com/spreadsheets/d/1phaeSb9lTGgzDpbvVqI9hfmOQQzUom07-HEvpbARzEg/edit?usp=sharing"",""นครนายก!L424"")"),271030)</f>
        <v>271030</v>
      </c>
      <c r="E59" s="64">
        <f ca="1">IFERROR(__xludf.DUMMYFUNCTION("IMPORTRANGE(""https://docs.google.com/spreadsheets/d/1phaeSb9lTGgzDpbvVqI9hfmOQQzUom07-HEvpbARzEg/edit?usp=sharing"",""นครนายก!L431"")"),0)</f>
        <v>0</v>
      </c>
      <c r="F59" s="64">
        <f ca="1">IFERROR(__xludf.DUMMYFUNCTION("IMPORTRANGE(""https://docs.google.com/spreadsheets/d/1phaeSb9lTGgzDpbvVqI9hfmOQQzUom07-HEvpbARzEg/edit?usp=sharing"",""นครนายก!M424"")"),271030)</f>
        <v>271030</v>
      </c>
      <c r="G59" s="64">
        <f ca="1">IFERROR(__xludf.DUMMYFUNCTION("IMPORTRANGE(""https://docs.google.com/spreadsheets/d/1phaeSb9lTGgzDpbvVqI9hfmOQQzUom07-HEvpbARzEg/edit?usp=sharing"",""นครนายก!M431"")"),0)</f>
        <v>0</v>
      </c>
      <c r="H59" s="58">
        <f t="shared" ca="1" si="26"/>
        <v>219790</v>
      </c>
      <c r="I59" s="59">
        <f t="shared" ca="1" si="1"/>
        <v>81.094343799579377</v>
      </c>
      <c r="J59" s="60">
        <f t="shared" ca="1" si="61"/>
        <v>219790</v>
      </c>
      <c r="K59" s="61">
        <f t="shared" ca="1" si="33"/>
        <v>81.094343799579377</v>
      </c>
      <c r="L59" s="61">
        <f t="shared" ca="1" si="34"/>
        <v>81.094343799579377</v>
      </c>
      <c r="M59" s="64">
        <f ca="1">IFERROR(__xludf.DUMMYFUNCTION("IMPORTRANGE(""https://docs.google.com/spreadsheets/d/1phaeSb9lTGgzDpbvVqI9hfmOQQzUom07-HEvpbARzEg/edit?usp=sharing"",""นครนายก!N425"")"),219790)</f>
        <v>219790</v>
      </c>
      <c r="N59" s="64">
        <f ca="1">IFERROR(__xludf.DUMMYFUNCTION("IMPORTRANGE(""https://docs.google.com/spreadsheets/d/1phaeSb9lTGgzDpbvVqI9hfmOQQzUom07-HEvpbARzEg/edit?usp=sharing"",""นครนายก!N426"")"),0)</f>
        <v>0</v>
      </c>
      <c r="O59" s="64">
        <f ca="1">IFERROR(__xludf.DUMMYFUNCTION("IMPORTRANGE(""https://docs.google.com/spreadsheets/d/1phaeSb9lTGgzDpbvVqI9hfmOQQzUom07-HEvpbARzEg/edit?usp=sharing"",""นครนายก!N427"")"),0)</f>
        <v>0</v>
      </c>
      <c r="P59" s="64">
        <f ca="1">IFERROR(__xludf.DUMMYFUNCTION("IMPORTRANGE(""https://docs.google.com/spreadsheets/d/1phaeSb9lTGgzDpbvVqI9hfmOQQzUom07-HEvpbARzEg/edit?usp=sharing"",""นครนายก!N428"")"),0)</f>
        <v>0</v>
      </c>
      <c r="Q59" s="62">
        <f ca="1">IFERROR(__xludf.DUMMYFUNCTION("IMPORTRANGE(""https://docs.google.com/spreadsheets/d/1phaeSb9lTGgzDpbvVqI9hfmOQQzUom07-HEvpbARzEg/edit?usp=sharing"",""นครนายก!N431"")"),0)</f>
        <v>0</v>
      </c>
      <c r="R59" s="62">
        <f t="shared" ca="1" si="36"/>
        <v>0</v>
      </c>
      <c r="S59" s="57">
        <f ca="1">IFERROR(__xludf.DUMMYFUNCTION("IMPORTRANGE(""https://docs.google.com/spreadsheets/d/1phaeSb9lTGgzDpbvVqI9hfmOQQzUom07-HEvpbARzEg/edit?usp=sharing"",""นครนายก!I433"")"),90)</f>
        <v>90</v>
      </c>
      <c r="T59" s="57">
        <f ca="1">IFERROR(__xludf.DUMMYFUNCTION("IMPORTRANGE(""https://docs.google.com/spreadsheets/d/1phaeSb9lTGgzDpbvVqI9hfmOQQzUom07-HEvpbARzEg/edit?usp=sharing"",""นครนายก!I434"")"),2)</f>
        <v>2</v>
      </c>
      <c r="U59" s="57">
        <f ca="1">IFERROR(__xludf.DUMMYFUNCTION("IMPORTRANGE(""https://docs.google.com/spreadsheets/d/1phaeSb9lTGgzDpbvVqI9hfmOQQzUom07-HEvpbARzEg/edit?usp=sharing"",""นครนายก!J433"")"),90)</f>
        <v>90</v>
      </c>
      <c r="V59" s="63">
        <f t="shared" ca="1" si="27"/>
        <v>100</v>
      </c>
      <c r="W59" s="57">
        <f ca="1">IFERROR(__xludf.DUMMYFUNCTION("IMPORTRANGE(""https://docs.google.com/spreadsheets/d/1phaeSb9lTGgzDpbvVqI9hfmOQQzUom07-HEvpbARzEg/edit?usp=sharing"",""นครนายก!J434"")"),2)</f>
        <v>2</v>
      </c>
      <c r="X59" s="63">
        <f t="shared" ca="1" si="7"/>
        <v>100</v>
      </c>
      <c r="Y59" s="57">
        <f ca="1">IFERROR(__xludf.DUMMYFUNCTION("IMPORTRANGE(""https://docs.google.com/spreadsheets/d/1phaeSb9lTGgzDpbvVqI9hfmOQQzUom07-HEvpbARzEg/edit?usp=sharing"",""นครนายก!I435"")"),90)</f>
        <v>90</v>
      </c>
      <c r="Z59" s="57">
        <f ca="1">IFERROR(__xludf.DUMMYFUNCTION("IMPORTRANGE(""https://docs.google.com/spreadsheets/d/1phaeSb9lTGgzDpbvVqI9hfmOQQzUom07-HEvpbARzEg/edit?usp=sharing"",""นครนายก!J435"")"),90)</f>
        <v>90</v>
      </c>
      <c r="AA59" s="63">
        <f t="shared" ca="1" si="28"/>
        <v>100</v>
      </c>
      <c r="AB59" s="57">
        <f ca="1">IFERROR(__xludf.DUMMYFUNCTION("IMPORTRANGE(""https://docs.google.com/spreadsheets/d/1phaeSb9lTGgzDpbvVqI9hfmOQQzUom07-HEvpbARzEg/edit?usp=sharing"",""นครนายก!I437"")"),70)</f>
        <v>70</v>
      </c>
      <c r="AC59" s="57">
        <f ca="1">IFERROR(__xludf.DUMMYFUNCTION("IMPORTRANGE(""https://docs.google.com/spreadsheets/d/1phaeSb9lTGgzDpbvVqI9hfmOQQzUom07-HEvpbARzEg/edit?usp=sharing"",""นครนายก!I438"")"),1)</f>
        <v>1</v>
      </c>
      <c r="AD59" s="57">
        <f ca="1">IFERROR(__xludf.DUMMYFUNCTION("IMPORTRANGE(""https://docs.google.com/spreadsheets/d/1phaeSb9lTGgzDpbvVqI9hfmOQQzUom07-HEvpbARzEg/edit?usp=sharing"",""นครนายก!J437"")"),70)</f>
        <v>70</v>
      </c>
      <c r="AE59" s="63">
        <f t="shared" ca="1" si="29"/>
        <v>100</v>
      </c>
      <c r="AF59" s="57">
        <f ca="1">IFERROR(__xludf.DUMMYFUNCTION("IMPORTRANGE(""https://docs.google.com/spreadsheets/d/1phaeSb9lTGgzDpbvVqI9hfmOQQzUom07-HEvpbARzEg/edit?usp=sharing"",""นครนายก!J438"")"),1)</f>
        <v>1</v>
      </c>
      <c r="AG59" s="63">
        <f t="shared" ca="1" si="12"/>
        <v>100</v>
      </c>
      <c r="AH59" s="57">
        <f ca="1">IFERROR(__xludf.DUMMYFUNCTION("IMPORTRANGE(""https://docs.google.com/spreadsheets/d/1phaeSb9lTGgzDpbvVqI9hfmOQQzUom07-HEvpbARzEg/edit?usp=sharing"",""นครนายก!I439"")"),20)</f>
        <v>20</v>
      </c>
      <c r="AI59" s="57">
        <f ca="1">IFERROR(__xludf.DUMMYFUNCTION("IMPORTRANGE(""https://docs.google.com/spreadsheets/d/1phaeSb9lTGgzDpbvVqI9hfmOQQzUom07-HEvpbARzEg/edit?usp=sharing"",""นครนายก!I440"")"),1)</f>
        <v>1</v>
      </c>
      <c r="AJ59" s="57">
        <f ca="1">IFERROR(__xludf.DUMMYFUNCTION("IMPORTRANGE(""https://docs.google.com/spreadsheets/d/1phaeSb9lTGgzDpbvVqI9hfmOQQzUom07-HEvpbARzEg/edit?usp=sharing"",""นครนายก!J439"")"),20)</f>
        <v>20</v>
      </c>
      <c r="AK59" s="63">
        <f t="shared" ca="1" si="30"/>
        <v>100</v>
      </c>
      <c r="AL59" s="57">
        <f ca="1">IFERROR(__xludf.DUMMYFUNCTION("IMPORTRANGE(""https://docs.google.com/spreadsheets/d/1phaeSb9lTGgzDpbvVqI9hfmOQQzUom07-HEvpbARzEg/edit?usp=sharing"",""นครนายก!J440"")"),1)</f>
        <v>1</v>
      </c>
      <c r="AM59" s="63">
        <f t="shared" ca="1" si="15"/>
        <v>100</v>
      </c>
      <c r="AN59" s="57">
        <f ca="1">IFERROR(__xludf.DUMMYFUNCTION("IMPORTRANGE(""https://docs.google.com/spreadsheets/d/1phaeSb9lTGgzDpbvVqI9hfmOQQzUom07-HEvpbARzEg/edit?usp=sharing"",""นครนายก!I441"")"),0)</f>
        <v>0</v>
      </c>
      <c r="AO59" s="57">
        <f ca="1">IFERROR(__xludf.DUMMYFUNCTION("IMPORTRANGE(""https://docs.google.com/spreadsheets/d/1phaeSb9lTGgzDpbvVqI9hfmOQQzUom07-HEvpbARzEg/edit?usp=sharing"",""นครนายก!J441"")"),0)</f>
        <v>0</v>
      </c>
      <c r="AP59" s="63">
        <f t="shared" ca="1" si="31"/>
        <v>0</v>
      </c>
    </row>
    <row r="60" spans="1:42" ht="21" customHeight="1" x14ac:dyDescent="0.3">
      <c r="A60" s="54">
        <v>8</v>
      </c>
      <c r="B60" s="55" t="s">
        <v>81</v>
      </c>
      <c r="C60" s="56">
        <f t="shared" ca="1" si="60"/>
        <v>64460</v>
      </c>
      <c r="D60" s="57">
        <f ca="1">IFERROR(__xludf.DUMMYFUNCTION("IMPORTRANGE(""https://docs.google.com/spreadsheets/d/1tpwhWwkqkBeiSWCcfB5f2fbwPRbM9hHOEDSDHpl2MIc/edit?usp=sharing"",""นครปฐม!L424"")"),64460)</f>
        <v>64460</v>
      </c>
      <c r="E60" s="64">
        <f ca="1">IFERROR(__xludf.DUMMYFUNCTION("IMPORTRANGE(""https://docs.google.com/spreadsheets/d/1tpwhWwkqkBeiSWCcfB5f2fbwPRbM9hHOEDSDHpl2MIc/edit?usp=sharing"",""นครปฐม!L431"")"),0)</f>
        <v>0</v>
      </c>
      <c r="F60" s="64">
        <f ca="1">IFERROR(__xludf.DUMMYFUNCTION("IMPORTRANGE(""https://docs.google.com/spreadsheets/d/1tpwhWwkqkBeiSWCcfB5f2fbwPRbM9hHOEDSDHpl2MIc/edit?usp=sharing"",""นครปฐม!M424"")"),64150)</f>
        <v>64150</v>
      </c>
      <c r="G60" s="64">
        <f ca="1">IFERROR(__xludf.DUMMYFUNCTION("IMPORTRANGE(""https://docs.google.com/spreadsheets/d/1tpwhWwkqkBeiSWCcfB5f2fbwPRbM9hHOEDSDHpl2MIc/edit?usp=sharing"",""นครปฐม!M431"")"),0)</f>
        <v>0</v>
      </c>
      <c r="H60" s="58">
        <f t="shared" ca="1" si="26"/>
        <v>61710</v>
      </c>
      <c r="I60" s="59">
        <f t="shared" ca="1" si="1"/>
        <v>95.73378839590444</v>
      </c>
      <c r="J60" s="60">
        <f t="shared" ca="1" si="61"/>
        <v>61710</v>
      </c>
      <c r="K60" s="61">
        <f t="shared" ca="1" si="33"/>
        <v>95.73378839590444</v>
      </c>
      <c r="L60" s="61">
        <f t="shared" ca="1" si="34"/>
        <v>96.196414653156666</v>
      </c>
      <c r="M60" s="64">
        <f ca="1">IFERROR(__xludf.DUMMYFUNCTION("IMPORTRANGE(""https://docs.google.com/spreadsheets/d/1tpwhWwkqkBeiSWCcfB5f2fbwPRbM9hHOEDSDHpl2MIc/edit?usp=sharing"",""นครปฐม!N425"")"),24300)</f>
        <v>24300</v>
      </c>
      <c r="N60" s="64">
        <f ca="1">IFERROR(__xludf.DUMMYFUNCTION("IMPORTRANGE(""https://docs.google.com/spreadsheets/d/1tpwhWwkqkBeiSWCcfB5f2fbwPRbM9hHOEDSDHpl2MIc/edit?usp=sharing"",""นครปฐม!N426"")"),0)</f>
        <v>0</v>
      </c>
      <c r="O60" s="64">
        <f ca="1">IFERROR(__xludf.DUMMYFUNCTION("IMPORTRANGE(""https://docs.google.com/spreadsheets/d/1tpwhWwkqkBeiSWCcfB5f2fbwPRbM9hHOEDSDHpl2MIc/edit?usp=sharing"",""นครปฐม!N427"")"),0)</f>
        <v>0</v>
      </c>
      <c r="P60" s="64">
        <f ca="1">IFERROR(__xludf.DUMMYFUNCTION("IMPORTRANGE(""https://docs.google.com/spreadsheets/d/1tpwhWwkqkBeiSWCcfB5f2fbwPRbM9hHOEDSDHpl2MIc/edit?usp=sharing"",""นครปฐม!N428"")"),37410)</f>
        <v>37410</v>
      </c>
      <c r="Q60" s="62">
        <f ca="1">IFERROR(__xludf.DUMMYFUNCTION("IMPORTRANGE(""https://docs.google.com/spreadsheets/d/1tpwhWwkqkBeiSWCcfB5f2fbwPRbM9hHOEDSDHpl2MIc/edit?usp=sharing"",""นครปฐม!N431"")"),0)</f>
        <v>0</v>
      </c>
      <c r="R60" s="62">
        <f t="shared" ca="1" si="36"/>
        <v>0</v>
      </c>
      <c r="S60" s="57">
        <f ca="1">IFERROR(__xludf.DUMMYFUNCTION("IMPORTRANGE(""https://docs.google.com/spreadsheets/d/1tpwhWwkqkBeiSWCcfB5f2fbwPRbM9hHOEDSDHpl2MIc/edit?usp=sharing"",""นครปฐม!I433"")"),10)</f>
        <v>10</v>
      </c>
      <c r="T60" s="57">
        <f ca="1">IFERROR(__xludf.DUMMYFUNCTION("IMPORTRANGE(""https://docs.google.com/spreadsheets/d/1tpwhWwkqkBeiSWCcfB5f2fbwPRbM9hHOEDSDHpl2MIc/edit?usp=sharing"",""นครปฐม!I434"")"),1)</f>
        <v>1</v>
      </c>
      <c r="U60" s="57">
        <f ca="1">IFERROR(__xludf.DUMMYFUNCTION("IMPORTRANGE(""https://docs.google.com/spreadsheets/d/1tpwhWwkqkBeiSWCcfB5f2fbwPRbM9hHOEDSDHpl2MIc/edit?usp=sharing"",""นครปฐม!J433"")"),10)</f>
        <v>10</v>
      </c>
      <c r="V60" s="63">
        <f t="shared" ca="1" si="27"/>
        <v>100</v>
      </c>
      <c r="W60" s="57">
        <f ca="1">IFERROR(__xludf.DUMMYFUNCTION("IMPORTRANGE(""https://docs.google.com/spreadsheets/d/1tpwhWwkqkBeiSWCcfB5f2fbwPRbM9hHOEDSDHpl2MIc/edit?usp=sharing"",""นครปฐม!J434"")"),1)</f>
        <v>1</v>
      </c>
      <c r="X60" s="63">
        <f t="shared" ca="1" si="7"/>
        <v>100</v>
      </c>
      <c r="Y60" s="57">
        <f ca="1">IFERROR(__xludf.DUMMYFUNCTION("IMPORTRANGE(""https://docs.google.com/spreadsheets/d/1tpwhWwkqkBeiSWCcfB5f2fbwPRbM9hHOEDSDHpl2MIc/edit?usp=sharing"",""นครปฐม!I435"")"),10)</f>
        <v>10</v>
      </c>
      <c r="Z60" s="57">
        <f ca="1">IFERROR(__xludf.DUMMYFUNCTION("IMPORTRANGE(""https://docs.google.com/spreadsheets/d/1tpwhWwkqkBeiSWCcfB5f2fbwPRbM9hHOEDSDHpl2MIc/edit?usp=sharing"",""นครปฐม!J435"")"),10)</f>
        <v>10</v>
      </c>
      <c r="AA60" s="63">
        <f t="shared" ca="1" si="28"/>
        <v>100</v>
      </c>
      <c r="AB60" s="57">
        <f ca="1">IFERROR(__xludf.DUMMYFUNCTION("IMPORTRANGE(""https://docs.google.com/spreadsheets/d/1tpwhWwkqkBeiSWCcfB5f2fbwPRbM9hHOEDSDHpl2MIc/edit?usp=sharing"",""นครปฐม!I437"")"),0)</f>
        <v>0</v>
      </c>
      <c r="AC60" s="57">
        <f ca="1">IFERROR(__xludf.DUMMYFUNCTION("IMPORTRANGE(""https://docs.google.com/spreadsheets/d/1tpwhWwkqkBeiSWCcfB5f2fbwPRbM9hHOEDSDHpl2MIc/edit?usp=sharing"",""นครปฐม!I438"")"),0)</f>
        <v>0</v>
      </c>
      <c r="AD60" s="57">
        <f ca="1">IFERROR(__xludf.DUMMYFUNCTION("IMPORTRANGE(""https://docs.google.com/spreadsheets/d/1tpwhWwkqkBeiSWCcfB5f2fbwPRbM9hHOEDSDHpl2MIc/edit?usp=sharing"",""นครปฐม!J437"")"),0)</f>
        <v>0</v>
      </c>
      <c r="AE60" s="63">
        <f t="shared" ca="1" si="29"/>
        <v>0</v>
      </c>
      <c r="AF60" s="57">
        <f ca="1">IFERROR(__xludf.DUMMYFUNCTION("IMPORTRANGE(""https://docs.google.com/spreadsheets/d/1tpwhWwkqkBeiSWCcfB5f2fbwPRbM9hHOEDSDHpl2MIc/edit?usp=sharing"",""นครปฐม!J438"")"),0)</f>
        <v>0</v>
      </c>
      <c r="AG60" s="63">
        <f t="shared" ca="1" si="12"/>
        <v>0</v>
      </c>
      <c r="AH60" s="57">
        <f ca="1">IFERROR(__xludf.DUMMYFUNCTION("IMPORTRANGE(""https://docs.google.com/spreadsheets/d/1tpwhWwkqkBeiSWCcfB5f2fbwPRbM9hHOEDSDHpl2MIc/edit?usp=sharing"",""นครปฐม!I439"")"),10)</f>
        <v>10</v>
      </c>
      <c r="AI60" s="57">
        <f ca="1">IFERROR(__xludf.DUMMYFUNCTION("IMPORTRANGE(""https://docs.google.com/spreadsheets/d/1tpwhWwkqkBeiSWCcfB5f2fbwPRbM9hHOEDSDHpl2MIc/edit?usp=sharing"",""นครปฐม!I440"")"),1)</f>
        <v>1</v>
      </c>
      <c r="AJ60" s="57">
        <f ca="1">IFERROR(__xludf.DUMMYFUNCTION("IMPORTRANGE(""https://docs.google.com/spreadsheets/d/1tpwhWwkqkBeiSWCcfB5f2fbwPRbM9hHOEDSDHpl2MIc/edit?usp=sharing"",""นครปฐม!J439"")"),10)</f>
        <v>10</v>
      </c>
      <c r="AK60" s="63">
        <f t="shared" ca="1" si="30"/>
        <v>100</v>
      </c>
      <c r="AL60" s="57">
        <f ca="1">IFERROR(__xludf.DUMMYFUNCTION("IMPORTRANGE(""https://docs.google.com/spreadsheets/d/1tpwhWwkqkBeiSWCcfB5f2fbwPRbM9hHOEDSDHpl2MIc/edit?usp=sharing"",""นครปฐม!J440"")"),1)</f>
        <v>1</v>
      </c>
      <c r="AM60" s="63">
        <f t="shared" ca="1" si="15"/>
        <v>100</v>
      </c>
      <c r="AN60" s="57">
        <f ca="1">IFERROR(__xludf.DUMMYFUNCTION("IMPORTRANGE(""https://docs.google.com/spreadsheets/d/1tpwhWwkqkBeiSWCcfB5f2fbwPRbM9hHOEDSDHpl2MIc/edit?usp=sharing"",""นครปฐม!I441"")"),0)</f>
        <v>0</v>
      </c>
      <c r="AO60" s="57">
        <f ca="1">IFERROR(__xludf.DUMMYFUNCTION("IMPORTRANGE(""https://docs.google.com/spreadsheets/d/1tpwhWwkqkBeiSWCcfB5f2fbwPRbM9hHOEDSDHpl2MIc/edit?usp=sharing"",""นครปฐม!J441"")"),0)</f>
        <v>0</v>
      </c>
      <c r="AP60" s="63">
        <f t="shared" ca="1" si="31"/>
        <v>0</v>
      </c>
    </row>
    <row r="61" spans="1:42" ht="21" customHeight="1" x14ac:dyDescent="0.3">
      <c r="A61" s="54">
        <v>9</v>
      </c>
      <c r="B61" s="55" t="s">
        <v>82</v>
      </c>
      <c r="C61" s="56">
        <f t="shared" ca="1" si="60"/>
        <v>66560</v>
      </c>
      <c r="D61" s="57">
        <f ca="1">IFERROR(__xludf.DUMMYFUNCTION("IMPORTRANGE(""https://docs.google.com/spreadsheets/d/1fJJCVBkBnhriyv0Cp5ZFMr0I_yrfdEITNpb4zILJgUQ/edit?usp=sharing"",""ปทุมธานี!L424"")"),66560)</f>
        <v>66560</v>
      </c>
      <c r="E61" s="64">
        <f ca="1">IFERROR(__xludf.DUMMYFUNCTION("IMPORTRANGE(""https://docs.google.com/spreadsheets/d/1fJJCVBkBnhriyv0Cp5ZFMr0I_yrfdEITNpb4zILJgUQ/edit?usp=sharing"",""ปทุมธานี!L431"")"),0)</f>
        <v>0</v>
      </c>
      <c r="F61" s="64">
        <f ca="1">IFERROR(__xludf.DUMMYFUNCTION("IMPORTRANGE(""https://docs.google.com/spreadsheets/d/1fJJCVBkBnhriyv0Cp5ZFMr0I_yrfdEITNpb4zILJgUQ/edit?usp=sharing"",""ปทุมธานี!M424"")"),66560)</f>
        <v>66560</v>
      </c>
      <c r="G61" s="64">
        <f ca="1">IFERROR(__xludf.DUMMYFUNCTION("IMPORTRANGE(""https://docs.google.com/spreadsheets/d/1fJJCVBkBnhriyv0Cp5ZFMr0I_yrfdEITNpb4zILJgUQ/edit?usp=sharing"",""ปทุมธานี!M431"")"),0)</f>
        <v>0</v>
      </c>
      <c r="H61" s="58">
        <f t="shared" ca="1" si="26"/>
        <v>42800</v>
      </c>
      <c r="I61" s="59">
        <f t="shared" ca="1" si="1"/>
        <v>64.302884615384613</v>
      </c>
      <c r="J61" s="60">
        <f t="shared" ca="1" si="61"/>
        <v>42800</v>
      </c>
      <c r="K61" s="61">
        <f t="shared" ca="1" si="33"/>
        <v>64.302884615384613</v>
      </c>
      <c r="L61" s="61">
        <f t="shared" ca="1" si="34"/>
        <v>64.302884615384613</v>
      </c>
      <c r="M61" s="64">
        <f ca="1">IFERROR(__xludf.DUMMYFUNCTION("IMPORTRANGE(""https://docs.google.com/spreadsheets/d/1fJJCVBkBnhriyv0Cp5ZFMr0I_yrfdEITNpb4zILJgUQ/edit?usp=sharing"",""ปทุมธานี!N425"")"),42800)</f>
        <v>42800</v>
      </c>
      <c r="N61" s="64">
        <f ca="1">IFERROR(__xludf.DUMMYFUNCTION("IMPORTRANGE(""https://docs.google.com/spreadsheets/d/1fJJCVBkBnhriyv0Cp5ZFMr0I_yrfdEITNpb4zILJgUQ/edit?usp=sharing"",""ปทุมธานี!N426"")"),0)</f>
        <v>0</v>
      </c>
      <c r="O61" s="64">
        <f ca="1">IFERROR(__xludf.DUMMYFUNCTION("IMPORTRANGE(""https://docs.google.com/spreadsheets/d/1fJJCVBkBnhriyv0Cp5ZFMr0I_yrfdEITNpb4zILJgUQ/edit?usp=sharing"",""ปทุมธานี!N427"")"),0)</f>
        <v>0</v>
      </c>
      <c r="P61" s="64">
        <f ca="1">IFERROR(__xludf.DUMMYFUNCTION("IMPORTRANGE(""https://docs.google.com/spreadsheets/d/1fJJCVBkBnhriyv0Cp5ZFMr0I_yrfdEITNpb4zILJgUQ/edit?usp=sharing"",""ปทุมธานี!N428"")"),0)</f>
        <v>0</v>
      </c>
      <c r="Q61" s="62">
        <f ca="1">IFERROR(__xludf.DUMMYFUNCTION("IMPORTRANGE(""https://docs.google.com/spreadsheets/d/1fJJCVBkBnhriyv0Cp5ZFMr0I_yrfdEITNpb4zILJgUQ/edit?usp=sharing"",""ปทุมธานี!N431"")"),0)</f>
        <v>0</v>
      </c>
      <c r="R61" s="62">
        <f t="shared" ca="1" si="36"/>
        <v>0</v>
      </c>
      <c r="S61" s="57">
        <f ca="1">IFERROR(__xludf.DUMMYFUNCTION("IMPORTRANGE(""https://docs.google.com/spreadsheets/d/1fJJCVBkBnhriyv0Cp5ZFMr0I_yrfdEITNpb4zILJgUQ/edit?usp=sharing"",""ปทุมธานี!I433"")"),15)</f>
        <v>15</v>
      </c>
      <c r="T61" s="57">
        <f ca="1">IFERROR(__xludf.DUMMYFUNCTION("IMPORTRANGE(""https://docs.google.com/spreadsheets/d/1fJJCVBkBnhriyv0Cp5ZFMr0I_yrfdEITNpb4zILJgUQ/edit?usp=sharing"",""ปทุมธานี!I434"")"),1)</f>
        <v>1</v>
      </c>
      <c r="U61" s="57">
        <f ca="1">IFERROR(__xludf.DUMMYFUNCTION("IMPORTRANGE(""https://docs.google.com/spreadsheets/d/1fJJCVBkBnhriyv0Cp5ZFMr0I_yrfdEITNpb4zILJgUQ/edit?usp=sharing"",""ปทุมธานี!J433"")"),15)</f>
        <v>15</v>
      </c>
      <c r="V61" s="63">
        <f t="shared" ca="1" si="27"/>
        <v>100</v>
      </c>
      <c r="W61" s="57">
        <f ca="1">IFERROR(__xludf.DUMMYFUNCTION("IMPORTRANGE(""https://docs.google.com/spreadsheets/d/1fJJCVBkBnhriyv0Cp5ZFMr0I_yrfdEITNpb4zILJgUQ/edit?usp=sharing"",""ปทุมธานี!J434"")"),1)</f>
        <v>1</v>
      </c>
      <c r="X61" s="63">
        <f t="shared" ca="1" si="7"/>
        <v>100</v>
      </c>
      <c r="Y61" s="57">
        <f ca="1">IFERROR(__xludf.DUMMYFUNCTION("IMPORTRANGE(""https://docs.google.com/spreadsheets/d/1fJJCVBkBnhriyv0Cp5ZFMr0I_yrfdEITNpb4zILJgUQ/edit?usp=sharing"",""ปทุมธานี!I435"")"),15)</f>
        <v>15</v>
      </c>
      <c r="Z61" s="57">
        <f ca="1">IFERROR(__xludf.DUMMYFUNCTION("IMPORTRANGE(""https://docs.google.com/spreadsheets/d/1fJJCVBkBnhriyv0Cp5ZFMr0I_yrfdEITNpb4zILJgUQ/edit?usp=sharing"",""ปทุมธานี!J435"")"),15)</f>
        <v>15</v>
      </c>
      <c r="AA61" s="63">
        <f t="shared" ca="1" si="28"/>
        <v>100</v>
      </c>
      <c r="AB61" s="57">
        <f ca="1">IFERROR(__xludf.DUMMYFUNCTION("IMPORTRANGE(""https://docs.google.com/spreadsheets/d/1fJJCVBkBnhriyv0Cp5ZFMr0I_yrfdEITNpb4zILJgUQ/edit?usp=sharing"",""ปทุมธานี!I437"")"),0)</f>
        <v>0</v>
      </c>
      <c r="AC61" s="57">
        <f ca="1">IFERROR(__xludf.DUMMYFUNCTION("IMPORTRANGE(""https://docs.google.com/spreadsheets/d/1fJJCVBkBnhriyv0Cp5ZFMr0I_yrfdEITNpb4zILJgUQ/edit?usp=sharing"",""ปทุมธานี!I438"")"),0)</f>
        <v>0</v>
      </c>
      <c r="AD61" s="57">
        <f ca="1">IFERROR(__xludf.DUMMYFUNCTION("IMPORTRANGE(""https://docs.google.com/spreadsheets/d/1fJJCVBkBnhriyv0Cp5ZFMr0I_yrfdEITNpb4zILJgUQ/edit?usp=sharing"",""ปทุมธานี!J437"")"),0)</f>
        <v>0</v>
      </c>
      <c r="AE61" s="63">
        <f t="shared" ca="1" si="29"/>
        <v>0</v>
      </c>
      <c r="AF61" s="57">
        <f ca="1">IFERROR(__xludf.DUMMYFUNCTION("IMPORTRANGE(""https://docs.google.com/spreadsheets/d/1fJJCVBkBnhriyv0Cp5ZFMr0I_yrfdEITNpb4zILJgUQ/edit?usp=sharing"",""ปทุมธานี!J438"")"),0)</f>
        <v>0</v>
      </c>
      <c r="AG61" s="63">
        <f t="shared" ca="1" si="12"/>
        <v>0</v>
      </c>
      <c r="AH61" s="57">
        <f ca="1">IFERROR(__xludf.DUMMYFUNCTION("IMPORTRANGE(""https://docs.google.com/spreadsheets/d/1fJJCVBkBnhriyv0Cp5ZFMr0I_yrfdEITNpb4zILJgUQ/edit?usp=sharing"",""ปทุมธานี!I439"")"),15)</f>
        <v>15</v>
      </c>
      <c r="AI61" s="57">
        <f ca="1">IFERROR(__xludf.DUMMYFUNCTION("IMPORTRANGE(""https://docs.google.com/spreadsheets/d/1fJJCVBkBnhriyv0Cp5ZFMr0I_yrfdEITNpb4zILJgUQ/edit?usp=sharing"",""ปทุมธานี!I440"")"),1)</f>
        <v>1</v>
      </c>
      <c r="AJ61" s="57">
        <f ca="1">IFERROR(__xludf.DUMMYFUNCTION("IMPORTRANGE(""https://docs.google.com/spreadsheets/d/1fJJCVBkBnhriyv0Cp5ZFMr0I_yrfdEITNpb4zILJgUQ/edit?usp=sharing"",""ปทุมธานี!J439"")"),15)</f>
        <v>15</v>
      </c>
      <c r="AK61" s="63">
        <f t="shared" ca="1" si="30"/>
        <v>100</v>
      </c>
      <c r="AL61" s="57">
        <f ca="1">IFERROR(__xludf.DUMMYFUNCTION("IMPORTRANGE(""https://docs.google.com/spreadsheets/d/1fJJCVBkBnhriyv0Cp5ZFMr0I_yrfdEITNpb4zILJgUQ/edit?usp=sharing"",""ปทุมธานี!J440"")"),1)</f>
        <v>1</v>
      </c>
      <c r="AM61" s="63">
        <f t="shared" ca="1" si="15"/>
        <v>100</v>
      </c>
      <c r="AN61" s="57">
        <f ca="1">IFERROR(__xludf.DUMMYFUNCTION("IMPORTRANGE(""https://docs.google.com/spreadsheets/d/1fJJCVBkBnhriyv0Cp5ZFMr0I_yrfdEITNpb4zILJgUQ/edit?usp=sharing"",""ปทุมธานี!I441"")"),0)</f>
        <v>0</v>
      </c>
      <c r="AO61" s="57">
        <f ca="1">IFERROR(__xludf.DUMMYFUNCTION("IMPORTRANGE(""https://docs.google.com/spreadsheets/d/1fJJCVBkBnhriyv0Cp5ZFMr0I_yrfdEITNpb4zILJgUQ/edit?usp=sharing"",""ปทุมธานี!J441"")"),0)</f>
        <v>0</v>
      </c>
      <c r="AP61" s="63">
        <f t="shared" ca="1" si="31"/>
        <v>0</v>
      </c>
    </row>
    <row r="62" spans="1:42" ht="21" customHeight="1" x14ac:dyDescent="0.3">
      <c r="A62" s="54">
        <v>10</v>
      </c>
      <c r="B62" s="55" t="s">
        <v>83</v>
      </c>
      <c r="C62" s="56">
        <f t="shared" ca="1" si="60"/>
        <v>66560</v>
      </c>
      <c r="D62" s="57">
        <f ca="1">IFERROR(__xludf.DUMMYFUNCTION("IMPORTRANGE(""https://docs.google.com/spreadsheets/d/1W5Jj_S0gYw6wSO7QcMI02YgyOBDKYgmm0NSUk-AQEac/edit?usp=sharing"",""ประจวบคีรีขันธ์!L424"")"),66560)</f>
        <v>66560</v>
      </c>
      <c r="E62" s="64">
        <f ca="1">IFERROR(__xludf.DUMMYFUNCTION("IMPORTRANGE(""https://docs.google.com/spreadsheets/d/1W5Jj_S0gYw6wSO7QcMI02YgyOBDKYgmm0NSUk-AQEac/edit?usp=sharing"",""ประจวบคีรีขันธ์!L431"")"),0)</f>
        <v>0</v>
      </c>
      <c r="F62" s="64">
        <f ca="1">IFERROR(__xludf.DUMMYFUNCTION("IMPORTRANGE(""https://docs.google.com/spreadsheets/d/1W5Jj_S0gYw6wSO7QcMI02YgyOBDKYgmm0NSUk-AQEac/edit?usp=sharing"",""ประจวบคีรีขันธ์!M424"")"),66560)</f>
        <v>66560</v>
      </c>
      <c r="G62" s="64">
        <f ca="1">IFERROR(__xludf.DUMMYFUNCTION("IMPORTRANGE(""https://docs.google.com/spreadsheets/d/1W5Jj_S0gYw6wSO7QcMI02YgyOBDKYgmm0NSUk-AQEac/edit?usp=sharing"",""ประจวบคีรีขันธ์!M431"")"),0)</f>
        <v>0</v>
      </c>
      <c r="H62" s="58">
        <f t="shared" ca="1" si="26"/>
        <v>65240</v>
      </c>
      <c r="I62" s="59">
        <f t="shared" ca="1" si="1"/>
        <v>98.01682692307692</v>
      </c>
      <c r="J62" s="60">
        <f t="shared" ca="1" si="61"/>
        <v>65240</v>
      </c>
      <c r="K62" s="61">
        <f t="shared" ca="1" si="33"/>
        <v>98.01682692307692</v>
      </c>
      <c r="L62" s="61">
        <f t="shared" ca="1" si="34"/>
        <v>98.01682692307692</v>
      </c>
      <c r="M62" s="64">
        <f ca="1">IFERROR(__xludf.DUMMYFUNCTION("IMPORTRANGE(""https://docs.google.com/spreadsheets/d/1W5Jj_S0gYw6wSO7QcMI02YgyOBDKYgmm0NSUk-AQEac/edit?usp=sharing"",""ประจวบคีรีขันธ์!N425"")"),49950)</f>
        <v>49950</v>
      </c>
      <c r="N62" s="64">
        <f ca="1">IFERROR(__xludf.DUMMYFUNCTION("IMPORTRANGE(""https://docs.google.com/spreadsheets/d/1W5Jj_S0gYw6wSO7QcMI02YgyOBDKYgmm0NSUk-AQEac/edit?usp=sharing"",""ประจวบคีรีขันธ์!N426"")"),0)</f>
        <v>0</v>
      </c>
      <c r="O62" s="64">
        <f ca="1">IFERROR(__xludf.DUMMYFUNCTION("IMPORTRANGE(""https://docs.google.com/spreadsheets/d/1W5Jj_S0gYw6wSO7QcMI02YgyOBDKYgmm0NSUk-AQEac/edit?usp=sharing"",""ประจวบคีรีขันธ์!N427"")"),0)</f>
        <v>0</v>
      </c>
      <c r="P62" s="64">
        <f ca="1">IFERROR(__xludf.DUMMYFUNCTION("IMPORTRANGE(""https://docs.google.com/spreadsheets/d/1W5Jj_S0gYw6wSO7QcMI02YgyOBDKYgmm0NSUk-AQEac/edit?usp=sharing"",""ประจวบคีรีขันธ์!N428"")"),15290)</f>
        <v>15290</v>
      </c>
      <c r="Q62" s="62">
        <f ca="1">IFERROR(__xludf.DUMMYFUNCTION("IMPORTRANGE(""https://docs.google.com/spreadsheets/d/1W5Jj_S0gYw6wSO7QcMI02YgyOBDKYgmm0NSUk-AQEac/edit?usp=sharing"",""ประจวบคีรีขันธ์!N431"")"),0)</f>
        <v>0</v>
      </c>
      <c r="R62" s="62">
        <f t="shared" ca="1" si="36"/>
        <v>0</v>
      </c>
      <c r="S62" s="57">
        <f ca="1">IFERROR(__xludf.DUMMYFUNCTION("IMPORTRANGE(""https://docs.google.com/spreadsheets/d/1W5Jj_S0gYw6wSO7QcMI02YgyOBDKYgmm0NSUk-AQEac/edit?usp=sharing"",""ประจวบคีรีขันธ์!I433"")"),15)</f>
        <v>15</v>
      </c>
      <c r="T62" s="57">
        <f ca="1">IFERROR(__xludf.DUMMYFUNCTION("IMPORTRANGE(""https://docs.google.com/spreadsheets/d/1W5Jj_S0gYw6wSO7QcMI02YgyOBDKYgmm0NSUk-AQEac/edit?usp=sharing"",""ประจวบคีรีขันธ์!I434"")"),1)</f>
        <v>1</v>
      </c>
      <c r="U62" s="57">
        <f ca="1">IFERROR(__xludf.DUMMYFUNCTION("IMPORTRANGE(""https://docs.google.com/spreadsheets/d/1W5Jj_S0gYw6wSO7QcMI02YgyOBDKYgmm0NSUk-AQEac/edit?usp=sharing"",""ประจวบคีรีขันธ์!J433"")"),15)</f>
        <v>15</v>
      </c>
      <c r="V62" s="63">
        <f t="shared" ca="1" si="27"/>
        <v>100</v>
      </c>
      <c r="W62" s="57">
        <f ca="1">IFERROR(__xludf.DUMMYFUNCTION("IMPORTRANGE(""https://docs.google.com/spreadsheets/d/1W5Jj_S0gYw6wSO7QcMI02YgyOBDKYgmm0NSUk-AQEac/edit?usp=sharing"",""ประจวบคีรีขันธ์!J434"")"),1)</f>
        <v>1</v>
      </c>
      <c r="X62" s="63">
        <f t="shared" ca="1" si="7"/>
        <v>100</v>
      </c>
      <c r="Y62" s="57">
        <f ca="1">IFERROR(__xludf.DUMMYFUNCTION("IMPORTRANGE(""https://docs.google.com/spreadsheets/d/1W5Jj_S0gYw6wSO7QcMI02YgyOBDKYgmm0NSUk-AQEac/edit?usp=sharing"",""ประจวบคีรีขันธ์!I435"")"),15)</f>
        <v>15</v>
      </c>
      <c r="Z62" s="57">
        <f ca="1">IFERROR(__xludf.DUMMYFUNCTION("IMPORTRANGE(""https://docs.google.com/spreadsheets/d/1W5Jj_S0gYw6wSO7QcMI02YgyOBDKYgmm0NSUk-AQEac/edit?usp=sharing"",""ประจวบคีรีขันธ์!J435"")"),15)</f>
        <v>15</v>
      </c>
      <c r="AA62" s="63">
        <f t="shared" ca="1" si="28"/>
        <v>100</v>
      </c>
      <c r="AB62" s="57">
        <f ca="1">IFERROR(__xludf.DUMMYFUNCTION("IMPORTRANGE(""https://docs.google.com/spreadsheets/d/1W5Jj_S0gYw6wSO7QcMI02YgyOBDKYgmm0NSUk-AQEac/edit?usp=sharing"",""ประจวบคีรีขันธ์!I437"")"),0)</f>
        <v>0</v>
      </c>
      <c r="AC62" s="57">
        <f ca="1">IFERROR(__xludf.DUMMYFUNCTION("IMPORTRANGE(""https://docs.google.com/spreadsheets/d/1W5Jj_S0gYw6wSO7QcMI02YgyOBDKYgmm0NSUk-AQEac/edit?usp=sharing"",""ประจวบคีรีขันธ์!I438"")"),0)</f>
        <v>0</v>
      </c>
      <c r="AD62" s="57">
        <f ca="1">IFERROR(__xludf.DUMMYFUNCTION("IMPORTRANGE(""https://docs.google.com/spreadsheets/d/1W5Jj_S0gYw6wSO7QcMI02YgyOBDKYgmm0NSUk-AQEac/edit?usp=sharing"",""ประจวบคีรีขันธ์!J437"")"),0)</f>
        <v>0</v>
      </c>
      <c r="AE62" s="63">
        <f t="shared" ca="1" si="29"/>
        <v>0</v>
      </c>
      <c r="AF62" s="57">
        <f ca="1">IFERROR(__xludf.DUMMYFUNCTION("IMPORTRANGE(""https://docs.google.com/spreadsheets/d/1W5Jj_S0gYw6wSO7QcMI02YgyOBDKYgmm0NSUk-AQEac/edit?usp=sharing"",""ประจวบคีรีขันธ์!J438"")"),0)</f>
        <v>0</v>
      </c>
      <c r="AG62" s="63">
        <f t="shared" ca="1" si="12"/>
        <v>0</v>
      </c>
      <c r="AH62" s="57">
        <f ca="1">IFERROR(__xludf.DUMMYFUNCTION("IMPORTRANGE(""https://docs.google.com/spreadsheets/d/1W5Jj_S0gYw6wSO7QcMI02YgyOBDKYgmm0NSUk-AQEac/edit?usp=sharing"",""ประจวบคีรีขันธ์!I439"")"),15)</f>
        <v>15</v>
      </c>
      <c r="AI62" s="57">
        <f ca="1">IFERROR(__xludf.DUMMYFUNCTION("IMPORTRANGE(""https://docs.google.com/spreadsheets/d/1W5Jj_S0gYw6wSO7QcMI02YgyOBDKYgmm0NSUk-AQEac/edit?usp=sharing"",""ประจวบคีรีขันธ์!I440"")"),1)</f>
        <v>1</v>
      </c>
      <c r="AJ62" s="57">
        <f ca="1">IFERROR(__xludf.DUMMYFUNCTION("IMPORTRANGE(""https://docs.google.com/spreadsheets/d/1W5Jj_S0gYw6wSO7QcMI02YgyOBDKYgmm0NSUk-AQEac/edit?usp=sharing"",""ประจวบคีรีขันธ์!J439"")"),15)</f>
        <v>15</v>
      </c>
      <c r="AK62" s="63">
        <f t="shared" ca="1" si="30"/>
        <v>100</v>
      </c>
      <c r="AL62" s="57">
        <f ca="1">IFERROR(__xludf.DUMMYFUNCTION("IMPORTRANGE(""https://docs.google.com/spreadsheets/d/1W5Jj_S0gYw6wSO7QcMI02YgyOBDKYgmm0NSUk-AQEac/edit?usp=sharing"",""ประจวบคีรีขันธ์!J440"")"),1)</f>
        <v>1</v>
      </c>
      <c r="AM62" s="63">
        <f t="shared" ca="1" si="15"/>
        <v>100</v>
      </c>
      <c r="AN62" s="57">
        <f ca="1">IFERROR(__xludf.DUMMYFUNCTION("IMPORTRANGE(""https://docs.google.com/spreadsheets/d/1W5Jj_S0gYw6wSO7QcMI02YgyOBDKYgmm0NSUk-AQEac/edit?usp=sharing"",""ประจวบคีรีขันธ์!I441"")"),0)</f>
        <v>0</v>
      </c>
      <c r="AO62" s="57">
        <f ca="1">IFERROR(__xludf.DUMMYFUNCTION("IMPORTRANGE(""https://docs.google.com/spreadsheets/d/1W5Jj_S0gYw6wSO7QcMI02YgyOBDKYgmm0NSUk-AQEac/edit?usp=sharing"",""ประจวบคีรีขันธ์!J441"")"),0)</f>
        <v>0</v>
      </c>
      <c r="AP62" s="63">
        <f t="shared" ca="1" si="31"/>
        <v>0</v>
      </c>
    </row>
    <row r="63" spans="1:42" ht="21" customHeight="1" x14ac:dyDescent="0.3">
      <c r="A63" s="54">
        <v>11</v>
      </c>
      <c r="B63" s="55" t="s">
        <v>84</v>
      </c>
      <c r="C63" s="56">
        <f t="shared" ca="1" si="60"/>
        <v>83760</v>
      </c>
      <c r="D63" s="57">
        <f ca="1">IFERROR(__xludf.DUMMYFUNCTION("IMPORTRANGE(""https://docs.google.com/spreadsheets/d/1nYxRXgnCfTXtqUY1otYuTlnrzE0Tn-Y0YRsW5pkRVqo/edit?usp=sharing"",""ปราจีนบุรี!L424"")"),83760)</f>
        <v>83760</v>
      </c>
      <c r="E63" s="64">
        <f ca="1">IFERROR(__xludf.DUMMYFUNCTION("IMPORTRANGE(""https://docs.google.com/spreadsheets/d/1nYxRXgnCfTXtqUY1otYuTlnrzE0Tn-Y0YRsW5pkRVqo/edit?usp=sharing"",""ปราจีนบุรี!L431"")"),0)</f>
        <v>0</v>
      </c>
      <c r="F63" s="64">
        <f ca="1">IFERROR(__xludf.DUMMYFUNCTION("IMPORTRANGE(""https://docs.google.com/spreadsheets/d/1nYxRXgnCfTXtqUY1otYuTlnrzE0Tn-Y0YRsW5pkRVqo/edit?usp=sharing"",""ปราจีนบุรี!M424"")"),83760)</f>
        <v>83760</v>
      </c>
      <c r="G63" s="64">
        <f ca="1">IFERROR(__xludf.DUMMYFUNCTION("IMPORTRANGE(""https://docs.google.com/spreadsheets/d/1nYxRXgnCfTXtqUY1otYuTlnrzE0Tn-Y0YRsW5pkRVqo/edit?usp=sharing"",""ปราจีนบุรี!M431"")"),0)</f>
        <v>0</v>
      </c>
      <c r="H63" s="58">
        <f t="shared" ca="1" si="26"/>
        <v>67770</v>
      </c>
      <c r="I63" s="59">
        <f t="shared" ca="1" si="1"/>
        <v>80.909742120343836</v>
      </c>
      <c r="J63" s="60">
        <f t="shared" ca="1" si="61"/>
        <v>67770</v>
      </c>
      <c r="K63" s="61">
        <f t="shared" ca="1" si="33"/>
        <v>80.909742120343836</v>
      </c>
      <c r="L63" s="61">
        <f t="shared" ca="1" si="34"/>
        <v>80.909742120343836</v>
      </c>
      <c r="M63" s="64">
        <f ca="1">IFERROR(__xludf.DUMMYFUNCTION("IMPORTRANGE(""https://docs.google.com/spreadsheets/d/1nYxRXgnCfTXtqUY1otYuTlnrzE0Tn-Y0YRsW5pkRVqo/edit?usp=sharing"",""ปราจีนบุรี!N425"")"),36300)</f>
        <v>36300</v>
      </c>
      <c r="N63" s="64">
        <f ca="1">IFERROR(__xludf.DUMMYFUNCTION("IMPORTRANGE(""https://docs.google.com/spreadsheets/d/1nYxRXgnCfTXtqUY1otYuTlnrzE0Tn-Y0YRsW5pkRVqo/edit?usp=sharing"",""ปราจีนบุรี!N426"")"),0)</f>
        <v>0</v>
      </c>
      <c r="O63" s="64">
        <f ca="1">IFERROR(__xludf.DUMMYFUNCTION("IMPORTRANGE(""https://docs.google.com/spreadsheets/d/1nYxRXgnCfTXtqUY1otYuTlnrzE0Tn-Y0YRsW5pkRVqo/edit?usp=sharing"",""ปราจีนบุรี!N427"")"),0)</f>
        <v>0</v>
      </c>
      <c r="P63" s="64">
        <f ca="1">IFERROR(__xludf.DUMMYFUNCTION("IMPORTRANGE(""https://docs.google.com/spreadsheets/d/1nYxRXgnCfTXtqUY1otYuTlnrzE0Tn-Y0YRsW5pkRVqo/edit?usp=sharing"",""ปราจีนบุรี!N428"")"),31470)</f>
        <v>31470</v>
      </c>
      <c r="Q63" s="62">
        <f ca="1">IFERROR(__xludf.DUMMYFUNCTION("IMPORTRANGE(""https://docs.google.com/spreadsheets/d/1nYxRXgnCfTXtqUY1otYuTlnrzE0Tn-Y0YRsW5pkRVqo/edit?usp=sharing"",""ปราจีนบุรี!N431"")"),0)</f>
        <v>0</v>
      </c>
      <c r="R63" s="62">
        <f t="shared" ca="1" si="36"/>
        <v>0</v>
      </c>
      <c r="S63" s="57">
        <f ca="1">IFERROR(__xludf.DUMMYFUNCTION("IMPORTRANGE(""https://docs.google.com/spreadsheets/d/1nYxRXgnCfTXtqUY1otYuTlnrzE0Tn-Y0YRsW5pkRVqo/edit?usp=sharing"",""ปราจีนบุรี!I433"")"),15)</f>
        <v>15</v>
      </c>
      <c r="T63" s="57">
        <f ca="1">IFERROR(__xludf.DUMMYFUNCTION("IMPORTRANGE(""https://docs.google.com/spreadsheets/d/1nYxRXgnCfTXtqUY1otYuTlnrzE0Tn-Y0YRsW5pkRVqo/edit?usp=sharing"",""ปราจีนบุรี!I434"")"),1)</f>
        <v>1</v>
      </c>
      <c r="U63" s="57">
        <f ca="1">IFERROR(__xludf.DUMMYFUNCTION("IMPORTRANGE(""https://docs.google.com/spreadsheets/d/1nYxRXgnCfTXtqUY1otYuTlnrzE0Tn-Y0YRsW5pkRVqo/edit?usp=sharing"",""ปราจีนบุรี!J433"")"),15)</f>
        <v>15</v>
      </c>
      <c r="V63" s="63">
        <f t="shared" ca="1" si="27"/>
        <v>100</v>
      </c>
      <c r="W63" s="57">
        <f ca="1">IFERROR(__xludf.DUMMYFUNCTION("IMPORTRANGE(""https://docs.google.com/spreadsheets/d/1nYxRXgnCfTXtqUY1otYuTlnrzE0Tn-Y0YRsW5pkRVqo/edit?usp=sharing"",""ปราจีนบุรี!J434"")"),1)</f>
        <v>1</v>
      </c>
      <c r="X63" s="63">
        <f t="shared" ca="1" si="7"/>
        <v>100</v>
      </c>
      <c r="Y63" s="57">
        <f ca="1">IFERROR(__xludf.DUMMYFUNCTION("IMPORTRANGE(""https://docs.google.com/spreadsheets/d/1nYxRXgnCfTXtqUY1otYuTlnrzE0Tn-Y0YRsW5pkRVqo/edit?usp=sharing"",""ปราจีนบุรี!I435"")"),15)</f>
        <v>15</v>
      </c>
      <c r="Z63" s="57">
        <f ca="1">IFERROR(__xludf.DUMMYFUNCTION("IMPORTRANGE(""https://docs.google.com/spreadsheets/d/1nYxRXgnCfTXtqUY1otYuTlnrzE0Tn-Y0YRsW5pkRVqo/edit?usp=sharing"",""ปราจีนบุรี!J435"")"),15)</f>
        <v>15</v>
      </c>
      <c r="AA63" s="63">
        <f t="shared" ca="1" si="28"/>
        <v>100</v>
      </c>
      <c r="AB63" s="57">
        <f ca="1">IFERROR(__xludf.DUMMYFUNCTION("IMPORTRANGE(""https://docs.google.com/spreadsheets/d/1nYxRXgnCfTXtqUY1otYuTlnrzE0Tn-Y0YRsW5pkRVqo/edit?usp=sharing"",""ปราจีนบุรี!I437"")"),0)</f>
        <v>0</v>
      </c>
      <c r="AC63" s="57">
        <f ca="1">IFERROR(__xludf.DUMMYFUNCTION("IMPORTRANGE(""https://docs.google.com/spreadsheets/d/1nYxRXgnCfTXtqUY1otYuTlnrzE0Tn-Y0YRsW5pkRVqo/edit?usp=sharing"",""ปราจีนบุรี!I438"")"),0)</f>
        <v>0</v>
      </c>
      <c r="AD63" s="57">
        <f ca="1">IFERROR(__xludf.DUMMYFUNCTION("IMPORTRANGE(""https://docs.google.com/spreadsheets/d/1nYxRXgnCfTXtqUY1otYuTlnrzE0Tn-Y0YRsW5pkRVqo/edit?usp=sharing"",""ปราจีนบุรี!J437"")"),0)</f>
        <v>0</v>
      </c>
      <c r="AE63" s="63">
        <f t="shared" ca="1" si="29"/>
        <v>0</v>
      </c>
      <c r="AF63" s="57">
        <f ca="1">IFERROR(__xludf.DUMMYFUNCTION("IMPORTRANGE(""https://docs.google.com/spreadsheets/d/1nYxRXgnCfTXtqUY1otYuTlnrzE0Tn-Y0YRsW5pkRVqo/edit?usp=sharing"",""ปราจีนบุรี!J438"")"),0)</f>
        <v>0</v>
      </c>
      <c r="AG63" s="63">
        <f t="shared" ca="1" si="12"/>
        <v>0</v>
      </c>
      <c r="AH63" s="57">
        <f ca="1">IFERROR(__xludf.DUMMYFUNCTION("IMPORTRANGE(""https://docs.google.com/spreadsheets/d/1nYxRXgnCfTXtqUY1otYuTlnrzE0Tn-Y0YRsW5pkRVqo/edit?usp=sharing"",""ปราจีนบุรี!I439"")"),15)</f>
        <v>15</v>
      </c>
      <c r="AI63" s="57">
        <f ca="1">IFERROR(__xludf.DUMMYFUNCTION("IMPORTRANGE(""https://docs.google.com/spreadsheets/d/1nYxRXgnCfTXtqUY1otYuTlnrzE0Tn-Y0YRsW5pkRVqo/edit?usp=sharing"",""ปราจีนบุรี!I440"")"),1)</f>
        <v>1</v>
      </c>
      <c r="AJ63" s="57">
        <f ca="1">IFERROR(__xludf.DUMMYFUNCTION("IMPORTRANGE(""https://docs.google.com/spreadsheets/d/1nYxRXgnCfTXtqUY1otYuTlnrzE0Tn-Y0YRsW5pkRVqo/edit?usp=sharing"",""ปราจีนบุรี!J439"")"),15)</f>
        <v>15</v>
      </c>
      <c r="AK63" s="63">
        <f t="shared" ca="1" si="30"/>
        <v>100</v>
      </c>
      <c r="AL63" s="57">
        <f ca="1">IFERROR(__xludf.DUMMYFUNCTION("IMPORTRANGE(""https://docs.google.com/spreadsheets/d/1nYxRXgnCfTXtqUY1otYuTlnrzE0Tn-Y0YRsW5pkRVqo/edit?usp=sharing"",""ปราจีนบุรี!J440"")"),1)</f>
        <v>1</v>
      </c>
      <c r="AM63" s="63">
        <f t="shared" ca="1" si="15"/>
        <v>100</v>
      </c>
      <c r="AN63" s="57">
        <f ca="1">IFERROR(__xludf.DUMMYFUNCTION("IMPORTRANGE(""https://docs.google.com/spreadsheets/d/1nYxRXgnCfTXtqUY1otYuTlnrzE0Tn-Y0YRsW5pkRVqo/edit?usp=sharing"",""ปราจีนบุรี!I441"")"),0)</f>
        <v>0</v>
      </c>
      <c r="AO63" s="57">
        <f ca="1">IFERROR(__xludf.DUMMYFUNCTION("IMPORTRANGE(""https://docs.google.com/spreadsheets/d/1nYxRXgnCfTXtqUY1otYuTlnrzE0Tn-Y0YRsW5pkRVqo/edit?usp=sharing"",""ปราจีนบุรี!J441"")"),0)</f>
        <v>0</v>
      </c>
      <c r="AP63" s="63">
        <f t="shared" ca="1" si="31"/>
        <v>0</v>
      </c>
    </row>
    <row r="64" spans="1:42" ht="21" customHeight="1" x14ac:dyDescent="0.3">
      <c r="A64" s="54">
        <v>12</v>
      </c>
      <c r="B64" s="55" t="s">
        <v>85</v>
      </c>
      <c r="C64" s="56">
        <f t="shared" ca="1" si="60"/>
        <v>205300</v>
      </c>
      <c r="D64" s="57">
        <f ca="1">IFERROR(__xludf.DUMMYFUNCTION("IMPORTRANGE(""https://docs.google.com/spreadsheets/d/1nNHCLO8ZAXOMfQvxux7cf_hrzPAh8FAvaHq_ClKbZNo/edit?usp=sharing"",""พระนครศรีอยุธยา!L424"")"),205300)</f>
        <v>205300</v>
      </c>
      <c r="E64" s="64">
        <f ca="1">IFERROR(__xludf.DUMMYFUNCTION("IMPORTRANGE(""https://docs.google.com/spreadsheets/d/1nNHCLO8ZAXOMfQvxux7cf_hrzPAh8FAvaHq_ClKbZNo/edit?usp=sharing"",""พระนครศรีอยุธยา!L431"")"),0)</f>
        <v>0</v>
      </c>
      <c r="F64" s="64">
        <f ca="1">IFERROR(__xludf.DUMMYFUNCTION("IMPORTRANGE(""https://docs.google.com/spreadsheets/d/1nNHCLO8ZAXOMfQvxux7cf_hrzPAh8FAvaHq_ClKbZNo/edit?usp=sharing"",""พระนครศรีอยุธยา!M424"")"),205300)</f>
        <v>205300</v>
      </c>
      <c r="G64" s="64">
        <f ca="1">IFERROR(__xludf.DUMMYFUNCTION("IMPORTRANGE(""https://docs.google.com/spreadsheets/d/1nNHCLO8ZAXOMfQvxux7cf_hrzPAh8FAvaHq_ClKbZNo/edit?usp=sharing"",""พระนครศรีอยุธยา!M431"")"),0)</f>
        <v>0</v>
      </c>
      <c r="H64" s="58">
        <f t="shared" ca="1" si="26"/>
        <v>197231.4</v>
      </c>
      <c r="I64" s="59">
        <f t="shared" ca="1" si="1"/>
        <v>96.069849001461279</v>
      </c>
      <c r="J64" s="60">
        <f t="shared" ca="1" si="61"/>
        <v>197231.4</v>
      </c>
      <c r="K64" s="61">
        <f t="shared" ca="1" si="33"/>
        <v>96.069849001461279</v>
      </c>
      <c r="L64" s="61">
        <f t="shared" ca="1" si="34"/>
        <v>96.069849001461279</v>
      </c>
      <c r="M64" s="64">
        <f ca="1">IFERROR(__xludf.DUMMYFUNCTION("IMPORTRANGE(""https://docs.google.com/spreadsheets/d/1nNHCLO8ZAXOMfQvxux7cf_hrzPAh8FAvaHq_ClKbZNo/edit?usp=sharing"",""พระนครศรีอยุธยา!N425"")"),179951.4)</f>
        <v>179951.4</v>
      </c>
      <c r="N64" s="64">
        <f ca="1">IFERROR(__xludf.DUMMYFUNCTION("IMPORTRANGE(""https://docs.google.com/spreadsheets/d/1nNHCLO8ZAXOMfQvxux7cf_hrzPAh8FAvaHq_ClKbZNo/edit?usp=sharing"",""พระนครศรีอยุธยา!N426"")"),0)</f>
        <v>0</v>
      </c>
      <c r="O64" s="64">
        <f ca="1">IFERROR(__xludf.DUMMYFUNCTION("IMPORTRANGE(""https://docs.google.com/spreadsheets/d/1nNHCLO8ZAXOMfQvxux7cf_hrzPAh8FAvaHq_ClKbZNo/edit?usp=sharing"",""พระนครศรีอยุธยา!N427"")"),0)</f>
        <v>0</v>
      </c>
      <c r="P64" s="64">
        <f ca="1">IFERROR(__xludf.DUMMYFUNCTION("IMPORTRANGE(""https://docs.google.com/spreadsheets/d/1nNHCLO8ZAXOMfQvxux7cf_hrzPAh8FAvaHq_ClKbZNo/edit?usp=sharing"",""พระนครศรีอยุธยา!N428"")"),17280)</f>
        <v>17280</v>
      </c>
      <c r="Q64" s="62">
        <f ca="1">IFERROR(__xludf.DUMMYFUNCTION("IMPORTRANGE(""https://docs.google.com/spreadsheets/d/1nNHCLO8ZAXOMfQvxux7cf_hrzPAh8FAvaHq_ClKbZNo/edit?usp=sharing"",""พระนครศรีอยุธยา!N431"")"),0)</f>
        <v>0</v>
      </c>
      <c r="R64" s="62">
        <f t="shared" ca="1" si="36"/>
        <v>0</v>
      </c>
      <c r="S64" s="57">
        <f ca="1">IFERROR(__xludf.DUMMYFUNCTION("IMPORTRANGE(""https://docs.google.com/spreadsheets/d/1nNHCLO8ZAXOMfQvxux7cf_hrzPAh8FAvaHq_ClKbZNo/edit?usp=sharing"",""พระนครศรีอยุธยา!I433"")"),60)</f>
        <v>60</v>
      </c>
      <c r="T64" s="57">
        <f ca="1">IFERROR(__xludf.DUMMYFUNCTION("IMPORTRANGE(""https://docs.google.com/spreadsheets/d/1nNHCLO8ZAXOMfQvxux7cf_hrzPAh8FAvaHq_ClKbZNo/edit?usp=sharing"",""พระนครศรีอยุธยา!I434"")"),2)</f>
        <v>2</v>
      </c>
      <c r="U64" s="57">
        <f ca="1">IFERROR(__xludf.DUMMYFUNCTION("IMPORTRANGE(""https://docs.google.com/spreadsheets/d/1nNHCLO8ZAXOMfQvxux7cf_hrzPAh8FAvaHq_ClKbZNo/edit?usp=sharing"",""พระนครศรีอยุธยา!J433"")"),60)</f>
        <v>60</v>
      </c>
      <c r="V64" s="63">
        <f t="shared" ca="1" si="27"/>
        <v>100</v>
      </c>
      <c r="W64" s="57">
        <f ca="1">IFERROR(__xludf.DUMMYFUNCTION("IMPORTRANGE(""https://docs.google.com/spreadsheets/d/1nNHCLO8ZAXOMfQvxux7cf_hrzPAh8FAvaHq_ClKbZNo/edit?usp=sharing"",""พระนครศรีอยุธยา!J434"")"),2)</f>
        <v>2</v>
      </c>
      <c r="X64" s="63">
        <f t="shared" ca="1" si="7"/>
        <v>100</v>
      </c>
      <c r="Y64" s="57">
        <f ca="1">IFERROR(__xludf.DUMMYFUNCTION("IMPORTRANGE(""https://docs.google.com/spreadsheets/d/1nNHCLO8ZAXOMfQvxux7cf_hrzPAh8FAvaHq_ClKbZNo/edit?usp=sharing"",""พระนครศรีอยุธยา!I435"")"),60)</f>
        <v>60</v>
      </c>
      <c r="Z64" s="57">
        <f ca="1">IFERROR(__xludf.DUMMYFUNCTION("IMPORTRANGE(""https://docs.google.com/spreadsheets/d/1nNHCLO8ZAXOMfQvxux7cf_hrzPAh8FAvaHq_ClKbZNo/edit?usp=sharing"",""พระนครศรีอยุธยา!J435"")"),60)</f>
        <v>60</v>
      </c>
      <c r="AA64" s="63">
        <f t="shared" ca="1" si="28"/>
        <v>100</v>
      </c>
      <c r="AB64" s="57">
        <f ca="1">IFERROR(__xludf.DUMMYFUNCTION("IMPORTRANGE(""https://docs.google.com/spreadsheets/d/1nNHCLO8ZAXOMfQvxux7cf_hrzPAh8FAvaHq_ClKbZNo/edit?usp=sharing"",""พระนครศรีอยุธยา!I437"")"),40)</f>
        <v>40</v>
      </c>
      <c r="AC64" s="57">
        <f ca="1">IFERROR(__xludf.DUMMYFUNCTION("IMPORTRANGE(""https://docs.google.com/spreadsheets/d/1nNHCLO8ZAXOMfQvxux7cf_hrzPAh8FAvaHq_ClKbZNo/edit?usp=sharing"",""พระนครศรีอยุธยา!I438"")"),1)</f>
        <v>1</v>
      </c>
      <c r="AD64" s="57">
        <f ca="1">IFERROR(__xludf.DUMMYFUNCTION("IMPORTRANGE(""https://docs.google.com/spreadsheets/d/1nNHCLO8ZAXOMfQvxux7cf_hrzPAh8FAvaHq_ClKbZNo/edit?usp=sharing"",""พระนครศรีอยุธยา!J437"")"),40)</f>
        <v>40</v>
      </c>
      <c r="AE64" s="63">
        <f t="shared" ca="1" si="29"/>
        <v>100</v>
      </c>
      <c r="AF64" s="57">
        <f ca="1">IFERROR(__xludf.DUMMYFUNCTION("IMPORTRANGE(""https://docs.google.com/spreadsheets/d/1nNHCLO8ZAXOMfQvxux7cf_hrzPAh8FAvaHq_ClKbZNo/edit?usp=sharing"",""พระนครศรีอยุธยา!J438"")"),1)</f>
        <v>1</v>
      </c>
      <c r="AG64" s="63">
        <f t="shared" ca="1" si="12"/>
        <v>100</v>
      </c>
      <c r="AH64" s="57">
        <f ca="1">IFERROR(__xludf.DUMMYFUNCTION("IMPORTRANGE(""https://docs.google.com/spreadsheets/d/1nNHCLO8ZAXOMfQvxux7cf_hrzPAh8FAvaHq_ClKbZNo/edit?usp=sharing"",""พระนครศรีอยุธยา!I439"")"),20)</f>
        <v>20</v>
      </c>
      <c r="AI64" s="57">
        <f ca="1">IFERROR(__xludf.DUMMYFUNCTION("IMPORTRANGE(""https://docs.google.com/spreadsheets/d/1nNHCLO8ZAXOMfQvxux7cf_hrzPAh8FAvaHq_ClKbZNo/edit?usp=sharing"",""พระนครศรีอยุธยา!I440"")"),1)</f>
        <v>1</v>
      </c>
      <c r="AJ64" s="57">
        <f ca="1">IFERROR(__xludf.DUMMYFUNCTION("IMPORTRANGE(""https://docs.google.com/spreadsheets/d/1nNHCLO8ZAXOMfQvxux7cf_hrzPAh8FAvaHq_ClKbZNo/edit?usp=sharing"",""พระนครศรีอยุธยา!J439"")"),20)</f>
        <v>20</v>
      </c>
      <c r="AK64" s="63">
        <f t="shared" ca="1" si="30"/>
        <v>100</v>
      </c>
      <c r="AL64" s="57">
        <f ca="1">IFERROR(__xludf.DUMMYFUNCTION("IMPORTRANGE(""https://docs.google.com/spreadsheets/d/1nNHCLO8ZAXOMfQvxux7cf_hrzPAh8FAvaHq_ClKbZNo/edit?usp=sharing"",""พระนครศรีอยุธยา!J440"")"),1)</f>
        <v>1</v>
      </c>
      <c r="AM64" s="63">
        <f t="shared" ca="1" si="15"/>
        <v>100</v>
      </c>
      <c r="AN64" s="57">
        <f ca="1">IFERROR(__xludf.DUMMYFUNCTION("IMPORTRANGE(""https://docs.google.com/spreadsheets/d/1nNHCLO8ZAXOMfQvxux7cf_hrzPAh8FAvaHq_ClKbZNo/edit?usp=sharing"",""พระนครศรีอยุธยา!I441"")"),0)</f>
        <v>0</v>
      </c>
      <c r="AO64" s="57">
        <f ca="1">IFERROR(__xludf.DUMMYFUNCTION("IMPORTRANGE(""https://docs.google.com/spreadsheets/d/1nNHCLO8ZAXOMfQvxux7cf_hrzPAh8FAvaHq_ClKbZNo/edit?usp=sharing"",""พระนครศรีอยุธยา!J441"")"),0)</f>
        <v>0</v>
      </c>
      <c r="AP64" s="63">
        <f t="shared" ca="1" si="31"/>
        <v>0</v>
      </c>
    </row>
    <row r="65" spans="1:42" ht="21" customHeight="1" x14ac:dyDescent="0.3">
      <c r="A65" s="54">
        <v>13</v>
      </c>
      <c r="B65" s="55" t="s">
        <v>86</v>
      </c>
      <c r="C65" s="56">
        <f t="shared" ca="1" si="60"/>
        <v>78660</v>
      </c>
      <c r="D65" s="57">
        <f ca="1">IFERROR(__xludf.DUMMYFUNCTION("IMPORTRANGE(""https://docs.google.com/spreadsheets/d/1CdNicvf3i6yt4tJlCePe3V1Va76wYqW0QzMzTsaGRrA/edit?usp=sharing"",""เพชรบุรี!L424"")"),78660)</f>
        <v>78660</v>
      </c>
      <c r="E65" s="64">
        <f ca="1">IFERROR(__xludf.DUMMYFUNCTION("IMPORTRANGE(""https://docs.google.com/spreadsheets/d/1CdNicvf3i6yt4tJlCePe3V1Va76wYqW0QzMzTsaGRrA/edit?usp=sharing"",""เพชรบุรี!L431"")"),0)</f>
        <v>0</v>
      </c>
      <c r="F65" s="64">
        <f ca="1">IFERROR(__xludf.DUMMYFUNCTION("IMPORTRANGE(""https://docs.google.com/spreadsheets/d/1CdNicvf3i6yt4tJlCePe3V1Va76wYqW0QzMzTsaGRrA/edit?usp=sharing"",""เพชรบุรี!M424"")"),78660)</f>
        <v>78660</v>
      </c>
      <c r="G65" s="64">
        <f ca="1">IFERROR(__xludf.DUMMYFUNCTION("IMPORTRANGE(""https://docs.google.com/spreadsheets/d/1CdNicvf3i6yt4tJlCePe3V1Va76wYqW0QzMzTsaGRrA/edit?usp=sharing"",""เพชรบุรี!M431"")"),0)</f>
        <v>0</v>
      </c>
      <c r="H65" s="58">
        <f t="shared" ca="1" si="26"/>
        <v>61520</v>
      </c>
      <c r="I65" s="59">
        <f t="shared" ca="1" si="1"/>
        <v>78.210017798118486</v>
      </c>
      <c r="J65" s="60">
        <f t="shared" ca="1" si="61"/>
        <v>61520</v>
      </c>
      <c r="K65" s="61">
        <f t="shared" ca="1" si="33"/>
        <v>78.210017798118486</v>
      </c>
      <c r="L65" s="61">
        <f t="shared" ca="1" si="34"/>
        <v>78.210017798118486</v>
      </c>
      <c r="M65" s="64">
        <f ca="1">IFERROR(__xludf.DUMMYFUNCTION("IMPORTRANGE(""https://docs.google.com/spreadsheets/d/1CdNicvf3i6yt4tJlCePe3V1Va76wYqW0QzMzTsaGRrA/edit?usp=sharing"",""เพชรบุรี!N425"")"),58820)</f>
        <v>58820</v>
      </c>
      <c r="N65" s="64">
        <f ca="1">IFERROR(__xludf.DUMMYFUNCTION("IMPORTRANGE(""https://docs.google.com/spreadsheets/d/1CdNicvf3i6yt4tJlCePe3V1Va76wYqW0QzMzTsaGRrA/edit?usp=sharing"",""เพชรบุรี!N426"")"),0)</f>
        <v>0</v>
      </c>
      <c r="O65" s="64">
        <f ca="1">IFERROR(__xludf.DUMMYFUNCTION("IMPORTRANGE(""https://docs.google.com/spreadsheets/d/1CdNicvf3i6yt4tJlCePe3V1Va76wYqW0QzMzTsaGRrA/edit?usp=sharing"",""เพชรบุรี!N427"")"),0)</f>
        <v>0</v>
      </c>
      <c r="P65" s="64">
        <f ca="1">IFERROR(__xludf.DUMMYFUNCTION("IMPORTRANGE(""https://docs.google.com/spreadsheets/d/1CdNicvf3i6yt4tJlCePe3V1Va76wYqW0QzMzTsaGRrA/edit?usp=sharing"",""เพชรบุรี!N428"")"),2700)</f>
        <v>2700</v>
      </c>
      <c r="Q65" s="62">
        <f ca="1">IFERROR(__xludf.DUMMYFUNCTION("IMPORTRANGE(""https://docs.google.com/spreadsheets/d/1CdNicvf3i6yt4tJlCePe3V1Va76wYqW0QzMzTsaGRrA/edit?usp=sharing"",""เพชรบุรี!N431"")"),0)</f>
        <v>0</v>
      </c>
      <c r="R65" s="62">
        <f t="shared" ca="1" si="36"/>
        <v>0</v>
      </c>
      <c r="S65" s="57">
        <f ca="1">IFERROR(__xludf.DUMMYFUNCTION("IMPORTRANGE(""https://docs.google.com/spreadsheets/d/1CdNicvf3i6yt4tJlCePe3V1Va76wYqW0QzMzTsaGRrA/edit?usp=sharing"",""เพชรบุรี!I433"")"),20)</f>
        <v>20</v>
      </c>
      <c r="T65" s="57">
        <f ca="1">IFERROR(__xludf.DUMMYFUNCTION("IMPORTRANGE(""https://docs.google.com/spreadsheets/d/1CdNicvf3i6yt4tJlCePe3V1Va76wYqW0QzMzTsaGRrA/edit?usp=sharing"",""เพชรบุรี!I434"")"),2)</f>
        <v>2</v>
      </c>
      <c r="U65" s="57">
        <f ca="1">IFERROR(__xludf.DUMMYFUNCTION("IMPORTRANGE(""https://docs.google.com/spreadsheets/d/1CdNicvf3i6yt4tJlCePe3V1Va76wYqW0QzMzTsaGRrA/edit?usp=sharing"",""เพชรบุรี!J433"")"),20)</f>
        <v>20</v>
      </c>
      <c r="V65" s="63">
        <f t="shared" ca="1" si="27"/>
        <v>100</v>
      </c>
      <c r="W65" s="57">
        <f ca="1">IFERROR(__xludf.DUMMYFUNCTION("IMPORTRANGE(""https://docs.google.com/spreadsheets/d/1CdNicvf3i6yt4tJlCePe3V1Va76wYqW0QzMzTsaGRrA/edit?usp=sharing"",""เพชรบุรี!J434"")"),2)</f>
        <v>2</v>
      </c>
      <c r="X65" s="63">
        <f t="shared" ca="1" si="7"/>
        <v>100</v>
      </c>
      <c r="Y65" s="57">
        <f ca="1">IFERROR(__xludf.DUMMYFUNCTION("IMPORTRANGE(""https://docs.google.com/spreadsheets/d/1CdNicvf3i6yt4tJlCePe3V1Va76wYqW0QzMzTsaGRrA/edit?usp=sharing"",""เพชรบุรี!I435"")"),20)</f>
        <v>20</v>
      </c>
      <c r="Z65" s="57">
        <f ca="1">IFERROR(__xludf.DUMMYFUNCTION("IMPORTRANGE(""https://docs.google.com/spreadsheets/d/1CdNicvf3i6yt4tJlCePe3V1Va76wYqW0QzMzTsaGRrA/edit?usp=sharing"",""เพชรบุรี!J435"")"),20)</f>
        <v>20</v>
      </c>
      <c r="AA65" s="63">
        <f t="shared" ca="1" si="28"/>
        <v>100</v>
      </c>
      <c r="AB65" s="57">
        <f ca="1">IFERROR(__xludf.DUMMYFUNCTION("IMPORTRANGE(""https://docs.google.com/spreadsheets/d/1CdNicvf3i6yt4tJlCePe3V1Va76wYqW0QzMzTsaGRrA/edit?usp=sharing"",""เพชรบุรี!I437"")"),0)</f>
        <v>0</v>
      </c>
      <c r="AC65" s="57">
        <f ca="1">IFERROR(__xludf.DUMMYFUNCTION("IMPORTRANGE(""https://docs.google.com/spreadsheets/d/1CdNicvf3i6yt4tJlCePe3V1Va76wYqW0QzMzTsaGRrA/edit?usp=sharing"",""เพชรบุรี!I438"")"),0)</f>
        <v>0</v>
      </c>
      <c r="AD65" s="57">
        <f ca="1">IFERROR(__xludf.DUMMYFUNCTION("IMPORTRANGE(""https://docs.google.com/spreadsheets/d/1CdNicvf3i6yt4tJlCePe3V1Va76wYqW0QzMzTsaGRrA/edit?usp=sharing"",""เพชรบุรี!J437"")"),0)</f>
        <v>0</v>
      </c>
      <c r="AE65" s="63">
        <f t="shared" ca="1" si="29"/>
        <v>0</v>
      </c>
      <c r="AF65" s="57">
        <f ca="1">IFERROR(__xludf.DUMMYFUNCTION("IMPORTRANGE(""https://docs.google.com/spreadsheets/d/1CdNicvf3i6yt4tJlCePe3V1Va76wYqW0QzMzTsaGRrA/edit?usp=sharing"",""เพชรบุรี!J438"")"),0)</f>
        <v>0</v>
      </c>
      <c r="AG65" s="63">
        <f t="shared" ca="1" si="12"/>
        <v>0</v>
      </c>
      <c r="AH65" s="57">
        <f ca="1">IFERROR(__xludf.DUMMYFUNCTION("IMPORTRANGE(""https://docs.google.com/spreadsheets/d/1CdNicvf3i6yt4tJlCePe3V1Va76wYqW0QzMzTsaGRrA/edit?usp=sharing"",""เพชรบุรี!I439"")"),20)</f>
        <v>20</v>
      </c>
      <c r="AI65" s="57">
        <f ca="1">IFERROR(__xludf.DUMMYFUNCTION("IMPORTRANGE(""https://docs.google.com/spreadsheets/d/1CdNicvf3i6yt4tJlCePe3V1Va76wYqW0QzMzTsaGRrA/edit?usp=sharing"",""เพชรบุรี!I440"")"),2)</f>
        <v>2</v>
      </c>
      <c r="AJ65" s="57">
        <f ca="1">IFERROR(__xludf.DUMMYFUNCTION("IMPORTRANGE(""https://docs.google.com/spreadsheets/d/1CdNicvf3i6yt4tJlCePe3V1Va76wYqW0QzMzTsaGRrA/edit?usp=sharing"",""เพชรบุรี!J439"")"),20)</f>
        <v>20</v>
      </c>
      <c r="AK65" s="63">
        <f t="shared" ca="1" si="30"/>
        <v>100</v>
      </c>
      <c r="AL65" s="57">
        <f ca="1">IFERROR(__xludf.DUMMYFUNCTION("IMPORTRANGE(""https://docs.google.com/spreadsheets/d/1CdNicvf3i6yt4tJlCePe3V1Va76wYqW0QzMzTsaGRrA/edit?usp=sharing"",""เพชรบุรี!J440"")"),2)</f>
        <v>2</v>
      </c>
      <c r="AM65" s="63">
        <f t="shared" ca="1" si="15"/>
        <v>100</v>
      </c>
      <c r="AN65" s="57">
        <f ca="1">IFERROR(__xludf.DUMMYFUNCTION("IMPORTRANGE(""https://docs.google.com/spreadsheets/d/1CdNicvf3i6yt4tJlCePe3V1Va76wYqW0QzMzTsaGRrA/edit?usp=sharing"",""เพชรบุรี!I441"")"),0)</f>
        <v>0</v>
      </c>
      <c r="AO65" s="57">
        <f ca="1">IFERROR(__xludf.DUMMYFUNCTION("IMPORTRANGE(""https://docs.google.com/spreadsheets/d/1CdNicvf3i6yt4tJlCePe3V1Va76wYqW0QzMzTsaGRrA/edit?usp=sharing"",""เพชรบุรี!J441"")"),0)</f>
        <v>0</v>
      </c>
      <c r="AP65" s="63">
        <f t="shared" ca="1" si="31"/>
        <v>0</v>
      </c>
    </row>
    <row r="66" spans="1:42" ht="21" customHeight="1" x14ac:dyDescent="0.3">
      <c r="A66" s="54">
        <v>14</v>
      </c>
      <c r="B66" s="55" t="s">
        <v>87</v>
      </c>
      <c r="C66" s="56">
        <f t="shared" ca="1" si="60"/>
        <v>80960</v>
      </c>
      <c r="D66" s="57">
        <f ca="1">IFERROR(__xludf.DUMMYFUNCTION("IMPORTRANGE(""https://docs.google.com/spreadsheets/d/1XiF77UIVHV0Kjc6xbXuOuJ10WgJYxd4p_22ngKVV5oM/edit?usp=sharing"",""ระยอง!L424"")"),80960)</f>
        <v>80960</v>
      </c>
      <c r="E66" s="64">
        <f ca="1">IFERROR(__xludf.DUMMYFUNCTION("IMPORTRANGE(""https://docs.google.com/spreadsheets/d/1XiF77UIVHV0Kjc6xbXuOuJ10WgJYxd4p_22ngKVV5oM/edit?usp=sharing"",""ระยอง!L431"")"),0)</f>
        <v>0</v>
      </c>
      <c r="F66" s="64">
        <f ca="1">IFERROR(__xludf.DUMMYFUNCTION("IMPORTRANGE(""https://docs.google.com/spreadsheets/d/1XiF77UIVHV0Kjc6xbXuOuJ10WgJYxd4p_22ngKVV5oM/edit?usp=sharing"",""ระยอง!M424"")"),80960)</f>
        <v>80960</v>
      </c>
      <c r="G66" s="64">
        <f ca="1">IFERROR(__xludf.DUMMYFUNCTION("IMPORTRANGE(""https://docs.google.com/spreadsheets/d/1XiF77UIVHV0Kjc6xbXuOuJ10WgJYxd4p_22ngKVV5oM/edit?usp=sharing"",""ระยอง!M431"")"),0)</f>
        <v>0</v>
      </c>
      <c r="H66" s="58">
        <f t="shared" ca="1" si="26"/>
        <v>54100</v>
      </c>
      <c r="I66" s="59">
        <f t="shared" ca="1" si="1"/>
        <v>66.823122529644266</v>
      </c>
      <c r="J66" s="60">
        <f t="shared" ca="1" si="61"/>
        <v>54100</v>
      </c>
      <c r="K66" s="61">
        <f t="shared" ca="1" si="33"/>
        <v>66.823122529644266</v>
      </c>
      <c r="L66" s="61">
        <f t="shared" ca="1" si="34"/>
        <v>66.823122529644266</v>
      </c>
      <c r="M66" s="64">
        <f ca="1">IFERROR(__xludf.DUMMYFUNCTION("IMPORTRANGE(""https://docs.google.com/spreadsheets/d/1XiF77UIVHV0Kjc6xbXuOuJ10WgJYxd4p_22ngKVV5oM/edit?usp=sharing"",""ระยอง!N425"")"),36500)</f>
        <v>36500</v>
      </c>
      <c r="N66" s="64">
        <f ca="1">IFERROR(__xludf.DUMMYFUNCTION("IMPORTRANGE(""https://docs.google.com/spreadsheets/d/1XiF77UIVHV0Kjc6xbXuOuJ10WgJYxd4p_22ngKVV5oM/edit?usp=sharing"",""ระยอง!N426"")"),3400)</f>
        <v>3400</v>
      </c>
      <c r="O66" s="64">
        <f ca="1">IFERROR(__xludf.DUMMYFUNCTION("IMPORTRANGE(""https://docs.google.com/spreadsheets/d/1XiF77UIVHV0Kjc6xbXuOuJ10WgJYxd4p_22ngKVV5oM/edit?usp=sharing"",""ระยอง!N427"")"),0)</f>
        <v>0</v>
      </c>
      <c r="P66" s="64">
        <f ca="1">IFERROR(__xludf.DUMMYFUNCTION("IMPORTRANGE(""https://docs.google.com/spreadsheets/d/1XiF77UIVHV0Kjc6xbXuOuJ10WgJYxd4p_22ngKVV5oM/edit?usp=sharing"",""ระยอง!N428"")"),14200)</f>
        <v>14200</v>
      </c>
      <c r="Q66" s="62">
        <f ca="1">IFERROR(__xludf.DUMMYFUNCTION("IMPORTRANGE(""https://docs.google.com/spreadsheets/d/1XiF77UIVHV0Kjc6xbXuOuJ10WgJYxd4p_22ngKVV5oM/edit?usp=sharing"",""ระยอง!N431"")"),0)</f>
        <v>0</v>
      </c>
      <c r="R66" s="62">
        <f t="shared" ca="1" si="36"/>
        <v>0</v>
      </c>
      <c r="S66" s="57">
        <f ca="1">IFERROR(__xludf.DUMMYFUNCTION("IMPORTRANGE(""https://docs.google.com/spreadsheets/d/1XiF77UIVHV0Kjc6xbXuOuJ10WgJYxd4p_22ngKVV5oM/edit?usp=sharing"",""ระยอง!I433"")"),15)</f>
        <v>15</v>
      </c>
      <c r="T66" s="57">
        <f ca="1">IFERROR(__xludf.DUMMYFUNCTION("IMPORTRANGE(""https://docs.google.com/spreadsheets/d/1XiF77UIVHV0Kjc6xbXuOuJ10WgJYxd4p_22ngKVV5oM/edit?usp=sharing"",""ระยอง!I434"")"),1)</f>
        <v>1</v>
      </c>
      <c r="U66" s="57">
        <f ca="1">IFERROR(__xludf.DUMMYFUNCTION("IMPORTRANGE(""https://docs.google.com/spreadsheets/d/1XiF77UIVHV0Kjc6xbXuOuJ10WgJYxd4p_22ngKVV5oM/edit?usp=sharing"",""ระยอง!J433"")"),0)</f>
        <v>0</v>
      </c>
      <c r="V66" s="63">
        <f t="shared" ca="1" si="27"/>
        <v>0</v>
      </c>
      <c r="W66" s="57">
        <f ca="1">IFERROR(__xludf.DUMMYFUNCTION("IMPORTRANGE(""https://docs.google.com/spreadsheets/d/1XiF77UIVHV0Kjc6xbXuOuJ10WgJYxd4p_22ngKVV5oM/edit?usp=sharing"",""ระยอง!J434"")"),1)</f>
        <v>1</v>
      </c>
      <c r="X66" s="63">
        <f t="shared" ca="1" si="7"/>
        <v>100</v>
      </c>
      <c r="Y66" s="57">
        <f ca="1">IFERROR(__xludf.DUMMYFUNCTION("IMPORTRANGE(""https://docs.google.com/spreadsheets/d/1XiF77UIVHV0Kjc6xbXuOuJ10WgJYxd4p_22ngKVV5oM/edit?usp=sharing"",""ระยอง!I435"")"),15)</f>
        <v>15</v>
      </c>
      <c r="Z66" s="57">
        <f ca="1">IFERROR(__xludf.DUMMYFUNCTION("IMPORTRANGE(""https://docs.google.com/spreadsheets/d/1XiF77UIVHV0Kjc6xbXuOuJ10WgJYxd4p_22ngKVV5oM/edit?usp=sharing"",""ระยอง!J435"")"),0)</f>
        <v>0</v>
      </c>
      <c r="AA66" s="63">
        <f t="shared" ca="1" si="28"/>
        <v>0</v>
      </c>
      <c r="AB66" s="57">
        <f ca="1">IFERROR(__xludf.DUMMYFUNCTION("IMPORTRANGE(""https://docs.google.com/spreadsheets/d/1XiF77UIVHV0Kjc6xbXuOuJ10WgJYxd4p_22ngKVV5oM/edit?usp=sharing"",""ระยอง!I437"")"),0)</f>
        <v>0</v>
      </c>
      <c r="AC66" s="57">
        <f ca="1">IFERROR(__xludf.DUMMYFUNCTION("IMPORTRANGE(""https://docs.google.com/spreadsheets/d/1XiF77UIVHV0Kjc6xbXuOuJ10WgJYxd4p_22ngKVV5oM/edit?usp=sharing"",""ระยอง!I438"")"),0)</f>
        <v>0</v>
      </c>
      <c r="AD66" s="57">
        <f ca="1">IFERROR(__xludf.DUMMYFUNCTION("IMPORTRANGE(""https://docs.google.com/spreadsheets/d/1XiF77UIVHV0Kjc6xbXuOuJ10WgJYxd4p_22ngKVV5oM/edit?usp=sharing"",""ระยอง!J437"")"),0)</f>
        <v>0</v>
      </c>
      <c r="AE66" s="63">
        <f t="shared" ca="1" si="29"/>
        <v>0</v>
      </c>
      <c r="AF66" s="57">
        <f ca="1">IFERROR(__xludf.DUMMYFUNCTION("IMPORTRANGE(""https://docs.google.com/spreadsheets/d/1XiF77UIVHV0Kjc6xbXuOuJ10WgJYxd4p_22ngKVV5oM/edit?usp=sharing"",""ระยอง!J438"")"),0)</f>
        <v>0</v>
      </c>
      <c r="AG66" s="63">
        <f t="shared" ca="1" si="12"/>
        <v>0</v>
      </c>
      <c r="AH66" s="57">
        <f ca="1">IFERROR(__xludf.DUMMYFUNCTION("IMPORTRANGE(""https://docs.google.com/spreadsheets/d/1XiF77UIVHV0Kjc6xbXuOuJ10WgJYxd4p_22ngKVV5oM/edit?usp=sharing"",""ระยอง!I439"")"),15)</f>
        <v>15</v>
      </c>
      <c r="AI66" s="57">
        <f ca="1">IFERROR(__xludf.DUMMYFUNCTION("IMPORTRANGE(""https://docs.google.com/spreadsheets/d/1XiF77UIVHV0Kjc6xbXuOuJ10WgJYxd4p_22ngKVV5oM/edit?usp=sharing"",""ระยอง!I440"")"),1)</f>
        <v>1</v>
      </c>
      <c r="AJ66" s="57">
        <f ca="1">IFERROR(__xludf.DUMMYFUNCTION("IMPORTRANGE(""https://docs.google.com/spreadsheets/d/1XiF77UIVHV0Kjc6xbXuOuJ10WgJYxd4p_22ngKVV5oM/edit?usp=sharing"",""ระยอง!J439"")"),15)</f>
        <v>15</v>
      </c>
      <c r="AK66" s="63">
        <f t="shared" ca="1" si="30"/>
        <v>100</v>
      </c>
      <c r="AL66" s="57">
        <f ca="1">IFERROR(__xludf.DUMMYFUNCTION("IMPORTRANGE(""https://docs.google.com/spreadsheets/d/1XiF77UIVHV0Kjc6xbXuOuJ10WgJYxd4p_22ngKVV5oM/edit?usp=sharing"",""ระยอง!J440"")"),1)</f>
        <v>1</v>
      </c>
      <c r="AM66" s="63">
        <f t="shared" ca="1" si="15"/>
        <v>100</v>
      </c>
      <c r="AN66" s="57">
        <f ca="1">IFERROR(__xludf.DUMMYFUNCTION("IMPORTRANGE(""https://docs.google.com/spreadsheets/d/1XiF77UIVHV0Kjc6xbXuOuJ10WgJYxd4p_22ngKVV5oM/edit?usp=sharing"",""ระยอง!I441"")"),0)</f>
        <v>0</v>
      </c>
      <c r="AO66" s="57">
        <f ca="1">IFERROR(__xludf.DUMMYFUNCTION("IMPORTRANGE(""https://docs.google.com/spreadsheets/d/1XiF77UIVHV0Kjc6xbXuOuJ10WgJYxd4p_22ngKVV5oM/edit?usp=sharing"",""ระยอง!J441"")"),0)</f>
        <v>0</v>
      </c>
      <c r="AP66" s="63">
        <f t="shared" ca="1" si="31"/>
        <v>0</v>
      </c>
    </row>
    <row r="67" spans="1:42" ht="21" customHeight="1" x14ac:dyDescent="0.3">
      <c r="A67" s="54">
        <v>15</v>
      </c>
      <c r="B67" s="55" t="s">
        <v>88</v>
      </c>
      <c r="C67" s="56">
        <f t="shared" ca="1" si="60"/>
        <v>95560</v>
      </c>
      <c r="D67" s="57">
        <f ca="1">IFERROR(__xludf.DUMMYFUNCTION("IMPORTRANGE(""https://docs.google.com/spreadsheets/d/1qU-W_9MCQD1pgIVXGEOjCFo9QqlmJywuebyGgaN92r8/edit?usp=sharing"",""ราชบุรี!L424"")"),95560)</f>
        <v>95560</v>
      </c>
      <c r="E67" s="64">
        <f ca="1">IFERROR(__xludf.DUMMYFUNCTION("IMPORTRANGE(""https://docs.google.com/spreadsheets/d/1qU-W_9MCQD1pgIVXGEOjCFo9QqlmJywuebyGgaN92r8/edit?usp=sharing"",""ราชบุรี!L431"")"),0)</f>
        <v>0</v>
      </c>
      <c r="F67" s="64">
        <f ca="1">IFERROR(__xludf.DUMMYFUNCTION("IMPORTRANGE(""https://docs.google.com/spreadsheets/d/1qU-W_9MCQD1pgIVXGEOjCFo9QqlmJywuebyGgaN92r8/edit?usp=sharing"",""ราชบุรี!M424"")"),93700)</f>
        <v>93700</v>
      </c>
      <c r="G67" s="64">
        <f ca="1">IFERROR(__xludf.DUMMYFUNCTION("IMPORTRANGE(""https://docs.google.com/spreadsheets/d/1qU-W_9MCQD1pgIVXGEOjCFo9QqlmJywuebyGgaN92r8/edit?usp=sharing"",""ราชบุรี!M431"")"),0)</f>
        <v>0</v>
      </c>
      <c r="H67" s="58">
        <f t="shared" ca="1" si="26"/>
        <v>64860.04</v>
      </c>
      <c r="I67" s="59">
        <f t="shared" ca="1" si="1"/>
        <v>67.873629133528667</v>
      </c>
      <c r="J67" s="60">
        <f t="shared" ca="1" si="61"/>
        <v>64860.04</v>
      </c>
      <c r="K67" s="61">
        <f t="shared" ca="1" si="33"/>
        <v>67.873629133528667</v>
      </c>
      <c r="L67" s="61">
        <f t="shared" ca="1" si="34"/>
        <v>69.220960512273209</v>
      </c>
      <c r="M67" s="64">
        <f ca="1">IFERROR(__xludf.DUMMYFUNCTION("IMPORTRANGE(""https://docs.google.com/spreadsheets/d/1qU-W_9MCQD1pgIVXGEOjCFo9QqlmJywuebyGgaN92r8/edit?usp=sharing"",""ราชบุรี!N425"")"),44000)</f>
        <v>44000</v>
      </c>
      <c r="N67" s="64">
        <f ca="1">IFERROR(__xludf.DUMMYFUNCTION("IMPORTRANGE(""https://docs.google.com/spreadsheets/d/1qU-W_9MCQD1pgIVXGEOjCFo9QqlmJywuebyGgaN92r8/edit?usp=sharing"",""ราชบุรี!N426"")"),0)</f>
        <v>0</v>
      </c>
      <c r="O67" s="64">
        <f ca="1">IFERROR(__xludf.DUMMYFUNCTION("IMPORTRANGE(""https://docs.google.com/spreadsheets/d/1qU-W_9MCQD1pgIVXGEOjCFo9QqlmJywuebyGgaN92r8/edit?usp=sharing"",""ราชบุรี!N427"")"),0)</f>
        <v>0</v>
      </c>
      <c r="P67" s="64">
        <f ca="1">IFERROR(__xludf.DUMMYFUNCTION("IMPORTRANGE(""https://docs.google.com/spreadsheets/d/1qU-W_9MCQD1pgIVXGEOjCFo9QqlmJywuebyGgaN92r8/edit?usp=sharing"",""ราชบุรี!N428"")"),20860.04)</f>
        <v>20860.04</v>
      </c>
      <c r="Q67" s="62">
        <f ca="1">IFERROR(__xludf.DUMMYFUNCTION("IMPORTRANGE(""https://docs.google.com/spreadsheets/d/1qU-W_9MCQD1pgIVXGEOjCFo9QqlmJywuebyGgaN92r8/edit?usp=sharing"",""ราชบุรี!N431"")"),0)</f>
        <v>0</v>
      </c>
      <c r="R67" s="62">
        <f t="shared" ca="1" si="36"/>
        <v>0</v>
      </c>
      <c r="S67" s="57">
        <f ca="1">IFERROR(__xludf.DUMMYFUNCTION("IMPORTRANGE(""https://docs.google.com/spreadsheets/d/1qU-W_9MCQD1pgIVXGEOjCFo9QqlmJywuebyGgaN92r8/edit?usp=sharing"",""ราชบุรี!I433"")"),20)</f>
        <v>20</v>
      </c>
      <c r="T67" s="57">
        <f ca="1">IFERROR(__xludf.DUMMYFUNCTION("IMPORTRANGE(""https://docs.google.com/spreadsheets/d/1qU-W_9MCQD1pgIVXGEOjCFo9QqlmJywuebyGgaN92r8/edit?usp=sharing"",""ราชบุรี!I434"")"),1)</f>
        <v>1</v>
      </c>
      <c r="U67" s="57">
        <f ca="1">IFERROR(__xludf.DUMMYFUNCTION("IMPORTRANGE(""https://docs.google.com/spreadsheets/d/1qU-W_9MCQD1pgIVXGEOjCFo9QqlmJywuebyGgaN92r8/edit?usp=sharing"",""ราชบุรี!J433"")"),0)</f>
        <v>0</v>
      </c>
      <c r="V67" s="63">
        <f t="shared" ca="1" si="27"/>
        <v>0</v>
      </c>
      <c r="W67" s="57">
        <f ca="1">IFERROR(__xludf.DUMMYFUNCTION("IMPORTRANGE(""https://docs.google.com/spreadsheets/d/1qU-W_9MCQD1pgIVXGEOjCFo9QqlmJywuebyGgaN92r8/edit?usp=sharing"",""ราชบุรี!J434"")"),3)</f>
        <v>3</v>
      </c>
      <c r="X67" s="63">
        <f t="shared" ca="1" si="7"/>
        <v>300</v>
      </c>
      <c r="Y67" s="57">
        <f ca="1">IFERROR(__xludf.DUMMYFUNCTION("IMPORTRANGE(""https://docs.google.com/spreadsheets/d/1qU-W_9MCQD1pgIVXGEOjCFo9QqlmJywuebyGgaN92r8/edit?usp=sharing"",""ราชบุรี!I435"")"),20)</f>
        <v>20</v>
      </c>
      <c r="Z67" s="57">
        <f ca="1">IFERROR(__xludf.DUMMYFUNCTION("IMPORTRANGE(""https://docs.google.com/spreadsheets/d/1qU-W_9MCQD1pgIVXGEOjCFo9QqlmJywuebyGgaN92r8/edit?usp=sharing"",""ราชบุรี!J435"")"),36)</f>
        <v>36</v>
      </c>
      <c r="AA67" s="63">
        <f t="shared" ca="1" si="28"/>
        <v>180</v>
      </c>
      <c r="AB67" s="57">
        <f ca="1">IFERROR(__xludf.DUMMYFUNCTION("IMPORTRANGE(""https://docs.google.com/spreadsheets/d/1qU-W_9MCQD1pgIVXGEOjCFo9QqlmJywuebyGgaN92r8/edit?usp=sharing"",""ราชบุรี!I437"")"),0)</f>
        <v>0</v>
      </c>
      <c r="AC67" s="57">
        <f ca="1">IFERROR(__xludf.DUMMYFUNCTION("IMPORTRANGE(""https://docs.google.com/spreadsheets/d/1qU-W_9MCQD1pgIVXGEOjCFo9QqlmJywuebyGgaN92r8/edit?usp=sharing"",""ราชบุรี!I438"")"),0)</f>
        <v>0</v>
      </c>
      <c r="AD67" s="57">
        <f ca="1">IFERROR(__xludf.DUMMYFUNCTION("IMPORTRANGE(""https://docs.google.com/spreadsheets/d/1qU-W_9MCQD1pgIVXGEOjCFo9QqlmJywuebyGgaN92r8/edit?usp=sharing"",""ราชบุรี!J437"")"),0)</f>
        <v>0</v>
      </c>
      <c r="AE67" s="63">
        <f t="shared" ca="1" si="29"/>
        <v>0</v>
      </c>
      <c r="AF67" s="57">
        <f ca="1">IFERROR(__xludf.DUMMYFUNCTION("IMPORTRANGE(""https://docs.google.com/spreadsheets/d/1qU-W_9MCQD1pgIVXGEOjCFo9QqlmJywuebyGgaN92r8/edit?usp=sharing"",""ราชบุรี!J438"")"),0)</f>
        <v>0</v>
      </c>
      <c r="AG67" s="63">
        <f t="shared" ca="1" si="12"/>
        <v>0</v>
      </c>
      <c r="AH67" s="57">
        <f ca="1">IFERROR(__xludf.DUMMYFUNCTION("IMPORTRANGE(""https://docs.google.com/spreadsheets/d/1qU-W_9MCQD1pgIVXGEOjCFo9QqlmJywuebyGgaN92r8/edit?usp=sharing"",""ราชบุรี!I439"")"),20)</f>
        <v>20</v>
      </c>
      <c r="AI67" s="57">
        <f ca="1">IFERROR(__xludf.DUMMYFUNCTION("IMPORTRANGE(""https://docs.google.com/spreadsheets/d/1qU-W_9MCQD1pgIVXGEOjCFo9QqlmJywuebyGgaN92r8/edit?usp=sharing"",""ราชบุรี!I440"")"),1)</f>
        <v>1</v>
      </c>
      <c r="AJ67" s="57">
        <f ca="1">IFERROR(__xludf.DUMMYFUNCTION("IMPORTRANGE(""https://docs.google.com/spreadsheets/d/1qU-W_9MCQD1pgIVXGEOjCFo9QqlmJywuebyGgaN92r8/edit?usp=sharing"",""ราชบุรี!J439"")"),36)</f>
        <v>36</v>
      </c>
      <c r="AK67" s="63">
        <f t="shared" ca="1" si="30"/>
        <v>180</v>
      </c>
      <c r="AL67" s="57">
        <f ca="1">IFERROR(__xludf.DUMMYFUNCTION("IMPORTRANGE(""https://docs.google.com/spreadsheets/d/1qU-W_9MCQD1pgIVXGEOjCFo9QqlmJywuebyGgaN92r8/edit?usp=sharing"",""ราชบุรี!J440"")"),3)</f>
        <v>3</v>
      </c>
      <c r="AM67" s="63">
        <f t="shared" ca="1" si="15"/>
        <v>300</v>
      </c>
      <c r="AN67" s="57">
        <f ca="1">IFERROR(__xludf.DUMMYFUNCTION("IMPORTRANGE(""https://docs.google.com/spreadsheets/d/1qU-W_9MCQD1pgIVXGEOjCFo9QqlmJywuebyGgaN92r8/edit?usp=sharing"",""ราชบุรี!I441"")"),0)</f>
        <v>0</v>
      </c>
      <c r="AO67" s="57">
        <f ca="1">IFERROR(__xludf.DUMMYFUNCTION("IMPORTRANGE(""https://docs.google.com/spreadsheets/d/1qU-W_9MCQD1pgIVXGEOjCFo9QqlmJywuebyGgaN92r8/edit?usp=sharing"",""ราชบุรี!J441"")"),0)</f>
        <v>0</v>
      </c>
      <c r="AP67" s="63">
        <f t="shared" ca="1" si="31"/>
        <v>0</v>
      </c>
    </row>
    <row r="68" spans="1:42" ht="24" customHeight="1" x14ac:dyDescent="0.3">
      <c r="A68" s="54">
        <v>16</v>
      </c>
      <c r="B68" s="55" t="s">
        <v>89</v>
      </c>
      <c r="C68" s="56">
        <f t="shared" ca="1" si="60"/>
        <v>233500</v>
      </c>
      <c r="D68" s="57">
        <f ca="1">IFERROR(__xludf.DUMMYFUNCTION("IMPORTRANGE(""https://docs.google.com/spreadsheets/d/1xYFIxIM_CspAP5Q-5Zx_V0T_Ut3cjryrjd2hss28vGk/edit?usp=sharing"",""ลพบุรี!L424"")"),233500)</f>
        <v>233500</v>
      </c>
      <c r="E68" s="64">
        <f ca="1">IFERROR(__xludf.DUMMYFUNCTION("IMPORTRANGE(""https://docs.google.com/spreadsheets/d/1xYFIxIM_CspAP5Q-5Zx_V0T_Ut3cjryrjd2hss28vGk/edit?usp=sharing"",""ลพบุรี!L431"")"),0)</f>
        <v>0</v>
      </c>
      <c r="F68" s="64">
        <f ca="1">IFERROR(__xludf.DUMMYFUNCTION("IMPORTRANGE(""https://docs.google.com/spreadsheets/d/1xYFIxIM_CspAP5Q-5Zx_V0T_Ut3cjryrjd2hss28vGk/edit?usp=sharing"",""ลพบุรี!M424"")"),225400)</f>
        <v>225400</v>
      </c>
      <c r="G68" s="64">
        <f ca="1">IFERROR(__xludf.DUMMYFUNCTION("IMPORTRANGE(""https://docs.google.com/spreadsheets/d/1xYFIxIM_CspAP5Q-5Zx_V0T_Ut3cjryrjd2hss28vGk/edit?usp=sharing"",""ลพบุรี!M431"")"),0)</f>
        <v>0</v>
      </c>
      <c r="H68" s="58">
        <f t="shared" ca="1" si="26"/>
        <v>203480</v>
      </c>
      <c r="I68" s="59">
        <f t="shared" ca="1" si="1"/>
        <v>87.143468950749465</v>
      </c>
      <c r="J68" s="60">
        <f t="shared" ca="1" si="61"/>
        <v>203480</v>
      </c>
      <c r="K68" s="61">
        <f t="shared" ca="1" si="33"/>
        <v>87.143468950749465</v>
      </c>
      <c r="L68" s="61">
        <f t="shared" ca="1" si="34"/>
        <v>90.275066548358467</v>
      </c>
      <c r="M68" s="64">
        <f ca="1">IFERROR(__xludf.DUMMYFUNCTION("IMPORTRANGE(""https://docs.google.com/spreadsheets/d/1xYFIxIM_CspAP5Q-5Zx_V0T_Ut3cjryrjd2hss28vGk/edit?usp=sharing"",""ลพบุรี!N425"")"),182540)</f>
        <v>182540</v>
      </c>
      <c r="N68" s="64">
        <f ca="1">IFERROR(__xludf.DUMMYFUNCTION("IMPORTRANGE(""https://docs.google.com/spreadsheets/d/1xYFIxIM_CspAP5Q-5Zx_V0T_Ut3cjryrjd2hss28vGk/edit?usp=sharing"",""ลพบุรี!N426"")"),0)</f>
        <v>0</v>
      </c>
      <c r="O68" s="64">
        <f ca="1">IFERROR(__xludf.DUMMYFUNCTION("IMPORTRANGE(""https://docs.google.com/spreadsheets/d/1xYFIxIM_CspAP5Q-5Zx_V0T_Ut3cjryrjd2hss28vGk/edit?usp=sharing"",""ลพบุรี!N427"")"),0)</f>
        <v>0</v>
      </c>
      <c r="P68" s="64">
        <f ca="1">IFERROR(__xludf.DUMMYFUNCTION("IMPORTRANGE(""https://docs.google.com/spreadsheets/d/1xYFIxIM_CspAP5Q-5Zx_V0T_Ut3cjryrjd2hss28vGk/edit?usp=sharing"",""ลพบุรี!N428"")"),20940)</f>
        <v>20940</v>
      </c>
      <c r="Q68" s="62">
        <f ca="1">IFERROR(__xludf.DUMMYFUNCTION("IMPORTRANGE(""https://docs.google.com/spreadsheets/d/1xYFIxIM_CspAP5Q-5Zx_V0T_Ut3cjryrjd2hss28vGk/edit?usp=sharing"",""ลพบุรี!N431"")"),0)</f>
        <v>0</v>
      </c>
      <c r="R68" s="62">
        <f t="shared" ca="1" si="36"/>
        <v>0</v>
      </c>
      <c r="S68" s="57">
        <f ca="1">IFERROR(__xludf.DUMMYFUNCTION("IMPORTRANGE(""https://docs.google.com/spreadsheets/d/1xYFIxIM_CspAP5Q-5Zx_V0T_Ut3cjryrjd2hss28vGk/edit?usp=sharing"",""ลพบุรี!I433"")"),70)</f>
        <v>70</v>
      </c>
      <c r="T68" s="57">
        <f ca="1">IFERROR(__xludf.DUMMYFUNCTION("IMPORTRANGE(""https://docs.google.com/spreadsheets/d/1xYFIxIM_CspAP5Q-5Zx_V0T_Ut3cjryrjd2hss28vGk/edit?usp=sharing"",""ลพบุรี!I434"")"),2)</f>
        <v>2</v>
      </c>
      <c r="U68" s="57">
        <f ca="1">IFERROR(__xludf.DUMMYFUNCTION("IMPORTRANGE(""https://docs.google.com/spreadsheets/d/1xYFIxIM_CspAP5Q-5Zx_V0T_Ut3cjryrjd2hss28vGk/edit?usp=sharing"",""ลพบุรี!J433"")"),70)</f>
        <v>70</v>
      </c>
      <c r="V68" s="63">
        <f t="shared" ca="1" si="27"/>
        <v>100</v>
      </c>
      <c r="W68" s="57">
        <f ca="1">IFERROR(__xludf.DUMMYFUNCTION("IMPORTRANGE(""https://docs.google.com/spreadsheets/d/1xYFIxIM_CspAP5Q-5Zx_V0T_Ut3cjryrjd2hss28vGk/edit?usp=sharing"",""ลพบุรี!J434"")"),2)</f>
        <v>2</v>
      </c>
      <c r="X68" s="63">
        <f t="shared" ca="1" si="7"/>
        <v>100</v>
      </c>
      <c r="Y68" s="57">
        <f ca="1">IFERROR(__xludf.DUMMYFUNCTION("IMPORTRANGE(""https://docs.google.com/spreadsheets/d/1xYFIxIM_CspAP5Q-5Zx_V0T_Ut3cjryrjd2hss28vGk/edit?usp=sharing"",""ลพบุรี!I435"")"),70)</f>
        <v>70</v>
      </c>
      <c r="Z68" s="57">
        <f ca="1">IFERROR(__xludf.DUMMYFUNCTION("IMPORTRANGE(""https://docs.google.com/spreadsheets/d/1xYFIxIM_CspAP5Q-5Zx_V0T_Ut3cjryrjd2hss28vGk/edit?usp=sharing"",""ลพบุรี!J435"")"),70)</f>
        <v>70</v>
      </c>
      <c r="AA68" s="63">
        <f t="shared" ca="1" si="28"/>
        <v>100</v>
      </c>
      <c r="AB68" s="57">
        <f ca="1">IFERROR(__xludf.DUMMYFUNCTION("IMPORTRANGE(""https://docs.google.com/spreadsheets/d/1xYFIxIM_CspAP5Q-5Zx_V0T_Ut3cjryrjd2hss28vGk/edit?usp=sharing"",""ลพบุรี!I437"")"),40)</f>
        <v>40</v>
      </c>
      <c r="AC68" s="57">
        <f ca="1">IFERROR(__xludf.DUMMYFUNCTION("IMPORTRANGE(""https://docs.google.com/spreadsheets/d/1xYFIxIM_CspAP5Q-5Zx_V0T_Ut3cjryrjd2hss28vGk/edit?usp=sharing"",""ลพบุรี!I438"")"),1)</f>
        <v>1</v>
      </c>
      <c r="AD68" s="57">
        <f ca="1">IFERROR(__xludf.DUMMYFUNCTION("IMPORTRANGE(""https://docs.google.com/spreadsheets/d/1xYFIxIM_CspAP5Q-5Zx_V0T_Ut3cjryrjd2hss28vGk/edit?usp=sharing"",""ลพบุรี!J437"")"),40)</f>
        <v>40</v>
      </c>
      <c r="AE68" s="63">
        <f t="shared" ca="1" si="29"/>
        <v>100</v>
      </c>
      <c r="AF68" s="57">
        <f ca="1">IFERROR(__xludf.DUMMYFUNCTION("IMPORTRANGE(""https://docs.google.com/spreadsheets/d/1xYFIxIM_CspAP5Q-5Zx_V0T_Ut3cjryrjd2hss28vGk/edit?usp=sharing"",""ลพบุรี!J438"")"),1)</f>
        <v>1</v>
      </c>
      <c r="AG68" s="63">
        <f t="shared" ca="1" si="12"/>
        <v>100</v>
      </c>
      <c r="AH68" s="57">
        <f ca="1">IFERROR(__xludf.DUMMYFUNCTION("IMPORTRANGE(""https://docs.google.com/spreadsheets/d/1xYFIxIM_CspAP5Q-5Zx_V0T_Ut3cjryrjd2hss28vGk/edit?usp=sharing"",""ลพบุรี!I439"")"),30)</f>
        <v>30</v>
      </c>
      <c r="AI68" s="57">
        <f ca="1">IFERROR(__xludf.DUMMYFUNCTION("IMPORTRANGE(""https://docs.google.com/spreadsheets/d/1xYFIxIM_CspAP5Q-5Zx_V0T_Ut3cjryrjd2hss28vGk/edit?usp=sharing"",""ลพบุรี!I440"")"),1)</f>
        <v>1</v>
      </c>
      <c r="AJ68" s="57">
        <f ca="1">IFERROR(__xludf.DUMMYFUNCTION("IMPORTRANGE(""https://docs.google.com/spreadsheets/d/1xYFIxIM_CspAP5Q-5Zx_V0T_Ut3cjryrjd2hss28vGk/edit?usp=sharing"",""ลพบุรี!J439"")"),30)</f>
        <v>30</v>
      </c>
      <c r="AK68" s="63">
        <f t="shared" ca="1" si="30"/>
        <v>100</v>
      </c>
      <c r="AL68" s="57">
        <f ca="1">IFERROR(__xludf.DUMMYFUNCTION("IMPORTRANGE(""https://docs.google.com/spreadsheets/d/1xYFIxIM_CspAP5Q-5Zx_V0T_Ut3cjryrjd2hss28vGk/edit?usp=sharing"",""ลพบุรี!J440"")"),1)</f>
        <v>1</v>
      </c>
      <c r="AM68" s="63">
        <f t="shared" ca="1" si="15"/>
        <v>100</v>
      </c>
      <c r="AN68" s="57">
        <f ca="1">IFERROR(__xludf.DUMMYFUNCTION("IMPORTRANGE(""https://docs.google.com/spreadsheets/d/1xYFIxIM_CspAP5Q-5Zx_V0T_Ut3cjryrjd2hss28vGk/edit?usp=sharing"",""ลพบุรี!I441"")"),0)</f>
        <v>0</v>
      </c>
      <c r="AO68" s="57">
        <f ca="1">IFERROR(__xludf.DUMMYFUNCTION("IMPORTRANGE(""https://docs.google.com/spreadsheets/d/1xYFIxIM_CspAP5Q-5Zx_V0T_Ut3cjryrjd2hss28vGk/edit?usp=sharing"",""ลพบุรี!J441"")"),0)</f>
        <v>0</v>
      </c>
      <c r="AP68" s="63">
        <f t="shared" ca="1" si="31"/>
        <v>0</v>
      </c>
    </row>
    <row r="69" spans="1:42" ht="21" customHeight="1" x14ac:dyDescent="0.3">
      <c r="A69" s="54">
        <v>17</v>
      </c>
      <c r="B69" s="55" t="s">
        <v>90</v>
      </c>
      <c r="C69" s="56">
        <f t="shared" ca="1" si="60"/>
        <v>78660</v>
      </c>
      <c r="D69" s="57">
        <f ca="1">IFERROR(__xludf.DUMMYFUNCTION("IMPORTRANGE(""https://docs.google.com/spreadsheets/d/11s9m3tKsCBdPWq6syhZm27eBGbKneDLZc75co106bio/edit?usp=sharing"",""สระแก้ว!L424"")"),78660)</f>
        <v>78660</v>
      </c>
      <c r="E69" s="64">
        <f ca="1">IFERROR(__xludf.DUMMYFUNCTION("IMPORTRANGE(""https://docs.google.com/spreadsheets/d/11s9m3tKsCBdPWq6syhZm27eBGbKneDLZc75co106bio/edit?usp=sharing"",""สระแก้ว!L431"")"),0)</f>
        <v>0</v>
      </c>
      <c r="F69" s="64">
        <f ca="1">IFERROR(__xludf.DUMMYFUNCTION("IMPORTRANGE(""https://docs.google.com/spreadsheets/d/11s9m3tKsCBdPWq6syhZm27eBGbKneDLZc75co106bio/edit?usp=sharing"",""สระแก้ว!M424"")"),78660)</f>
        <v>78660</v>
      </c>
      <c r="G69" s="64">
        <f ca="1">IFERROR(__xludf.DUMMYFUNCTION("IMPORTRANGE(""https://docs.google.com/spreadsheets/d/11s9m3tKsCBdPWq6syhZm27eBGbKneDLZc75co106bio/edit?usp=sharing"",""สระแก้ว!M431"")"),0)</f>
        <v>0</v>
      </c>
      <c r="H69" s="58">
        <f t="shared" ca="1" si="26"/>
        <v>61660</v>
      </c>
      <c r="I69" s="59">
        <f t="shared" ca="1" si="1"/>
        <v>78.38799898296466</v>
      </c>
      <c r="J69" s="60">
        <f t="shared" ca="1" si="61"/>
        <v>61660</v>
      </c>
      <c r="K69" s="61">
        <f t="shared" ca="1" si="33"/>
        <v>78.38799898296466</v>
      </c>
      <c r="L69" s="61">
        <f t="shared" ca="1" si="34"/>
        <v>78.38799898296466</v>
      </c>
      <c r="M69" s="64">
        <f ca="1">IFERROR(__xludf.DUMMYFUNCTION("IMPORTRANGE(""https://docs.google.com/spreadsheets/d/11s9m3tKsCBdPWq6syhZm27eBGbKneDLZc75co106bio/edit?usp=sharing"",""สระแก้ว!N425"")"),50020)</f>
        <v>50020</v>
      </c>
      <c r="N69" s="64">
        <f ca="1">IFERROR(__xludf.DUMMYFUNCTION("IMPORTRANGE(""https://docs.google.com/spreadsheets/d/11s9m3tKsCBdPWq6syhZm27eBGbKneDLZc75co106bio/edit?usp=sharing"",""สระแก้ว!N426"")"),0)</f>
        <v>0</v>
      </c>
      <c r="O69" s="64">
        <f ca="1">IFERROR(__xludf.DUMMYFUNCTION("IMPORTRANGE(""https://docs.google.com/spreadsheets/d/11s9m3tKsCBdPWq6syhZm27eBGbKneDLZc75co106bio/edit?usp=sharing"",""สระแก้ว!N427"")"),0)</f>
        <v>0</v>
      </c>
      <c r="P69" s="64">
        <f ca="1">IFERROR(__xludf.DUMMYFUNCTION("IMPORTRANGE(""https://docs.google.com/spreadsheets/d/11s9m3tKsCBdPWq6syhZm27eBGbKneDLZc75co106bio/edit?usp=sharing"",""สระแก้ว!N428"")"),11640)</f>
        <v>11640</v>
      </c>
      <c r="Q69" s="62">
        <f ca="1">IFERROR(__xludf.DUMMYFUNCTION("IMPORTRANGE(""https://docs.google.com/spreadsheets/d/11s9m3tKsCBdPWq6syhZm27eBGbKneDLZc75co106bio/edit?usp=sharing"",""สระแก้ว!N431"")"),0)</f>
        <v>0</v>
      </c>
      <c r="R69" s="62">
        <f t="shared" ca="1" si="36"/>
        <v>0</v>
      </c>
      <c r="S69" s="57">
        <f ca="1">IFERROR(__xludf.DUMMYFUNCTION("IMPORTRANGE(""https://docs.google.com/spreadsheets/d/11s9m3tKsCBdPWq6syhZm27eBGbKneDLZc75co106bio/edit?usp=sharing"",""สระแก้ว!I433"")"),20)</f>
        <v>20</v>
      </c>
      <c r="T69" s="57">
        <f ca="1">IFERROR(__xludf.DUMMYFUNCTION("IMPORTRANGE(""https://docs.google.com/spreadsheets/d/11s9m3tKsCBdPWq6syhZm27eBGbKneDLZc75co106bio/edit?usp=sharing"",""สระแก้ว!I434"")"),1)</f>
        <v>1</v>
      </c>
      <c r="U69" s="57">
        <f ca="1">IFERROR(__xludf.DUMMYFUNCTION("IMPORTRANGE(""https://docs.google.com/spreadsheets/d/11s9m3tKsCBdPWq6syhZm27eBGbKneDLZc75co106bio/edit?usp=sharing"",""สระแก้ว!J433"")"),20)</f>
        <v>20</v>
      </c>
      <c r="V69" s="63">
        <f t="shared" ca="1" si="27"/>
        <v>100</v>
      </c>
      <c r="W69" s="57">
        <f ca="1">IFERROR(__xludf.DUMMYFUNCTION("IMPORTRANGE(""https://docs.google.com/spreadsheets/d/11s9m3tKsCBdPWq6syhZm27eBGbKneDLZc75co106bio/edit?usp=sharing"",""สระแก้ว!J434"")"),1)</f>
        <v>1</v>
      </c>
      <c r="X69" s="63">
        <f t="shared" ca="1" si="7"/>
        <v>100</v>
      </c>
      <c r="Y69" s="57">
        <f ca="1">IFERROR(__xludf.DUMMYFUNCTION("IMPORTRANGE(""https://docs.google.com/spreadsheets/d/11s9m3tKsCBdPWq6syhZm27eBGbKneDLZc75co106bio/edit?usp=sharing"",""สระแก้ว!I435"")"),20)</f>
        <v>20</v>
      </c>
      <c r="Z69" s="57">
        <f ca="1">IFERROR(__xludf.DUMMYFUNCTION("IMPORTRANGE(""https://docs.google.com/spreadsheets/d/11s9m3tKsCBdPWq6syhZm27eBGbKneDLZc75co106bio/edit?usp=sharing"",""สระแก้ว!J435"")"),20)</f>
        <v>20</v>
      </c>
      <c r="AA69" s="63">
        <f t="shared" ca="1" si="28"/>
        <v>100</v>
      </c>
      <c r="AB69" s="57">
        <f ca="1">IFERROR(__xludf.DUMMYFUNCTION("IMPORTRANGE(""https://docs.google.com/spreadsheets/d/11s9m3tKsCBdPWq6syhZm27eBGbKneDLZc75co106bio/edit?usp=sharing"",""สระแก้ว!I437"")"),0)</f>
        <v>0</v>
      </c>
      <c r="AC69" s="57">
        <f ca="1">IFERROR(__xludf.DUMMYFUNCTION("IMPORTRANGE(""https://docs.google.com/spreadsheets/d/11s9m3tKsCBdPWq6syhZm27eBGbKneDLZc75co106bio/edit?usp=sharing"",""สระแก้ว!I438"")"),0)</f>
        <v>0</v>
      </c>
      <c r="AD69" s="57">
        <f ca="1">IFERROR(__xludf.DUMMYFUNCTION("IMPORTRANGE(""https://docs.google.com/spreadsheets/d/11s9m3tKsCBdPWq6syhZm27eBGbKneDLZc75co106bio/edit?usp=sharing"",""สระแก้ว!J437"")"),0)</f>
        <v>0</v>
      </c>
      <c r="AE69" s="63">
        <f t="shared" ca="1" si="29"/>
        <v>0</v>
      </c>
      <c r="AF69" s="57">
        <f ca="1">IFERROR(__xludf.DUMMYFUNCTION("IMPORTRANGE(""https://docs.google.com/spreadsheets/d/11s9m3tKsCBdPWq6syhZm27eBGbKneDLZc75co106bio/edit?usp=sharing"",""สระแก้ว!J438"")"),0)</f>
        <v>0</v>
      </c>
      <c r="AG69" s="63">
        <f t="shared" ca="1" si="12"/>
        <v>0</v>
      </c>
      <c r="AH69" s="57">
        <f ca="1">IFERROR(__xludf.DUMMYFUNCTION("IMPORTRANGE(""https://docs.google.com/spreadsheets/d/11s9m3tKsCBdPWq6syhZm27eBGbKneDLZc75co106bio/edit?usp=sharing"",""สระแก้ว!I439"")"),20)</f>
        <v>20</v>
      </c>
      <c r="AI69" s="57">
        <f ca="1">IFERROR(__xludf.DUMMYFUNCTION("IMPORTRANGE(""https://docs.google.com/spreadsheets/d/11s9m3tKsCBdPWq6syhZm27eBGbKneDLZc75co106bio/edit?usp=sharing"",""สระแก้ว!I440"")"),1)</f>
        <v>1</v>
      </c>
      <c r="AJ69" s="57">
        <f ca="1">IFERROR(__xludf.DUMMYFUNCTION("IMPORTRANGE(""https://docs.google.com/spreadsheets/d/11s9m3tKsCBdPWq6syhZm27eBGbKneDLZc75co106bio/edit?usp=sharing"",""สระแก้ว!J439"")"),20)</f>
        <v>20</v>
      </c>
      <c r="AK69" s="63">
        <f t="shared" ca="1" si="30"/>
        <v>100</v>
      </c>
      <c r="AL69" s="57">
        <f ca="1">IFERROR(__xludf.DUMMYFUNCTION("IMPORTRANGE(""https://docs.google.com/spreadsheets/d/11s9m3tKsCBdPWq6syhZm27eBGbKneDLZc75co106bio/edit?usp=sharing"",""สระแก้ว!J440"")"),1)</f>
        <v>1</v>
      </c>
      <c r="AM69" s="63">
        <f t="shared" ca="1" si="15"/>
        <v>100</v>
      </c>
      <c r="AN69" s="57">
        <f ca="1">IFERROR(__xludf.DUMMYFUNCTION("IMPORTRANGE(""https://docs.google.com/spreadsheets/d/11s9m3tKsCBdPWq6syhZm27eBGbKneDLZc75co106bio/edit?usp=sharing"",""สระแก้ว!I441"")"),0)</f>
        <v>0</v>
      </c>
      <c r="AO69" s="57">
        <f ca="1">IFERROR(__xludf.DUMMYFUNCTION("IMPORTRANGE(""https://docs.google.com/spreadsheets/d/11s9m3tKsCBdPWq6syhZm27eBGbKneDLZc75co106bio/edit?usp=sharing"",""สระแก้ว!J441"")"),0)</f>
        <v>0</v>
      </c>
      <c r="AP69" s="63">
        <f t="shared" ca="1" si="31"/>
        <v>0</v>
      </c>
    </row>
    <row r="70" spans="1:42" ht="21" customHeight="1" x14ac:dyDescent="0.3">
      <c r="A70" s="54">
        <v>18</v>
      </c>
      <c r="B70" s="55" t="s">
        <v>91</v>
      </c>
      <c r="C70" s="56">
        <f t="shared" ca="1" si="60"/>
        <v>78660</v>
      </c>
      <c r="D70" s="57">
        <f ca="1">IFERROR(__xludf.DUMMYFUNCTION("IMPORTRANGE(""https://docs.google.com/spreadsheets/d/1Nn1EvsFPtXldgpgVb3Rcng2K2cls68LFQsBh2FyW0Bg/edit?usp=sharing"",""สระบุรี!L424"")"),78660)</f>
        <v>78660</v>
      </c>
      <c r="E70" s="64">
        <f ca="1">IFERROR(__xludf.DUMMYFUNCTION("IMPORTRANGE(""https://docs.google.com/spreadsheets/d/1Nn1EvsFPtXldgpgVb3Rcng2K2cls68LFQsBh2FyW0Bg/edit?usp=sharing"",""สระบุรี!L431"")"),0)</f>
        <v>0</v>
      </c>
      <c r="F70" s="64">
        <f ca="1">IFERROR(__xludf.DUMMYFUNCTION("IMPORTRANGE(""https://docs.google.com/spreadsheets/d/1Nn1EvsFPtXldgpgVb3Rcng2K2cls68LFQsBh2FyW0Bg/edit?usp=sharing"",""สระบุรี!M424"")"),78660)</f>
        <v>78660</v>
      </c>
      <c r="G70" s="64">
        <f ca="1">IFERROR(__xludf.DUMMYFUNCTION("IMPORTRANGE(""https://docs.google.com/spreadsheets/d/1Nn1EvsFPtXldgpgVb3Rcng2K2cls68LFQsBh2FyW0Bg/edit?usp=sharing"",""สระบุรี!M431"")"),0)</f>
        <v>0</v>
      </c>
      <c r="H70" s="58">
        <f t="shared" ca="1" si="26"/>
        <v>49015</v>
      </c>
      <c r="I70" s="59">
        <f t="shared" ca="1" si="1"/>
        <v>62.31248410882278</v>
      </c>
      <c r="J70" s="60">
        <f t="shared" ca="1" si="61"/>
        <v>49015</v>
      </c>
      <c r="K70" s="61">
        <f t="shared" ca="1" si="33"/>
        <v>62.31248410882278</v>
      </c>
      <c r="L70" s="61">
        <f t="shared" ca="1" si="34"/>
        <v>62.31248410882278</v>
      </c>
      <c r="M70" s="64">
        <f ca="1">IFERROR(__xludf.DUMMYFUNCTION("IMPORTRANGE(""https://docs.google.com/spreadsheets/d/1Nn1EvsFPtXldgpgVb3Rcng2K2cls68LFQsBh2FyW0Bg/edit?usp=sharing"",""สระบุรี!N425"")"),38000)</f>
        <v>38000</v>
      </c>
      <c r="N70" s="64">
        <f ca="1">IFERROR(__xludf.DUMMYFUNCTION("IMPORTRANGE(""https://docs.google.com/spreadsheets/d/1Nn1EvsFPtXldgpgVb3Rcng2K2cls68LFQsBh2FyW0Bg/edit?usp=sharing"",""สระบุรี!N426"")"),0)</f>
        <v>0</v>
      </c>
      <c r="O70" s="64">
        <f ca="1">IFERROR(__xludf.DUMMYFUNCTION("IMPORTRANGE(""https://docs.google.com/spreadsheets/d/1Nn1EvsFPtXldgpgVb3Rcng2K2cls68LFQsBh2FyW0Bg/edit?usp=sharing"",""สระบุรี!N427"")"),0)</f>
        <v>0</v>
      </c>
      <c r="P70" s="64">
        <f ca="1">IFERROR(__xludf.DUMMYFUNCTION("IMPORTRANGE(""https://docs.google.com/spreadsheets/d/1Nn1EvsFPtXldgpgVb3Rcng2K2cls68LFQsBh2FyW0Bg/edit?usp=sharing"",""สระบุรี!N428"")"),11015)</f>
        <v>11015</v>
      </c>
      <c r="Q70" s="62">
        <f ca="1">IFERROR(__xludf.DUMMYFUNCTION("IMPORTRANGE(""https://docs.google.com/spreadsheets/d/1Nn1EvsFPtXldgpgVb3Rcng2K2cls68LFQsBh2FyW0Bg/edit?usp=sharing"",""สระบุรี!N431"")"),0)</f>
        <v>0</v>
      </c>
      <c r="R70" s="62">
        <f t="shared" ca="1" si="36"/>
        <v>0</v>
      </c>
      <c r="S70" s="57">
        <f ca="1">IFERROR(__xludf.DUMMYFUNCTION("IMPORTRANGE(""https://docs.google.com/spreadsheets/d/1Nn1EvsFPtXldgpgVb3Rcng2K2cls68LFQsBh2FyW0Bg/edit?usp=sharing"",""สระบุรี!I433"")"),20)</f>
        <v>20</v>
      </c>
      <c r="T70" s="57">
        <f ca="1">IFERROR(__xludf.DUMMYFUNCTION("IMPORTRANGE(""https://docs.google.com/spreadsheets/d/1Nn1EvsFPtXldgpgVb3Rcng2K2cls68LFQsBh2FyW0Bg/edit?usp=sharing"",""สระบุรี!I434"")"),1)</f>
        <v>1</v>
      </c>
      <c r="U70" s="57">
        <f ca="1">IFERROR(__xludf.DUMMYFUNCTION("IMPORTRANGE(""https://docs.google.com/spreadsheets/d/1Nn1EvsFPtXldgpgVb3Rcng2K2cls68LFQsBh2FyW0Bg/edit?usp=sharing"",""สระบุรี!J433"")"),20)</f>
        <v>20</v>
      </c>
      <c r="V70" s="63">
        <f t="shared" ca="1" si="27"/>
        <v>100</v>
      </c>
      <c r="W70" s="57">
        <f ca="1">IFERROR(__xludf.DUMMYFUNCTION("IMPORTRANGE(""https://docs.google.com/spreadsheets/d/1Nn1EvsFPtXldgpgVb3Rcng2K2cls68LFQsBh2FyW0Bg/edit?usp=sharing"",""สระบุรี!J434"")"),1)</f>
        <v>1</v>
      </c>
      <c r="X70" s="63">
        <f t="shared" ca="1" si="7"/>
        <v>100</v>
      </c>
      <c r="Y70" s="57">
        <f ca="1">IFERROR(__xludf.DUMMYFUNCTION("IMPORTRANGE(""https://docs.google.com/spreadsheets/d/1Nn1EvsFPtXldgpgVb3Rcng2K2cls68LFQsBh2FyW0Bg/edit?usp=sharing"",""สระบุรี!I435"")"),20)</f>
        <v>20</v>
      </c>
      <c r="Z70" s="57">
        <f ca="1">IFERROR(__xludf.DUMMYFUNCTION("IMPORTRANGE(""https://docs.google.com/spreadsheets/d/1Nn1EvsFPtXldgpgVb3Rcng2K2cls68LFQsBh2FyW0Bg/edit?usp=sharing"",""สระบุรี!J435"")"),20)</f>
        <v>20</v>
      </c>
      <c r="AA70" s="63">
        <f t="shared" ca="1" si="28"/>
        <v>100</v>
      </c>
      <c r="AB70" s="57">
        <f ca="1">IFERROR(__xludf.DUMMYFUNCTION("IMPORTRANGE(""https://docs.google.com/spreadsheets/d/1Nn1EvsFPtXldgpgVb3Rcng2K2cls68LFQsBh2FyW0Bg/edit?usp=sharing"",""สระบุรี!I437"")"),0)</f>
        <v>0</v>
      </c>
      <c r="AC70" s="57">
        <f ca="1">IFERROR(__xludf.DUMMYFUNCTION("IMPORTRANGE(""https://docs.google.com/spreadsheets/d/1Nn1EvsFPtXldgpgVb3Rcng2K2cls68LFQsBh2FyW0Bg/edit?usp=sharing"",""สระบุรี!I438"")"),0)</f>
        <v>0</v>
      </c>
      <c r="AD70" s="57">
        <f ca="1">IFERROR(__xludf.DUMMYFUNCTION("IMPORTRANGE(""https://docs.google.com/spreadsheets/d/1Nn1EvsFPtXldgpgVb3Rcng2K2cls68LFQsBh2FyW0Bg/edit?usp=sharing"",""สระบุรี!J437"")"),0)</f>
        <v>0</v>
      </c>
      <c r="AE70" s="63">
        <f t="shared" ca="1" si="29"/>
        <v>0</v>
      </c>
      <c r="AF70" s="57">
        <f ca="1">IFERROR(__xludf.DUMMYFUNCTION("IMPORTRANGE(""https://docs.google.com/spreadsheets/d/1Nn1EvsFPtXldgpgVb3Rcng2K2cls68LFQsBh2FyW0Bg/edit?usp=sharing"",""สระบุรี!J438"")"),0)</f>
        <v>0</v>
      </c>
      <c r="AG70" s="63">
        <f t="shared" ca="1" si="12"/>
        <v>0</v>
      </c>
      <c r="AH70" s="57">
        <f ca="1">IFERROR(__xludf.DUMMYFUNCTION("IMPORTRANGE(""https://docs.google.com/spreadsheets/d/1Nn1EvsFPtXldgpgVb3Rcng2K2cls68LFQsBh2FyW0Bg/edit?usp=sharing"",""สระบุรี!I439"")"),20)</f>
        <v>20</v>
      </c>
      <c r="AI70" s="57">
        <f ca="1">IFERROR(__xludf.DUMMYFUNCTION("IMPORTRANGE(""https://docs.google.com/spreadsheets/d/1Nn1EvsFPtXldgpgVb3Rcng2K2cls68LFQsBh2FyW0Bg/edit?usp=sharing"",""สระบุรี!I440"")"),1)</f>
        <v>1</v>
      </c>
      <c r="AJ70" s="57">
        <f ca="1">IFERROR(__xludf.DUMMYFUNCTION("IMPORTRANGE(""https://docs.google.com/spreadsheets/d/1Nn1EvsFPtXldgpgVb3Rcng2K2cls68LFQsBh2FyW0Bg/edit?usp=sharing"",""สระบุรี!J439"")"),20)</f>
        <v>20</v>
      </c>
      <c r="AK70" s="63">
        <f t="shared" ca="1" si="30"/>
        <v>100</v>
      </c>
      <c r="AL70" s="57">
        <f ca="1">IFERROR(__xludf.DUMMYFUNCTION("IMPORTRANGE(""https://docs.google.com/spreadsheets/d/1Nn1EvsFPtXldgpgVb3Rcng2K2cls68LFQsBh2FyW0Bg/edit?usp=sharing"",""สระบุรี!J440"")"),1)</f>
        <v>1</v>
      </c>
      <c r="AM70" s="63">
        <f t="shared" ca="1" si="15"/>
        <v>100</v>
      </c>
      <c r="AN70" s="57">
        <f ca="1">IFERROR(__xludf.DUMMYFUNCTION("IMPORTRANGE(""https://docs.google.com/spreadsheets/d/1Nn1EvsFPtXldgpgVb3Rcng2K2cls68LFQsBh2FyW0Bg/edit?usp=sharing"",""สระบุรี!I441"")"),0)</f>
        <v>0</v>
      </c>
      <c r="AO70" s="57">
        <f ca="1">IFERROR(__xludf.DUMMYFUNCTION("IMPORTRANGE(""https://docs.google.com/spreadsheets/d/1Nn1EvsFPtXldgpgVb3Rcng2K2cls68LFQsBh2FyW0Bg/edit?usp=sharing"",""สระบุรี!J441"")"),0)</f>
        <v>0</v>
      </c>
      <c r="AP70" s="63">
        <f t="shared" ca="1" si="31"/>
        <v>0</v>
      </c>
    </row>
    <row r="71" spans="1:42" ht="21" customHeight="1" x14ac:dyDescent="0.3">
      <c r="A71" s="54">
        <v>19</v>
      </c>
      <c r="B71" s="55" t="s">
        <v>92</v>
      </c>
      <c r="C71" s="56">
        <f t="shared" ca="1" si="60"/>
        <v>54560</v>
      </c>
      <c r="D71" s="57">
        <f ca="1">IFERROR(__xludf.DUMMYFUNCTION("IMPORTRANGE(""https://docs.google.com/spreadsheets/d/149xufxukrnEciK3WPbNpHwUK8BKEJxp3UcBG3Al6dA4/edit?usp=sharing"",""สิงห์บุรี!L424"")"),54560)</f>
        <v>54560</v>
      </c>
      <c r="E71" s="64">
        <f ca="1">IFERROR(__xludf.DUMMYFUNCTION("IMPORTRANGE(""https://docs.google.com/spreadsheets/d/149xufxukrnEciK3WPbNpHwUK8BKEJxp3UcBG3Al6dA4/edit?usp=sharing"",""สิงห์บุรี!L431"")"),0)</f>
        <v>0</v>
      </c>
      <c r="F71" s="64">
        <f ca="1">IFERROR(__xludf.DUMMYFUNCTION("IMPORTRANGE(""https://docs.google.com/spreadsheets/d/149xufxukrnEciK3WPbNpHwUK8BKEJxp3UcBG3Al6dA4/edit?usp=sharing"",""สิงห์บุรี!M424"")"),54560)</f>
        <v>54560</v>
      </c>
      <c r="G71" s="64">
        <f ca="1">IFERROR(__xludf.DUMMYFUNCTION("IMPORTRANGE(""https://docs.google.com/spreadsheets/d/149xufxukrnEciK3WPbNpHwUK8BKEJxp3UcBG3Al6dA4/edit?usp=sharing"",""สิงห์บุรี!M431"")"),0)</f>
        <v>0</v>
      </c>
      <c r="H71" s="58">
        <f t="shared" ca="1" si="26"/>
        <v>54005</v>
      </c>
      <c r="I71" s="59">
        <f t="shared" ca="1" si="1"/>
        <v>98.982771260997069</v>
      </c>
      <c r="J71" s="60">
        <f t="shared" ca="1" si="61"/>
        <v>54005</v>
      </c>
      <c r="K71" s="61">
        <f t="shared" ca="1" si="33"/>
        <v>98.982771260997069</v>
      </c>
      <c r="L71" s="61">
        <f t="shared" ca="1" si="34"/>
        <v>98.982771260997069</v>
      </c>
      <c r="M71" s="64">
        <f ca="1">IFERROR(__xludf.DUMMYFUNCTION("IMPORTRANGE(""https://docs.google.com/spreadsheets/d/149xufxukrnEciK3WPbNpHwUK8BKEJxp3UcBG3Al6dA4/edit?usp=sharing"",""สิงห์บุรี!N425"")"),43492)</f>
        <v>43492</v>
      </c>
      <c r="N71" s="64">
        <f ca="1">IFERROR(__xludf.DUMMYFUNCTION("IMPORTRANGE(""https://docs.google.com/spreadsheets/d/149xufxukrnEciK3WPbNpHwUK8BKEJxp3UcBG3Al6dA4/edit?usp=sharing"",""สิงห์บุรี!N426"")"),0)</f>
        <v>0</v>
      </c>
      <c r="O71" s="64">
        <f ca="1">IFERROR(__xludf.DUMMYFUNCTION("IMPORTRANGE(""https://docs.google.com/spreadsheets/d/149xufxukrnEciK3WPbNpHwUK8BKEJxp3UcBG3Al6dA4/edit?usp=sharing"",""สิงห์บุรี!N427"")"),0)</f>
        <v>0</v>
      </c>
      <c r="P71" s="64">
        <f ca="1">IFERROR(__xludf.DUMMYFUNCTION("IMPORTRANGE(""https://docs.google.com/spreadsheets/d/149xufxukrnEciK3WPbNpHwUK8BKEJxp3UcBG3Al6dA4/edit?usp=sharing"",""สิงห์บุรี!N428"")"),10513)</f>
        <v>10513</v>
      </c>
      <c r="Q71" s="62">
        <f ca="1">IFERROR(__xludf.DUMMYFUNCTION("IMPORTRANGE(""https://docs.google.com/spreadsheets/d/149xufxukrnEciK3WPbNpHwUK8BKEJxp3UcBG3Al6dA4/edit?usp=sharing"",""สิงห์บุรี!N431"")"),0)</f>
        <v>0</v>
      </c>
      <c r="R71" s="62">
        <f t="shared" ca="1" si="36"/>
        <v>0</v>
      </c>
      <c r="S71" s="57">
        <f ca="1">IFERROR(__xludf.DUMMYFUNCTION("IMPORTRANGE(""https://docs.google.com/spreadsheets/d/149xufxukrnEciK3WPbNpHwUK8BKEJxp3UcBG3Al6dA4/edit?usp=sharing"",""สิงห์บุรี!I433"")"),10)</f>
        <v>10</v>
      </c>
      <c r="T71" s="57">
        <f ca="1">IFERROR(__xludf.DUMMYFUNCTION("IMPORTRANGE(""https://docs.google.com/spreadsheets/d/149xufxukrnEciK3WPbNpHwUK8BKEJxp3UcBG3Al6dA4/edit?usp=sharing"",""สิงห์บุรี!I434"")"),1)</f>
        <v>1</v>
      </c>
      <c r="U71" s="57">
        <f ca="1">IFERROR(__xludf.DUMMYFUNCTION("IMPORTRANGE(""https://docs.google.com/spreadsheets/d/149xufxukrnEciK3WPbNpHwUK8BKEJxp3UcBG3Al6dA4/edit?usp=sharing"",""สิงห์บุรี!J433"")"),10)</f>
        <v>10</v>
      </c>
      <c r="V71" s="63">
        <f t="shared" ca="1" si="27"/>
        <v>100</v>
      </c>
      <c r="W71" s="57">
        <f ca="1">IFERROR(__xludf.DUMMYFUNCTION("IMPORTRANGE(""https://docs.google.com/spreadsheets/d/149xufxukrnEciK3WPbNpHwUK8BKEJxp3UcBG3Al6dA4/edit?usp=sharing"",""สิงห์บุรี!J434"")"),1)</f>
        <v>1</v>
      </c>
      <c r="X71" s="63">
        <f t="shared" ca="1" si="7"/>
        <v>100</v>
      </c>
      <c r="Y71" s="57">
        <f ca="1">IFERROR(__xludf.DUMMYFUNCTION("IMPORTRANGE(""https://docs.google.com/spreadsheets/d/149xufxukrnEciK3WPbNpHwUK8BKEJxp3UcBG3Al6dA4/edit?usp=sharing"",""สิงห์บุรี!I435"")"),10)</f>
        <v>10</v>
      </c>
      <c r="Z71" s="57">
        <f ca="1">IFERROR(__xludf.DUMMYFUNCTION("IMPORTRANGE(""https://docs.google.com/spreadsheets/d/149xufxukrnEciK3WPbNpHwUK8BKEJxp3UcBG3Al6dA4/edit?usp=sharing"",""สิงห์บุรี!J435"")"),10)</f>
        <v>10</v>
      </c>
      <c r="AA71" s="63">
        <f t="shared" ca="1" si="28"/>
        <v>100</v>
      </c>
      <c r="AB71" s="57">
        <f ca="1">IFERROR(__xludf.DUMMYFUNCTION("IMPORTRANGE(""https://docs.google.com/spreadsheets/d/149xufxukrnEciK3WPbNpHwUK8BKEJxp3UcBG3Al6dA4/edit?usp=sharing"",""สิงห์บุรี!I437"")"),0)</f>
        <v>0</v>
      </c>
      <c r="AC71" s="57">
        <f ca="1">IFERROR(__xludf.DUMMYFUNCTION("IMPORTRANGE(""https://docs.google.com/spreadsheets/d/149xufxukrnEciK3WPbNpHwUK8BKEJxp3UcBG3Al6dA4/edit?usp=sharing"",""สิงห์บุรี!I438"")"),0)</f>
        <v>0</v>
      </c>
      <c r="AD71" s="57">
        <f ca="1">IFERROR(__xludf.DUMMYFUNCTION("IMPORTRANGE(""https://docs.google.com/spreadsheets/d/149xufxukrnEciK3WPbNpHwUK8BKEJxp3UcBG3Al6dA4/edit?usp=sharing"",""สิงห์บุรี!J437"")"),0)</f>
        <v>0</v>
      </c>
      <c r="AE71" s="63">
        <f t="shared" ca="1" si="29"/>
        <v>0</v>
      </c>
      <c r="AF71" s="57">
        <f ca="1">IFERROR(__xludf.DUMMYFUNCTION("IMPORTRANGE(""https://docs.google.com/spreadsheets/d/149xufxukrnEciK3WPbNpHwUK8BKEJxp3UcBG3Al6dA4/edit?usp=sharing"",""สิงห์บุรี!J438"")"),0)</f>
        <v>0</v>
      </c>
      <c r="AG71" s="63">
        <f t="shared" ca="1" si="12"/>
        <v>0</v>
      </c>
      <c r="AH71" s="57">
        <f ca="1">IFERROR(__xludf.DUMMYFUNCTION("IMPORTRANGE(""https://docs.google.com/spreadsheets/d/149xufxukrnEciK3WPbNpHwUK8BKEJxp3UcBG3Al6dA4/edit?usp=sharing"",""สิงห์บุรี!I439"")"),10)</f>
        <v>10</v>
      </c>
      <c r="AI71" s="57">
        <f ca="1">IFERROR(__xludf.DUMMYFUNCTION("IMPORTRANGE(""https://docs.google.com/spreadsheets/d/149xufxukrnEciK3WPbNpHwUK8BKEJxp3UcBG3Al6dA4/edit?usp=sharing"",""สิงห์บุรี!I440"")"),1)</f>
        <v>1</v>
      </c>
      <c r="AJ71" s="57">
        <f ca="1">IFERROR(__xludf.DUMMYFUNCTION("IMPORTRANGE(""https://docs.google.com/spreadsheets/d/149xufxukrnEciK3WPbNpHwUK8BKEJxp3UcBG3Al6dA4/edit?usp=sharing"",""สิงห์บุรี!J439"")"),10)</f>
        <v>10</v>
      </c>
      <c r="AK71" s="63">
        <f t="shared" ca="1" si="30"/>
        <v>100</v>
      </c>
      <c r="AL71" s="57">
        <f ca="1">IFERROR(__xludf.DUMMYFUNCTION("IMPORTRANGE(""https://docs.google.com/spreadsheets/d/149xufxukrnEciK3WPbNpHwUK8BKEJxp3UcBG3Al6dA4/edit?usp=sharing"",""สิงห์บุรี!J440"")"),1)</f>
        <v>1</v>
      </c>
      <c r="AM71" s="63">
        <f t="shared" ca="1" si="15"/>
        <v>100</v>
      </c>
      <c r="AN71" s="57">
        <f ca="1">IFERROR(__xludf.DUMMYFUNCTION("IMPORTRANGE(""https://docs.google.com/spreadsheets/d/149xufxukrnEciK3WPbNpHwUK8BKEJxp3UcBG3Al6dA4/edit?usp=sharing"",""สิงห์บุรี!I441"")"),0)</f>
        <v>0</v>
      </c>
      <c r="AO71" s="57">
        <f ca="1">IFERROR(__xludf.DUMMYFUNCTION("IMPORTRANGE(""https://docs.google.com/spreadsheets/d/149xufxukrnEciK3WPbNpHwUK8BKEJxp3UcBG3Al6dA4/edit?usp=sharing"",""สิงห์บุรี!J441"")"),0)</f>
        <v>0</v>
      </c>
      <c r="AP71" s="63">
        <f t="shared" ca="1" si="31"/>
        <v>0</v>
      </c>
    </row>
    <row r="72" spans="1:42" ht="21" customHeight="1" x14ac:dyDescent="0.3">
      <c r="A72" s="54">
        <v>20</v>
      </c>
      <c r="B72" s="55" t="s">
        <v>93</v>
      </c>
      <c r="C72" s="56">
        <f t="shared" ca="1" si="60"/>
        <v>205500</v>
      </c>
      <c r="D72" s="57">
        <f ca="1">IFERROR(__xludf.DUMMYFUNCTION("IMPORTRANGE(""https://docs.google.com/spreadsheets/d/132g-zJpz2uMKimp17uOIx8A7o3w1Z25zwJyXnwsB56c/edit?usp=sharing"",""สุพรรณบุรี!L424"")"),205500)</f>
        <v>205500</v>
      </c>
      <c r="E72" s="64">
        <f ca="1">IFERROR(__xludf.DUMMYFUNCTION("IMPORTRANGE(""https://docs.google.com/spreadsheets/d/132g-zJpz2uMKimp17uOIx8A7o3w1Z25zwJyXnwsB56c/edit?usp=sharing"",""สุพรรณบุรี!L431"")"),0)</f>
        <v>0</v>
      </c>
      <c r="F72" s="64">
        <f ca="1">IFERROR(__xludf.DUMMYFUNCTION("IMPORTRANGE(""https://docs.google.com/spreadsheets/d/132g-zJpz2uMKimp17uOIx8A7o3w1Z25zwJyXnwsB56c/edit?usp=sharing"",""สุพรรณบุรี!M424"")"),197910)</f>
        <v>197910</v>
      </c>
      <c r="G72" s="64">
        <f ca="1">IFERROR(__xludf.DUMMYFUNCTION("IMPORTRANGE(""https://docs.google.com/spreadsheets/d/132g-zJpz2uMKimp17uOIx8A7o3w1Z25zwJyXnwsB56c/edit?usp=sharing"",""สุพรรณบุรี!M431"")"),0)</f>
        <v>0</v>
      </c>
      <c r="H72" s="58">
        <f t="shared" ca="1" si="26"/>
        <v>186810</v>
      </c>
      <c r="I72" s="59">
        <f t="shared" ca="1" si="1"/>
        <v>90.9051094890511</v>
      </c>
      <c r="J72" s="60">
        <f t="shared" ca="1" si="61"/>
        <v>186810</v>
      </c>
      <c r="K72" s="61">
        <f t="shared" ca="1" si="33"/>
        <v>90.9051094890511</v>
      </c>
      <c r="L72" s="61">
        <f t="shared" ca="1" si="34"/>
        <v>94.391390025769283</v>
      </c>
      <c r="M72" s="64">
        <f ca="1">IFERROR(__xludf.DUMMYFUNCTION("IMPORTRANGE(""https://docs.google.com/spreadsheets/d/132g-zJpz2uMKimp17uOIx8A7o3w1Z25zwJyXnwsB56c/edit?usp=sharing"",""สุพรรณบุรี!N425"")"),167650)</f>
        <v>167650</v>
      </c>
      <c r="N72" s="64">
        <f ca="1">IFERROR(__xludf.DUMMYFUNCTION("IMPORTRANGE(""https://docs.google.com/spreadsheets/d/132g-zJpz2uMKimp17uOIx8A7o3w1Z25zwJyXnwsB56c/edit?usp=sharing"",""สุพรรณบุรี!N426"")"),0)</f>
        <v>0</v>
      </c>
      <c r="O72" s="64">
        <f ca="1">IFERROR(__xludf.DUMMYFUNCTION("IMPORTRANGE(""https://docs.google.com/spreadsheets/d/132g-zJpz2uMKimp17uOIx8A7o3w1Z25zwJyXnwsB56c/edit?usp=sharing"",""สุพรรณบุรี!N427"")"),0)</f>
        <v>0</v>
      </c>
      <c r="P72" s="64">
        <f ca="1">IFERROR(__xludf.DUMMYFUNCTION("IMPORTRANGE(""https://docs.google.com/spreadsheets/d/132g-zJpz2uMKimp17uOIx8A7o3w1Z25zwJyXnwsB56c/edit?usp=sharing"",""สุพรรณบุรี!N428"")"),19160)</f>
        <v>19160</v>
      </c>
      <c r="Q72" s="62">
        <f ca="1">IFERROR(__xludf.DUMMYFUNCTION("IMPORTRANGE(""https://docs.google.com/spreadsheets/d/132g-zJpz2uMKimp17uOIx8A7o3w1Z25zwJyXnwsB56c/edit?usp=sharing"",""สุพรรณบุรี!N431"")"),0)</f>
        <v>0</v>
      </c>
      <c r="R72" s="62">
        <f t="shared" ca="1" si="36"/>
        <v>0</v>
      </c>
      <c r="S72" s="57">
        <f ca="1">IFERROR(__xludf.DUMMYFUNCTION("IMPORTRANGE(""https://docs.google.com/spreadsheets/d/132g-zJpz2uMKimp17uOIx8A7o3w1Z25zwJyXnwsB56c/edit?usp=sharing"",""สุพรรณบุรี!I433"")"),60)</f>
        <v>60</v>
      </c>
      <c r="T72" s="57">
        <f ca="1">IFERROR(__xludf.DUMMYFUNCTION("IMPORTRANGE(""https://docs.google.com/spreadsheets/d/132g-zJpz2uMKimp17uOIx8A7o3w1Z25zwJyXnwsB56c/edit?usp=sharing"",""สุพรรณบุรี!I434"")"),2)</f>
        <v>2</v>
      </c>
      <c r="U72" s="57">
        <f ca="1">IFERROR(__xludf.DUMMYFUNCTION("IMPORTRANGE(""https://docs.google.com/spreadsheets/d/132g-zJpz2uMKimp17uOIx8A7o3w1Z25zwJyXnwsB56c/edit?usp=sharing"",""สุพรรณบุรี!J433"")"),60)</f>
        <v>60</v>
      </c>
      <c r="V72" s="63">
        <f t="shared" ca="1" si="27"/>
        <v>100</v>
      </c>
      <c r="W72" s="57">
        <f ca="1">IFERROR(__xludf.DUMMYFUNCTION("IMPORTRANGE(""https://docs.google.com/spreadsheets/d/132g-zJpz2uMKimp17uOIx8A7o3w1Z25zwJyXnwsB56c/edit?usp=sharing"",""สุพรรณบุรี!J434"")"),2)</f>
        <v>2</v>
      </c>
      <c r="X72" s="63">
        <f t="shared" ca="1" si="7"/>
        <v>100</v>
      </c>
      <c r="Y72" s="57">
        <f ca="1">IFERROR(__xludf.DUMMYFUNCTION("IMPORTRANGE(""https://docs.google.com/spreadsheets/d/132g-zJpz2uMKimp17uOIx8A7o3w1Z25zwJyXnwsB56c/edit?usp=sharing"",""สุพรรณบุรี!I435"")"),60)</f>
        <v>60</v>
      </c>
      <c r="Z72" s="57">
        <f ca="1">IFERROR(__xludf.DUMMYFUNCTION("IMPORTRANGE(""https://docs.google.com/spreadsheets/d/132g-zJpz2uMKimp17uOIx8A7o3w1Z25zwJyXnwsB56c/edit?usp=sharing"",""สุพรรณบุรี!J435"")"),60)</f>
        <v>60</v>
      </c>
      <c r="AA72" s="63">
        <f t="shared" ca="1" si="28"/>
        <v>100</v>
      </c>
      <c r="AB72" s="57">
        <f ca="1">IFERROR(__xludf.DUMMYFUNCTION("IMPORTRANGE(""https://docs.google.com/spreadsheets/d/132g-zJpz2uMKimp17uOIx8A7o3w1Z25zwJyXnwsB56c/edit?usp=sharing"",""สุพรรณบุรี!I437"")"),40)</f>
        <v>40</v>
      </c>
      <c r="AC72" s="57">
        <f ca="1">IFERROR(__xludf.DUMMYFUNCTION("IMPORTRANGE(""https://docs.google.com/spreadsheets/d/132g-zJpz2uMKimp17uOIx8A7o3w1Z25zwJyXnwsB56c/edit?usp=sharing"",""สุพรรณบุรี!I438"")"),1)</f>
        <v>1</v>
      </c>
      <c r="AD72" s="57">
        <f ca="1">IFERROR(__xludf.DUMMYFUNCTION("IMPORTRANGE(""https://docs.google.com/spreadsheets/d/132g-zJpz2uMKimp17uOIx8A7o3w1Z25zwJyXnwsB56c/edit?usp=sharing"",""สุพรรณบุรี!J437"")"),40)</f>
        <v>40</v>
      </c>
      <c r="AE72" s="63">
        <f t="shared" ca="1" si="29"/>
        <v>100</v>
      </c>
      <c r="AF72" s="57">
        <f ca="1">IFERROR(__xludf.DUMMYFUNCTION("IMPORTRANGE(""https://docs.google.com/spreadsheets/d/132g-zJpz2uMKimp17uOIx8A7o3w1Z25zwJyXnwsB56c/edit?usp=sharing"",""สุพรรณบุรี!J438"")"),1)</f>
        <v>1</v>
      </c>
      <c r="AG72" s="63">
        <f t="shared" ca="1" si="12"/>
        <v>100</v>
      </c>
      <c r="AH72" s="57">
        <f ca="1">IFERROR(__xludf.DUMMYFUNCTION("IMPORTRANGE(""https://docs.google.com/spreadsheets/d/132g-zJpz2uMKimp17uOIx8A7o3w1Z25zwJyXnwsB56c/edit?usp=sharing"",""สุพรรณบุรี!I439"")"),20)</f>
        <v>20</v>
      </c>
      <c r="AI72" s="57">
        <f ca="1">IFERROR(__xludf.DUMMYFUNCTION("IMPORTRANGE(""https://docs.google.com/spreadsheets/d/132g-zJpz2uMKimp17uOIx8A7o3w1Z25zwJyXnwsB56c/edit?usp=sharing"",""สุพรรณบุรี!I440"")"),1)</f>
        <v>1</v>
      </c>
      <c r="AJ72" s="57">
        <f ca="1">IFERROR(__xludf.DUMMYFUNCTION("IMPORTRANGE(""https://docs.google.com/spreadsheets/d/132g-zJpz2uMKimp17uOIx8A7o3w1Z25zwJyXnwsB56c/edit?usp=sharing"",""สุพรรณบุรี!J439"")"),20)</f>
        <v>20</v>
      </c>
      <c r="AK72" s="63">
        <f t="shared" ca="1" si="30"/>
        <v>100</v>
      </c>
      <c r="AL72" s="57">
        <f ca="1">IFERROR(__xludf.DUMMYFUNCTION("IMPORTRANGE(""https://docs.google.com/spreadsheets/d/132g-zJpz2uMKimp17uOIx8A7o3w1Z25zwJyXnwsB56c/edit?usp=sharing"",""สุพรรณบุรี!J440"")"),1)</f>
        <v>1</v>
      </c>
      <c r="AM72" s="63">
        <f t="shared" ca="1" si="15"/>
        <v>100</v>
      </c>
      <c r="AN72" s="57">
        <f ca="1">IFERROR(__xludf.DUMMYFUNCTION("IMPORTRANGE(""https://docs.google.com/spreadsheets/d/132g-zJpz2uMKimp17uOIx8A7o3w1Z25zwJyXnwsB56c/edit?usp=sharing"",""สุพรรณบุรี!I441"")"),0)</f>
        <v>0</v>
      </c>
      <c r="AO72" s="57">
        <f ca="1">IFERROR(__xludf.DUMMYFUNCTION("IMPORTRANGE(""https://docs.google.com/spreadsheets/d/132g-zJpz2uMKimp17uOIx8A7o3w1Z25zwJyXnwsB56c/edit?usp=sharing"",""สุพรรณบุรี!J441"")"),0)</f>
        <v>0</v>
      </c>
      <c r="AP72" s="63">
        <f t="shared" ca="1" si="31"/>
        <v>0</v>
      </c>
    </row>
    <row r="73" spans="1:42" ht="21" customHeight="1" x14ac:dyDescent="0.3">
      <c r="A73" s="65">
        <v>21</v>
      </c>
      <c r="B73" s="66" t="s">
        <v>94</v>
      </c>
      <c r="C73" s="67">
        <f t="shared" ca="1" si="60"/>
        <v>54560</v>
      </c>
      <c r="D73" s="68">
        <f ca="1">IFERROR(__xludf.DUMMYFUNCTION("IMPORTRANGE(""https://docs.google.com/spreadsheets/d/12Q_U0nVnFdxDFwa0pej9xvx8ZvLC9Dpi_vRro_aiG5g/edit?usp=sharing"",""อ่างทอง!L424"")"),54560)</f>
        <v>54560</v>
      </c>
      <c r="E73" s="69">
        <f ca="1">IFERROR(__xludf.DUMMYFUNCTION("IMPORTRANGE(""https://docs.google.com/spreadsheets/d/12Q_U0nVnFdxDFwa0pej9xvx8ZvLC9Dpi_vRro_aiG5g/edit?usp=sharing"",""อ่างทอง!L431"")"),0)</f>
        <v>0</v>
      </c>
      <c r="F73" s="69">
        <f ca="1">IFERROR(__xludf.DUMMYFUNCTION("IMPORTRANGE(""https://docs.google.com/spreadsheets/d/12Q_U0nVnFdxDFwa0pej9xvx8ZvLC9Dpi_vRro_aiG5g/edit?usp=sharing"",""อ่างทอง!M424"")"),54560)</f>
        <v>54560</v>
      </c>
      <c r="G73" s="69">
        <f ca="1">IFERROR(__xludf.DUMMYFUNCTION("IMPORTRANGE(""https://docs.google.com/spreadsheets/d/12Q_U0nVnFdxDFwa0pej9xvx8ZvLC9Dpi_vRro_aiG5g/edit?usp=sharing"",""อ่างทอง!M431"")"),0)</f>
        <v>0</v>
      </c>
      <c r="H73" s="70">
        <f t="shared" ca="1" si="26"/>
        <v>48413</v>
      </c>
      <c r="I73" s="71">
        <f t="shared" ca="1" si="1"/>
        <v>88.73350439882698</v>
      </c>
      <c r="J73" s="72">
        <f t="shared" ca="1" si="61"/>
        <v>48413</v>
      </c>
      <c r="K73" s="73">
        <f t="shared" ca="1" si="33"/>
        <v>88.73350439882698</v>
      </c>
      <c r="L73" s="73">
        <f t="shared" ca="1" si="34"/>
        <v>88.73350439882698</v>
      </c>
      <c r="M73" s="69">
        <f ca="1">IFERROR(__xludf.DUMMYFUNCTION("IMPORTRANGE(""https://docs.google.com/spreadsheets/d/12Q_U0nVnFdxDFwa0pej9xvx8ZvLC9Dpi_vRro_aiG5g/edit?usp=sharing"",""อ่างทอง!N425"")"),37773)</f>
        <v>37773</v>
      </c>
      <c r="N73" s="69">
        <f ca="1">IFERROR(__xludf.DUMMYFUNCTION("IMPORTRANGE(""https://docs.google.com/spreadsheets/d/12Q_U0nVnFdxDFwa0pej9xvx8ZvLC9Dpi_vRro_aiG5g/edit?usp=sharing"",""อ่างทอง!N426"")"),0)</f>
        <v>0</v>
      </c>
      <c r="O73" s="69">
        <f ca="1">IFERROR(__xludf.DUMMYFUNCTION("IMPORTRANGE(""https://docs.google.com/spreadsheets/d/12Q_U0nVnFdxDFwa0pej9xvx8ZvLC9Dpi_vRro_aiG5g/edit?usp=sharing"",""อ่างทอง!N427"")"),0)</f>
        <v>0</v>
      </c>
      <c r="P73" s="69">
        <f ca="1">IFERROR(__xludf.DUMMYFUNCTION("IMPORTRANGE(""https://docs.google.com/spreadsheets/d/12Q_U0nVnFdxDFwa0pej9xvx8ZvLC9Dpi_vRro_aiG5g/edit?usp=sharing"",""อ่างทอง!N428"")"),10640)</f>
        <v>10640</v>
      </c>
      <c r="Q73" s="74">
        <f ca="1">IFERROR(__xludf.DUMMYFUNCTION("IMPORTRANGE(""https://docs.google.com/spreadsheets/d/12Q_U0nVnFdxDFwa0pej9xvx8ZvLC9Dpi_vRro_aiG5g/edit?usp=sharing"",""อ่างทอง!N431"")"),0)</f>
        <v>0</v>
      </c>
      <c r="R73" s="74">
        <f t="shared" ca="1" si="36"/>
        <v>0</v>
      </c>
      <c r="S73" s="68">
        <f ca="1">IFERROR(__xludf.DUMMYFUNCTION("IMPORTRANGE(""https://docs.google.com/spreadsheets/d/12Q_U0nVnFdxDFwa0pej9xvx8ZvLC9Dpi_vRro_aiG5g/edit?usp=sharing"",""อ่างทอง!I433"")"),10)</f>
        <v>10</v>
      </c>
      <c r="T73" s="68">
        <f ca="1">IFERROR(__xludf.DUMMYFUNCTION("IMPORTRANGE(""https://docs.google.com/spreadsheets/d/12Q_U0nVnFdxDFwa0pej9xvx8ZvLC9Dpi_vRro_aiG5g/edit?usp=sharing"",""อ่างทอง!I434"")"),1)</f>
        <v>1</v>
      </c>
      <c r="U73" s="68">
        <f ca="1">IFERROR(__xludf.DUMMYFUNCTION("IMPORTRANGE(""https://docs.google.com/spreadsheets/d/12Q_U0nVnFdxDFwa0pej9xvx8ZvLC9Dpi_vRro_aiG5g/edit?usp=sharing"",""อ่างทอง!J433"")"),10)</f>
        <v>10</v>
      </c>
      <c r="V73" s="75">
        <f t="shared" ca="1" si="27"/>
        <v>100</v>
      </c>
      <c r="W73" s="68">
        <f ca="1">IFERROR(__xludf.DUMMYFUNCTION("IMPORTRANGE(""https://docs.google.com/spreadsheets/d/12Q_U0nVnFdxDFwa0pej9xvx8ZvLC9Dpi_vRro_aiG5g/edit?usp=sharing"",""อ่างทอง!J434"")"),1)</f>
        <v>1</v>
      </c>
      <c r="X73" s="75">
        <f t="shared" ca="1" si="7"/>
        <v>100</v>
      </c>
      <c r="Y73" s="68">
        <f ca="1">IFERROR(__xludf.DUMMYFUNCTION("IMPORTRANGE(""https://docs.google.com/spreadsheets/d/12Q_U0nVnFdxDFwa0pej9xvx8ZvLC9Dpi_vRro_aiG5g/edit?usp=sharing"",""อ่างทอง!I435"")"),10)</f>
        <v>10</v>
      </c>
      <c r="Z73" s="68">
        <f ca="1">IFERROR(__xludf.DUMMYFUNCTION("IMPORTRANGE(""https://docs.google.com/spreadsheets/d/12Q_U0nVnFdxDFwa0pej9xvx8ZvLC9Dpi_vRro_aiG5g/edit?usp=sharing"",""อ่างทอง!J435"")"),10)</f>
        <v>10</v>
      </c>
      <c r="AA73" s="75">
        <f t="shared" ca="1" si="28"/>
        <v>100</v>
      </c>
      <c r="AB73" s="68">
        <f ca="1">IFERROR(__xludf.DUMMYFUNCTION("IMPORTRANGE(""https://docs.google.com/spreadsheets/d/12Q_U0nVnFdxDFwa0pej9xvx8ZvLC9Dpi_vRro_aiG5g/edit?usp=sharing"",""อ่างทอง!I437"")"),0)</f>
        <v>0</v>
      </c>
      <c r="AC73" s="68">
        <f ca="1">IFERROR(__xludf.DUMMYFUNCTION("IMPORTRANGE(""https://docs.google.com/spreadsheets/d/12Q_U0nVnFdxDFwa0pej9xvx8ZvLC9Dpi_vRro_aiG5g/edit?usp=sharing"",""อ่างทอง!I438"")"),0)</f>
        <v>0</v>
      </c>
      <c r="AD73" s="68">
        <f ca="1">IFERROR(__xludf.DUMMYFUNCTION("IMPORTRANGE(""https://docs.google.com/spreadsheets/d/12Q_U0nVnFdxDFwa0pej9xvx8ZvLC9Dpi_vRro_aiG5g/edit?usp=sharing"",""อ่างทอง!J437"")"),0)</f>
        <v>0</v>
      </c>
      <c r="AE73" s="75">
        <f t="shared" ca="1" si="29"/>
        <v>0</v>
      </c>
      <c r="AF73" s="68">
        <f ca="1">IFERROR(__xludf.DUMMYFUNCTION("IMPORTRANGE(""https://docs.google.com/spreadsheets/d/12Q_U0nVnFdxDFwa0pej9xvx8ZvLC9Dpi_vRro_aiG5g/edit?usp=sharing"",""อ่างทอง!J438"")"),0)</f>
        <v>0</v>
      </c>
      <c r="AG73" s="75">
        <f t="shared" ca="1" si="12"/>
        <v>0</v>
      </c>
      <c r="AH73" s="68">
        <f ca="1">IFERROR(__xludf.DUMMYFUNCTION("IMPORTRANGE(""https://docs.google.com/spreadsheets/d/12Q_U0nVnFdxDFwa0pej9xvx8ZvLC9Dpi_vRro_aiG5g/edit?usp=sharing"",""อ่างทอง!I439"")"),10)</f>
        <v>10</v>
      </c>
      <c r="AI73" s="68">
        <f ca="1">IFERROR(__xludf.DUMMYFUNCTION("IMPORTRANGE(""https://docs.google.com/spreadsheets/d/12Q_U0nVnFdxDFwa0pej9xvx8ZvLC9Dpi_vRro_aiG5g/edit?usp=sharing"",""อ่างทอง!I440"")"),1)</f>
        <v>1</v>
      </c>
      <c r="AJ73" s="68">
        <f ca="1">IFERROR(__xludf.DUMMYFUNCTION("IMPORTRANGE(""https://docs.google.com/spreadsheets/d/12Q_U0nVnFdxDFwa0pej9xvx8ZvLC9Dpi_vRro_aiG5g/edit?usp=sharing"",""อ่างทอง!J439"")"),10)</f>
        <v>10</v>
      </c>
      <c r="AK73" s="75">
        <f t="shared" ca="1" si="30"/>
        <v>100</v>
      </c>
      <c r="AL73" s="68">
        <f ca="1">IFERROR(__xludf.DUMMYFUNCTION("IMPORTRANGE(""https://docs.google.com/spreadsheets/d/12Q_U0nVnFdxDFwa0pej9xvx8ZvLC9Dpi_vRro_aiG5g/edit?usp=sharing"",""อ่างทอง!J440"")"),1)</f>
        <v>1</v>
      </c>
      <c r="AM73" s="75">
        <f t="shared" ca="1" si="15"/>
        <v>100</v>
      </c>
      <c r="AN73" s="68">
        <f ca="1">IFERROR(__xludf.DUMMYFUNCTION("IMPORTRANGE(""https://docs.google.com/spreadsheets/d/12Q_U0nVnFdxDFwa0pej9xvx8ZvLC9Dpi_vRro_aiG5g/edit?usp=sharing"",""อ่างทอง!I441"")"),0)</f>
        <v>0</v>
      </c>
      <c r="AO73" s="68">
        <f ca="1">IFERROR(__xludf.DUMMYFUNCTION("IMPORTRANGE(""https://docs.google.com/spreadsheets/d/12Q_U0nVnFdxDFwa0pej9xvx8ZvLC9Dpi_vRro_aiG5g/edit?usp=sharing"",""อ่างทอง!J441"")"),0)</f>
        <v>0</v>
      </c>
      <c r="AP73" s="75">
        <f t="shared" ca="1" si="31"/>
        <v>0</v>
      </c>
    </row>
    <row r="74" spans="1:42" ht="21" customHeight="1" x14ac:dyDescent="0.3">
      <c r="A74" s="177" t="s">
        <v>95</v>
      </c>
      <c r="B74" s="178"/>
      <c r="C74" s="76">
        <f t="shared" ref="C74:G74" ca="1" si="62">SUM(C75:C88)</f>
        <v>1097120</v>
      </c>
      <c r="D74" s="34">
        <f t="shared" ca="1" si="62"/>
        <v>1097120</v>
      </c>
      <c r="E74" s="34">
        <f t="shared" ca="1" si="62"/>
        <v>0</v>
      </c>
      <c r="F74" s="34">
        <f t="shared" ca="1" si="62"/>
        <v>1091510</v>
      </c>
      <c r="G74" s="34">
        <f t="shared" ca="1" si="62"/>
        <v>0</v>
      </c>
      <c r="H74" s="34">
        <f t="shared" ca="1" si="26"/>
        <v>814171.77</v>
      </c>
      <c r="I74" s="35">
        <f t="shared" ca="1" si="1"/>
        <v>74.209910492926937</v>
      </c>
      <c r="J74" s="34">
        <f ca="1">SUM(J75:J88)</f>
        <v>814171.77</v>
      </c>
      <c r="K74" s="35">
        <f t="shared" ca="1" si="33"/>
        <v>74.209910492926937</v>
      </c>
      <c r="L74" s="35">
        <f t="shared" ca="1" si="34"/>
        <v>74.59132486188858</v>
      </c>
      <c r="M74" s="34">
        <f t="shared" ref="M74:Q74" ca="1" si="63">SUM(M75:M88)</f>
        <v>531875</v>
      </c>
      <c r="N74" s="34">
        <f t="shared" ca="1" si="63"/>
        <v>0</v>
      </c>
      <c r="O74" s="34">
        <f t="shared" ca="1" si="63"/>
        <v>0</v>
      </c>
      <c r="P74" s="34">
        <f t="shared" ca="1" si="63"/>
        <v>282296.77</v>
      </c>
      <c r="Q74" s="36">
        <f t="shared" ca="1" si="63"/>
        <v>0</v>
      </c>
      <c r="R74" s="36">
        <f t="shared" ca="1" si="36"/>
        <v>0</v>
      </c>
      <c r="S74" s="34">
        <f t="shared" ref="S74:U74" ca="1" si="64">SUM(S75:S88)</f>
        <v>250</v>
      </c>
      <c r="T74" s="34">
        <f t="shared" ca="1" si="64"/>
        <v>15</v>
      </c>
      <c r="U74" s="34">
        <f t="shared" ca="1" si="64"/>
        <v>250</v>
      </c>
      <c r="V74" s="37">
        <f t="shared" ca="1" si="27"/>
        <v>100</v>
      </c>
      <c r="W74" s="34">
        <f ca="1">SUM(W75:W88)</f>
        <v>14</v>
      </c>
      <c r="X74" s="37">
        <f t="shared" ca="1" si="7"/>
        <v>93.333333333333329</v>
      </c>
      <c r="Y74" s="34">
        <f t="shared" ref="Y74:Z74" ca="1" si="65">SUM(Y75:Y88)</f>
        <v>250</v>
      </c>
      <c r="Z74" s="34">
        <f t="shared" ca="1" si="65"/>
        <v>250</v>
      </c>
      <c r="AA74" s="37">
        <f t="shared" ca="1" si="28"/>
        <v>100</v>
      </c>
      <c r="AB74" s="34">
        <f t="shared" ref="AB74:AD74" ca="1" si="66">SUM(AB75:AB88)</f>
        <v>30</v>
      </c>
      <c r="AC74" s="34">
        <f t="shared" ca="1" si="66"/>
        <v>1</v>
      </c>
      <c r="AD74" s="34">
        <f t="shared" ca="1" si="66"/>
        <v>30</v>
      </c>
      <c r="AE74" s="37">
        <f t="shared" ca="1" si="29"/>
        <v>100</v>
      </c>
      <c r="AF74" s="34">
        <f ca="1">SUM(AF75:AF88)</f>
        <v>1</v>
      </c>
      <c r="AG74" s="37">
        <f t="shared" ca="1" si="12"/>
        <v>100</v>
      </c>
      <c r="AH74" s="34">
        <f t="shared" ref="AH74:AJ74" ca="1" si="67">SUM(AH75:AH88)</f>
        <v>220</v>
      </c>
      <c r="AI74" s="34">
        <f t="shared" ca="1" si="67"/>
        <v>14</v>
      </c>
      <c r="AJ74" s="34">
        <f t="shared" ca="1" si="67"/>
        <v>220</v>
      </c>
      <c r="AK74" s="37">
        <f t="shared" ca="1" si="30"/>
        <v>100</v>
      </c>
      <c r="AL74" s="34">
        <f ca="1">SUM(AL75:AL88)</f>
        <v>13</v>
      </c>
      <c r="AM74" s="37">
        <f t="shared" ca="1" si="15"/>
        <v>92.857142857142861</v>
      </c>
      <c r="AN74" s="34">
        <f t="shared" ref="AN74:AO74" ca="1" si="68">SUM(AN75:AN88)</f>
        <v>0</v>
      </c>
      <c r="AO74" s="34">
        <f t="shared" ca="1" si="68"/>
        <v>0</v>
      </c>
      <c r="AP74" s="37">
        <f t="shared" ca="1" si="31"/>
        <v>0</v>
      </c>
    </row>
    <row r="75" spans="1:42" ht="21" customHeight="1" x14ac:dyDescent="0.3">
      <c r="A75" s="54">
        <v>1</v>
      </c>
      <c r="B75" s="55" t="s">
        <v>96</v>
      </c>
      <c r="C75" s="56">
        <f t="shared" ref="C75:C88" ca="1" si="69">D75+E75</f>
        <v>66560</v>
      </c>
      <c r="D75" s="57">
        <f ca="1">IFERROR(__xludf.DUMMYFUNCTION("IMPORTRANGE(""https://docs.google.com/spreadsheets/d/1kC41EOXpGBFOW658Fs3oD8beYlym0-zO54WY-2Qnp9I/edit?usp=sharing"",""กระบี่!L424"")"),66560)</f>
        <v>66560</v>
      </c>
      <c r="E75" s="64">
        <f ca="1">IFERROR(__xludf.DUMMYFUNCTION("IMPORTRANGE(""https://docs.google.com/spreadsheets/d/1kC41EOXpGBFOW658Fs3oD8beYlym0-zO54WY-2Qnp9I/edit?usp=sharing"",""กระบี่!L431"")"),0)</f>
        <v>0</v>
      </c>
      <c r="F75" s="64">
        <f ca="1">IFERROR(__xludf.DUMMYFUNCTION("IMPORTRANGE(""https://docs.google.com/spreadsheets/d/1kC41EOXpGBFOW658Fs3oD8beYlym0-zO54WY-2Qnp9I/edit?usp=sharing"",""กระบี่!M424"")"),66560)</f>
        <v>66560</v>
      </c>
      <c r="G75" s="64">
        <f ca="1">IFERROR(__xludf.DUMMYFUNCTION("IMPORTRANGE(""https://docs.google.com/spreadsheets/d/1kC41EOXpGBFOW658Fs3oD8beYlym0-zO54WY-2Qnp9I/edit?usp=sharing"",""กระบี่!M431"")"),0)</f>
        <v>0</v>
      </c>
      <c r="H75" s="58">
        <f t="shared" ca="1" si="26"/>
        <v>65518</v>
      </c>
      <c r="I75" s="59">
        <f t="shared" ca="1" si="1"/>
        <v>98.434495192307693</v>
      </c>
      <c r="J75" s="60">
        <f t="shared" ref="J75:J88" ca="1" si="70">M75+N75+O75+P75</f>
        <v>65518</v>
      </c>
      <c r="K75" s="61">
        <f t="shared" ca="1" si="33"/>
        <v>98.434495192307693</v>
      </c>
      <c r="L75" s="60">
        <f t="shared" ca="1" si="34"/>
        <v>98.434495192307693</v>
      </c>
      <c r="M75" s="64">
        <f ca="1">IFERROR(__xludf.DUMMYFUNCTION("IMPORTRANGE(""https://docs.google.com/spreadsheets/d/1kC41EOXpGBFOW658Fs3oD8beYlym0-zO54WY-2Qnp9I/edit?usp=sharing"",""กระบี่!N425"")"),42295)</f>
        <v>42295</v>
      </c>
      <c r="N75" s="64">
        <f ca="1">IFERROR(__xludf.DUMMYFUNCTION("IMPORTRANGE(""https://docs.google.com/spreadsheets/d/1kC41EOXpGBFOW658Fs3oD8beYlym0-zO54WY-2Qnp9I/edit?usp=sharing"",""กระบี่!N426"")"),0)</f>
        <v>0</v>
      </c>
      <c r="O75" s="64">
        <f ca="1">IFERROR(__xludf.DUMMYFUNCTION("IMPORTRANGE(""https://docs.google.com/spreadsheets/d/1kC41EOXpGBFOW658Fs3oD8beYlym0-zO54WY-2Qnp9I/edit?usp=sharing"",""กระบี่!N427"")"),0)</f>
        <v>0</v>
      </c>
      <c r="P75" s="64">
        <f ca="1">IFERROR(__xludf.DUMMYFUNCTION("IMPORTRANGE(""https://docs.google.com/spreadsheets/d/1kC41EOXpGBFOW658Fs3oD8beYlym0-zO54WY-2Qnp9I/edit?usp=sharing"",""กระบี่!N428"")"),23223)</f>
        <v>23223</v>
      </c>
      <c r="Q75" s="62">
        <f ca="1">IFERROR(__xludf.DUMMYFUNCTION("IMPORTRANGE(""https://docs.google.com/spreadsheets/d/1kC41EOXpGBFOW658Fs3oD8beYlym0-zO54WY-2Qnp9I/edit?usp=sharing"",""กระบี่!N431"")"),0)</f>
        <v>0</v>
      </c>
      <c r="R75" s="62">
        <f t="shared" ca="1" si="36"/>
        <v>0</v>
      </c>
      <c r="S75" s="57">
        <f ca="1">IFERROR(__xludf.DUMMYFUNCTION("IMPORTRANGE(""https://docs.google.com/spreadsheets/d/1kC41EOXpGBFOW658Fs3oD8beYlym0-zO54WY-2Qnp9I/edit?usp=sharing"",""กระบี่!I433"")"),15)</f>
        <v>15</v>
      </c>
      <c r="T75" s="57">
        <f ca="1">IFERROR(__xludf.DUMMYFUNCTION("IMPORTRANGE(""https://docs.google.com/spreadsheets/d/1kC41EOXpGBFOW658Fs3oD8beYlym0-zO54WY-2Qnp9I/edit?usp=sharing"",""กระบี่!I434"")"),1)</f>
        <v>1</v>
      </c>
      <c r="U75" s="57">
        <f ca="1">IFERROR(__xludf.DUMMYFUNCTION("IMPORTRANGE(""https://docs.google.com/spreadsheets/d/1kC41EOXpGBFOW658Fs3oD8beYlym0-zO54WY-2Qnp9I/edit?usp=sharing"",""กระบี่!J433"")"),15)</f>
        <v>15</v>
      </c>
      <c r="V75" s="63">
        <f t="shared" ca="1" si="27"/>
        <v>100</v>
      </c>
      <c r="W75" s="57">
        <f ca="1">IFERROR(__xludf.DUMMYFUNCTION("IMPORTRANGE(""https://docs.google.com/spreadsheets/d/1kC41EOXpGBFOW658Fs3oD8beYlym0-zO54WY-2Qnp9I/edit?usp=sharing"",""กระบี่!J434"")"),1)</f>
        <v>1</v>
      </c>
      <c r="X75" s="63">
        <f t="shared" ca="1" si="7"/>
        <v>100</v>
      </c>
      <c r="Y75" s="57">
        <f ca="1">IFERROR(__xludf.DUMMYFUNCTION("IMPORTRANGE(""https://docs.google.com/spreadsheets/d/1kC41EOXpGBFOW658Fs3oD8beYlym0-zO54WY-2Qnp9I/edit?usp=sharing"",""กระบี่!I435"")"),15)</f>
        <v>15</v>
      </c>
      <c r="Z75" s="57">
        <f ca="1">IFERROR(__xludf.DUMMYFUNCTION("IMPORTRANGE(""https://docs.google.com/spreadsheets/d/1kC41EOXpGBFOW658Fs3oD8beYlym0-zO54WY-2Qnp9I/edit?usp=sharing"",""กระบี่!J435"")"),15)</f>
        <v>15</v>
      </c>
      <c r="AA75" s="63">
        <f t="shared" ca="1" si="28"/>
        <v>100</v>
      </c>
      <c r="AB75" s="57">
        <f ca="1">IFERROR(__xludf.DUMMYFUNCTION("IMPORTRANGE(""https://docs.google.com/spreadsheets/d/1kC41EOXpGBFOW658Fs3oD8beYlym0-zO54WY-2Qnp9I/edit?usp=sharing"",""กระบี่!I437"")"),0)</f>
        <v>0</v>
      </c>
      <c r="AC75" s="57">
        <f ca="1">IFERROR(__xludf.DUMMYFUNCTION("IMPORTRANGE(""https://docs.google.com/spreadsheets/d/1kC41EOXpGBFOW658Fs3oD8beYlym0-zO54WY-2Qnp9I/edit?usp=sharing"",""กระบี่!I438"")"),0)</f>
        <v>0</v>
      </c>
      <c r="AD75" s="57">
        <f ca="1">IFERROR(__xludf.DUMMYFUNCTION("IMPORTRANGE(""https://docs.google.com/spreadsheets/d/1kC41EOXpGBFOW658Fs3oD8beYlym0-zO54WY-2Qnp9I/edit?usp=sharing"",""กระบี่!J437"")"),0)</f>
        <v>0</v>
      </c>
      <c r="AE75" s="63">
        <f t="shared" ca="1" si="29"/>
        <v>0</v>
      </c>
      <c r="AF75" s="57">
        <f ca="1">IFERROR(__xludf.DUMMYFUNCTION("IMPORTRANGE(""https://docs.google.com/spreadsheets/d/1kC41EOXpGBFOW658Fs3oD8beYlym0-zO54WY-2Qnp9I/edit?usp=sharing"",""กระบี่!J438"")"),0)</f>
        <v>0</v>
      </c>
      <c r="AG75" s="63">
        <f t="shared" ca="1" si="12"/>
        <v>0</v>
      </c>
      <c r="AH75" s="57">
        <f ca="1">IFERROR(__xludf.DUMMYFUNCTION("IMPORTRANGE(""https://docs.google.com/spreadsheets/d/1kC41EOXpGBFOW658Fs3oD8beYlym0-zO54WY-2Qnp9I/edit?usp=sharing"",""กระบี่!I439"")"),15)</f>
        <v>15</v>
      </c>
      <c r="AI75" s="57">
        <f ca="1">IFERROR(__xludf.DUMMYFUNCTION("IMPORTRANGE(""https://docs.google.com/spreadsheets/d/1kC41EOXpGBFOW658Fs3oD8beYlym0-zO54WY-2Qnp9I/edit?usp=sharing"",""กระบี่!I440"")"),1)</f>
        <v>1</v>
      </c>
      <c r="AJ75" s="57">
        <f ca="1">IFERROR(__xludf.DUMMYFUNCTION("IMPORTRANGE(""https://docs.google.com/spreadsheets/d/1kC41EOXpGBFOW658Fs3oD8beYlym0-zO54WY-2Qnp9I/edit?usp=sharing"",""กระบี่!J439"")"),15)</f>
        <v>15</v>
      </c>
      <c r="AK75" s="63">
        <f t="shared" ca="1" si="30"/>
        <v>100</v>
      </c>
      <c r="AL75" s="57">
        <f ca="1">IFERROR(__xludf.DUMMYFUNCTION("IMPORTRANGE(""https://docs.google.com/spreadsheets/d/1kC41EOXpGBFOW658Fs3oD8beYlym0-zO54WY-2Qnp9I/edit?usp=sharing"",""กระบี่!J440"")"),1)</f>
        <v>1</v>
      </c>
      <c r="AM75" s="63">
        <f t="shared" ca="1" si="15"/>
        <v>100</v>
      </c>
      <c r="AN75" s="57">
        <f ca="1">IFERROR(__xludf.DUMMYFUNCTION("IMPORTRANGE(""https://docs.google.com/spreadsheets/d/1kC41EOXpGBFOW658Fs3oD8beYlym0-zO54WY-2Qnp9I/edit?usp=sharing"",""กระบี่!I441"")"),0)</f>
        <v>0</v>
      </c>
      <c r="AO75" s="57">
        <f ca="1">IFERROR(__xludf.DUMMYFUNCTION("IMPORTRANGE(""https://docs.google.com/spreadsheets/d/1kC41EOXpGBFOW658Fs3oD8beYlym0-zO54WY-2Qnp9I/edit?usp=sharing"",""กระบี่!J441"")"),0)</f>
        <v>0</v>
      </c>
      <c r="AP75" s="63">
        <f t="shared" ca="1" si="31"/>
        <v>0</v>
      </c>
    </row>
    <row r="76" spans="1:42" ht="21" customHeight="1" x14ac:dyDescent="0.3">
      <c r="A76" s="54">
        <v>2</v>
      </c>
      <c r="B76" s="55" t="s">
        <v>97</v>
      </c>
      <c r="C76" s="56">
        <f t="shared" ca="1" si="69"/>
        <v>78760</v>
      </c>
      <c r="D76" s="57">
        <f ca="1">IFERROR(__xludf.DUMMYFUNCTION("IMPORTRANGE(""https://docs.google.com/spreadsheets/d/1FbzMZY_f3MDiEuK7RpCQKrilJ_kpX0Wm7QBZ1L7EjIU/edit?usp=sharing"",""ชุมพร!L424"")"),78760)</f>
        <v>78760</v>
      </c>
      <c r="E76" s="64">
        <f ca="1">IFERROR(__xludf.DUMMYFUNCTION("IMPORTRANGE(""https://docs.google.com/spreadsheets/d/1FbzMZY_f3MDiEuK7RpCQKrilJ_kpX0Wm7QBZ1L7EjIU/edit?usp=sharing"",""ชุมพร!L431"")"),0)</f>
        <v>0</v>
      </c>
      <c r="F76" s="64">
        <f ca="1">IFERROR(__xludf.DUMMYFUNCTION("IMPORTRANGE(""https://docs.google.com/spreadsheets/d/1FbzMZY_f3MDiEuK7RpCQKrilJ_kpX0Wm7QBZ1L7EjIU/edit?usp=sharing"",""ชุมพร!M424"")"),78760)</f>
        <v>78760</v>
      </c>
      <c r="G76" s="64">
        <f ca="1">IFERROR(__xludf.DUMMYFUNCTION("IMPORTRANGE(""https://docs.google.com/spreadsheets/d/1FbzMZY_f3MDiEuK7RpCQKrilJ_kpX0Wm7QBZ1L7EjIU/edit?usp=sharing"",""ชุมพร!M431"")"),0)</f>
        <v>0</v>
      </c>
      <c r="H76" s="58">
        <f t="shared" ca="1" si="26"/>
        <v>28060</v>
      </c>
      <c r="I76" s="59">
        <f t="shared" ca="1" si="1"/>
        <v>35.627221940071102</v>
      </c>
      <c r="J76" s="60">
        <f t="shared" ca="1" si="70"/>
        <v>28060</v>
      </c>
      <c r="K76" s="61">
        <f t="shared" ca="1" si="33"/>
        <v>35.627221940071102</v>
      </c>
      <c r="L76" s="60">
        <f t="shared" ca="1" si="34"/>
        <v>35.627221940071102</v>
      </c>
      <c r="M76" s="64">
        <f ca="1">IFERROR(__xludf.DUMMYFUNCTION("IMPORTRANGE(""https://docs.google.com/spreadsheets/d/1FbzMZY_f3MDiEuK7RpCQKrilJ_kpX0Wm7QBZ1L7EjIU/edit?usp=sharing"",""ชุมพร!N425"")"),28060)</f>
        <v>28060</v>
      </c>
      <c r="N76" s="64">
        <f ca="1">IFERROR(__xludf.DUMMYFUNCTION("IMPORTRANGE(""https://docs.google.com/spreadsheets/d/1FbzMZY_f3MDiEuK7RpCQKrilJ_kpX0Wm7QBZ1L7EjIU/edit?usp=sharing"",""ชุมพร!N426"")"),0)</f>
        <v>0</v>
      </c>
      <c r="O76" s="64">
        <f ca="1">IFERROR(__xludf.DUMMYFUNCTION("IMPORTRANGE(""https://docs.google.com/spreadsheets/d/1FbzMZY_f3MDiEuK7RpCQKrilJ_kpX0Wm7QBZ1L7EjIU/edit?usp=sharing"",""ชุมพร!N427"")"),0)</f>
        <v>0</v>
      </c>
      <c r="P76" s="64">
        <f ca="1">IFERROR(__xludf.DUMMYFUNCTION("IMPORTRANGE(""https://docs.google.com/spreadsheets/d/1FbzMZY_f3MDiEuK7RpCQKrilJ_kpX0Wm7QBZ1L7EjIU/edit?usp=sharing"",""ชุมพร!N428"")"),0)</f>
        <v>0</v>
      </c>
      <c r="Q76" s="62">
        <f ca="1">IFERROR(__xludf.DUMMYFUNCTION("IMPORTRANGE(""https://docs.google.com/spreadsheets/d/1FbzMZY_f3MDiEuK7RpCQKrilJ_kpX0Wm7QBZ1L7EjIU/edit?usp=sharing"",""ชุมพร!N431"")"),0)</f>
        <v>0</v>
      </c>
      <c r="R76" s="62">
        <f t="shared" ca="1" si="36"/>
        <v>0</v>
      </c>
      <c r="S76" s="57">
        <f ca="1">IFERROR(__xludf.DUMMYFUNCTION("IMPORTRANGE(""https://docs.google.com/spreadsheets/d/1FbzMZY_f3MDiEuK7RpCQKrilJ_kpX0Wm7QBZ1L7EjIU/edit?usp=sharing"",""ชุมพร!I433"")"),20)</f>
        <v>20</v>
      </c>
      <c r="T76" s="57">
        <f ca="1">IFERROR(__xludf.DUMMYFUNCTION("IMPORTRANGE(""https://docs.google.com/spreadsheets/d/1FbzMZY_f3MDiEuK7RpCQKrilJ_kpX0Wm7QBZ1L7EjIU/edit?usp=sharing"",""ชุมพร!I434"")"),1)</f>
        <v>1</v>
      </c>
      <c r="U76" s="57">
        <f ca="1">IFERROR(__xludf.DUMMYFUNCTION("IMPORTRANGE(""https://docs.google.com/spreadsheets/d/1FbzMZY_f3MDiEuK7RpCQKrilJ_kpX0Wm7QBZ1L7EjIU/edit?usp=sharing"",""ชุมพร!J433"")"),20)</f>
        <v>20</v>
      </c>
      <c r="V76" s="63">
        <f t="shared" ca="1" si="27"/>
        <v>100</v>
      </c>
      <c r="W76" s="57">
        <f ca="1">IFERROR(__xludf.DUMMYFUNCTION("IMPORTRANGE(""https://docs.google.com/spreadsheets/d/1FbzMZY_f3MDiEuK7RpCQKrilJ_kpX0Wm7QBZ1L7EjIU/edit?usp=sharing"",""ชุมพร!J434"")"),1)</f>
        <v>1</v>
      </c>
      <c r="X76" s="63">
        <f t="shared" ca="1" si="7"/>
        <v>100</v>
      </c>
      <c r="Y76" s="57">
        <f ca="1">IFERROR(__xludf.DUMMYFUNCTION("IMPORTRANGE(""https://docs.google.com/spreadsheets/d/1FbzMZY_f3MDiEuK7RpCQKrilJ_kpX0Wm7QBZ1L7EjIU/edit?usp=sharing"",""ชุมพร!I435"")"),20)</f>
        <v>20</v>
      </c>
      <c r="Z76" s="57">
        <f ca="1">IFERROR(__xludf.DUMMYFUNCTION("IMPORTRANGE(""https://docs.google.com/spreadsheets/d/1FbzMZY_f3MDiEuK7RpCQKrilJ_kpX0Wm7QBZ1L7EjIU/edit?usp=sharing"",""ชุมพร!J435"")"),20)</f>
        <v>20</v>
      </c>
      <c r="AA76" s="63">
        <f t="shared" ca="1" si="28"/>
        <v>100</v>
      </c>
      <c r="AB76" s="57">
        <f ca="1">IFERROR(__xludf.DUMMYFUNCTION("IMPORTRANGE(""https://docs.google.com/spreadsheets/d/1FbzMZY_f3MDiEuK7RpCQKrilJ_kpX0Wm7QBZ1L7EjIU/edit?usp=sharing"",""ชุมพร!I437"")"),0)</f>
        <v>0</v>
      </c>
      <c r="AC76" s="57">
        <f ca="1">IFERROR(__xludf.DUMMYFUNCTION("IMPORTRANGE(""https://docs.google.com/spreadsheets/d/1FbzMZY_f3MDiEuK7RpCQKrilJ_kpX0Wm7QBZ1L7EjIU/edit?usp=sharing"",""ชุมพร!I438"")"),0)</f>
        <v>0</v>
      </c>
      <c r="AD76" s="57">
        <f ca="1">IFERROR(__xludf.DUMMYFUNCTION("IMPORTRANGE(""https://docs.google.com/spreadsheets/d/1FbzMZY_f3MDiEuK7RpCQKrilJ_kpX0Wm7QBZ1L7EjIU/edit?usp=sharing"",""ชุมพร!J437"")"),0)</f>
        <v>0</v>
      </c>
      <c r="AE76" s="63">
        <f t="shared" ca="1" si="29"/>
        <v>0</v>
      </c>
      <c r="AF76" s="57">
        <f ca="1">IFERROR(__xludf.DUMMYFUNCTION("IMPORTRANGE(""https://docs.google.com/spreadsheets/d/1FbzMZY_f3MDiEuK7RpCQKrilJ_kpX0Wm7QBZ1L7EjIU/edit?usp=sharing"",""ชุมพร!J438"")"),0)</f>
        <v>0</v>
      </c>
      <c r="AG76" s="63">
        <f t="shared" ca="1" si="12"/>
        <v>0</v>
      </c>
      <c r="AH76" s="57">
        <f ca="1">IFERROR(__xludf.DUMMYFUNCTION("IMPORTRANGE(""https://docs.google.com/spreadsheets/d/1FbzMZY_f3MDiEuK7RpCQKrilJ_kpX0Wm7QBZ1L7EjIU/edit?usp=sharing"",""ชุมพร!I439"")"),20)</f>
        <v>20</v>
      </c>
      <c r="AI76" s="57">
        <f ca="1">IFERROR(__xludf.DUMMYFUNCTION("IMPORTRANGE(""https://docs.google.com/spreadsheets/d/1FbzMZY_f3MDiEuK7RpCQKrilJ_kpX0Wm7QBZ1L7EjIU/edit?usp=sharing"",""ชุมพร!I440"")"),1)</f>
        <v>1</v>
      </c>
      <c r="AJ76" s="57">
        <f ca="1">IFERROR(__xludf.DUMMYFUNCTION("IMPORTRANGE(""https://docs.google.com/spreadsheets/d/1FbzMZY_f3MDiEuK7RpCQKrilJ_kpX0Wm7QBZ1L7EjIU/edit?usp=sharing"",""ชุมพร!J439"")"),20)</f>
        <v>20</v>
      </c>
      <c r="AK76" s="63">
        <f t="shared" ca="1" si="30"/>
        <v>100</v>
      </c>
      <c r="AL76" s="57">
        <f ca="1">IFERROR(__xludf.DUMMYFUNCTION("IMPORTRANGE(""https://docs.google.com/spreadsheets/d/1FbzMZY_f3MDiEuK7RpCQKrilJ_kpX0Wm7QBZ1L7EjIU/edit?usp=sharing"",""ชุมพร!J440"")"),1)</f>
        <v>1</v>
      </c>
      <c r="AM76" s="63">
        <f t="shared" ca="1" si="15"/>
        <v>100</v>
      </c>
      <c r="AN76" s="57">
        <f ca="1">IFERROR(__xludf.DUMMYFUNCTION("IMPORTRANGE(""https://docs.google.com/spreadsheets/d/1FbzMZY_f3MDiEuK7RpCQKrilJ_kpX0Wm7QBZ1L7EjIU/edit?usp=sharing"",""ชุมพร!I441"")"),0)</f>
        <v>0</v>
      </c>
      <c r="AO76" s="57">
        <f ca="1">IFERROR(__xludf.DUMMYFUNCTION("IMPORTRANGE(""https://docs.google.com/spreadsheets/d/1FbzMZY_f3MDiEuK7RpCQKrilJ_kpX0Wm7QBZ1L7EjIU/edit?usp=sharing"",""ชุมพร!J441"")"),0)</f>
        <v>0</v>
      </c>
      <c r="AP76" s="63">
        <f t="shared" ca="1" si="31"/>
        <v>0</v>
      </c>
    </row>
    <row r="77" spans="1:42" ht="21" customHeight="1" x14ac:dyDescent="0.3">
      <c r="A77" s="54">
        <v>3</v>
      </c>
      <c r="B77" s="55" t="s">
        <v>98</v>
      </c>
      <c r="C77" s="56">
        <f t="shared" ca="1" si="69"/>
        <v>66560</v>
      </c>
      <c r="D77" s="57">
        <f ca="1">IFERROR(__xludf.DUMMYFUNCTION("IMPORTRANGE(""https://docs.google.com/spreadsheets/d/1v5sN-00LrXuhBxw4dkh2GrG_z4l5oAqOdJRBCsUyMaM/edit?usp=sharing"",""ตรัง!L424"")"),66560)</f>
        <v>66560</v>
      </c>
      <c r="E77" s="64">
        <f ca="1">IFERROR(__xludf.DUMMYFUNCTION("IMPORTRANGE(""https://docs.google.com/spreadsheets/d/1v5sN-00LrXuhBxw4dkh2GrG_z4l5oAqOdJRBCsUyMaM/edit?usp=sharing"",""ตรัง!L431"")"),0)</f>
        <v>0</v>
      </c>
      <c r="F77" s="64">
        <f ca="1">IFERROR(__xludf.DUMMYFUNCTION("IMPORTRANGE(""https://docs.google.com/spreadsheets/d/1v5sN-00LrXuhBxw4dkh2GrG_z4l5oAqOdJRBCsUyMaM/edit?usp=sharing"",""ตรัง!M424"")"),66560)</f>
        <v>66560</v>
      </c>
      <c r="G77" s="64">
        <f ca="1">IFERROR(__xludf.DUMMYFUNCTION("IMPORTRANGE(""https://docs.google.com/spreadsheets/d/1v5sN-00LrXuhBxw4dkh2GrG_z4l5oAqOdJRBCsUyMaM/edit?usp=sharing"",""ตรัง!M431"")"),0)</f>
        <v>0</v>
      </c>
      <c r="H77" s="58">
        <f t="shared" ca="1" si="26"/>
        <v>50881.59</v>
      </c>
      <c r="I77" s="59">
        <f t="shared" ca="1" si="1"/>
        <v>76.444696514423072</v>
      </c>
      <c r="J77" s="60">
        <f t="shared" ca="1" si="70"/>
        <v>50881.59</v>
      </c>
      <c r="K77" s="61">
        <f t="shared" ca="1" si="33"/>
        <v>76.444696514423072</v>
      </c>
      <c r="L77" s="60">
        <f t="shared" ca="1" si="34"/>
        <v>76.444696514423072</v>
      </c>
      <c r="M77" s="64">
        <f ca="1">IFERROR(__xludf.DUMMYFUNCTION("IMPORTRANGE(""https://docs.google.com/spreadsheets/d/1v5sN-00LrXuhBxw4dkh2GrG_z4l5oAqOdJRBCsUyMaM/edit?usp=sharing"",""ตรัง!N425"")"),36300)</f>
        <v>36300</v>
      </c>
      <c r="N77" s="64">
        <f ca="1">IFERROR(__xludf.DUMMYFUNCTION("IMPORTRANGE(""https://docs.google.com/spreadsheets/d/1v5sN-00LrXuhBxw4dkh2GrG_z4l5oAqOdJRBCsUyMaM/edit?usp=sharing"",""ตรัง!N426"")"),0)</f>
        <v>0</v>
      </c>
      <c r="O77" s="64">
        <f ca="1">IFERROR(__xludf.DUMMYFUNCTION("IMPORTRANGE(""https://docs.google.com/spreadsheets/d/1v5sN-00LrXuhBxw4dkh2GrG_z4l5oAqOdJRBCsUyMaM/edit?usp=sharing"",""ตรัง!N427"")"),0)</f>
        <v>0</v>
      </c>
      <c r="P77" s="64">
        <f ca="1">IFERROR(__xludf.DUMMYFUNCTION("IMPORTRANGE(""https://docs.google.com/spreadsheets/d/1v5sN-00LrXuhBxw4dkh2GrG_z4l5oAqOdJRBCsUyMaM/edit?usp=sharing"",""ตรัง!N428"")"),14581.59)</f>
        <v>14581.59</v>
      </c>
      <c r="Q77" s="62">
        <f ca="1">IFERROR(__xludf.DUMMYFUNCTION("IMPORTRANGE(""https://docs.google.com/spreadsheets/d/1v5sN-00LrXuhBxw4dkh2GrG_z4l5oAqOdJRBCsUyMaM/edit?usp=sharing"",""ตรัง!N431"")"),0)</f>
        <v>0</v>
      </c>
      <c r="R77" s="62">
        <f t="shared" ca="1" si="36"/>
        <v>0</v>
      </c>
      <c r="S77" s="57">
        <f ca="1">IFERROR(__xludf.DUMMYFUNCTION("IMPORTRANGE(""https://docs.google.com/spreadsheets/d/1v5sN-00LrXuhBxw4dkh2GrG_z4l5oAqOdJRBCsUyMaM/edit?usp=sharing"",""ตรัง!I433"")"),15)</f>
        <v>15</v>
      </c>
      <c r="T77" s="57">
        <f ca="1">IFERROR(__xludf.DUMMYFUNCTION("IMPORTRANGE(""https://docs.google.com/spreadsheets/d/1v5sN-00LrXuhBxw4dkh2GrG_z4l5oAqOdJRBCsUyMaM/edit?usp=sharing"",""ตรัง!I434"")"),1)</f>
        <v>1</v>
      </c>
      <c r="U77" s="57">
        <f ca="1">IFERROR(__xludf.DUMMYFUNCTION("IMPORTRANGE(""https://docs.google.com/spreadsheets/d/1v5sN-00LrXuhBxw4dkh2GrG_z4l5oAqOdJRBCsUyMaM/edit?usp=sharing"",""ตรัง!J433"")"),15)</f>
        <v>15</v>
      </c>
      <c r="V77" s="63">
        <f t="shared" ca="1" si="27"/>
        <v>100</v>
      </c>
      <c r="W77" s="57">
        <f ca="1">IFERROR(__xludf.DUMMYFUNCTION("IMPORTRANGE(""https://docs.google.com/spreadsheets/d/1v5sN-00LrXuhBxw4dkh2GrG_z4l5oAqOdJRBCsUyMaM/edit?usp=sharing"",""ตรัง!J434"")"),1)</f>
        <v>1</v>
      </c>
      <c r="X77" s="63">
        <f t="shared" ca="1" si="7"/>
        <v>100</v>
      </c>
      <c r="Y77" s="57">
        <f ca="1">IFERROR(__xludf.DUMMYFUNCTION("IMPORTRANGE(""https://docs.google.com/spreadsheets/d/1v5sN-00LrXuhBxw4dkh2GrG_z4l5oAqOdJRBCsUyMaM/edit?usp=sharing"",""ตรัง!I435"")"),15)</f>
        <v>15</v>
      </c>
      <c r="Z77" s="57">
        <f ca="1">IFERROR(__xludf.DUMMYFUNCTION("IMPORTRANGE(""https://docs.google.com/spreadsheets/d/1v5sN-00LrXuhBxw4dkh2GrG_z4l5oAqOdJRBCsUyMaM/edit?usp=sharing"",""ตรัง!J435"")"),15)</f>
        <v>15</v>
      </c>
      <c r="AA77" s="63">
        <f t="shared" ca="1" si="28"/>
        <v>100</v>
      </c>
      <c r="AB77" s="57">
        <f ca="1">IFERROR(__xludf.DUMMYFUNCTION("IMPORTRANGE(""https://docs.google.com/spreadsheets/d/1v5sN-00LrXuhBxw4dkh2GrG_z4l5oAqOdJRBCsUyMaM/edit?usp=sharing"",""ตรัง!I437"")"),0)</f>
        <v>0</v>
      </c>
      <c r="AC77" s="57">
        <f ca="1">IFERROR(__xludf.DUMMYFUNCTION("IMPORTRANGE(""https://docs.google.com/spreadsheets/d/1v5sN-00LrXuhBxw4dkh2GrG_z4l5oAqOdJRBCsUyMaM/edit?usp=sharing"",""ตรัง!I438"")"),0)</f>
        <v>0</v>
      </c>
      <c r="AD77" s="57">
        <f ca="1">IFERROR(__xludf.DUMMYFUNCTION("IMPORTRANGE(""https://docs.google.com/spreadsheets/d/1v5sN-00LrXuhBxw4dkh2GrG_z4l5oAqOdJRBCsUyMaM/edit?usp=sharing"",""ตรัง!J437"")"),0)</f>
        <v>0</v>
      </c>
      <c r="AE77" s="63">
        <f t="shared" ca="1" si="29"/>
        <v>0</v>
      </c>
      <c r="AF77" s="57">
        <f ca="1">IFERROR(__xludf.DUMMYFUNCTION("IMPORTRANGE(""https://docs.google.com/spreadsheets/d/1v5sN-00LrXuhBxw4dkh2GrG_z4l5oAqOdJRBCsUyMaM/edit?usp=sharing"",""ตรัง!J438"")"),0)</f>
        <v>0</v>
      </c>
      <c r="AG77" s="63">
        <f t="shared" ca="1" si="12"/>
        <v>0</v>
      </c>
      <c r="AH77" s="57">
        <f ca="1">IFERROR(__xludf.DUMMYFUNCTION("IMPORTRANGE(""https://docs.google.com/spreadsheets/d/1v5sN-00LrXuhBxw4dkh2GrG_z4l5oAqOdJRBCsUyMaM/edit?usp=sharing"",""ตรัง!I439"")"),15)</f>
        <v>15</v>
      </c>
      <c r="AI77" s="57">
        <f ca="1">IFERROR(__xludf.DUMMYFUNCTION("IMPORTRANGE(""https://docs.google.com/spreadsheets/d/1v5sN-00LrXuhBxw4dkh2GrG_z4l5oAqOdJRBCsUyMaM/edit?usp=sharing"",""ตรัง!I440"")"),1)</f>
        <v>1</v>
      </c>
      <c r="AJ77" s="57">
        <f ca="1">IFERROR(__xludf.DUMMYFUNCTION("IMPORTRANGE(""https://docs.google.com/spreadsheets/d/1v5sN-00LrXuhBxw4dkh2GrG_z4l5oAqOdJRBCsUyMaM/edit?usp=sharing"",""ตรัง!J439"")"),15)</f>
        <v>15</v>
      </c>
      <c r="AK77" s="63">
        <f t="shared" ca="1" si="30"/>
        <v>100</v>
      </c>
      <c r="AL77" s="57">
        <f ca="1">IFERROR(__xludf.DUMMYFUNCTION("IMPORTRANGE(""https://docs.google.com/spreadsheets/d/1v5sN-00LrXuhBxw4dkh2GrG_z4l5oAqOdJRBCsUyMaM/edit?usp=sharing"",""ตรัง!J440"")"),1)</f>
        <v>1</v>
      </c>
      <c r="AM77" s="63">
        <f t="shared" ca="1" si="15"/>
        <v>100</v>
      </c>
      <c r="AN77" s="57">
        <f ca="1">IFERROR(__xludf.DUMMYFUNCTION("IMPORTRANGE(""https://docs.google.com/spreadsheets/d/1v5sN-00LrXuhBxw4dkh2GrG_z4l5oAqOdJRBCsUyMaM/edit?usp=sharing"",""ตรัง!I441"")"),0)</f>
        <v>0</v>
      </c>
      <c r="AO77" s="57">
        <f ca="1">IFERROR(__xludf.DUMMYFUNCTION("IMPORTRANGE(""https://docs.google.com/spreadsheets/d/1v5sN-00LrXuhBxw4dkh2GrG_z4l5oAqOdJRBCsUyMaM/edit?usp=sharing"",""ตรัง!J441"")"),0)</f>
        <v>0</v>
      </c>
      <c r="AP77" s="63">
        <f t="shared" ca="1" si="31"/>
        <v>0</v>
      </c>
    </row>
    <row r="78" spans="1:42" ht="21" customHeight="1" x14ac:dyDescent="0.3">
      <c r="A78" s="54">
        <v>4</v>
      </c>
      <c r="B78" s="55" t="s">
        <v>99</v>
      </c>
      <c r="C78" s="56">
        <f t="shared" ca="1" si="69"/>
        <v>78660</v>
      </c>
      <c r="D78" s="57">
        <f ca="1">IFERROR(__xludf.DUMMYFUNCTION("IMPORTRANGE(""https://docs.google.com/spreadsheets/d/1T5rRTzFc79aSIvqnzkZNvwPstq829QYz_xALlO1Z0s8/edit?usp=sharing"",""นครศรีธรรมราช!L424"")"),78660)</f>
        <v>78660</v>
      </c>
      <c r="E78" s="64">
        <f ca="1">IFERROR(__xludf.DUMMYFUNCTION("IMPORTRANGE(""https://docs.google.com/spreadsheets/d/1T5rRTzFc79aSIvqnzkZNvwPstq829QYz_xALlO1Z0s8/edit?usp=sharing"",""นครศรีธรรมราช!L431"")"),0)</f>
        <v>0</v>
      </c>
      <c r="F78" s="64">
        <f ca="1">IFERROR(__xludf.DUMMYFUNCTION("IMPORTRANGE(""https://docs.google.com/spreadsheets/d/1T5rRTzFc79aSIvqnzkZNvwPstq829QYz_xALlO1Z0s8/edit?usp=sharing"",""นครศรีธรรมราช!M424"")"),78660)</f>
        <v>78660</v>
      </c>
      <c r="G78" s="64">
        <f ca="1">IFERROR(__xludf.DUMMYFUNCTION("IMPORTRANGE(""https://docs.google.com/spreadsheets/d/1T5rRTzFc79aSIvqnzkZNvwPstq829QYz_xALlO1Z0s8/edit?usp=sharing"",""นครศรีธรรมราช!M431"")"),0)</f>
        <v>0</v>
      </c>
      <c r="H78" s="58">
        <f t="shared" ca="1" si="26"/>
        <v>27815</v>
      </c>
      <c r="I78" s="59">
        <f t="shared" ca="1" si="1"/>
        <v>35.36104754640224</v>
      </c>
      <c r="J78" s="60">
        <f t="shared" ca="1" si="70"/>
        <v>27815</v>
      </c>
      <c r="K78" s="61">
        <f t="shared" ca="1" si="33"/>
        <v>35.36104754640224</v>
      </c>
      <c r="L78" s="60">
        <f t="shared" ca="1" si="34"/>
        <v>35.36104754640224</v>
      </c>
      <c r="M78" s="64">
        <f ca="1">IFERROR(__xludf.DUMMYFUNCTION("IMPORTRANGE(""https://docs.google.com/spreadsheets/d/1T5rRTzFc79aSIvqnzkZNvwPstq829QYz_xALlO1Z0s8/edit?usp=sharing"",""นครศรีธรรมราช!N425"")"),23080)</f>
        <v>23080</v>
      </c>
      <c r="N78" s="64">
        <f ca="1">IFERROR(__xludf.DUMMYFUNCTION("IMPORTRANGE(""https://docs.google.com/spreadsheets/d/1T5rRTzFc79aSIvqnzkZNvwPstq829QYz_xALlO1Z0s8/edit?usp=sharing"",""นครศรีธรรมราช!N426"")"),0)</f>
        <v>0</v>
      </c>
      <c r="O78" s="64">
        <f ca="1">IFERROR(__xludf.DUMMYFUNCTION("IMPORTRANGE(""https://docs.google.com/spreadsheets/d/1T5rRTzFc79aSIvqnzkZNvwPstq829QYz_xALlO1Z0s8/edit?usp=sharing"",""นครศรีธรรมราช!N427"")"),0)</f>
        <v>0</v>
      </c>
      <c r="P78" s="64">
        <f ca="1">IFERROR(__xludf.DUMMYFUNCTION("IMPORTRANGE(""https://docs.google.com/spreadsheets/d/1T5rRTzFc79aSIvqnzkZNvwPstq829QYz_xALlO1Z0s8/edit?usp=sharing"",""นครศรีธรรมราช!N428"")"),4735)</f>
        <v>4735</v>
      </c>
      <c r="Q78" s="62">
        <f ca="1">IFERROR(__xludf.DUMMYFUNCTION("IMPORTRANGE(""https://docs.google.com/spreadsheets/d/1T5rRTzFc79aSIvqnzkZNvwPstq829QYz_xALlO1Z0s8/edit?usp=sharing"",""นครศรีธรรมราช!N431"")"),0)</f>
        <v>0</v>
      </c>
      <c r="R78" s="62">
        <f t="shared" ca="1" si="36"/>
        <v>0</v>
      </c>
      <c r="S78" s="57">
        <f ca="1">IFERROR(__xludf.DUMMYFUNCTION("IMPORTRANGE(""https://docs.google.com/spreadsheets/d/1T5rRTzFc79aSIvqnzkZNvwPstq829QYz_xALlO1Z0s8/edit?usp=sharing"",""นครศรีธรรมราช!I433"")"),20)</f>
        <v>20</v>
      </c>
      <c r="T78" s="57">
        <f ca="1">IFERROR(__xludf.DUMMYFUNCTION("IMPORTRANGE(""https://docs.google.com/spreadsheets/d/1T5rRTzFc79aSIvqnzkZNvwPstq829QYz_xALlO1Z0s8/edit?usp=sharing"",""นครศรีธรรมราช!I434"")"),1)</f>
        <v>1</v>
      </c>
      <c r="U78" s="57">
        <f ca="1">IFERROR(__xludf.DUMMYFUNCTION("IMPORTRANGE(""https://docs.google.com/spreadsheets/d/1T5rRTzFc79aSIvqnzkZNvwPstq829QYz_xALlO1Z0s8/edit?usp=sharing"",""นครศรีธรรมราช!J433"")"),20)</f>
        <v>20</v>
      </c>
      <c r="V78" s="63">
        <f t="shared" ca="1" si="27"/>
        <v>100</v>
      </c>
      <c r="W78" s="57">
        <f ca="1">IFERROR(__xludf.DUMMYFUNCTION("IMPORTRANGE(""https://docs.google.com/spreadsheets/d/1T5rRTzFc79aSIvqnzkZNvwPstq829QYz_xALlO1Z0s8/edit?usp=sharing"",""นครศรีธรรมราช!J434"")"),1)</f>
        <v>1</v>
      </c>
      <c r="X78" s="63">
        <f t="shared" ca="1" si="7"/>
        <v>100</v>
      </c>
      <c r="Y78" s="57">
        <f ca="1">IFERROR(__xludf.DUMMYFUNCTION("IMPORTRANGE(""https://docs.google.com/spreadsheets/d/1T5rRTzFc79aSIvqnzkZNvwPstq829QYz_xALlO1Z0s8/edit?usp=sharing"",""นครศรีธรรมราช!I435"")"),20)</f>
        <v>20</v>
      </c>
      <c r="Z78" s="57">
        <f ca="1">IFERROR(__xludf.DUMMYFUNCTION("IMPORTRANGE(""https://docs.google.com/spreadsheets/d/1T5rRTzFc79aSIvqnzkZNvwPstq829QYz_xALlO1Z0s8/edit?usp=sharing"",""นครศรีธรรมราช!J435"")"),20)</f>
        <v>20</v>
      </c>
      <c r="AA78" s="63">
        <f t="shared" ca="1" si="28"/>
        <v>100</v>
      </c>
      <c r="AB78" s="57">
        <f ca="1">IFERROR(__xludf.DUMMYFUNCTION("IMPORTRANGE(""https://docs.google.com/spreadsheets/d/1T5rRTzFc79aSIvqnzkZNvwPstq829QYz_xALlO1Z0s8/edit?usp=sharing"",""นครศรีธรรมราช!I437"")"),0)</f>
        <v>0</v>
      </c>
      <c r="AC78" s="57">
        <f ca="1">IFERROR(__xludf.DUMMYFUNCTION("IMPORTRANGE(""https://docs.google.com/spreadsheets/d/1T5rRTzFc79aSIvqnzkZNvwPstq829QYz_xALlO1Z0s8/edit?usp=sharing"",""นครศรีธรรมราช!I438"")"),0)</f>
        <v>0</v>
      </c>
      <c r="AD78" s="57">
        <f ca="1">IFERROR(__xludf.DUMMYFUNCTION("IMPORTRANGE(""https://docs.google.com/spreadsheets/d/1T5rRTzFc79aSIvqnzkZNvwPstq829QYz_xALlO1Z0s8/edit?usp=sharing"",""นครศรีธรรมราช!J437"")"),0)</f>
        <v>0</v>
      </c>
      <c r="AE78" s="63">
        <f t="shared" ca="1" si="29"/>
        <v>0</v>
      </c>
      <c r="AF78" s="57">
        <f ca="1">IFERROR(__xludf.DUMMYFUNCTION("IMPORTRANGE(""https://docs.google.com/spreadsheets/d/1T5rRTzFc79aSIvqnzkZNvwPstq829QYz_xALlO1Z0s8/edit?usp=sharing"",""นครศรีธรรมราช!J438"")"),0)</f>
        <v>0</v>
      </c>
      <c r="AG78" s="63">
        <f t="shared" ca="1" si="12"/>
        <v>0</v>
      </c>
      <c r="AH78" s="57">
        <f ca="1">IFERROR(__xludf.DUMMYFUNCTION("IMPORTRANGE(""https://docs.google.com/spreadsheets/d/1T5rRTzFc79aSIvqnzkZNvwPstq829QYz_xALlO1Z0s8/edit?usp=sharing"",""นครศรีธรรมราช!I439"")"),20)</f>
        <v>20</v>
      </c>
      <c r="AI78" s="57">
        <f ca="1">IFERROR(__xludf.DUMMYFUNCTION("IMPORTRANGE(""https://docs.google.com/spreadsheets/d/1T5rRTzFc79aSIvqnzkZNvwPstq829QYz_xALlO1Z0s8/edit?usp=sharing"",""นครศรีธรรมราช!I440"")"),1)</f>
        <v>1</v>
      </c>
      <c r="AJ78" s="57">
        <f ca="1">IFERROR(__xludf.DUMMYFUNCTION("IMPORTRANGE(""https://docs.google.com/spreadsheets/d/1T5rRTzFc79aSIvqnzkZNvwPstq829QYz_xALlO1Z0s8/edit?usp=sharing"",""นครศรีธรรมราช!J439"")"),20)</f>
        <v>20</v>
      </c>
      <c r="AK78" s="63">
        <f t="shared" ca="1" si="30"/>
        <v>100</v>
      </c>
      <c r="AL78" s="57">
        <f ca="1">IFERROR(__xludf.DUMMYFUNCTION("IMPORTRANGE(""https://docs.google.com/spreadsheets/d/1T5rRTzFc79aSIvqnzkZNvwPstq829QYz_xALlO1Z0s8/edit?usp=sharing"",""นครศรีธรรมราช!J440"")"),1)</f>
        <v>1</v>
      </c>
      <c r="AM78" s="63">
        <f t="shared" ca="1" si="15"/>
        <v>100</v>
      </c>
      <c r="AN78" s="57">
        <f ca="1">IFERROR(__xludf.DUMMYFUNCTION("IMPORTRANGE(""https://docs.google.com/spreadsheets/d/1T5rRTzFc79aSIvqnzkZNvwPstq829QYz_xALlO1Z0s8/edit?usp=sharing"",""นครศรีธรรมราช!I441"")"),0)</f>
        <v>0</v>
      </c>
      <c r="AO78" s="57">
        <f ca="1">IFERROR(__xludf.DUMMYFUNCTION("IMPORTRANGE(""https://docs.google.com/spreadsheets/d/1T5rRTzFc79aSIvqnzkZNvwPstq829QYz_xALlO1Z0s8/edit?usp=sharing"",""นครศรีธรรมราช!J441"")"),0)</f>
        <v>0</v>
      </c>
      <c r="AP78" s="63">
        <f t="shared" ca="1" si="31"/>
        <v>0</v>
      </c>
    </row>
    <row r="79" spans="1:42" ht="21" customHeight="1" x14ac:dyDescent="0.3">
      <c r="A79" s="54">
        <v>5</v>
      </c>
      <c r="B79" s="55" t="s">
        <v>100</v>
      </c>
      <c r="C79" s="56">
        <f t="shared" ca="1" si="69"/>
        <v>98660</v>
      </c>
      <c r="D79" s="57">
        <f ca="1">IFERROR(__xludf.DUMMYFUNCTION("IMPORTRANGE(""https://docs.google.com/spreadsheets/d/1BeghqumK0IvCmRd2QOy6_afsZq7ZtAGrSnVJy2u7WmY/edit?usp=sharing"",""นราธิวาส!L424"")"),98660)</f>
        <v>98660</v>
      </c>
      <c r="E79" s="64">
        <f ca="1">IFERROR(__xludf.DUMMYFUNCTION("IMPORTRANGE(""https://docs.google.com/spreadsheets/d/1BeghqumK0IvCmRd2QOy6_afsZq7ZtAGrSnVJy2u7WmY/edit?usp=sharing"",""นราธิวาส!L431"")"),0)</f>
        <v>0</v>
      </c>
      <c r="F79" s="64">
        <f ca="1">IFERROR(__xludf.DUMMYFUNCTION("IMPORTRANGE(""https://docs.google.com/spreadsheets/d/1BeghqumK0IvCmRd2QOy6_afsZq7ZtAGrSnVJy2u7WmY/edit?usp=sharing"",""นราธิวาส!M424"")"),93050)</f>
        <v>93050</v>
      </c>
      <c r="G79" s="64">
        <f ca="1">IFERROR(__xludf.DUMMYFUNCTION("IMPORTRANGE(""https://docs.google.com/spreadsheets/d/1BeghqumK0IvCmRd2QOy6_afsZq7ZtAGrSnVJy2u7WmY/edit?usp=sharing"",""นราธิวาส!M431"")"),0)</f>
        <v>0</v>
      </c>
      <c r="H79" s="58">
        <f t="shared" ca="1" si="26"/>
        <v>64600</v>
      </c>
      <c r="I79" s="59">
        <f t="shared" ca="1" si="1"/>
        <v>65.477397121427117</v>
      </c>
      <c r="J79" s="60">
        <f t="shared" ca="1" si="70"/>
        <v>64600</v>
      </c>
      <c r="K79" s="61">
        <f t="shared" ca="1" si="33"/>
        <v>65.477397121427117</v>
      </c>
      <c r="L79" s="60">
        <f t="shared" ca="1" si="34"/>
        <v>69.425040300913494</v>
      </c>
      <c r="M79" s="64">
        <f ca="1">IFERROR(__xludf.DUMMYFUNCTION("IMPORTRANGE(""https://docs.google.com/spreadsheets/d/1BeghqumK0IvCmRd2QOy6_afsZq7ZtAGrSnVJy2u7WmY/edit?usp=sharing"",""นราธิวาส!N425"")"),25680)</f>
        <v>25680</v>
      </c>
      <c r="N79" s="64">
        <f ca="1">IFERROR(__xludf.DUMMYFUNCTION("IMPORTRANGE(""https://docs.google.com/spreadsheets/d/1BeghqumK0IvCmRd2QOy6_afsZq7ZtAGrSnVJy2u7WmY/edit?usp=sharing"",""นราธิวาส!N426"")"),0)</f>
        <v>0</v>
      </c>
      <c r="O79" s="64">
        <f ca="1">IFERROR(__xludf.DUMMYFUNCTION("IMPORTRANGE(""https://docs.google.com/spreadsheets/d/1BeghqumK0IvCmRd2QOy6_afsZq7ZtAGrSnVJy2u7WmY/edit?usp=sharing"",""นราธิวาส!N427"")"),0)</f>
        <v>0</v>
      </c>
      <c r="P79" s="64">
        <f ca="1">IFERROR(__xludf.DUMMYFUNCTION("IMPORTRANGE(""https://docs.google.com/spreadsheets/d/1BeghqumK0IvCmRd2QOy6_afsZq7ZtAGrSnVJy2u7WmY/edit?usp=sharing"",""นราธิวาส!N428"")"),38920)</f>
        <v>38920</v>
      </c>
      <c r="Q79" s="62">
        <f ca="1">IFERROR(__xludf.DUMMYFUNCTION("IMPORTRANGE(""https://docs.google.com/spreadsheets/d/1BeghqumK0IvCmRd2QOy6_afsZq7ZtAGrSnVJy2u7WmY/edit?usp=sharing"",""นราธิวาส!N431"")"),0)</f>
        <v>0</v>
      </c>
      <c r="R79" s="62">
        <f t="shared" ca="1" si="36"/>
        <v>0</v>
      </c>
      <c r="S79" s="57">
        <f ca="1">IFERROR(__xludf.DUMMYFUNCTION("IMPORTRANGE(""https://docs.google.com/spreadsheets/d/1BeghqumK0IvCmRd2QOy6_afsZq7ZtAGrSnVJy2u7WmY/edit?usp=sharing"",""นราธิวาส!I433"")"),15)</f>
        <v>15</v>
      </c>
      <c r="T79" s="57">
        <f ca="1">IFERROR(__xludf.DUMMYFUNCTION("IMPORTRANGE(""https://docs.google.com/spreadsheets/d/1BeghqumK0IvCmRd2QOy6_afsZq7ZtAGrSnVJy2u7WmY/edit?usp=sharing"",""นราธิวาส!I434"")"),1)</f>
        <v>1</v>
      </c>
      <c r="U79" s="57">
        <f ca="1">IFERROR(__xludf.DUMMYFUNCTION("IMPORTRANGE(""https://docs.google.com/spreadsheets/d/1BeghqumK0IvCmRd2QOy6_afsZq7ZtAGrSnVJy2u7WmY/edit?usp=sharing"",""นราธิวาส!J433"")"),15)</f>
        <v>15</v>
      </c>
      <c r="V79" s="63">
        <f t="shared" ca="1" si="27"/>
        <v>100</v>
      </c>
      <c r="W79" s="57">
        <f ca="1">IFERROR(__xludf.DUMMYFUNCTION("IMPORTRANGE(""https://docs.google.com/spreadsheets/d/1BeghqumK0IvCmRd2QOy6_afsZq7ZtAGrSnVJy2u7WmY/edit?usp=sharing"",""นราธิวาส!J434"")"),1)</f>
        <v>1</v>
      </c>
      <c r="X79" s="63">
        <f t="shared" ca="1" si="7"/>
        <v>100</v>
      </c>
      <c r="Y79" s="57">
        <f ca="1">IFERROR(__xludf.DUMMYFUNCTION("IMPORTRANGE(""https://docs.google.com/spreadsheets/d/1BeghqumK0IvCmRd2QOy6_afsZq7ZtAGrSnVJy2u7WmY/edit?usp=sharing"",""นราธิวาส!I435"")"),15)</f>
        <v>15</v>
      </c>
      <c r="Z79" s="57">
        <f ca="1">IFERROR(__xludf.DUMMYFUNCTION("IMPORTRANGE(""https://docs.google.com/spreadsheets/d/1BeghqumK0IvCmRd2QOy6_afsZq7ZtAGrSnVJy2u7WmY/edit?usp=sharing"",""นราธิวาส!J435"")"),15)</f>
        <v>15</v>
      </c>
      <c r="AA79" s="63">
        <f t="shared" ca="1" si="28"/>
        <v>100</v>
      </c>
      <c r="AB79" s="57">
        <f ca="1">IFERROR(__xludf.DUMMYFUNCTION("IMPORTRANGE(""https://docs.google.com/spreadsheets/d/1BeghqumK0IvCmRd2QOy6_afsZq7ZtAGrSnVJy2u7WmY/edit?usp=sharing"",""นราธิวาส!I437"")"),0)</f>
        <v>0</v>
      </c>
      <c r="AC79" s="57">
        <f ca="1">IFERROR(__xludf.DUMMYFUNCTION("IMPORTRANGE(""https://docs.google.com/spreadsheets/d/1BeghqumK0IvCmRd2QOy6_afsZq7ZtAGrSnVJy2u7WmY/edit?usp=sharing"",""นราธิวาส!I438"")"),0)</f>
        <v>0</v>
      </c>
      <c r="AD79" s="57">
        <f ca="1">IFERROR(__xludf.DUMMYFUNCTION("IMPORTRANGE(""https://docs.google.com/spreadsheets/d/1BeghqumK0IvCmRd2QOy6_afsZq7ZtAGrSnVJy2u7WmY/edit?usp=sharing"",""นราธิวาส!J437"")"),0)</f>
        <v>0</v>
      </c>
      <c r="AE79" s="63">
        <f t="shared" ca="1" si="29"/>
        <v>0</v>
      </c>
      <c r="AF79" s="57">
        <f ca="1">IFERROR(__xludf.DUMMYFUNCTION("IMPORTRANGE(""https://docs.google.com/spreadsheets/d/1BeghqumK0IvCmRd2QOy6_afsZq7ZtAGrSnVJy2u7WmY/edit?usp=sharing"",""นราธิวาส!J438"")"),0)</f>
        <v>0</v>
      </c>
      <c r="AG79" s="63">
        <f t="shared" ca="1" si="12"/>
        <v>0</v>
      </c>
      <c r="AH79" s="57">
        <f ca="1">IFERROR(__xludf.DUMMYFUNCTION("IMPORTRANGE(""https://docs.google.com/spreadsheets/d/1BeghqumK0IvCmRd2QOy6_afsZq7ZtAGrSnVJy2u7WmY/edit?usp=sharing"",""นราธิวาส!I439"")"),15)</f>
        <v>15</v>
      </c>
      <c r="AI79" s="57">
        <f ca="1">IFERROR(__xludf.DUMMYFUNCTION("IMPORTRANGE(""https://docs.google.com/spreadsheets/d/1BeghqumK0IvCmRd2QOy6_afsZq7ZtAGrSnVJy2u7WmY/edit?usp=sharing"",""นราธิวาส!I440"")"),1)</f>
        <v>1</v>
      </c>
      <c r="AJ79" s="57">
        <f ca="1">IFERROR(__xludf.DUMMYFUNCTION("IMPORTRANGE(""https://docs.google.com/spreadsheets/d/1BeghqumK0IvCmRd2QOy6_afsZq7ZtAGrSnVJy2u7WmY/edit?usp=sharing"",""นราธิวาส!J439"")"),15)</f>
        <v>15</v>
      </c>
      <c r="AK79" s="63">
        <f t="shared" ca="1" si="30"/>
        <v>100</v>
      </c>
      <c r="AL79" s="57">
        <f ca="1">IFERROR(__xludf.DUMMYFUNCTION("IMPORTRANGE(""https://docs.google.com/spreadsheets/d/1BeghqumK0IvCmRd2QOy6_afsZq7ZtAGrSnVJy2u7WmY/edit?usp=sharing"",""นราธิวาส!J440"")"),1)</f>
        <v>1</v>
      </c>
      <c r="AM79" s="63">
        <f t="shared" ca="1" si="15"/>
        <v>100</v>
      </c>
      <c r="AN79" s="57">
        <f ca="1">IFERROR(__xludf.DUMMYFUNCTION("IMPORTRANGE(""https://docs.google.com/spreadsheets/d/1BeghqumK0IvCmRd2QOy6_afsZq7ZtAGrSnVJy2u7WmY/edit?usp=sharing"",""นราธิวาส!I441"")"),0)</f>
        <v>0</v>
      </c>
      <c r="AO79" s="57">
        <f ca="1">IFERROR(__xludf.DUMMYFUNCTION("IMPORTRANGE(""https://docs.google.com/spreadsheets/d/1BeghqumK0IvCmRd2QOy6_afsZq7ZtAGrSnVJy2u7WmY/edit?usp=sharing"",""นราธิวาส!J441"")"),0)</f>
        <v>0</v>
      </c>
      <c r="AP79" s="63">
        <f t="shared" ca="1" si="31"/>
        <v>0</v>
      </c>
    </row>
    <row r="80" spans="1:42" ht="21" customHeight="1" x14ac:dyDescent="0.3">
      <c r="A80" s="54">
        <v>6</v>
      </c>
      <c r="B80" s="55" t="s">
        <v>101</v>
      </c>
      <c r="C80" s="56">
        <f t="shared" ca="1" si="69"/>
        <v>66560</v>
      </c>
      <c r="D80" s="57">
        <f ca="1">IFERROR(__xludf.DUMMYFUNCTION("IMPORTRANGE(""https://docs.google.com/spreadsheets/d/1IwnW3-jjRf74MCLW-6PiFwMUffRQXZwZA7YM609NmRc/edit?usp=sharing"",""ปัตตานี!L424"")"),66560)</f>
        <v>66560</v>
      </c>
      <c r="E80" s="64">
        <f ca="1">IFERROR(__xludf.DUMMYFUNCTION("IMPORTRANGE(""https://docs.google.com/spreadsheets/d/1IwnW3-jjRf74MCLW-6PiFwMUffRQXZwZA7YM609NmRc/edit?usp=sharing"",""ปัตตานี!L431"")"),0)</f>
        <v>0</v>
      </c>
      <c r="F80" s="64">
        <f ca="1">IFERROR(__xludf.DUMMYFUNCTION("IMPORTRANGE(""https://docs.google.com/spreadsheets/d/1IwnW3-jjRf74MCLW-6PiFwMUffRQXZwZA7YM609NmRc/edit?usp=sharing"",""ปัตตานี!M424"")"),66560)</f>
        <v>66560</v>
      </c>
      <c r="G80" s="64">
        <f ca="1">IFERROR(__xludf.DUMMYFUNCTION("IMPORTRANGE(""https://docs.google.com/spreadsheets/d/1IwnW3-jjRf74MCLW-6PiFwMUffRQXZwZA7YM609NmRc/edit?usp=sharing"",""ปัตตานี!M431"")"),0)</f>
        <v>0</v>
      </c>
      <c r="H80" s="58">
        <f t="shared" ca="1" si="26"/>
        <v>55050</v>
      </c>
      <c r="I80" s="59">
        <f t="shared" ca="1" si="1"/>
        <v>82.707331730769226</v>
      </c>
      <c r="J80" s="60">
        <f t="shared" ca="1" si="70"/>
        <v>55050</v>
      </c>
      <c r="K80" s="61">
        <f t="shared" ca="1" si="33"/>
        <v>82.707331730769226</v>
      </c>
      <c r="L80" s="60">
        <f t="shared" ca="1" si="34"/>
        <v>82.707331730769226</v>
      </c>
      <c r="M80" s="64">
        <f ca="1">IFERROR(__xludf.DUMMYFUNCTION("IMPORTRANGE(""https://docs.google.com/spreadsheets/d/1IwnW3-jjRf74MCLW-6PiFwMUffRQXZwZA7YM609NmRc/edit?usp=sharing"",""ปัตตานี!N425"")"),36300)</f>
        <v>36300</v>
      </c>
      <c r="N80" s="64">
        <f ca="1">IFERROR(__xludf.DUMMYFUNCTION("IMPORTRANGE(""https://docs.google.com/spreadsheets/d/1IwnW3-jjRf74MCLW-6PiFwMUffRQXZwZA7YM609NmRc/edit?usp=sharing"",""ปัตตานี!N426"")"),0)</f>
        <v>0</v>
      </c>
      <c r="O80" s="64">
        <f ca="1">IFERROR(__xludf.DUMMYFUNCTION("IMPORTRANGE(""https://docs.google.com/spreadsheets/d/1IwnW3-jjRf74MCLW-6PiFwMUffRQXZwZA7YM609NmRc/edit?usp=sharing"",""ปัตตานี!N427"")"),0)</f>
        <v>0</v>
      </c>
      <c r="P80" s="64">
        <f ca="1">IFERROR(__xludf.DUMMYFUNCTION("IMPORTRANGE(""https://docs.google.com/spreadsheets/d/1IwnW3-jjRf74MCLW-6PiFwMUffRQXZwZA7YM609NmRc/edit?usp=sharing"",""ปัตตานี!N428"")"),18750)</f>
        <v>18750</v>
      </c>
      <c r="Q80" s="62">
        <f ca="1">IFERROR(__xludf.DUMMYFUNCTION("IMPORTRANGE(""https://docs.google.com/spreadsheets/d/1IwnW3-jjRf74MCLW-6PiFwMUffRQXZwZA7YM609NmRc/edit?usp=sharing"",""ปัตตานี!N431"")"),0)</f>
        <v>0</v>
      </c>
      <c r="R80" s="62">
        <f t="shared" ca="1" si="36"/>
        <v>0</v>
      </c>
      <c r="S80" s="57">
        <f ca="1">IFERROR(__xludf.DUMMYFUNCTION("IMPORTRANGE(""https://docs.google.com/spreadsheets/d/1IwnW3-jjRf74MCLW-6PiFwMUffRQXZwZA7YM609NmRc/edit?usp=sharing"",""ปัตตานี!I433"")"),15)</f>
        <v>15</v>
      </c>
      <c r="T80" s="57">
        <f ca="1">IFERROR(__xludf.DUMMYFUNCTION("IMPORTRANGE(""https://docs.google.com/spreadsheets/d/1IwnW3-jjRf74MCLW-6PiFwMUffRQXZwZA7YM609NmRc/edit?usp=sharing"",""ปัตตานี!I434"")"),1)</f>
        <v>1</v>
      </c>
      <c r="U80" s="57">
        <f ca="1">IFERROR(__xludf.DUMMYFUNCTION("IMPORTRANGE(""https://docs.google.com/spreadsheets/d/1IwnW3-jjRf74MCLW-6PiFwMUffRQXZwZA7YM609NmRc/edit?usp=sharing"",""ปัตตานี!J433"")"),15)</f>
        <v>15</v>
      </c>
      <c r="V80" s="63">
        <f t="shared" ca="1" si="27"/>
        <v>100</v>
      </c>
      <c r="W80" s="57">
        <f ca="1">IFERROR(__xludf.DUMMYFUNCTION("IMPORTRANGE(""https://docs.google.com/spreadsheets/d/1IwnW3-jjRf74MCLW-6PiFwMUffRQXZwZA7YM609NmRc/edit?usp=sharing"",""ปัตตานี!J434"")"),1)</f>
        <v>1</v>
      </c>
      <c r="X80" s="63">
        <f t="shared" ca="1" si="7"/>
        <v>100</v>
      </c>
      <c r="Y80" s="57">
        <f ca="1">IFERROR(__xludf.DUMMYFUNCTION("IMPORTRANGE(""https://docs.google.com/spreadsheets/d/1IwnW3-jjRf74MCLW-6PiFwMUffRQXZwZA7YM609NmRc/edit?usp=sharing"",""ปัตตานี!I435"")"),15)</f>
        <v>15</v>
      </c>
      <c r="Z80" s="57">
        <f ca="1">IFERROR(__xludf.DUMMYFUNCTION("IMPORTRANGE(""https://docs.google.com/spreadsheets/d/1IwnW3-jjRf74MCLW-6PiFwMUffRQXZwZA7YM609NmRc/edit?usp=sharing"",""ปัตตานี!J435"")"),15)</f>
        <v>15</v>
      </c>
      <c r="AA80" s="63">
        <f t="shared" ca="1" si="28"/>
        <v>100</v>
      </c>
      <c r="AB80" s="57">
        <f ca="1">IFERROR(__xludf.DUMMYFUNCTION("IMPORTRANGE(""https://docs.google.com/spreadsheets/d/1IwnW3-jjRf74MCLW-6PiFwMUffRQXZwZA7YM609NmRc/edit?usp=sharing"",""ปัตตานี!I437"")"),0)</f>
        <v>0</v>
      </c>
      <c r="AC80" s="57">
        <f ca="1">IFERROR(__xludf.DUMMYFUNCTION("IMPORTRANGE(""https://docs.google.com/spreadsheets/d/1IwnW3-jjRf74MCLW-6PiFwMUffRQXZwZA7YM609NmRc/edit?usp=sharing"",""ปัตตานี!I438"")"),0)</f>
        <v>0</v>
      </c>
      <c r="AD80" s="57">
        <f ca="1">IFERROR(__xludf.DUMMYFUNCTION("IMPORTRANGE(""https://docs.google.com/spreadsheets/d/1IwnW3-jjRf74MCLW-6PiFwMUffRQXZwZA7YM609NmRc/edit?usp=sharing"",""ปัตตานี!J437"")"),0)</f>
        <v>0</v>
      </c>
      <c r="AE80" s="63">
        <f t="shared" ca="1" si="29"/>
        <v>0</v>
      </c>
      <c r="AF80" s="57">
        <f ca="1">IFERROR(__xludf.DUMMYFUNCTION("IMPORTRANGE(""https://docs.google.com/spreadsheets/d/1IwnW3-jjRf74MCLW-6PiFwMUffRQXZwZA7YM609NmRc/edit?usp=sharing"",""ปัตตานี!J438"")"),0)</f>
        <v>0</v>
      </c>
      <c r="AG80" s="63">
        <f t="shared" ca="1" si="12"/>
        <v>0</v>
      </c>
      <c r="AH80" s="57">
        <f ca="1">IFERROR(__xludf.DUMMYFUNCTION("IMPORTRANGE(""https://docs.google.com/spreadsheets/d/1IwnW3-jjRf74MCLW-6PiFwMUffRQXZwZA7YM609NmRc/edit?usp=sharing"",""ปัตตานี!I439"")"),15)</f>
        <v>15</v>
      </c>
      <c r="AI80" s="57">
        <f ca="1">IFERROR(__xludf.DUMMYFUNCTION("IMPORTRANGE(""https://docs.google.com/spreadsheets/d/1IwnW3-jjRf74MCLW-6PiFwMUffRQXZwZA7YM609NmRc/edit?usp=sharing"",""ปัตตานี!I440"")"),1)</f>
        <v>1</v>
      </c>
      <c r="AJ80" s="57">
        <f ca="1">IFERROR(__xludf.DUMMYFUNCTION("IMPORTRANGE(""https://docs.google.com/spreadsheets/d/1IwnW3-jjRf74MCLW-6PiFwMUffRQXZwZA7YM609NmRc/edit?usp=sharing"",""ปัตตานี!J439"")"),15)</f>
        <v>15</v>
      </c>
      <c r="AK80" s="63">
        <f t="shared" ca="1" si="30"/>
        <v>100</v>
      </c>
      <c r="AL80" s="57">
        <f ca="1">IFERROR(__xludf.DUMMYFUNCTION("IMPORTRANGE(""https://docs.google.com/spreadsheets/d/1IwnW3-jjRf74MCLW-6PiFwMUffRQXZwZA7YM609NmRc/edit?usp=sharing"",""ปัตตานี!J440"")"),1)</f>
        <v>1</v>
      </c>
      <c r="AM80" s="63">
        <f t="shared" ca="1" si="15"/>
        <v>100</v>
      </c>
      <c r="AN80" s="57">
        <f ca="1">IFERROR(__xludf.DUMMYFUNCTION("IMPORTRANGE(""https://docs.google.com/spreadsheets/d/1IwnW3-jjRf74MCLW-6PiFwMUffRQXZwZA7YM609NmRc/edit?usp=sharing"",""ปัตตานี!I441"")"),0)</f>
        <v>0</v>
      </c>
      <c r="AO80" s="57">
        <f ca="1">IFERROR(__xludf.DUMMYFUNCTION("IMPORTRANGE(""https://docs.google.com/spreadsheets/d/1IwnW3-jjRf74MCLW-6PiFwMUffRQXZwZA7YM609NmRc/edit?usp=sharing"",""ปัตตานี!J441"")"),0)</f>
        <v>0</v>
      </c>
      <c r="AP80" s="63">
        <f t="shared" ca="1" si="31"/>
        <v>0</v>
      </c>
    </row>
    <row r="81" spans="1:42" ht="21" customHeight="1" x14ac:dyDescent="0.3">
      <c r="A81" s="54">
        <v>7</v>
      </c>
      <c r="B81" s="55" t="s">
        <v>102</v>
      </c>
      <c r="C81" s="56">
        <f t="shared" ca="1" si="69"/>
        <v>78660</v>
      </c>
      <c r="D81" s="57">
        <f ca="1">IFERROR(__xludf.DUMMYFUNCTION("IMPORTRANGE(""https://docs.google.com/spreadsheets/d/1vl4QWbWdFruual5o_wdo6ZSqXZ_it806oja4CctTLKs/edit?usp=sharing"",""พังงา!L424"")"),78660)</f>
        <v>78660</v>
      </c>
      <c r="E81" s="64">
        <f ca="1">IFERROR(__xludf.DUMMYFUNCTION("IMPORTRANGE(""https://docs.google.com/spreadsheets/d/1vl4QWbWdFruual5o_wdo6ZSqXZ_it806oja4CctTLKs/edit?usp=sharing"",""พังงา!L431"")"),0)</f>
        <v>0</v>
      </c>
      <c r="F81" s="64">
        <f ca="1">IFERROR(__xludf.DUMMYFUNCTION("IMPORTRANGE(""https://docs.google.com/spreadsheets/d/1vl4QWbWdFruual5o_wdo6ZSqXZ_it806oja4CctTLKs/edit?usp=sharing"",""พังงา!M424"")"),78660)</f>
        <v>78660</v>
      </c>
      <c r="G81" s="64">
        <f ca="1">IFERROR(__xludf.DUMMYFUNCTION("IMPORTRANGE(""https://docs.google.com/spreadsheets/d/1vl4QWbWdFruual5o_wdo6ZSqXZ_it806oja4CctTLKs/edit?usp=sharing"",""พังงา!M431"")"),0)</f>
        <v>0</v>
      </c>
      <c r="H81" s="58">
        <f t="shared" ca="1" si="26"/>
        <v>48115</v>
      </c>
      <c r="I81" s="59">
        <f t="shared" ca="1" si="1"/>
        <v>61.168319349097381</v>
      </c>
      <c r="J81" s="60">
        <f t="shared" ca="1" si="70"/>
        <v>48115</v>
      </c>
      <c r="K81" s="61">
        <f t="shared" ca="1" si="33"/>
        <v>61.168319349097381</v>
      </c>
      <c r="L81" s="60">
        <f t="shared" ca="1" si="34"/>
        <v>61.168319349097381</v>
      </c>
      <c r="M81" s="64">
        <f ca="1">IFERROR(__xludf.DUMMYFUNCTION("IMPORTRANGE(""https://docs.google.com/spreadsheets/d/1vl4QWbWdFruual5o_wdo6ZSqXZ_it806oja4CctTLKs/edit?usp=sharing"",""พังงา!N425"")"),26315)</f>
        <v>26315</v>
      </c>
      <c r="N81" s="64">
        <f ca="1">IFERROR(__xludf.DUMMYFUNCTION("IMPORTRANGE(""https://docs.google.com/spreadsheets/d/1vl4QWbWdFruual5o_wdo6ZSqXZ_it806oja4CctTLKs/edit?usp=sharing"",""พังงา!N426"")"),0)</f>
        <v>0</v>
      </c>
      <c r="O81" s="64">
        <f ca="1">IFERROR(__xludf.DUMMYFUNCTION("IMPORTRANGE(""https://docs.google.com/spreadsheets/d/1vl4QWbWdFruual5o_wdo6ZSqXZ_it806oja4CctTLKs/edit?usp=sharing"",""พังงา!N427"")"),0)</f>
        <v>0</v>
      </c>
      <c r="P81" s="64">
        <f ca="1">IFERROR(__xludf.DUMMYFUNCTION("IMPORTRANGE(""https://docs.google.com/spreadsheets/d/1vl4QWbWdFruual5o_wdo6ZSqXZ_it806oja4CctTLKs/edit?usp=sharing"",""พังงา!N428"")"),21800)</f>
        <v>21800</v>
      </c>
      <c r="Q81" s="62">
        <f ca="1">IFERROR(__xludf.DUMMYFUNCTION("IMPORTRANGE(""https://docs.google.com/spreadsheets/d/1vl4QWbWdFruual5o_wdo6ZSqXZ_it806oja4CctTLKs/edit?usp=sharing"",""พังงา!N431"")"),0)</f>
        <v>0</v>
      </c>
      <c r="R81" s="62">
        <f t="shared" ca="1" si="36"/>
        <v>0</v>
      </c>
      <c r="S81" s="57">
        <f ca="1">IFERROR(__xludf.DUMMYFUNCTION("IMPORTRANGE(""https://docs.google.com/spreadsheets/d/1vl4QWbWdFruual5o_wdo6ZSqXZ_it806oja4CctTLKs/edit?usp=sharing"",""พังงา!I433"")"),20)</f>
        <v>20</v>
      </c>
      <c r="T81" s="57">
        <f ca="1">IFERROR(__xludf.DUMMYFUNCTION("IMPORTRANGE(""https://docs.google.com/spreadsheets/d/1vl4QWbWdFruual5o_wdo6ZSqXZ_it806oja4CctTLKs/edit?usp=sharing"",""พังงา!I434"")"),1)</f>
        <v>1</v>
      </c>
      <c r="U81" s="57">
        <f ca="1">IFERROR(__xludf.DUMMYFUNCTION("IMPORTRANGE(""https://docs.google.com/spreadsheets/d/1vl4QWbWdFruual5o_wdo6ZSqXZ_it806oja4CctTLKs/edit?usp=sharing"",""พังงา!J433"")"),20)</f>
        <v>20</v>
      </c>
      <c r="V81" s="63">
        <f t="shared" ca="1" si="27"/>
        <v>100</v>
      </c>
      <c r="W81" s="57">
        <f ca="1">IFERROR(__xludf.DUMMYFUNCTION("IMPORTRANGE(""https://docs.google.com/spreadsheets/d/1vl4QWbWdFruual5o_wdo6ZSqXZ_it806oja4CctTLKs/edit?usp=sharing"",""พังงา!J434"")"),1)</f>
        <v>1</v>
      </c>
      <c r="X81" s="63">
        <f t="shared" ca="1" si="7"/>
        <v>100</v>
      </c>
      <c r="Y81" s="57">
        <f ca="1">IFERROR(__xludf.DUMMYFUNCTION("IMPORTRANGE(""https://docs.google.com/spreadsheets/d/1vl4QWbWdFruual5o_wdo6ZSqXZ_it806oja4CctTLKs/edit?usp=sharing"",""พังงา!I435"")"),20)</f>
        <v>20</v>
      </c>
      <c r="Z81" s="57">
        <f ca="1">IFERROR(__xludf.DUMMYFUNCTION("IMPORTRANGE(""https://docs.google.com/spreadsheets/d/1vl4QWbWdFruual5o_wdo6ZSqXZ_it806oja4CctTLKs/edit?usp=sharing"",""พังงา!J435"")"),20)</f>
        <v>20</v>
      </c>
      <c r="AA81" s="63">
        <f t="shared" ca="1" si="28"/>
        <v>100</v>
      </c>
      <c r="AB81" s="57">
        <f ca="1">IFERROR(__xludf.DUMMYFUNCTION("IMPORTRANGE(""https://docs.google.com/spreadsheets/d/1vl4QWbWdFruual5o_wdo6ZSqXZ_it806oja4CctTLKs/edit?usp=sharing"",""พังงา!I437"")"),0)</f>
        <v>0</v>
      </c>
      <c r="AC81" s="57">
        <f ca="1">IFERROR(__xludf.DUMMYFUNCTION("IMPORTRANGE(""https://docs.google.com/spreadsheets/d/1vl4QWbWdFruual5o_wdo6ZSqXZ_it806oja4CctTLKs/edit?usp=sharing"",""พังงา!I438"")"),0)</f>
        <v>0</v>
      </c>
      <c r="AD81" s="57">
        <f ca="1">IFERROR(__xludf.DUMMYFUNCTION("IMPORTRANGE(""https://docs.google.com/spreadsheets/d/1vl4QWbWdFruual5o_wdo6ZSqXZ_it806oja4CctTLKs/edit?usp=sharing"",""พังงา!J437"")"),0)</f>
        <v>0</v>
      </c>
      <c r="AE81" s="63">
        <f t="shared" ca="1" si="29"/>
        <v>0</v>
      </c>
      <c r="AF81" s="57">
        <f ca="1">IFERROR(__xludf.DUMMYFUNCTION("IMPORTRANGE(""https://docs.google.com/spreadsheets/d/1vl4QWbWdFruual5o_wdo6ZSqXZ_it806oja4CctTLKs/edit?usp=sharing"",""พังงา!J438"")"),0)</f>
        <v>0</v>
      </c>
      <c r="AG81" s="63">
        <f t="shared" ca="1" si="12"/>
        <v>0</v>
      </c>
      <c r="AH81" s="57">
        <f ca="1">IFERROR(__xludf.DUMMYFUNCTION("IMPORTRANGE(""https://docs.google.com/spreadsheets/d/1vl4QWbWdFruual5o_wdo6ZSqXZ_it806oja4CctTLKs/edit?usp=sharing"",""พังงา!I439"")"),20)</f>
        <v>20</v>
      </c>
      <c r="AI81" s="57">
        <f ca="1">IFERROR(__xludf.DUMMYFUNCTION("IMPORTRANGE(""https://docs.google.com/spreadsheets/d/1vl4QWbWdFruual5o_wdo6ZSqXZ_it806oja4CctTLKs/edit?usp=sharing"",""พังงา!I440"")"),1)</f>
        <v>1</v>
      </c>
      <c r="AJ81" s="57">
        <f ca="1">IFERROR(__xludf.DUMMYFUNCTION("IMPORTRANGE(""https://docs.google.com/spreadsheets/d/1vl4QWbWdFruual5o_wdo6ZSqXZ_it806oja4CctTLKs/edit?usp=sharing"",""พังงา!J439"")"),20)</f>
        <v>20</v>
      </c>
      <c r="AK81" s="63">
        <f t="shared" ca="1" si="30"/>
        <v>100</v>
      </c>
      <c r="AL81" s="57">
        <f ca="1">IFERROR(__xludf.DUMMYFUNCTION("IMPORTRANGE(""https://docs.google.com/spreadsheets/d/1vl4QWbWdFruual5o_wdo6ZSqXZ_it806oja4CctTLKs/edit?usp=sharing"",""พังงา!J440"")"),1)</f>
        <v>1</v>
      </c>
      <c r="AM81" s="63">
        <f t="shared" ca="1" si="15"/>
        <v>100</v>
      </c>
      <c r="AN81" s="57">
        <f ca="1">IFERROR(__xludf.DUMMYFUNCTION("IMPORTRANGE(""https://docs.google.com/spreadsheets/d/1vl4QWbWdFruual5o_wdo6ZSqXZ_it806oja4CctTLKs/edit?usp=sharing"",""พังงา!I441"")"),0)</f>
        <v>0</v>
      </c>
      <c r="AO81" s="57">
        <f ca="1">IFERROR(__xludf.DUMMYFUNCTION("IMPORTRANGE(""https://docs.google.com/spreadsheets/d/1vl4QWbWdFruual5o_wdo6ZSqXZ_it806oja4CctTLKs/edit?usp=sharing"",""พังงา!J441"")"),0)</f>
        <v>0</v>
      </c>
      <c r="AP81" s="63">
        <f t="shared" ca="1" si="31"/>
        <v>0</v>
      </c>
    </row>
    <row r="82" spans="1:42" ht="21" customHeight="1" x14ac:dyDescent="0.3">
      <c r="A82" s="54">
        <v>8</v>
      </c>
      <c r="B82" s="55" t="s">
        <v>103</v>
      </c>
      <c r="C82" s="56">
        <f t="shared" ca="1" si="69"/>
        <v>92760</v>
      </c>
      <c r="D82" s="57">
        <f ca="1">IFERROR(__xludf.DUMMYFUNCTION("IMPORTRANGE(""https://docs.google.com/spreadsheets/d/1b6QssHQp2FoAPSMKHOy273KNzAomaIKhtdlvuZ_zDNE/edit?usp=sharing"",""พัทลุง!L424"")"),92760)</f>
        <v>92760</v>
      </c>
      <c r="E82" s="64">
        <f ca="1">IFERROR(__xludf.DUMMYFUNCTION("IMPORTRANGE(""https://docs.google.com/spreadsheets/d/1b6QssHQp2FoAPSMKHOy273KNzAomaIKhtdlvuZ_zDNE/edit?usp=sharing"",""พัทลุง!L431"")"),0)</f>
        <v>0</v>
      </c>
      <c r="F82" s="64">
        <f ca="1">IFERROR(__xludf.DUMMYFUNCTION("IMPORTRANGE(""https://docs.google.com/spreadsheets/d/1b6QssHQp2FoAPSMKHOy273KNzAomaIKhtdlvuZ_zDNE/edit?usp=sharing"",""พัทลุง!M424"")"),92760)</f>
        <v>92760</v>
      </c>
      <c r="G82" s="64">
        <f ca="1">IFERROR(__xludf.DUMMYFUNCTION("IMPORTRANGE(""https://docs.google.com/spreadsheets/d/1b6QssHQp2FoAPSMKHOy273KNzAomaIKhtdlvuZ_zDNE/edit?usp=sharing"",""พัทลุง!M431"")"),0)</f>
        <v>0</v>
      </c>
      <c r="H82" s="58">
        <f t="shared" ca="1" si="26"/>
        <v>89540</v>
      </c>
      <c r="I82" s="59">
        <f t="shared" ca="1" si="1"/>
        <v>96.528676153514439</v>
      </c>
      <c r="J82" s="60">
        <f t="shared" ca="1" si="70"/>
        <v>89540</v>
      </c>
      <c r="K82" s="61">
        <f t="shared" ca="1" si="33"/>
        <v>96.528676153514439</v>
      </c>
      <c r="L82" s="60">
        <f t="shared" ca="1" si="34"/>
        <v>96.528676153514439</v>
      </c>
      <c r="M82" s="64">
        <f ca="1">IFERROR(__xludf.DUMMYFUNCTION("IMPORTRANGE(""https://docs.google.com/spreadsheets/d/1b6QssHQp2FoAPSMKHOy273KNzAomaIKhtdlvuZ_zDNE/edit?usp=sharing"",""พัทลุง!N425"")"),36640)</f>
        <v>36640</v>
      </c>
      <c r="N82" s="64">
        <f ca="1">IFERROR(__xludf.DUMMYFUNCTION("IMPORTRANGE(""https://docs.google.com/spreadsheets/d/1b6QssHQp2FoAPSMKHOy273KNzAomaIKhtdlvuZ_zDNE/edit?usp=sharing"",""พัทลุง!N426"")"),0)</f>
        <v>0</v>
      </c>
      <c r="O82" s="64">
        <f ca="1">IFERROR(__xludf.DUMMYFUNCTION("IMPORTRANGE(""https://docs.google.com/spreadsheets/d/1b6QssHQp2FoAPSMKHOy273KNzAomaIKhtdlvuZ_zDNE/edit?usp=sharing"",""พัทลุง!N427"")"),0)</f>
        <v>0</v>
      </c>
      <c r="P82" s="64">
        <f ca="1">IFERROR(__xludf.DUMMYFUNCTION("IMPORTRANGE(""https://docs.google.com/spreadsheets/d/1b6QssHQp2FoAPSMKHOy273KNzAomaIKhtdlvuZ_zDNE/edit?usp=sharing"",""พัทลุง!N428"")"),52900)</f>
        <v>52900</v>
      </c>
      <c r="Q82" s="62">
        <f ca="1">IFERROR(__xludf.DUMMYFUNCTION("IMPORTRANGE(""https://docs.google.com/spreadsheets/d/1b6QssHQp2FoAPSMKHOy273KNzAomaIKhtdlvuZ_zDNE/edit?usp=sharing"",""พัทลุง!N431"")"),0)</f>
        <v>0</v>
      </c>
      <c r="R82" s="62">
        <f t="shared" ca="1" si="36"/>
        <v>0</v>
      </c>
      <c r="S82" s="57">
        <f ca="1">IFERROR(__xludf.DUMMYFUNCTION("IMPORTRANGE(""https://docs.google.com/spreadsheets/d/1b6QssHQp2FoAPSMKHOy273KNzAomaIKhtdlvuZ_zDNE/edit?usp=sharing"",""พัทลุง!I433"")"),15)</f>
        <v>15</v>
      </c>
      <c r="T82" s="57">
        <f ca="1">IFERROR(__xludf.DUMMYFUNCTION("IMPORTRANGE(""https://docs.google.com/spreadsheets/d/1b6QssHQp2FoAPSMKHOy273KNzAomaIKhtdlvuZ_zDNE/edit?usp=sharing"",""พัทลุง!I434"")"),1)</f>
        <v>1</v>
      </c>
      <c r="U82" s="57">
        <f ca="1">IFERROR(__xludf.DUMMYFUNCTION("IMPORTRANGE(""https://docs.google.com/spreadsheets/d/1b6QssHQp2FoAPSMKHOy273KNzAomaIKhtdlvuZ_zDNE/edit?usp=sharing"",""พัทลุง!J433"")"),15)</f>
        <v>15</v>
      </c>
      <c r="V82" s="63">
        <f t="shared" ca="1" si="27"/>
        <v>100</v>
      </c>
      <c r="W82" s="57">
        <f ca="1">IFERROR(__xludf.DUMMYFUNCTION("IMPORTRANGE(""https://docs.google.com/spreadsheets/d/1b6QssHQp2FoAPSMKHOy273KNzAomaIKhtdlvuZ_zDNE/edit?usp=sharing"",""พัทลุง!J434"")"),1)</f>
        <v>1</v>
      </c>
      <c r="X82" s="63">
        <f t="shared" ca="1" si="7"/>
        <v>100</v>
      </c>
      <c r="Y82" s="57">
        <f ca="1">IFERROR(__xludf.DUMMYFUNCTION("IMPORTRANGE(""https://docs.google.com/spreadsheets/d/1b6QssHQp2FoAPSMKHOy273KNzAomaIKhtdlvuZ_zDNE/edit?usp=sharing"",""พัทลุง!I435"")"),15)</f>
        <v>15</v>
      </c>
      <c r="Z82" s="57">
        <f ca="1">IFERROR(__xludf.DUMMYFUNCTION("IMPORTRANGE(""https://docs.google.com/spreadsheets/d/1b6QssHQp2FoAPSMKHOy273KNzAomaIKhtdlvuZ_zDNE/edit?usp=sharing"",""พัทลุง!J435"")"),15)</f>
        <v>15</v>
      </c>
      <c r="AA82" s="63">
        <f t="shared" ca="1" si="28"/>
        <v>100</v>
      </c>
      <c r="AB82" s="57">
        <f ca="1">IFERROR(__xludf.DUMMYFUNCTION("IMPORTRANGE(""https://docs.google.com/spreadsheets/d/1b6QssHQp2FoAPSMKHOy273KNzAomaIKhtdlvuZ_zDNE/edit?usp=sharing"",""พัทลุง!I437"")"),0)</f>
        <v>0</v>
      </c>
      <c r="AC82" s="57">
        <f ca="1">IFERROR(__xludf.DUMMYFUNCTION("IMPORTRANGE(""https://docs.google.com/spreadsheets/d/1b6QssHQp2FoAPSMKHOy273KNzAomaIKhtdlvuZ_zDNE/edit?usp=sharing"",""พัทลุง!I438"")"),0)</f>
        <v>0</v>
      </c>
      <c r="AD82" s="57">
        <f ca="1">IFERROR(__xludf.DUMMYFUNCTION("IMPORTRANGE(""https://docs.google.com/spreadsheets/d/1b6QssHQp2FoAPSMKHOy273KNzAomaIKhtdlvuZ_zDNE/edit?usp=sharing"",""พัทลุง!J437"")"),0)</f>
        <v>0</v>
      </c>
      <c r="AE82" s="63">
        <f t="shared" ca="1" si="29"/>
        <v>0</v>
      </c>
      <c r="AF82" s="57">
        <f ca="1">IFERROR(__xludf.DUMMYFUNCTION("IMPORTRANGE(""https://docs.google.com/spreadsheets/d/1b6QssHQp2FoAPSMKHOy273KNzAomaIKhtdlvuZ_zDNE/edit?usp=sharing"",""พัทลุง!J438"")"),0)</f>
        <v>0</v>
      </c>
      <c r="AG82" s="63">
        <f t="shared" ca="1" si="12"/>
        <v>0</v>
      </c>
      <c r="AH82" s="57">
        <f ca="1">IFERROR(__xludf.DUMMYFUNCTION("IMPORTRANGE(""https://docs.google.com/spreadsheets/d/1b6QssHQp2FoAPSMKHOy273KNzAomaIKhtdlvuZ_zDNE/edit?usp=sharing"",""พัทลุง!I439"")"),15)</f>
        <v>15</v>
      </c>
      <c r="AI82" s="57">
        <f ca="1">IFERROR(__xludf.DUMMYFUNCTION("IMPORTRANGE(""https://docs.google.com/spreadsheets/d/1b6QssHQp2FoAPSMKHOy273KNzAomaIKhtdlvuZ_zDNE/edit?usp=sharing"",""พัทลุง!I440"")"),1)</f>
        <v>1</v>
      </c>
      <c r="AJ82" s="57">
        <f ca="1">IFERROR(__xludf.DUMMYFUNCTION("IMPORTRANGE(""https://docs.google.com/spreadsheets/d/1b6QssHQp2FoAPSMKHOy273KNzAomaIKhtdlvuZ_zDNE/edit?usp=sharing"",""พัทลุง!J439"")"),15)</f>
        <v>15</v>
      </c>
      <c r="AK82" s="63">
        <f t="shared" ca="1" si="30"/>
        <v>100</v>
      </c>
      <c r="AL82" s="57">
        <f ca="1">IFERROR(__xludf.DUMMYFUNCTION("IMPORTRANGE(""https://docs.google.com/spreadsheets/d/1b6QssHQp2FoAPSMKHOy273KNzAomaIKhtdlvuZ_zDNE/edit?usp=sharing"",""พัทลุง!J440"")"),1)</f>
        <v>1</v>
      </c>
      <c r="AM82" s="63">
        <f t="shared" ca="1" si="15"/>
        <v>100</v>
      </c>
      <c r="AN82" s="57">
        <f ca="1">IFERROR(__xludf.DUMMYFUNCTION("IMPORTRANGE(""https://docs.google.com/spreadsheets/d/1b6QssHQp2FoAPSMKHOy273KNzAomaIKhtdlvuZ_zDNE/edit?usp=sharing"",""พัทลุง!I441"")"),0)</f>
        <v>0</v>
      </c>
      <c r="AO82" s="57">
        <f ca="1">IFERROR(__xludf.DUMMYFUNCTION("IMPORTRANGE(""https://docs.google.com/spreadsheets/d/1b6QssHQp2FoAPSMKHOy273KNzAomaIKhtdlvuZ_zDNE/edit?usp=sharing"",""พัทลุง!J441"")"),0)</f>
        <v>0</v>
      </c>
      <c r="AP82" s="63">
        <f t="shared" ca="1" si="31"/>
        <v>0</v>
      </c>
    </row>
    <row r="83" spans="1:42" ht="21" customHeight="1" x14ac:dyDescent="0.3">
      <c r="A83" s="54">
        <v>9</v>
      </c>
      <c r="B83" s="55" t="s">
        <v>104</v>
      </c>
      <c r="C83" s="56">
        <f t="shared" ca="1" si="69"/>
        <v>54560</v>
      </c>
      <c r="D83" s="57">
        <f ca="1">IFERROR(__xludf.DUMMYFUNCTION("IMPORTRANGE(""https://docs.google.com/spreadsheets/d/1o7UZe4_OqlqtLDHrj01Z2YFRSZDf1DMy1n3XViHaxRc/edit?usp=sharing"",""ภูเก็ต!L424"")"),54560)</f>
        <v>54560</v>
      </c>
      <c r="E83" s="64">
        <f ca="1">IFERROR(__xludf.DUMMYFUNCTION("IMPORTRANGE(""https://docs.google.com/spreadsheets/d/1o7UZe4_OqlqtLDHrj01Z2YFRSZDf1DMy1n3XViHaxRc/edit?usp=sharing"",""ภูเก็ต!L431"")"),0)</f>
        <v>0</v>
      </c>
      <c r="F83" s="64">
        <f ca="1">IFERROR(__xludf.DUMMYFUNCTION("IMPORTRANGE(""https://docs.google.com/spreadsheets/d/1o7UZe4_OqlqtLDHrj01Z2YFRSZDf1DMy1n3XViHaxRc/edit?usp=sharing"",""ภูเก็ต!M424"")"),54560)</f>
        <v>54560</v>
      </c>
      <c r="G83" s="64">
        <f ca="1">IFERROR(__xludf.DUMMYFUNCTION("IMPORTRANGE(""https://docs.google.com/spreadsheets/d/1o7UZe4_OqlqtLDHrj01Z2YFRSZDf1DMy1n3XViHaxRc/edit?usp=sharing"",""ภูเก็ต!M431"")"),0)</f>
        <v>0</v>
      </c>
      <c r="H83" s="58">
        <f t="shared" ca="1" si="26"/>
        <v>39195</v>
      </c>
      <c r="I83" s="59">
        <f t="shared" ca="1" si="1"/>
        <v>71.838343108504404</v>
      </c>
      <c r="J83" s="60">
        <f t="shared" ca="1" si="70"/>
        <v>39195</v>
      </c>
      <c r="K83" s="61">
        <f t="shared" ca="1" si="33"/>
        <v>71.838343108504404</v>
      </c>
      <c r="L83" s="60">
        <f t="shared" ca="1" si="34"/>
        <v>71.838343108504404</v>
      </c>
      <c r="M83" s="64">
        <f ca="1">IFERROR(__xludf.DUMMYFUNCTION("IMPORTRANGE(""https://docs.google.com/spreadsheets/d/1o7UZe4_OqlqtLDHrj01Z2YFRSZDf1DMy1n3XViHaxRc/edit?usp=sharing"",""ภูเก็ต!N425"")"),24300)</f>
        <v>24300</v>
      </c>
      <c r="N83" s="64">
        <f ca="1">IFERROR(__xludf.DUMMYFUNCTION("IMPORTRANGE(""https://docs.google.com/spreadsheets/d/1o7UZe4_OqlqtLDHrj01Z2YFRSZDf1DMy1n3XViHaxRc/edit?usp=sharing"",""ภูเก็ต!N426"")"),0)</f>
        <v>0</v>
      </c>
      <c r="O83" s="64">
        <f ca="1">IFERROR(__xludf.DUMMYFUNCTION("IMPORTRANGE(""https://docs.google.com/spreadsheets/d/1o7UZe4_OqlqtLDHrj01Z2YFRSZDf1DMy1n3XViHaxRc/edit?usp=sharing"",""ภูเก็ต!N427"")"),0)</f>
        <v>0</v>
      </c>
      <c r="P83" s="64">
        <f ca="1">IFERROR(__xludf.DUMMYFUNCTION("IMPORTRANGE(""https://docs.google.com/spreadsheets/d/1o7UZe4_OqlqtLDHrj01Z2YFRSZDf1DMy1n3XViHaxRc/edit?usp=sharing"",""ภูเก็ต!N428"")"),14895)</f>
        <v>14895</v>
      </c>
      <c r="Q83" s="62">
        <f ca="1">IFERROR(__xludf.DUMMYFUNCTION("IMPORTRANGE(""https://docs.google.com/spreadsheets/d/1o7UZe4_OqlqtLDHrj01Z2YFRSZDf1DMy1n3XViHaxRc/edit?usp=sharing"",""ภูเก็ต!N431"")"),0)</f>
        <v>0</v>
      </c>
      <c r="R83" s="62">
        <f t="shared" ca="1" si="36"/>
        <v>0</v>
      </c>
      <c r="S83" s="57">
        <f ca="1">IFERROR(__xludf.DUMMYFUNCTION("IMPORTRANGE(""https://docs.google.com/spreadsheets/d/1o7UZe4_OqlqtLDHrj01Z2YFRSZDf1DMy1n3XViHaxRc/edit?usp=sharing"",""ภูเก็ต!I433"")"),10)</f>
        <v>10</v>
      </c>
      <c r="T83" s="57">
        <f ca="1">IFERROR(__xludf.DUMMYFUNCTION("IMPORTRANGE(""https://docs.google.com/spreadsheets/d/1o7UZe4_OqlqtLDHrj01Z2YFRSZDf1DMy1n3XViHaxRc/edit?usp=sharing"",""ภูเก็ต!I434"")"),1)</f>
        <v>1</v>
      </c>
      <c r="U83" s="57">
        <f ca="1">IFERROR(__xludf.DUMMYFUNCTION("IMPORTRANGE(""https://docs.google.com/spreadsheets/d/1o7UZe4_OqlqtLDHrj01Z2YFRSZDf1DMy1n3XViHaxRc/edit?usp=sharing"",""ภูเก็ต!J433"")"),10)</f>
        <v>10</v>
      </c>
      <c r="V83" s="63">
        <f t="shared" ca="1" si="27"/>
        <v>100</v>
      </c>
      <c r="W83" s="57">
        <f ca="1">IFERROR(__xludf.DUMMYFUNCTION("IMPORTRANGE(""https://docs.google.com/spreadsheets/d/1o7UZe4_OqlqtLDHrj01Z2YFRSZDf1DMy1n3XViHaxRc/edit?usp=sharing"",""ภูเก็ต!J434"")"),1)</f>
        <v>1</v>
      </c>
      <c r="X83" s="63">
        <f t="shared" ca="1" si="7"/>
        <v>100</v>
      </c>
      <c r="Y83" s="57">
        <f ca="1">IFERROR(__xludf.DUMMYFUNCTION("IMPORTRANGE(""https://docs.google.com/spreadsheets/d/1o7UZe4_OqlqtLDHrj01Z2YFRSZDf1DMy1n3XViHaxRc/edit?usp=sharing"",""ภูเก็ต!I435"")"),10)</f>
        <v>10</v>
      </c>
      <c r="Z83" s="57">
        <f ca="1">IFERROR(__xludf.DUMMYFUNCTION("IMPORTRANGE(""https://docs.google.com/spreadsheets/d/1o7UZe4_OqlqtLDHrj01Z2YFRSZDf1DMy1n3XViHaxRc/edit?usp=sharing"",""ภูเก็ต!J435"")"),10)</f>
        <v>10</v>
      </c>
      <c r="AA83" s="63">
        <f t="shared" ca="1" si="28"/>
        <v>100</v>
      </c>
      <c r="AB83" s="57">
        <f ca="1">IFERROR(__xludf.DUMMYFUNCTION("IMPORTRANGE(""https://docs.google.com/spreadsheets/d/1o7UZe4_OqlqtLDHrj01Z2YFRSZDf1DMy1n3XViHaxRc/edit?usp=sharing"",""ภูเก็ต!I437"")"),0)</f>
        <v>0</v>
      </c>
      <c r="AC83" s="57">
        <f ca="1">IFERROR(__xludf.DUMMYFUNCTION("IMPORTRANGE(""https://docs.google.com/spreadsheets/d/1o7UZe4_OqlqtLDHrj01Z2YFRSZDf1DMy1n3XViHaxRc/edit?usp=sharing"",""ภูเก็ต!I438"")"),0)</f>
        <v>0</v>
      </c>
      <c r="AD83" s="57">
        <f ca="1">IFERROR(__xludf.DUMMYFUNCTION("IMPORTRANGE(""https://docs.google.com/spreadsheets/d/1o7UZe4_OqlqtLDHrj01Z2YFRSZDf1DMy1n3XViHaxRc/edit?usp=sharing"",""ภูเก็ต!J437"")"),0)</f>
        <v>0</v>
      </c>
      <c r="AE83" s="63">
        <f t="shared" ca="1" si="29"/>
        <v>0</v>
      </c>
      <c r="AF83" s="57">
        <f ca="1">IFERROR(__xludf.DUMMYFUNCTION("IMPORTRANGE(""https://docs.google.com/spreadsheets/d/1o7UZe4_OqlqtLDHrj01Z2YFRSZDf1DMy1n3XViHaxRc/edit?usp=sharing"",""ภูเก็ต!J438"")"),0)</f>
        <v>0</v>
      </c>
      <c r="AG83" s="63">
        <f t="shared" ca="1" si="12"/>
        <v>0</v>
      </c>
      <c r="AH83" s="57">
        <f ca="1">IFERROR(__xludf.DUMMYFUNCTION("IMPORTRANGE(""https://docs.google.com/spreadsheets/d/1o7UZe4_OqlqtLDHrj01Z2YFRSZDf1DMy1n3XViHaxRc/edit?usp=sharing"",""ภูเก็ต!I439"")"),10)</f>
        <v>10</v>
      </c>
      <c r="AI83" s="57">
        <f ca="1">IFERROR(__xludf.DUMMYFUNCTION("IMPORTRANGE(""https://docs.google.com/spreadsheets/d/1o7UZe4_OqlqtLDHrj01Z2YFRSZDf1DMy1n3XViHaxRc/edit?usp=sharing"",""ภูเก็ต!I440"")"),1)</f>
        <v>1</v>
      </c>
      <c r="AJ83" s="57">
        <f ca="1">IFERROR(__xludf.DUMMYFUNCTION("IMPORTRANGE(""https://docs.google.com/spreadsheets/d/1o7UZe4_OqlqtLDHrj01Z2YFRSZDf1DMy1n3XViHaxRc/edit?usp=sharing"",""ภูเก็ต!J439"")"),10)</f>
        <v>10</v>
      </c>
      <c r="AK83" s="63">
        <f t="shared" ca="1" si="30"/>
        <v>100</v>
      </c>
      <c r="AL83" s="57">
        <f ca="1">IFERROR(__xludf.DUMMYFUNCTION("IMPORTRANGE(""https://docs.google.com/spreadsheets/d/1o7UZe4_OqlqtLDHrj01Z2YFRSZDf1DMy1n3XViHaxRc/edit?usp=sharing"",""ภูเก็ต!J440"")"),1)</f>
        <v>1</v>
      </c>
      <c r="AM83" s="63">
        <f t="shared" ca="1" si="15"/>
        <v>100</v>
      </c>
      <c r="AN83" s="57">
        <f ca="1">IFERROR(__xludf.DUMMYFUNCTION("IMPORTRANGE(""https://docs.google.com/spreadsheets/d/1o7UZe4_OqlqtLDHrj01Z2YFRSZDf1DMy1n3XViHaxRc/edit?usp=sharing"",""ภูเก็ต!I441"")"),0)</f>
        <v>0</v>
      </c>
      <c r="AO83" s="57">
        <f ca="1">IFERROR(__xludf.DUMMYFUNCTION("IMPORTRANGE(""https://docs.google.com/spreadsheets/d/1o7UZe4_OqlqtLDHrj01Z2YFRSZDf1DMy1n3XViHaxRc/edit?usp=sharing"",""ภูเก็ต!J441"")"),0)</f>
        <v>0</v>
      </c>
      <c r="AP83" s="63">
        <f t="shared" ca="1" si="31"/>
        <v>0</v>
      </c>
    </row>
    <row r="84" spans="1:42" ht="21" customHeight="1" x14ac:dyDescent="0.3">
      <c r="A84" s="54">
        <v>10</v>
      </c>
      <c r="B84" s="55" t="s">
        <v>105</v>
      </c>
      <c r="C84" s="56">
        <f t="shared" ca="1" si="69"/>
        <v>54560</v>
      </c>
      <c r="D84" s="57">
        <f ca="1">IFERROR(__xludf.DUMMYFUNCTION("IMPORTRANGE(""https://docs.google.com/spreadsheets/d/1ctPm1vUzcUCPuOj9-eoHUD85PqINFqUB0TjdSWmR5-c/edit?usp=sharing"",""ยะลา!L424"")"),54560)</f>
        <v>54560</v>
      </c>
      <c r="E84" s="64">
        <f ca="1">IFERROR(__xludf.DUMMYFUNCTION("IMPORTRANGE(""https://docs.google.com/spreadsheets/d/1ctPm1vUzcUCPuOj9-eoHUD85PqINFqUB0TjdSWmR5-c/edit?usp=sharing"",""ยะลา!L431"")"),0)</f>
        <v>0</v>
      </c>
      <c r="F84" s="64">
        <f ca="1">IFERROR(__xludf.DUMMYFUNCTION("IMPORTRANGE(""https://docs.google.com/spreadsheets/d/1ctPm1vUzcUCPuOj9-eoHUD85PqINFqUB0TjdSWmR5-c/edit?usp=sharing"",""ยะลา!M424"")"),54560)</f>
        <v>54560</v>
      </c>
      <c r="G84" s="64">
        <f ca="1">IFERROR(__xludf.DUMMYFUNCTION("IMPORTRANGE(""https://docs.google.com/spreadsheets/d/1ctPm1vUzcUCPuOj9-eoHUD85PqINFqUB0TjdSWmR5-c/edit?usp=sharing"",""ยะลา!M431"")"),0)</f>
        <v>0</v>
      </c>
      <c r="H84" s="58">
        <f t="shared" ca="1" si="26"/>
        <v>52740</v>
      </c>
      <c r="I84" s="59">
        <f t="shared" ca="1" si="1"/>
        <v>96.6642228739003</v>
      </c>
      <c r="J84" s="60">
        <f t="shared" ca="1" si="70"/>
        <v>52740</v>
      </c>
      <c r="K84" s="61">
        <f t="shared" ca="1" si="33"/>
        <v>96.6642228739003</v>
      </c>
      <c r="L84" s="60">
        <f t="shared" ca="1" si="34"/>
        <v>96.6642228739003</v>
      </c>
      <c r="M84" s="64">
        <f ca="1">IFERROR(__xludf.DUMMYFUNCTION("IMPORTRANGE(""https://docs.google.com/spreadsheets/d/1ctPm1vUzcUCPuOj9-eoHUD85PqINFqUB0TjdSWmR5-c/edit?usp=sharing"",""ยะลา!N425"")"),24300)</f>
        <v>24300</v>
      </c>
      <c r="N84" s="64">
        <f ca="1">IFERROR(__xludf.DUMMYFUNCTION("IMPORTRANGE(""https://docs.google.com/spreadsheets/d/1ctPm1vUzcUCPuOj9-eoHUD85PqINFqUB0TjdSWmR5-c/edit?usp=sharing"",""ยะลา!N426"")"),0)</f>
        <v>0</v>
      </c>
      <c r="O84" s="64">
        <f ca="1">IFERROR(__xludf.DUMMYFUNCTION("IMPORTRANGE(""https://docs.google.com/spreadsheets/d/1ctPm1vUzcUCPuOj9-eoHUD85PqINFqUB0TjdSWmR5-c/edit?usp=sharing"",""ยะลา!N427"")"),0)</f>
        <v>0</v>
      </c>
      <c r="P84" s="64">
        <f ca="1">IFERROR(__xludf.DUMMYFUNCTION("IMPORTRANGE(""https://docs.google.com/spreadsheets/d/1ctPm1vUzcUCPuOj9-eoHUD85PqINFqUB0TjdSWmR5-c/edit?usp=sharing"",""ยะลา!N428"")"),28440)</f>
        <v>28440</v>
      </c>
      <c r="Q84" s="62">
        <f ca="1">IFERROR(__xludf.DUMMYFUNCTION("IMPORTRANGE(""https://docs.google.com/spreadsheets/d/1ctPm1vUzcUCPuOj9-eoHUD85PqINFqUB0TjdSWmR5-c/edit?usp=sharing"",""ยะลา!N431"")"),0)</f>
        <v>0</v>
      </c>
      <c r="R84" s="62">
        <f t="shared" ca="1" si="36"/>
        <v>0</v>
      </c>
      <c r="S84" s="57">
        <f ca="1">IFERROR(__xludf.DUMMYFUNCTION("IMPORTRANGE(""https://docs.google.com/spreadsheets/d/1ctPm1vUzcUCPuOj9-eoHUD85PqINFqUB0TjdSWmR5-c/edit?usp=sharing"",""ยะลา!I433"")"),10)</f>
        <v>10</v>
      </c>
      <c r="T84" s="57">
        <f ca="1">IFERROR(__xludf.DUMMYFUNCTION("IMPORTRANGE(""https://docs.google.com/spreadsheets/d/1ctPm1vUzcUCPuOj9-eoHUD85PqINFqUB0TjdSWmR5-c/edit?usp=sharing"",""ยะลา!I434"")"),1)</f>
        <v>1</v>
      </c>
      <c r="U84" s="57">
        <f ca="1">IFERROR(__xludf.DUMMYFUNCTION("IMPORTRANGE(""https://docs.google.com/spreadsheets/d/1ctPm1vUzcUCPuOj9-eoHUD85PqINFqUB0TjdSWmR5-c/edit?usp=sharing"",""ยะลา!J433"")"),10)</f>
        <v>10</v>
      </c>
      <c r="V84" s="63">
        <f t="shared" ca="1" si="27"/>
        <v>100</v>
      </c>
      <c r="W84" s="57">
        <f ca="1">IFERROR(__xludf.DUMMYFUNCTION("IMPORTRANGE(""https://docs.google.com/spreadsheets/d/1ctPm1vUzcUCPuOj9-eoHUD85PqINFqUB0TjdSWmR5-c/edit?usp=sharing"",""ยะลา!J434"")"),1)</f>
        <v>1</v>
      </c>
      <c r="X84" s="63">
        <f t="shared" ca="1" si="7"/>
        <v>100</v>
      </c>
      <c r="Y84" s="57">
        <f ca="1">IFERROR(__xludf.DUMMYFUNCTION("IMPORTRANGE(""https://docs.google.com/spreadsheets/d/1ctPm1vUzcUCPuOj9-eoHUD85PqINFqUB0TjdSWmR5-c/edit?usp=sharing"",""ยะลา!I435"")"),10)</f>
        <v>10</v>
      </c>
      <c r="Z84" s="57">
        <f ca="1">IFERROR(__xludf.DUMMYFUNCTION("IMPORTRANGE(""https://docs.google.com/spreadsheets/d/1ctPm1vUzcUCPuOj9-eoHUD85PqINFqUB0TjdSWmR5-c/edit?usp=sharing"",""ยะลา!J435"")"),10)</f>
        <v>10</v>
      </c>
      <c r="AA84" s="63">
        <f t="shared" ca="1" si="28"/>
        <v>100</v>
      </c>
      <c r="AB84" s="57">
        <f ca="1">IFERROR(__xludf.DUMMYFUNCTION("IMPORTRANGE(""https://docs.google.com/spreadsheets/d/1ctPm1vUzcUCPuOj9-eoHUD85PqINFqUB0TjdSWmR5-c/edit?usp=sharing"",""ยะลา!I437"")"),0)</f>
        <v>0</v>
      </c>
      <c r="AC84" s="57">
        <f ca="1">IFERROR(__xludf.DUMMYFUNCTION("IMPORTRANGE(""https://docs.google.com/spreadsheets/d/1ctPm1vUzcUCPuOj9-eoHUD85PqINFqUB0TjdSWmR5-c/edit?usp=sharing"",""ยะลา!I438"")"),0)</f>
        <v>0</v>
      </c>
      <c r="AD84" s="57">
        <f ca="1">IFERROR(__xludf.DUMMYFUNCTION("IMPORTRANGE(""https://docs.google.com/spreadsheets/d/1ctPm1vUzcUCPuOj9-eoHUD85PqINFqUB0TjdSWmR5-c/edit?usp=sharing"",""ยะลา!J437"")"),0)</f>
        <v>0</v>
      </c>
      <c r="AE84" s="63">
        <f t="shared" ca="1" si="29"/>
        <v>0</v>
      </c>
      <c r="AF84" s="57">
        <f ca="1">IFERROR(__xludf.DUMMYFUNCTION("IMPORTRANGE(""https://docs.google.com/spreadsheets/d/1ctPm1vUzcUCPuOj9-eoHUD85PqINFqUB0TjdSWmR5-c/edit?usp=sharing"",""ยะลา!J438"")"),0)</f>
        <v>0</v>
      </c>
      <c r="AG84" s="63">
        <f t="shared" ca="1" si="12"/>
        <v>0</v>
      </c>
      <c r="AH84" s="57">
        <f ca="1">IFERROR(__xludf.DUMMYFUNCTION("IMPORTRANGE(""https://docs.google.com/spreadsheets/d/1ctPm1vUzcUCPuOj9-eoHUD85PqINFqUB0TjdSWmR5-c/edit?usp=sharing"",""ยะลา!I439"")"),10)</f>
        <v>10</v>
      </c>
      <c r="AI84" s="57">
        <f ca="1">IFERROR(__xludf.DUMMYFUNCTION("IMPORTRANGE(""https://docs.google.com/spreadsheets/d/1ctPm1vUzcUCPuOj9-eoHUD85PqINFqUB0TjdSWmR5-c/edit?usp=sharing"",""ยะลา!I440"")"),1)</f>
        <v>1</v>
      </c>
      <c r="AJ84" s="57">
        <f ca="1">IFERROR(__xludf.DUMMYFUNCTION("IMPORTRANGE(""https://docs.google.com/spreadsheets/d/1ctPm1vUzcUCPuOj9-eoHUD85PqINFqUB0TjdSWmR5-c/edit?usp=sharing"",""ยะลา!J439"")"),10)</f>
        <v>10</v>
      </c>
      <c r="AK84" s="63">
        <f t="shared" ca="1" si="30"/>
        <v>100</v>
      </c>
      <c r="AL84" s="57">
        <f ca="1">IFERROR(__xludf.DUMMYFUNCTION("IMPORTRANGE(""https://docs.google.com/spreadsheets/d/1ctPm1vUzcUCPuOj9-eoHUD85PqINFqUB0TjdSWmR5-c/edit?usp=sharing"",""ยะลา!J440"")"),1)</f>
        <v>1</v>
      </c>
      <c r="AM84" s="63">
        <f t="shared" ca="1" si="15"/>
        <v>100</v>
      </c>
      <c r="AN84" s="57">
        <f ca="1">IFERROR(__xludf.DUMMYFUNCTION("IMPORTRANGE(""https://docs.google.com/spreadsheets/d/1ctPm1vUzcUCPuOj9-eoHUD85PqINFqUB0TjdSWmR5-c/edit?usp=sharing"",""ยะลา!I441"")"),0)</f>
        <v>0</v>
      </c>
      <c r="AO84" s="57">
        <f ca="1">IFERROR(__xludf.DUMMYFUNCTION("IMPORTRANGE(""https://docs.google.com/spreadsheets/d/1ctPm1vUzcUCPuOj9-eoHUD85PqINFqUB0TjdSWmR5-c/edit?usp=sharing"",""ยะลา!J441"")"),0)</f>
        <v>0</v>
      </c>
      <c r="AP84" s="63">
        <f t="shared" ca="1" si="31"/>
        <v>0</v>
      </c>
    </row>
    <row r="85" spans="1:42" ht="21" customHeight="1" x14ac:dyDescent="0.3">
      <c r="A85" s="54">
        <v>11</v>
      </c>
      <c r="B85" s="55" t="s">
        <v>106</v>
      </c>
      <c r="C85" s="56">
        <f t="shared" ca="1" si="69"/>
        <v>66560</v>
      </c>
      <c r="D85" s="57">
        <f ca="1">IFERROR(__xludf.DUMMYFUNCTION("IMPORTRANGE(""https://docs.google.com/spreadsheets/d/1YiDIE7Klmt8osgdapRqYWNr7iPGFSsiJqq46S7PYRE0/edit?usp=sharing"",""ระนอง!L424"")"),66560)</f>
        <v>66560</v>
      </c>
      <c r="E85" s="64">
        <f ca="1">IFERROR(__xludf.DUMMYFUNCTION("IMPORTRANGE(""https://docs.google.com/spreadsheets/d/1YiDIE7Klmt8osgdapRqYWNr7iPGFSsiJqq46S7PYRE0/edit?usp=sharing"",""ระนอง!L431"")"),0)</f>
        <v>0</v>
      </c>
      <c r="F85" s="64">
        <f ca="1">IFERROR(__xludf.DUMMYFUNCTION("IMPORTRANGE(""https://docs.google.com/spreadsheets/d/1YiDIE7Klmt8osgdapRqYWNr7iPGFSsiJqq46S7PYRE0/edit?usp=sharing"",""ระนอง!M424"")"),66560)</f>
        <v>66560</v>
      </c>
      <c r="G85" s="64">
        <f ca="1">IFERROR(__xludf.DUMMYFUNCTION("IMPORTRANGE(""https://docs.google.com/spreadsheets/d/1YiDIE7Klmt8osgdapRqYWNr7iPGFSsiJqq46S7PYRE0/edit?usp=sharing"",""ระนอง!M431"")"),0)</f>
        <v>0</v>
      </c>
      <c r="H85" s="58">
        <f t="shared" ca="1" si="26"/>
        <v>42003.18</v>
      </c>
      <c r="I85" s="59">
        <f t="shared" ca="1" si="1"/>
        <v>63.105739182692311</v>
      </c>
      <c r="J85" s="60">
        <f t="shared" ca="1" si="70"/>
        <v>42003.18</v>
      </c>
      <c r="K85" s="61">
        <f t="shared" ca="1" si="33"/>
        <v>63.105739182692311</v>
      </c>
      <c r="L85" s="60">
        <f t="shared" ca="1" si="34"/>
        <v>63.105739182692311</v>
      </c>
      <c r="M85" s="64">
        <f ca="1">IFERROR(__xludf.DUMMYFUNCTION("IMPORTRANGE(""https://docs.google.com/spreadsheets/d/1YiDIE7Klmt8osgdapRqYWNr7iPGFSsiJqq46S7PYRE0/edit?usp=sharing"",""ระนอง!N425"")"),25125)</f>
        <v>25125</v>
      </c>
      <c r="N85" s="64">
        <f ca="1">IFERROR(__xludf.DUMMYFUNCTION("IMPORTRANGE(""https://docs.google.com/spreadsheets/d/1YiDIE7Klmt8osgdapRqYWNr7iPGFSsiJqq46S7PYRE0/edit?usp=sharing"",""ระนอง!N426"")"),0)</f>
        <v>0</v>
      </c>
      <c r="O85" s="64">
        <f ca="1">IFERROR(__xludf.DUMMYFUNCTION("IMPORTRANGE(""https://docs.google.com/spreadsheets/d/1YiDIE7Klmt8osgdapRqYWNr7iPGFSsiJqq46S7PYRE0/edit?usp=sharing"",""ระนอง!N427"")"),0)</f>
        <v>0</v>
      </c>
      <c r="P85" s="64">
        <f ca="1">IFERROR(__xludf.DUMMYFUNCTION("IMPORTRANGE(""https://docs.google.com/spreadsheets/d/1YiDIE7Klmt8osgdapRqYWNr7iPGFSsiJqq46S7PYRE0/edit?usp=sharing"",""ระนอง!N428"")"),16878.18)</f>
        <v>16878.18</v>
      </c>
      <c r="Q85" s="62">
        <f ca="1">IFERROR(__xludf.DUMMYFUNCTION("IMPORTRANGE(""https://docs.google.com/spreadsheets/d/1YiDIE7Klmt8osgdapRqYWNr7iPGFSsiJqq46S7PYRE0/edit?usp=sharing"",""ระนอง!N431"")"),0)</f>
        <v>0</v>
      </c>
      <c r="R85" s="62">
        <f t="shared" ca="1" si="36"/>
        <v>0</v>
      </c>
      <c r="S85" s="57">
        <f ca="1">IFERROR(__xludf.DUMMYFUNCTION("IMPORTRANGE(""https://docs.google.com/spreadsheets/d/1YiDIE7Klmt8osgdapRqYWNr7iPGFSsiJqq46S7PYRE0/edit?usp=sharing"",""ระนอง!I433"")"),15)</f>
        <v>15</v>
      </c>
      <c r="T85" s="57">
        <f ca="1">IFERROR(__xludf.DUMMYFUNCTION("IMPORTRANGE(""https://docs.google.com/spreadsheets/d/1YiDIE7Klmt8osgdapRqYWNr7iPGFSsiJqq46S7PYRE0/edit?usp=sharing"",""ระนอง!I434"")"),1)</f>
        <v>1</v>
      </c>
      <c r="U85" s="57">
        <f ca="1">IFERROR(__xludf.DUMMYFUNCTION("IMPORTRANGE(""https://docs.google.com/spreadsheets/d/1YiDIE7Klmt8osgdapRqYWNr7iPGFSsiJqq46S7PYRE0/edit?usp=sharing"",""ระนอง!J433"")"),15)</f>
        <v>15</v>
      </c>
      <c r="V85" s="63">
        <f t="shared" ca="1" si="27"/>
        <v>100</v>
      </c>
      <c r="W85" s="57">
        <f ca="1">IFERROR(__xludf.DUMMYFUNCTION("IMPORTRANGE(""https://docs.google.com/spreadsheets/d/1YiDIE7Klmt8osgdapRqYWNr7iPGFSsiJqq46S7PYRE0/edit?usp=sharing"",""ระนอง!J434"")"),1)</f>
        <v>1</v>
      </c>
      <c r="X85" s="63">
        <f t="shared" ca="1" si="7"/>
        <v>100</v>
      </c>
      <c r="Y85" s="57">
        <f ca="1">IFERROR(__xludf.DUMMYFUNCTION("IMPORTRANGE(""https://docs.google.com/spreadsheets/d/1YiDIE7Klmt8osgdapRqYWNr7iPGFSsiJqq46S7PYRE0/edit?usp=sharing"",""ระนอง!I435"")"),15)</f>
        <v>15</v>
      </c>
      <c r="Z85" s="57">
        <f ca="1">IFERROR(__xludf.DUMMYFUNCTION("IMPORTRANGE(""https://docs.google.com/spreadsheets/d/1YiDIE7Klmt8osgdapRqYWNr7iPGFSsiJqq46S7PYRE0/edit?usp=sharing"",""ระนอง!J435"")"),15)</f>
        <v>15</v>
      </c>
      <c r="AA85" s="63">
        <f t="shared" ca="1" si="28"/>
        <v>100</v>
      </c>
      <c r="AB85" s="57">
        <f ca="1">IFERROR(__xludf.DUMMYFUNCTION("IMPORTRANGE(""https://docs.google.com/spreadsheets/d/1YiDIE7Klmt8osgdapRqYWNr7iPGFSsiJqq46S7PYRE0/edit?usp=sharing"",""ระนอง!I437"")"),0)</f>
        <v>0</v>
      </c>
      <c r="AC85" s="57">
        <f ca="1">IFERROR(__xludf.DUMMYFUNCTION("IMPORTRANGE(""https://docs.google.com/spreadsheets/d/1YiDIE7Klmt8osgdapRqYWNr7iPGFSsiJqq46S7PYRE0/edit?usp=sharing"",""ระนอง!I438"")"),0)</f>
        <v>0</v>
      </c>
      <c r="AD85" s="57">
        <f ca="1">IFERROR(__xludf.DUMMYFUNCTION("IMPORTRANGE(""https://docs.google.com/spreadsheets/d/1YiDIE7Klmt8osgdapRqYWNr7iPGFSsiJqq46S7PYRE0/edit?usp=sharing"",""ระนอง!J437"")"),0)</f>
        <v>0</v>
      </c>
      <c r="AE85" s="63">
        <f t="shared" ca="1" si="29"/>
        <v>0</v>
      </c>
      <c r="AF85" s="57">
        <f ca="1">IFERROR(__xludf.DUMMYFUNCTION("IMPORTRANGE(""https://docs.google.com/spreadsheets/d/1YiDIE7Klmt8osgdapRqYWNr7iPGFSsiJqq46S7PYRE0/edit?usp=sharing"",""ระนอง!J438"")"),0)</f>
        <v>0</v>
      </c>
      <c r="AG85" s="63">
        <f t="shared" ca="1" si="12"/>
        <v>0</v>
      </c>
      <c r="AH85" s="57">
        <f ca="1">IFERROR(__xludf.DUMMYFUNCTION("IMPORTRANGE(""https://docs.google.com/spreadsheets/d/1YiDIE7Klmt8osgdapRqYWNr7iPGFSsiJqq46S7PYRE0/edit?usp=sharing"",""ระนอง!I439"")"),15)</f>
        <v>15</v>
      </c>
      <c r="AI85" s="57">
        <f ca="1">IFERROR(__xludf.DUMMYFUNCTION("IMPORTRANGE(""https://docs.google.com/spreadsheets/d/1YiDIE7Klmt8osgdapRqYWNr7iPGFSsiJqq46S7PYRE0/edit?usp=sharing"",""ระนอง!I440"")"),1)</f>
        <v>1</v>
      </c>
      <c r="AJ85" s="57">
        <f ca="1">IFERROR(__xludf.DUMMYFUNCTION("IMPORTRANGE(""https://docs.google.com/spreadsheets/d/1YiDIE7Klmt8osgdapRqYWNr7iPGFSsiJqq46S7PYRE0/edit?usp=sharing"",""ระนอง!J439"")"),15)</f>
        <v>15</v>
      </c>
      <c r="AK85" s="63">
        <f t="shared" ca="1" si="30"/>
        <v>100</v>
      </c>
      <c r="AL85" s="57">
        <f ca="1">IFERROR(__xludf.DUMMYFUNCTION("IMPORTRANGE(""https://docs.google.com/spreadsheets/d/1YiDIE7Klmt8osgdapRqYWNr7iPGFSsiJqq46S7PYRE0/edit?usp=sharing"",""ระนอง!J440"")"),1)</f>
        <v>1</v>
      </c>
      <c r="AM85" s="63">
        <f t="shared" ca="1" si="15"/>
        <v>100</v>
      </c>
      <c r="AN85" s="57">
        <f ca="1">IFERROR(__xludf.DUMMYFUNCTION("IMPORTRANGE(""https://docs.google.com/spreadsheets/d/1YiDIE7Klmt8osgdapRqYWNr7iPGFSsiJqq46S7PYRE0/edit?usp=sharing"",""ระนอง!I441"")"),0)</f>
        <v>0</v>
      </c>
      <c r="AO85" s="57">
        <f ca="1">IFERROR(__xludf.DUMMYFUNCTION("IMPORTRANGE(""https://docs.google.com/spreadsheets/d/1YiDIE7Klmt8osgdapRqYWNr7iPGFSsiJqq46S7PYRE0/edit?usp=sharing"",""ระนอง!J441"")"),0)</f>
        <v>0</v>
      </c>
      <c r="AP85" s="63">
        <f t="shared" ca="1" si="31"/>
        <v>0</v>
      </c>
    </row>
    <row r="86" spans="1:42" ht="24" customHeight="1" x14ac:dyDescent="0.3">
      <c r="A86" s="54">
        <v>12</v>
      </c>
      <c r="B86" s="55" t="s">
        <v>107</v>
      </c>
      <c r="C86" s="56">
        <f t="shared" ca="1" si="69"/>
        <v>78660</v>
      </c>
      <c r="D86" s="57">
        <f ca="1">IFERROR(__xludf.DUMMYFUNCTION("IMPORTRANGE(""https://docs.google.com/spreadsheets/d/16o_4B-V7AWw_6E93bSpXj_XxVv1oVQctk-B6z1dNEWU/edit?usp=sharing"",""สงขลา!L424"")"),78660)</f>
        <v>78660</v>
      </c>
      <c r="E86" s="64">
        <f ca="1">IFERROR(__xludf.DUMMYFUNCTION("IMPORTRANGE(""https://docs.google.com/spreadsheets/d/16o_4B-V7AWw_6E93bSpXj_XxVv1oVQctk-B6z1dNEWU/edit?usp=sharing"",""สงขลา!L431"")"),0)</f>
        <v>0</v>
      </c>
      <c r="F86" s="64">
        <f ca="1">IFERROR(__xludf.DUMMYFUNCTION("IMPORTRANGE(""https://docs.google.com/spreadsheets/d/16o_4B-V7AWw_6E93bSpXj_XxVv1oVQctk-B6z1dNEWU/edit?usp=sharing"",""สงขลา!M424"")"),78660)</f>
        <v>78660</v>
      </c>
      <c r="G86" s="64">
        <f ca="1">IFERROR(__xludf.DUMMYFUNCTION("IMPORTRANGE(""https://docs.google.com/spreadsheets/d/16o_4B-V7AWw_6E93bSpXj_XxVv1oVQctk-B6z1dNEWU/edit?usp=sharing"",""สงขลา!M431"")"),0)</f>
        <v>0</v>
      </c>
      <c r="H86" s="58">
        <f t="shared" ca="1" si="26"/>
        <v>73740</v>
      </c>
      <c r="I86" s="59">
        <f t="shared" ca="1" si="1"/>
        <v>93.745232646834481</v>
      </c>
      <c r="J86" s="60">
        <f t="shared" ca="1" si="70"/>
        <v>73740</v>
      </c>
      <c r="K86" s="61">
        <f t="shared" ca="1" si="33"/>
        <v>93.745232646834481</v>
      </c>
      <c r="L86" s="60">
        <f t="shared" ca="1" si="34"/>
        <v>93.745232646834481</v>
      </c>
      <c r="M86" s="64">
        <f ca="1">IFERROR(__xludf.DUMMYFUNCTION("IMPORTRANGE(""https://docs.google.com/spreadsheets/d/16o_4B-V7AWw_6E93bSpXj_XxVv1oVQctk-B6z1dNEWU/edit?usp=sharing"",""สงขลา!N425"")"),48400)</f>
        <v>48400</v>
      </c>
      <c r="N86" s="64">
        <f ca="1">IFERROR(__xludf.DUMMYFUNCTION("IMPORTRANGE(""https://docs.google.com/spreadsheets/d/16o_4B-V7AWw_6E93bSpXj_XxVv1oVQctk-B6z1dNEWU/edit?usp=sharing"",""สงขลา!N426"")"),0)</f>
        <v>0</v>
      </c>
      <c r="O86" s="64">
        <f ca="1">IFERROR(__xludf.DUMMYFUNCTION("IMPORTRANGE(""https://docs.google.com/spreadsheets/d/16o_4B-V7AWw_6E93bSpXj_XxVv1oVQctk-B6z1dNEWU/edit?usp=sharing"",""สงขลา!N427"")"),0)</f>
        <v>0</v>
      </c>
      <c r="P86" s="64">
        <f ca="1">IFERROR(__xludf.DUMMYFUNCTION("IMPORTRANGE(""https://docs.google.com/spreadsheets/d/16o_4B-V7AWw_6E93bSpXj_XxVv1oVQctk-B6z1dNEWU/edit?usp=sharing"",""สงขลา!N428"")"),25340)</f>
        <v>25340</v>
      </c>
      <c r="Q86" s="62">
        <f ca="1">IFERROR(__xludf.DUMMYFUNCTION("IMPORTRANGE(""https://docs.google.com/spreadsheets/d/16o_4B-V7AWw_6E93bSpXj_XxVv1oVQctk-B6z1dNEWU/edit?usp=sharing"",""สงขลา!N431"")"),0)</f>
        <v>0</v>
      </c>
      <c r="R86" s="62">
        <f t="shared" ca="1" si="36"/>
        <v>0</v>
      </c>
      <c r="S86" s="57">
        <f ca="1">IFERROR(__xludf.DUMMYFUNCTION("IMPORTRANGE(""https://docs.google.com/spreadsheets/d/16o_4B-V7AWw_6E93bSpXj_XxVv1oVQctk-B6z1dNEWU/edit?usp=sharing"",""สงขลา!I433"")"),20)</f>
        <v>20</v>
      </c>
      <c r="T86" s="57">
        <f ca="1">IFERROR(__xludf.DUMMYFUNCTION("IMPORTRANGE(""https://docs.google.com/spreadsheets/d/16o_4B-V7AWw_6E93bSpXj_XxVv1oVQctk-B6z1dNEWU/edit?usp=sharing"",""สงขลา!I434"")"),1)</f>
        <v>1</v>
      </c>
      <c r="U86" s="57">
        <f ca="1">IFERROR(__xludf.DUMMYFUNCTION("IMPORTRANGE(""https://docs.google.com/spreadsheets/d/16o_4B-V7AWw_6E93bSpXj_XxVv1oVQctk-B6z1dNEWU/edit?usp=sharing"",""สงขลา!J433"")"),20)</f>
        <v>20</v>
      </c>
      <c r="V86" s="63">
        <f t="shared" ca="1" si="27"/>
        <v>100</v>
      </c>
      <c r="W86" s="57">
        <f ca="1">IFERROR(__xludf.DUMMYFUNCTION("IMPORTRANGE(""https://docs.google.com/spreadsheets/d/16o_4B-V7AWw_6E93bSpXj_XxVv1oVQctk-B6z1dNEWU/edit?usp=sharing"",""สงขลา!J434"")"),0)</f>
        <v>0</v>
      </c>
      <c r="X86" s="63">
        <f t="shared" ca="1" si="7"/>
        <v>0</v>
      </c>
      <c r="Y86" s="57">
        <f ca="1">IFERROR(__xludf.DUMMYFUNCTION("IMPORTRANGE(""https://docs.google.com/spreadsheets/d/16o_4B-V7AWw_6E93bSpXj_XxVv1oVQctk-B6z1dNEWU/edit?usp=sharing"",""สงขลา!I435"")"),20)</f>
        <v>20</v>
      </c>
      <c r="Z86" s="57">
        <f ca="1">IFERROR(__xludf.DUMMYFUNCTION("IMPORTRANGE(""https://docs.google.com/spreadsheets/d/16o_4B-V7AWw_6E93bSpXj_XxVv1oVQctk-B6z1dNEWU/edit?usp=sharing"",""สงขลา!J435"")"),20)</f>
        <v>20</v>
      </c>
      <c r="AA86" s="63">
        <f t="shared" ca="1" si="28"/>
        <v>100</v>
      </c>
      <c r="AB86" s="57">
        <f ca="1">IFERROR(__xludf.DUMMYFUNCTION("IMPORTRANGE(""https://docs.google.com/spreadsheets/d/16o_4B-V7AWw_6E93bSpXj_XxVv1oVQctk-B6z1dNEWU/edit?usp=sharing"",""สงขลา!I437"")"),0)</f>
        <v>0</v>
      </c>
      <c r="AC86" s="57">
        <f ca="1">IFERROR(__xludf.DUMMYFUNCTION("IMPORTRANGE(""https://docs.google.com/spreadsheets/d/16o_4B-V7AWw_6E93bSpXj_XxVv1oVQctk-B6z1dNEWU/edit?usp=sharing"",""สงขลา!I438"")"),0)</f>
        <v>0</v>
      </c>
      <c r="AD86" s="57">
        <f ca="1">IFERROR(__xludf.DUMMYFUNCTION("IMPORTRANGE(""https://docs.google.com/spreadsheets/d/16o_4B-V7AWw_6E93bSpXj_XxVv1oVQctk-B6z1dNEWU/edit?usp=sharing"",""สงขลา!J437"")"),0)</f>
        <v>0</v>
      </c>
      <c r="AE86" s="63">
        <f t="shared" ca="1" si="29"/>
        <v>0</v>
      </c>
      <c r="AF86" s="57">
        <f ca="1">IFERROR(__xludf.DUMMYFUNCTION("IMPORTRANGE(""https://docs.google.com/spreadsheets/d/16o_4B-V7AWw_6E93bSpXj_XxVv1oVQctk-B6z1dNEWU/edit?usp=sharing"",""สงขลา!J438"")"),0)</f>
        <v>0</v>
      </c>
      <c r="AG86" s="63">
        <f t="shared" ca="1" si="12"/>
        <v>0</v>
      </c>
      <c r="AH86" s="57">
        <f ca="1">IFERROR(__xludf.DUMMYFUNCTION("IMPORTRANGE(""https://docs.google.com/spreadsheets/d/16o_4B-V7AWw_6E93bSpXj_XxVv1oVQctk-B6z1dNEWU/edit?usp=sharing"",""สงขลา!I439"")"),20)</f>
        <v>20</v>
      </c>
      <c r="AI86" s="57">
        <f ca="1">IFERROR(__xludf.DUMMYFUNCTION("IMPORTRANGE(""https://docs.google.com/spreadsheets/d/16o_4B-V7AWw_6E93bSpXj_XxVv1oVQctk-B6z1dNEWU/edit?usp=sharing"",""สงขลา!I440"")"),1)</f>
        <v>1</v>
      </c>
      <c r="AJ86" s="57">
        <f ca="1">IFERROR(__xludf.DUMMYFUNCTION("IMPORTRANGE(""https://docs.google.com/spreadsheets/d/16o_4B-V7AWw_6E93bSpXj_XxVv1oVQctk-B6z1dNEWU/edit?usp=sharing"",""สงขลา!J439"")"),20)</f>
        <v>20</v>
      </c>
      <c r="AK86" s="63">
        <f t="shared" ca="1" si="30"/>
        <v>100</v>
      </c>
      <c r="AL86" s="57">
        <f ca="1">IFERROR(__xludf.DUMMYFUNCTION("IMPORTRANGE(""https://docs.google.com/spreadsheets/d/16o_4B-V7AWw_6E93bSpXj_XxVv1oVQctk-B6z1dNEWU/edit?usp=sharing"",""สงขลา!J440"")"),0)</f>
        <v>0</v>
      </c>
      <c r="AM86" s="63">
        <f t="shared" ca="1" si="15"/>
        <v>0</v>
      </c>
      <c r="AN86" s="57">
        <f ca="1">IFERROR(__xludf.DUMMYFUNCTION("IMPORTRANGE(""https://docs.google.com/spreadsheets/d/16o_4B-V7AWw_6E93bSpXj_XxVv1oVQctk-B6z1dNEWU/edit?usp=sharing"",""สงขลา!I441"")"),0)</f>
        <v>0</v>
      </c>
      <c r="AO86" s="57">
        <f ca="1">IFERROR(__xludf.DUMMYFUNCTION("IMPORTRANGE(""https://docs.google.com/spreadsheets/d/16o_4B-V7AWw_6E93bSpXj_XxVv1oVQctk-B6z1dNEWU/edit?usp=sharing"",""สงขลา!J441"")"),0)</f>
        <v>0</v>
      </c>
      <c r="AP86" s="63">
        <f t="shared" ca="1" si="31"/>
        <v>0</v>
      </c>
    </row>
    <row r="87" spans="1:42" ht="24" customHeight="1" x14ac:dyDescent="0.3">
      <c r="A87" s="54">
        <v>13</v>
      </c>
      <c r="B87" s="55" t="s">
        <v>108</v>
      </c>
      <c r="C87" s="56">
        <f t="shared" ca="1" si="69"/>
        <v>66560</v>
      </c>
      <c r="D87" s="57">
        <f ca="1">IFERROR(__xludf.DUMMYFUNCTION("IMPORTRANGE(""https://docs.google.com/spreadsheets/d/16cywr71Fj4fA5OGRHsZh30ZG2gwJhMAQv69oVBzYHv0/edit?usp=sharing"",""สตูล!L424"")"),66560)</f>
        <v>66560</v>
      </c>
      <c r="E87" s="64">
        <f ca="1">IFERROR(__xludf.DUMMYFUNCTION("IMPORTRANGE(""https://docs.google.com/spreadsheets/d/16cywr71Fj4fA5OGRHsZh30ZG2gwJhMAQv69oVBzYHv0/edit?usp=sharing"",""สตูล!L431"")"),0)</f>
        <v>0</v>
      </c>
      <c r="F87" s="64">
        <f ca="1">IFERROR(__xludf.DUMMYFUNCTION("IMPORTRANGE(""https://docs.google.com/spreadsheets/d/16cywr71Fj4fA5OGRHsZh30ZG2gwJhMAQv69oVBzYHv0/edit?usp=sharing"",""สตูล!M424"")"),66560)</f>
        <v>66560</v>
      </c>
      <c r="G87" s="64">
        <f ca="1">IFERROR(__xludf.DUMMYFUNCTION("IMPORTRANGE(""https://docs.google.com/spreadsheets/d/16cywr71Fj4fA5OGRHsZh30ZG2gwJhMAQv69oVBzYHv0/edit?usp=sharing"",""สตูล!M431"")"),0)</f>
        <v>0</v>
      </c>
      <c r="H87" s="58">
        <f t="shared" ca="1" si="26"/>
        <v>56574</v>
      </c>
      <c r="I87" s="59">
        <f t="shared" ca="1" si="1"/>
        <v>84.996995192307693</v>
      </c>
      <c r="J87" s="60">
        <f t="shared" ca="1" si="70"/>
        <v>56574</v>
      </c>
      <c r="K87" s="61">
        <f t="shared" ca="1" si="33"/>
        <v>84.996995192307693</v>
      </c>
      <c r="L87" s="60">
        <f t="shared" ca="1" si="34"/>
        <v>84.996995192307693</v>
      </c>
      <c r="M87" s="64">
        <f ca="1">IFERROR(__xludf.DUMMYFUNCTION("IMPORTRANGE(""https://docs.google.com/spreadsheets/d/16cywr71Fj4fA5OGRHsZh30ZG2gwJhMAQv69oVBzYHv0/edit?usp=sharing"",""สตูล!N425"")"),36300)</f>
        <v>36300</v>
      </c>
      <c r="N87" s="64">
        <f ca="1">IFERROR(__xludf.DUMMYFUNCTION("IMPORTRANGE(""https://docs.google.com/spreadsheets/d/16cywr71Fj4fA5OGRHsZh30ZG2gwJhMAQv69oVBzYHv0/edit?usp=sharing"",""สตูล!N426"")"),0)</f>
        <v>0</v>
      </c>
      <c r="O87" s="64">
        <f ca="1">IFERROR(__xludf.DUMMYFUNCTION("IMPORTRANGE(""https://docs.google.com/spreadsheets/d/16cywr71Fj4fA5OGRHsZh30ZG2gwJhMAQv69oVBzYHv0/edit?usp=sharing"",""สตูล!N427"")"),0)</f>
        <v>0</v>
      </c>
      <c r="P87" s="64">
        <f ca="1">IFERROR(__xludf.DUMMYFUNCTION("IMPORTRANGE(""https://docs.google.com/spreadsheets/d/16cywr71Fj4fA5OGRHsZh30ZG2gwJhMAQv69oVBzYHv0/edit?usp=sharing"",""สตูล!N428"")"),20274)</f>
        <v>20274</v>
      </c>
      <c r="Q87" s="62">
        <f ca="1">IFERROR(__xludf.DUMMYFUNCTION("IMPORTRANGE(""https://docs.google.com/spreadsheets/d/16cywr71Fj4fA5OGRHsZh30ZG2gwJhMAQv69oVBzYHv0/edit?usp=sharing"",""สตูล!N431"")"),0)</f>
        <v>0</v>
      </c>
      <c r="R87" s="62">
        <f t="shared" ca="1" si="36"/>
        <v>0</v>
      </c>
      <c r="S87" s="57">
        <f ca="1">IFERROR(__xludf.DUMMYFUNCTION("IMPORTRANGE(""https://docs.google.com/spreadsheets/d/16cywr71Fj4fA5OGRHsZh30ZG2gwJhMAQv69oVBzYHv0/edit?usp=sharing"",""สตูล!I433"")"),15)</f>
        <v>15</v>
      </c>
      <c r="T87" s="57">
        <f ca="1">IFERROR(__xludf.DUMMYFUNCTION("IMPORTRANGE(""https://docs.google.com/spreadsheets/d/16cywr71Fj4fA5OGRHsZh30ZG2gwJhMAQv69oVBzYHv0/edit?usp=sharing"",""สตูล!I434"")"),1)</f>
        <v>1</v>
      </c>
      <c r="U87" s="57">
        <f ca="1">IFERROR(__xludf.DUMMYFUNCTION("IMPORTRANGE(""https://docs.google.com/spreadsheets/d/16cywr71Fj4fA5OGRHsZh30ZG2gwJhMAQv69oVBzYHv0/edit?usp=sharing"",""สตูล!J433"")"),15)</f>
        <v>15</v>
      </c>
      <c r="V87" s="63">
        <f t="shared" ca="1" si="27"/>
        <v>100</v>
      </c>
      <c r="W87" s="57">
        <f ca="1">IFERROR(__xludf.DUMMYFUNCTION("IMPORTRANGE(""https://docs.google.com/spreadsheets/d/16cywr71Fj4fA5OGRHsZh30ZG2gwJhMAQv69oVBzYHv0/edit?usp=sharing"",""สตูล!J434"")"),1)</f>
        <v>1</v>
      </c>
      <c r="X87" s="63">
        <f t="shared" ca="1" si="7"/>
        <v>100</v>
      </c>
      <c r="Y87" s="57">
        <f ca="1">IFERROR(__xludf.DUMMYFUNCTION("IMPORTRANGE(""https://docs.google.com/spreadsheets/d/16cywr71Fj4fA5OGRHsZh30ZG2gwJhMAQv69oVBzYHv0/edit?usp=sharing"",""สตูล!I435"")"),15)</f>
        <v>15</v>
      </c>
      <c r="Z87" s="57">
        <f ca="1">IFERROR(__xludf.DUMMYFUNCTION("IMPORTRANGE(""https://docs.google.com/spreadsheets/d/16cywr71Fj4fA5OGRHsZh30ZG2gwJhMAQv69oVBzYHv0/edit?usp=sharing"",""สตูล!J435"")"),15)</f>
        <v>15</v>
      </c>
      <c r="AA87" s="63">
        <f t="shared" ca="1" si="28"/>
        <v>100</v>
      </c>
      <c r="AB87" s="57">
        <f ca="1">IFERROR(__xludf.DUMMYFUNCTION("IMPORTRANGE(""https://docs.google.com/spreadsheets/d/16cywr71Fj4fA5OGRHsZh30ZG2gwJhMAQv69oVBzYHv0/edit?usp=sharing"",""สตูล!I437"")"),0)</f>
        <v>0</v>
      </c>
      <c r="AC87" s="57">
        <f ca="1">IFERROR(__xludf.DUMMYFUNCTION("IMPORTRANGE(""https://docs.google.com/spreadsheets/d/16cywr71Fj4fA5OGRHsZh30ZG2gwJhMAQv69oVBzYHv0/edit?usp=sharing"",""สตูล!I438"")"),0)</f>
        <v>0</v>
      </c>
      <c r="AD87" s="57">
        <f ca="1">IFERROR(__xludf.DUMMYFUNCTION("IMPORTRANGE(""https://docs.google.com/spreadsheets/d/16cywr71Fj4fA5OGRHsZh30ZG2gwJhMAQv69oVBzYHv0/edit?usp=sharing"",""สตูล!J437"")"),0)</f>
        <v>0</v>
      </c>
      <c r="AE87" s="63">
        <f t="shared" ca="1" si="29"/>
        <v>0</v>
      </c>
      <c r="AF87" s="57">
        <f ca="1">IFERROR(__xludf.DUMMYFUNCTION("IMPORTRANGE(""https://docs.google.com/spreadsheets/d/16cywr71Fj4fA5OGRHsZh30ZG2gwJhMAQv69oVBzYHv0/edit?usp=sharing"",""สตูล!J438"")"),0)</f>
        <v>0</v>
      </c>
      <c r="AG87" s="63">
        <f t="shared" ca="1" si="12"/>
        <v>0</v>
      </c>
      <c r="AH87" s="57">
        <f ca="1">IFERROR(__xludf.DUMMYFUNCTION("IMPORTRANGE(""https://docs.google.com/spreadsheets/d/16cywr71Fj4fA5OGRHsZh30ZG2gwJhMAQv69oVBzYHv0/edit?usp=sharing"",""สตูล!I439"")"),15)</f>
        <v>15</v>
      </c>
      <c r="AI87" s="57">
        <f ca="1">IFERROR(__xludf.DUMMYFUNCTION("IMPORTRANGE(""https://docs.google.com/spreadsheets/d/16cywr71Fj4fA5OGRHsZh30ZG2gwJhMAQv69oVBzYHv0/edit?usp=sharing"",""สตูล!I440"")"),1)</f>
        <v>1</v>
      </c>
      <c r="AJ87" s="57">
        <f ca="1">IFERROR(__xludf.DUMMYFUNCTION("IMPORTRANGE(""https://docs.google.com/spreadsheets/d/16cywr71Fj4fA5OGRHsZh30ZG2gwJhMAQv69oVBzYHv0/edit?usp=sharing"",""สตูล!J439"")"),15)</f>
        <v>15</v>
      </c>
      <c r="AK87" s="63">
        <f t="shared" ca="1" si="30"/>
        <v>100</v>
      </c>
      <c r="AL87" s="57">
        <f ca="1">IFERROR(__xludf.DUMMYFUNCTION("IMPORTRANGE(""https://docs.google.com/spreadsheets/d/16cywr71Fj4fA5OGRHsZh30ZG2gwJhMAQv69oVBzYHv0/edit?usp=sharing"",""สตูล!J440"")"),1)</f>
        <v>1</v>
      </c>
      <c r="AM87" s="63">
        <f t="shared" ca="1" si="15"/>
        <v>100</v>
      </c>
      <c r="AN87" s="57">
        <f ca="1">IFERROR(__xludf.DUMMYFUNCTION("IMPORTRANGE(""https://docs.google.com/spreadsheets/d/16cywr71Fj4fA5OGRHsZh30ZG2gwJhMAQv69oVBzYHv0/edit?usp=sharing"",""สตูล!I441"")"),0)</f>
        <v>0</v>
      </c>
      <c r="AO87" s="57">
        <f ca="1">IFERROR(__xludf.DUMMYFUNCTION("IMPORTRANGE(""https://docs.google.com/spreadsheets/d/16cywr71Fj4fA5OGRHsZh30ZG2gwJhMAQv69oVBzYHv0/edit?usp=sharing"",""สตูล!J441"")"),0)</f>
        <v>0</v>
      </c>
      <c r="AP87" s="63">
        <f t="shared" ca="1" si="31"/>
        <v>0</v>
      </c>
    </row>
    <row r="88" spans="1:42" ht="24" customHeight="1" x14ac:dyDescent="0.3">
      <c r="A88" s="65">
        <v>14</v>
      </c>
      <c r="B88" s="66" t="s">
        <v>109</v>
      </c>
      <c r="C88" s="67">
        <f t="shared" ca="1" si="69"/>
        <v>149040</v>
      </c>
      <c r="D88" s="68">
        <f ca="1">IFERROR(__xludf.DUMMYFUNCTION("IMPORTRANGE(""https://docs.google.com/spreadsheets/d/1vO9Sws6kMtrVtyvrAJptINXjK8TFBoX9xLYOVK_C8bQ/edit?usp=sharing"",""สุราษฎร์ธานี!L424"")"),149040)</f>
        <v>149040</v>
      </c>
      <c r="E88" s="69">
        <f ca="1">IFERROR(__xludf.DUMMYFUNCTION("IMPORTRANGE(""https://docs.google.com/spreadsheets/d/1vO9Sws6kMtrVtyvrAJptINXjK8TFBoX9xLYOVK_C8bQ/edit?usp=sharing"",""สุราษฎร์ธานี!L431"")"),0)</f>
        <v>0</v>
      </c>
      <c r="F88" s="69">
        <f ca="1">IFERROR(__xludf.DUMMYFUNCTION("IMPORTRANGE(""https://docs.google.com/spreadsheets/d/1vO9Sws6kMtrVtyvrAJptINXjK8TFBoX9xLYOVK_C8bQ/edit?usp=sharing"",""สุราษฎร์ธานี!M424"")"),149040)</f>
        <v>149040</v>
      </c>
      <c r="G88" s="69">
        <f ca="1">IFERROR(__xludf.DUMMYFUNCTION("IMPORTRANGE(""https://docs.google.com/spreadsheets/d/1vO9Sws6kMtrVtyvrAJptINXjK8TFBoX9xLYOVK_C8bQ/edit?usp=sharing"",""สุราษฎร์ธานี!M431"")"),0)</f>
        <v>0</v>
      </c>
      <c r="H88" s="70">
        <f t="shared" ca="1" si="26"/>
        <v>120340</v>
      </c>
      <c r="I88" s="71">
        <f t="shared" ca="1" si="1"/>
        <v>80.743424584004288</v>
      </c>
      <c r="J88" s="72">
        <f t="shared" ca="1" si="70"/>
        <v>120340</v>
      </c>
      <c r="K88" s="73">
        <f t="shared" ca="1" si="33"/>
        <v>80.743424584004288</v>
      </c>
      <c r="L88" s="72">
        <f t="shared" ca="1" si="34"/>
        <v>80.743424584004288</v>
      </c>
      <c r="M88" s="69">
        <f ca="1">IFERROR(__xludf.DUMMYFUNCTION("IMPORTRANGE(""https://docs.google.com/spreadsheets/d/1vO9Sws6kMtrVtyvrAJptINXjK8TFBoX9xLYOVK_C8bQ/edit?usp=sharing"",""สุราษฎร์ธานี!N425"")"),118780)</f>
        <v>118780</v>
      </c>
      <c r="N88" s="69">
        <f ca="1">IFERROR(__xludf.DUMMYFUNCTION("IMPORTRANGE(""https://docs.google.com/spreadsheets/d/1vO9Sws6kMtrVtyvrAJptINXjK8TFBoX9xLYOVK_C8bQ/edit?usp=sharing"",""สุราษฎร์ธานี!N426"")"),0)</f>
        <v>0</v>
      </c>
      <c r="O88" s="69">
        <f ca="1">IFERROR(__xludf.DUMMYFUNCTION("IMPORTRANGE(""https://docs.google.com/spreadsheets/d/1vO9Sws6kMtrVtyvrAJptINXjK8TFBoX9xLYOVK_C8bQ/edit?usp=sharing"",""สุราษฎร์ธานี!N427"")"),0)</f>
        <v>0</v>
      </c>
      <c r="P88" s="69">
        <f ca="1">IFERROR(__xludf.DUMMYFUNCTION("IMPORTRANGE(""https://docs.google.com/spreadsheets/d/1vO9Sws6kMtrVtyvrAJptINXjK8TFBoX9xLYOVK_C8bQ/edit?usp=sharing"",""สุราษฎร์ธานี!N428"")"),1560)</f>
        <v>1560</v>
      </c>
      <c r="Q88" s="74">
        <f ca="1">IFERROR(__xludf.DUMMYFUNCTION("IMPORTRANGE(""https://docs.google.com/spreadsheets/d/1vO9Sws6kMtrVtyvrAJptINXjK8TFBoX9xLYOVK_C8bQ/edit?usp=sharing"",""สุราษฎร์ธานี!N431"")"),0)</f>
        <v>0</v>
      </c>
      <c r="R88" s="74">
        <f t="shared" ca="1" si="36"/>
        <v>0</v>
      </c>
      <c r="S88" s="68">
        <f ca="1">IFERROR(__xludf.DUMMYFUNCTION("IMPORTRANGE(""https://docs.google.com/spreadsheets/d/1vO9Sws6kMtrVtyvrAJptINXjK8TFBoX9xLYOVK_C8bQ/edit?usp=sharing"",""สุราษฎร์ธานี!I433"")"),45)</f>
        <v>45</v>
      </c>
      <c r="T88" s="68">
        <f ca="1">IFERROR(__xludf.DUMMYFUNCTION("IMPORTRANGE(""https://docs.google.com/spreadsheets/d/1vO9Sws6kMtrVtyvrAJptINXjK8TFBoX9xLYOVK_C8bQ/edit?usp=sharing"",""สุราษฎร์ธานี!I434"")"),2)</f>
        <v>2</v>
      </c>
      <c r="U88" s="68">
        <f ca="1">IFERROR(__xludf.DUMMYFUNCTION("IMPORTRANGE(""https://docs.google.com/spreadsheets/d/1vO9Sws6kMtrVtyvrAJptINXjK8TFBoX9xLYOVK_C8bQ/edit?usp=sharing"",""สุราษฎร์ธานี!J433"")"),45)</f>
        <v>45</v>
      </c>
      <c r="V88" s="75">
        <f t="shared" ca="1" si="27"/>
        <v>100</v>
      </c>
      <c r="W88" s="68">
        <f ca="1">IFERROR(__xludf.DUMMYFUNCTION("IMPORTRANGE(""https://docs.google.com/spreadsheets/d/1vO9Sws6kMtrVtyvrAJptINXjK8TFBoX9xLYOVK_C8bQ/edit?usp=sharing"",""สุราษฎร์ธานี!J434"")"),2)</f>
        <v>2</v>
      </c>
      <c r="X88" s="75">
        <f t="shared" ca="1" si="7"/>
        <v>100</v>
      </c>
      <c r="Y88" s="68">
        <f ca="1">IFERROR(__xludf.DUMMYFUNCTION("IMPORTRANGE(""https://docs.google.com/spreadsheets/d/1vO9Sws6kMtrVtyvrAJptINXjK8TFBoX9xLYOVK_C8bQ/edit?usp=sharing"",""สุราษฎร์ธานี!I435"")"),45)</f>
        <v>45</v>
      </c>
      <c r="Z88" s="68">
        <f ca="1">IFERROR(__xludf.DUMMYFUNCTION("IMPORTRANGE(""https://docs.google.com/spreadsheets/d/1vO9Sws6kMtrVtyvrAJptINXjK8TFBoX9xLYOVK_C8bQ/edit?usp=sharing"",""สุราษฎร์ธานี!J435"")"),45)</f>
        <v>45</v>
      </c>
      <c r="AA88" s="75">
        <f t="shared" ca="1" si="28"/>
        <v>100</v>
      </c>
      <c r="AB88" s="68">
        <f ca="1">IFERROR(__xludf.DUMMYFUNCTION("IMPORTRANGE(""https://docs.google.com/spreadsheets/d/1vO9Sws6kMtrVtyvrAJptINXjK8TFBoX9xLYOVK_C8bQ/edit?usp=sharing"",""สุราษฎร์ธานี!I437"")"),30)</f>
        <v>30</v>
      </c>
      <c r="AC88" s="68">
        <f ca="1">IFERROR(__xludf.DUMMYFUNCTION("IMPORTRANGE(""https://docs.google.com/spreadsheets/d/1vO9Sws6kMtrVtyvrAJptINXjK8TFBoX9xLYOVK_C8bQ/edit?usp=sharing"",""สุราษฎร์ธานี!I438"")"),1)</f>
        <v>1</v>
      </c>
      <c r="AD88" s="68">
        <f ca="1">IFERROR(__xludf.DUMMYFUNCTION("IMPORTRANGE(""https://docs.google.com/spreadsheets/d/1vO9Sws6kMtrVtyvrAJptINXjK8TFBoX9xLYOVK_C8bQ/edit?usp=sharing"",""สุราษฎร์ธานี!J437"")"),30)</f>
        <v>30</v>
      </c>
      <c r="AE88" s="75">
        <f t="shared" ca="1" si="29"/>
        <v>100</v>
      </c>
      <c r="AF88" s="68">
        <f ca="1">IFERROR(__xludf.DUMMYFUNCTION("IMPORTRANGE(""https://docs.google.com/spreadsheets/d/1vO9Sws6kMtrVtyvrAJptINXjK8TFBoX9xLYOVK_C8bQ/edit?usp=sharing"",""สุราษฎร์ธานี!J438"")"),1)</f>
        <v>1</v>
      </c>
      <c r="AG88" s="75">
        <f t="shared" ca="1" si="12"/>
        <v>100</v>
      </c>
      <c r="AH88" s="68">
        <f ca="1">IFERROR(__xludf.DUMMYFUNCTION("IMPORTRANGE(""https://docs.google.com/spreadsheets/d/1vO9Sws6kMtrVtyvrAJptINXjK8TFBoX9xLYOVK_C8bQ/edit?usp=sharing"",""สุราษฎร์ธานี!I439"")"),15)</f>
        <v>15</v>
      </c>
      <c r="AI88" s="68">
        <f ca="1">IFERROR(__xludf.DUMMYFUNCTION("IMPORTRANGE(""https://docs.google.com/spreadsheets/d/1vO9Sws6kMtrVtyvrAJptINXjK8TFBoX9xLYOVK_C8bQ/edit?usp=sharing"",""สุราษฎร์ธานี!I440"")"),1)</f>
        <v>1</v>
      </c>
      <c r="AJ88" s="68">
        <f ca="1">IFERROR(__xludf.DUMMYFUNCTION("IMPORTRANGE(""https://docs.google.com/spreadsheets/d/1vO9Sws6kMtrVtyvrAJptINXjK8TFBoX9xLYOVK_C8bQ/edit?usp=sharing"",""สุราษฎร์ธานี!J439"")"),15)</f>
        <v>15</v>
      </c>
      <c r="AK88" s="75">
        <f t="shared" ca="1" si="30"/>
        <v>100</v>
      </c>
      <c r="AL88" s="68">
        <f ca="1">IFERROR(__xludf.DUMMYFUNCTION("IMPORTRANGE(""https://docs.google.com/spreadsheets/d/1vO9Sws6kMtrVtyvrAJptINXjK8TFBoX9xLYOVK_C8bQ/edit?usp=sharing"",""สุราษฎร์ธานี!J440"")"),1)</f>
        <v>1</v>
      </c>
      <c r="AM88" s="75">
        <f t="shared" ca="1" si="15"/>
        <v>100</v>
      </c>
      <c r="AN88" s="68">
        <f ca="1">IFERROR(__xludf.DUMMYFUNCTION("IMPORTRANGE(""https://docs.google.com/spreadsheets/d/1vO9Sws6kMtrVtyvrAJptINXjK8TFBoX9xLYOVK_C8bQ/edit?usp=sharing"",""สุราษฎร์ธานี!I441"")"),0)</f>
        <v>0</v>
      </c>
      <c r="AO88" s="68">
        <f ca="1">IFERROR(__xludf.DUMMYFUNCTION("IMPORTRANGE(""https://docs.google.com/spreadsheets/d/1vO9Sws6kMtrVtyvrAJptINXjK8TFBoX9xLYOVK_C8bQ/edit?usp=sharing"",""สุราษฎร์ธานี!J441"")"),0)</f>
        <v>0</v>
      </c>
      <c r="AP88" s="75">
        <f t="shared" ca="1" si="31"/>
        <v>0</v>
      </c>
    </row>
    <row r="89" spans="1:42" ht="21" hidden="1" customHeight="1" x14ac:dyDescent="0.3">
      <c r="A89" s="187" t="s">
        <v>110</v>
      </c>
      <c r="B89" s="178"/>
      <c r="C89" s="77">
        <f>+C90+C91+C92+C93+C94+C95+C96+C97+C98+C99+C100+C101+C102+C103</f>
        <v>0</v>
      </c>
      <c r="D89" s="43"/>
      <c r="E89" s="43"/>
      <c r="F89" s="43"/>
      <c r="G89" s="43"/>
      <c r="H89" s="40">
        <f t="shared" si="26"/>
        <v>0</v>
      </c>
      <c r="I89" s="41">
        <f t="shared" si="1"/>
        <v>0</v>
      </c>
      <c r="J89" s="40">
        <f>+J90+J91+J92+J93+J94+J95+J96+J97+J98+J99+J100+J101+J102+J103</f>
        <v>0</v>
      </c>
      <c r="K89" s="43"/>
      <c r="L89" s="43"/>
      <c r="M89" s="40">
        <f t="shared" ref="M89:P89" si="71">+M90+M91+M92+M93+M94+M95+M96+M97+M98+M99+M100+M101+M102+M103</f>
        <v>0</v>
      </c>
      <c r="N89" s="40">
        <f t="shared" si="71"/>
        <v>0</v>
      </c>
      <c r="O89" s="40">
        <f t="shared" si="71"/>
        <v>0</v>
      </c>
      <c r="P89" s="40">
        <f t="shared" si="71"/>
        <v>0</v>
      </c>
      <c r="Q89" s="78"/>
      <c r="R89" s="78">
        <f t="shared" si="36"/>
        <v>0</v>
      </c>
      <c r="S89" s="43"/>
      <c r="T89" s="43"/>
      <c r="U89" s="43"/>
      <c r="V89" s="44"/>
      <c r="W89" s="43"/>
      <c r="X89" s="44"/>
      <c r="Y89" s="43"/>
      <c r="Z89" s="43"/>
      <c r="AA89" s="44"/>
      <c r="AB89" s="43"/>
      <c r="AC89" s="43"/>
      <c r="AD89" s="43"/>
      <c r="AE89" s="44"/>
      <c r="AF89" s="43"/>
      <c r="AG89" s="44"/>
      <c r="AH89" s="43"/>
      <c r="AI89" s="43"/>
      <c r="AJ89" s="43"/>
      <c r="AK89" s="44"/>
      <c r="AL89" s="43"/>
      <c r="AM89" s="44"/>
      <c r="AN89" s="43"/>
      <c r="AO89" s="43"/>
      <c r="AP89" s="44"/>
    </row>
    <row r="90" spans="1:42" ht="24" hidden="1" customHeight="1" x14ac:dyDescent="0.3">
      <c r="A90" s="54">
        <v>1</v>
      </c>
      <c r="B90" s="55" t="s">
        <v>111</v>
      </c>
      <c r="C90" s="56">
        <f t="shared" ref="C90:C103" si="72">D90+E90</f>
        <v>0</v>
      </c>
      <c r="D90" s="57">
        <v>0</v>
      </c>
      <c r="E90" s="64">
        <v>0</v>
      </c>
      <c r="F90" s="79"/>
      <c r="G90" s="79"/>
      <c r="H90" s="58">
        <f t="shared" si="26"/>
        <v>0</v>
      </c>
      <c r="I90" s="59">
        <f t="shared" si="1"/>
        <v>0</v>
      </c>
      <c r="J90" s="60">
        <f t="shared" ref="J90:J103" si="73">M90+N90+O90+P90</f>
        <v>0</v>
      </c>
      <c r="K90" s="80"/>
      <c r="L90" s="80"/>
      <c r="M90" s="64">
        <v>0</v>
      </c>
      <c r="N90" s="64">
        <v>0</v>
      </c>
      <c r="O90" s="64">
        <v>0</v>
      </c>
      <c r="P90" s="64">
        <v>0</v>
      </c>
      <c r="Q90" s="62">
        <v>0</v>
      </c>
      <c r="R90" s="62">
        <f t="shared" si="36"/>
        <v>0</v>
      </c>
      <c r="S90" s="79"/>
      <c r="T90" s="79"/>
      <c r="U90" s="79"/>
      <c r="V90" s="81"/>
      <c r="W90" s="79"/>
      <c r="X90" s="81"/>
      <c r="Y90" s="79"/>
      <c r="Z90" s="79"/>
      <c r="AA90" s="81"/>
      <c r="AB90" s="79"/>
      <c r="AC90" s="79"/>
      <c r="AD90" s="79"/>
      <c r="AE90" s="81"/>
      <c r="AF90" s="79"/>
      <c r="AG90" s="81"/>
      <c r="AH90" s="79"/>
      <c r="AI90" s="79"/>
      <c r="AJ90" s="79"/>
      <c r="AK90" s="81"/>
      <c r="AL90" s="79"/>
      <c r="AM90" s="81"/>
      <c r="AN90" s="79"/>
      <c r="AO90" s="79"/>
      <c r="AP90" s="81"/>
    </row>
    <row r="91" spans="1:42" ht="24" hidden="1" customHeight="1" x14ac:dyDescent="0.3">
      <c r="A91" s="54">
        <v>2</v>
      </c>
      <c r="B91" s="55" t="s">
        <v>112</v>
      </c>
      <c r="C91" s="56">
        <f t="shared" si="72"/>
        <v>0</v>
      </c>
      <c r="D91" s="57">
        <v>0</v>
      </c>
      <c r="E91" s="64">
        <v>0</v>
      </c>
      <c r="F91" s="79"/>
      <c r="G91" s="79"/>
      <c r="H91" s="58">
        <f t="shared" si="26"/>
        <v>0</v>
      </c>
      <c r="I91" s="59">
        <f t="shared" si="1"/>
        <v>0</v>
      </c>
      <c r="J91" s="60">
        <f t="shared" si="73"/>
        <v>0</v>
      </c>
      <c r="K91" s="80"/>
      <c r="L91" s="80"/>
      <c r="M91" s="64">
        <v>0</v>
      </c>
      <c r="N91" s="64">
        <v>0</v>
      </c>
      <c r="O91" s="64">
        <v>0</v>
      </c>
      <c r="P91" s="64">
        <v>0</v>
      </c>
      <c r="Q91" s="62">
        <v>0</v>
      </c>
      <c r="R91" s="62">
        <f t="shared" si="36"/>
        <v>0</v>
      </c>
      <c r="S91" s="79"/>
      <c r="T91" s="79"/>
      <c r="U91" s="79"/>
      <c r="V91" s="81"/>
      <c r="W91" s="79"/>
      <c r="X91" s="81"/>
      <c r="Y91" s="79"/>
      <c r="Z91" s="79"/>
      <c r="AA91" s="81"/>
      <c r="AB91" s="79"/>
      <c r="AC91" s="79"/>
      <c r="AD91" s="79"/>
      <c r="AE91" s="81"/>
      <c r="AF91" s="79"/>
      <c r="AG91" s="81"/>
      <c r="AH91" s="79"/>
      <c r="AI91" s="79"/>
      <c r="AJ91" s="79"/>
      <c r="AK91" s="81"/>
      <c r="AL91" s="79"/>
      <c r="AM91" s="81"/>
      <c r="AN91" s="79"/>
      <c r="AO91" s="79"/>
      <c r="AP91" s="81"/>
    </row>
    <row r="92" spans="1:42" ht="24" hidden="1" customHeight="1" x14ac:dyDescent="0.3">
      <c r="A92" s="54">
        <v>3</v>
      </c>
      <c r="B92" s="55" t="s">
        <v>113</v>
      </c>
      <c r="C92" s="56">
        <f t="shared" si="72"/>
        <v>0</v>
      </c>
      <c r="D92" s="57">
        <v>0</v>
      </c>
      <c r="E92" s="64">
        <v>0</v>
      </c>
      <c r="F92" s="79"/>
      <c r="G92" s="79"/>
      <c r="H92" s="58">
        <f t="shared" si="26"/>
        <v>0</v>
      </c>
      <c r="I92" s="59">
        <f t="shared" si="1"/>
        <v>0</v>
      </c>
      <c r="J92" s="60">
        <f t="shared" si="73"/>
        <v>0</v>
      </c>
      <c r="K92" s="80"/>
      <c r="L92" s="80"/>
      <c r="M92" s="64">
        <v>0</v>
      </c>
      <c r="N92" s="64">
        <v>0</v>
      </c>
      <c r="O92" s="64">
        <v>0</v>
      </c>
      <c r="P92" s="64">
        <v>0</v>
      </c>
      <c r="Q92" s="62">
        <v>0</v>
      </c>
      <c r="R92" s="62">
        <f t="shared" si="36"/>
        <v>0</v>
      </c>
      <c r="S92" s="79"/>
      <c r="T92" s="79"/>
      <c r="U92" s="79"/>
      <c r="V92" s="81"/>
      <c r="W92" s="79"/>
      <c r="X92" s="81"/>
      <c r="Y92" s="79"/>
      <c r="Z92" s="79"/>
      <c r="AA92" s="81"/>
      <c r="AB92" s="79"/>
      <c r="AC92" s="79"/>
      <c r="AD92" s="79"/>
      <c r="AE92" s="81"/>
      <c r="AF92" s="79"/>
      <c r="AG92" s="81"/>
      <c r="AH92" s="79"/>
      <c r="AI92" s="79"/>
      <c r="AJ92" s="79"/>
      <c r="AK92" s="81"/>
      <c r="AL92" s="79"/>
      <c r="AM92" s="81"/>
      <c r="AN92" s="79"/>
      <c r="AO92" s="79"/>
      <c r="AP92" s="81"/>
    </row>
    <row r="93" spans="1:42" ht="24" hidden="1" customHeight="1" x14ac:dyDescent="0.3">
      <c r="A93" s="54">
        <f t="shared" ref="A93:A103" si="74">+A92+1</f>
        <v>4</v>
      </c>
      <c r="B93" s="55" t="s">
        <v>114</v>
      </c>
      <c r="C93" s="56">
        <f t="shared" si="72"/>
        <v>0</v>
      </c>
      <c r="D93" s="57">
        <v>0</v>
      </c>
      <c r="E93" s="64">
        <v>0</v>
      </c>
      <c r="F93" s="79"/>
      <c r="G93" s="79"/>
      <c r="H93" s="58">
        <f t="shared" si="26"/>
        <v>0</v>
      </c>
      <c r="I93" s="59">
        <f t="shared" si="1"/>
        <v>0</v>
      </c>
      <c r="J93" s="60">
        <f t="shared" si="73"/>
        <v>0</v>
      </c>
      <c r="K93" s="80"/>
      <c r="L93" s="80"/>
      <c r="M93" s="64">
        <v>0</v>
      </c>
      <c r="N93" s="64">
        <v>0</v>
      </c>
      <c r="O93" s="64">
        <v>0</v>
      </c>
      <c r="P93" s="64">
        <v>0</v>
      </c>
      <c r="Q93" s="62">
        <v>0</v>
      </c>
      <c r="R93" s="62">
        <f t="shared" si="36"/>
        <v>0</v>
      </c>
      <c r="S93" s="79"/>
      <c r="T93" s="79"/>
      <c r="U93" s="79"/>
      <c r="V93" s="81"/>
      <c r="W93" s="79"/>
      <c r="X93" s="81"/>
      <c r="Y93" s="79"/>
      <c r="Z93" s="79"/>
      <c r="AA93" s="81"/>
      <c r="AB93" s="79"/>
      <c r="AC93" s="79"/>
      <c r="AD93" s="79"/>
      <c r="AE93" s="81"/>
      <c r="AF93" s="79"/>
      <c r="AG93" s="81"/>
      <c r="AH93" s="79"/>
      <c r="AI93" s="79"/>
      <c r="AJ93" s="79"/>
      <c r="AK93" s="81"/>
      <c r="AL93" s="79"/>
      <c r="AM93" s="81"/>
      <c r="AN93" s="79"/>
      <c r="AO93" s="79"/>
      <c r="AP93" s="81"/>
    </row>
    <row r="94" spans="1:42" ht="24" hidden="1" customHeight="1" x14ac:dyDescent="0.3">
      <c r="A94" s="54">
        <f t="shared" si="74"/>
        <v>5</v>
      </c>
      <c r="B94" s="55" t="s">
        <v>115</v>
      </c>
      <c r="C94" s="56">
        <f t="shared" si="72"/>
        <v>0</v>
      </c>
      <c r="D94" s="57">
        <v>0</v>
      </c>
      <c r="E94" s="64">
        <v>0</v>
      </c>
      <c r="F94" s="79"/>
      <c r="G94" s="79"/>
      <c r="H94" s="58">
        <f t="shared" si="26"/>
        <v>0</v>
      </c>
      <c r="I94" s="59">
        <f t="shared" si="1"/>
        <v>0</v>
      </c>
      <c r="J94" s="60">
        <f t="shared" si="73"/>
        <v>0</v>
      </c>
      <c r="K94" s="80"/>
      <c r="L94" s="80"/>
      <c r="M94" s="64">
        <v>0</v>
      </c>
      <c r="N94" s="64">
        <v>0</v>
      </c>
      <c r="O94" s="64">
        <v>0</v>
      </c>
      <c r="P94" s="64">
        <v>0</v>
      </c>
      <c r="Q94" s="62">
        <v>0</v>
      </c>
      <c r="R94" s="62">
        <f t="shared" si="36"/>
        <v>0</v>
      </c>
      <c r="S94" s="79"/>
      <c r="T94" s="79"/>
      <c r="U94" s="79"/>
      <c r="V94" s="81"/>
      <c r="W94" s="79"/>
      <c r="X94" s="81"/>
      <c r="Y94" s="79"/>
      <c r="Z94" s="79"/>
      <c r="AA94" s="81"/>
      <c r="AB94" s="79"/>
      <c r="AC94" s="79"/>
      <c r="AD94" s="79"/>
      <c r="AE94" s="81"/>
      <c r="AF94" s="79"/>
      <c r="AG94" s="81"/>
      <c r="AH94" s="79"/>
      <c r="AI94" s="79"/>
      <c r="AJ94" s="79"/>
      <c r="AK94" s="81"/>
      <c r="AL94" s="79"/>
      <c r="AM94" s="81"/>
      <c r="AN94" s="79"/>
      <c r="AO94" s="79"/>
      <c r="AP94" s="81"/>
    </row>
    <row r="95" spans="1:42" ht="24" hidden="1" customHeight="1" x14ac:dyDescent="0.3">
      <c r="A95" s="54">
        <f t="shared" si="74"/>
        <v>6</v>
      </c>
      <c r="B95" s="55" t="s">
        <v>116</v>
      </c>
      <c r="C95" s="56">
        <f t="shared" si="72"/>
        <v>0</v>
      </c>
      <c r="D95" s="57">
        <v>0</v>
      </c>
      <c r="E95" s="64">
        <v>0</v>
      </c>
      <c r="F95" s="79"/>
      <c r="G95" s="79"/>
      <c r="H95" s="58">
        <f t="shared" si="26"/>
        <v>0</v>
      </c>
      <c r="I95" s="59">
        <f t="shared" si="1"/>
        <v>0</v>
      </c>
      <c r="J95" s="60">
        <f t="shared" si="73"/>
        <v>0</v>
      </c>
      <c r="K95" s="80"/>
      <c r="L95" s="80"/>
      <c r="M95" s="64">
        <v>0</v>
      </c>
      <c r="N95" s="64">
        <v>0</v>
      </c>
      <c r="O95" s="64">
        <v>0</v>
      </c>
      <c r="P95" s="64">
        <v>0</v>
      </c>
      <c r="Q95" s="62">
        <v>0</v>
      </c>
      <c r="R95" s="62">
        <f t="shared" si="36"/>
        <v>0</v>
      </c>
      <c r="S95" s="79"/>
      <c r="T95" s="79"/>
      <c r="U95" s="79"/>
      <c r="V95" s="81"/>
      <c r="W95" s="79"/>
      <c r="X95" s="81"/>
      <c r="Y95" s="79"/>
      <c r="Z95" s="79"/>
      <c r="AA95" s="81"/>
      <c r="AB95" s="79"/>
      <c r="AC95" s="79"/>
      <c r="AD95" s="79"/>
      <c r="AE95" s="81"/>
      <c r="AF95" s="79"/>
      <c r="AG95" s="81"/>
      <c r="AH95" s="79"/>
      <c r="AI95" s="79"/>
      <c r="AJ95" s="79"/>
      <c r="AK95" s="81"/>
      <c r="AL95" s="79"/>
      <c r="AM95" s="81"/>
      <c r="AN95" s="79"/>
      <c r="AO95" s="79"/>
      <c r="AP95" s="81"/>
    </row>
    <row r="96" spans="1:42" ht="24" hidden="1" customHeight="1" x14ac:dyDescent="0.3">
      <c r="A96" s="54">
        <f t="shared" si="74"/>
        <v>7</v>
      </c>
      <c r="B96" s="55" t="s">
        <v>117</v>
      </c>
      <c r="C96" s="56">
        <f t="shared" si="72"/>
        <v>0</v>
      </c>
      <c r="D96" s="57">
        <v>0</v>
      </c>
      <c r="E96" s="64">
        <v>0</v>
      </c>
      <c r="F96" s="79"/>
      <c r="G96" s="79"/>
      <c r="H96" s="58">
        <f t="shared" si="26"/>
        <v>0</v>
      </c>
      <c r="I96" s="59">
        <f t="shared" si="1"/>
        <v>0</v>
      </c>
      <c r="J96" s="60">
        <f t="shared" si="73"/>
        <v>0</v>
      </c>
      <c r="K96" s="80"/>
      <c r="L96" s="80"/>
      <c r="M96" s="64">
        <v>0</v>
      </c>
      <c r="N96" s="64">
        <v>0</v>
      </c>
      <c r="O96" s="64">
        <v>0</v>
      </c>
      <c r="P96" s="64">
        <v>0</v>
      </c>
      <c r="Q96" s="62">
        <v>0</v>
      </c>
      <c r="R96" s="62">
        <f t="shared" si="36"/>
        <v>0</v>
      </c>
      <c r="S96" s="79"/>
      <c r="T96" s="79"/>
      <c r="U96" s="79"/>
      <c r="V96" s="81"/>
      <c r="W96" s="79"/>
      <c r="X96" s="81"/>
      <c r="Y96" s="79"/>
      <c r="Z96" s="79"/>
      <c r="AA96" s="81"/>
      <c r="AB96" s="79"/>
      <c r="AC96" s="79"/>
      <c r="AD96" s="79"/>
      <c r="AE96" s="81"/>
      <c r="AF96" s="79"/>
      <c r="AG96" s="81"/>
      <c r="AH96" s="79"/>
      <c r="AI96" s="79"/>
      <c r="AJ96" s="79"/>
      <c r="AK96" s="81"/>
      <c r="AL96" s="79"/>
      <c r="AM96" s="81"/>
      <c r="AN96" s="79"/>
      <c r="AO96" s="79"/>
      <c r="AP96" s="81"/>
    </row>
    <row r="97" spans="1:42" ht="24" hidden="1" customHeight="1" x14ac:dyDescent="0.3">
      <c r="A97" s="54">
        <f t="shared" si="74"/>
        <v>8</v>
      </c>
      <c r="B97" s="55" t="s">
        <v>118</v>
      </c>
      <c r="C97" s="56">
        <f t="shared" si="72"/>
        <v>0</v>
      </c>
      <c r="D97" s="57">
        <v>0</v>
      </c>
      <c r="E97" s="64">
        <v>0</v>
      </c>
      <c r="F97" s="79"/>
      <c r="G97" s="79"/>
      <c r="H97" s="58">
        <f t="shared" si="26"/>
        <v>0</v>
      </c>
      <c r="I97" s="59">
        <f t="shared" si="1"/>
        <v>0</v>
      </c>
      <c r="J97" s="60">
        <f t="shared" si="73"/>
        <v>0</v>
      </c>
      <c r="K97" s="80"/>
      <c r="L97" s="80"/>
      <c r="M97" s="64">
        <v>0</v>
      </c>
      <c r="N97" s="64">
        <v>0</v>
      </c>
      <c r="O97" s="64">
        <v>0</v>
      </c>
      <c r="P97" s="64">
        <v>0</v>
      </c>
      <c r="Q97" s="62">
        <v>0</v>
      </c>
      <c r="R97" s="62">
        <f t="shared" si="36"/>
        <v>0</v>
      </c>
      <c r="S97" s="79"/>
      <c r="T97" s="79"/>
      <c r="U97" s="79"/>
      <c r="V97" s="81"/>
      <c r="W97" s="79"/>
      <c r="X97" s="81"/>
      <c r="Y97" s="79"/>
      <c r="Z97" s="79"/>
      <c r="AA97" s="81"/>
      <c r="AB97" s="79"/>
      <c r="AC97" s="79"/>
      <c r="AD97" s="79"/>
      <c r="AE97" s="81"/>
      <c r="AF97" s="79"/>
      <c r="AG97" s="81"/>
      <c r="AH97" s="79"/>
      <c r="AI97" s="79"/>
      <c r="AJ97" s="79"/>
      <c r="AK97" s="81"/>
      <c r="AL97" s="79"/>
      <c r="AM97" s="81"/>
      <c r="AN97" s="79"/>
      <c r="AO97" s="79"/>
      <c r="AP97" s="81"/>
    </row>
    <row r="98" spans="1:42" ht="24" hidden="1" customHeight="1" x14ac:dyDescent="0.3">
      <c r="A98" s="54">
        <f t="shared" si="74"/>
        <v>9</v>
      </c>
      <c r="B98" s="55" t="s">
        <v>119</v>
      </c>
      <c r="C98" s="56">
        <f t="shared" si="72"/>
        <v>0</v>
      </c>
      <c r="D98" s="57">
        <v>0</v>
      </c>
      <c r="E98" s="64">
        <v>0</v>
      </c>
      <c r="F98" s="79"/>
      <c r="G98" s="79"/>
      <c r="H98" s="58">
        <f t="shared" si="26"/>
        <v>0</v>
      </c>
      <c r="I98" s="59">
        <f t="shared" si="1"/>
        <v>0</v>
      </c>
      <c r="J98" s="60">
        <f t="shared" si="73"/>
        <v>0</v>
      </c>
      <c r="K98" s="80"/>
      <c r="L98" s="80"/>
      <c r="M98" s="64">
        <v>0</v>
      </c>
      <c r="N98" s="64">
        <v>0</v>
      </c>
      <c r="O98" s="64">
        <v>0</v>
      </c>
      <c r="P98" s="64">
        <v>0</v>
      </c>
      <c r="Q98" s="62">
        <v>0</v>
      </c>
      <c r="R98" s="62">
        <f t="shared" si="36"/>
        <v>0</v>
      </c>
      <c r="S98" s="79"/>
      <c r="T98" s="79"/>
      <c r="U98" s="79"/>
      <c r="V98" s="81"/>
      <c r="W98" s="79"/>
      <c r="X98" s="81"/>
      <c r="Y98" s="79"/>
      <c r="Z98" s="79"/>
      <c r="AA98" s="81"/>
      <c r="AB98" s="79"/>
      <c r="AC98" s="79"/>
      <c r="AD98" s="79"/>
      <c r="AE98" s="81"/>
      <c r="AF98" s="79"/>
      <c r="AG98" s="81"/>
      <c r="AH98" s="79"/>
      <c r="AI98" s="79"/>
      <c r="AJ98" s="79"/>
      <c r="AK98" s="81"/>
      <c r="AL98" s="79"/>
      <c r="AM98" s="81"/>
      <c r="AN98" s="79"/>
      <c r="AO98" s="79"/>
      <c r="AP98" s="81"/>
    </row>
    <row r="99" spans="1:42" ht="24" hidden="1" customHeight="1" x14ac:dyDescent="0.3">
      <c r="A99" s="54">
        <f t="shared" si="74"/>
        <v>10</v>
      </c>
      <c r="B99" s="55" t="s">
        <v>120</v>
      </c>
      <c r="C99" s="56">
        <f t="shared" si="72"/>
        <v>0</v>
      </c>
      <c r="D99" s="57">
        <v>0</v>
      </c>
      <c r="E99" s="64">
        <v>0</v>
      </c>
      <c r="F99" s="79"/>
      <c r="G99" s="79"/>
      <c r="H99" s="58">
        <f t="shared" si="26"/>
        <v>0</v>
      </c>
      <c r="I99" s="59">
        <f t="shared" si="1"/>
        <v>0</v>
      </c>
      <c r="J99" s="60">
        <f t="shared" si="73"/>
        <v>0</v>
      </c>
      <c r="K99" s="80"/>
      <c r="L99" s="80"/>
      <c r="M99" s="64">
        <v>0</v>
      </c>
      <c r="N99" s="64">
        <v>0</v>
      </c>
      <c r="O99" s="64">
        <v>0</v>
      </c>
      <c r="P99" s="64">
        <v>0</v>
      </c>
      <c r="Q99" s="62">
        <v>0</v>
      </c>
      <c r="R99" s="62">
        <f t="shared" si="36"/>
        <v>0</v>
      </c>
      <c r="S99" s="79"/>
      <c r="T99" s="79"/>
      <c r="U99" s="79"/>
      <c r="V99" s="81"/>
      <c r="W99" s="79"/>
      <c r="X99" s="81"/>
      <c r="Y99" s="79"/>
      <c r="Z99" s="79"/>
      <c r="AA99" s="81"/>
      <c r="AB99" s="79"/>
      <c r="AC99" s="79"/>
      <c r="AD99" s="79"/>
      <c r="AE99" s="81"/>
      <c r="AF99" s="79"/>
      <c r="AG99" s="81"/>
      <c r="AH99" s="79"/>
      <c r="AI99" s="79"/>
      <c r="AJ99" s="79"/>
      <c r="AK99" s="81"/>
      <c r="AL99" s="79"/>
      <c r="AM99" s="81"/>
      <c r="AN99" s="79"/>
      <c r="AO99" s="79"/>
      <c r="AP99" s="81"/>
    </row>
    <row r="100" spans="1:42" ht="24" hidden="1" customHeight="1" x14ac:dyDescent="0.3">
      <c r="A100" s="54">
        <f t="shared" si="74"/>
        <v>11</v>
      </c>
      <c r="B100" s="55" t="s">
        <v>121</v>
      </c>
      <c r="C100" s="56">
        <f t="shared" si="72"/>
        <v>0</v>
      </c>
      <c r="D100" s="57">
        <v>0</v>
      </c>
      <c r="E100" s="64">
        <v>0</v>
      </c>
      <c r="F100" s="79"/>
      <c r="G100" s="79"/>
      <c r="H100" s="58">
        <f t="shared" si="26"/>
        <v>0</v>
      </c>
      <c r="I100" s="59">
        <f t="shared" si="1"/>
        <v>0</v>
      </c>
      <c r="J100" s="60">
        <f t="shared" si="73"/>
        <v>0</v>
      </c>
      <c r="K100" s="80"/>
      <c r="L100" s="80"/>
      <c r="M100" s="64">
        <v>0</v>
      </c>
      <c r="N100" s="64">
        <v>0</v>
      </c>
      <c r="O100" s="64">
        <v>0</v>
      </c>
      <c r="P100" s="64">
        <v>0</v>
      </c>
      <c r="Q100" s="62">
        <v>0</v>
      </c>
      <c r="R100" s="62">
        <f t="shared" si="36"/>
        <v>0</v>
      </c>
      <c r="S100" s="79"/>
      <c r="T100" s="79"/>
      <c r="U100" s="79"/>
      <c r="V100" s="81"/>
      <c r="W100" s="79"/>
      <c r="X100" s="81"/>
      <c r="Y100" s="79"/>
      <c r="Z100" s="79"/>
      <c r="AA100" s="81"/>
      <c r="AB100" s="79"/>
      <c r="AC100" s="79"/>
      <c r="AD100" s="79"/>
      <c r="AE100" s="81"/>
      <c r="AF100" s="79"/>
      <c r="AG100" s="81"/>
      <c r="AH100" s="79"/>
      <c r="AI100" s="79"/>
      <c r="AJ100" s="79"/>
      <c r="AK100" s="81"/>
      <c r="AL100" s="79"/>
      <c r="AM100" s="81"/>
      <c r="AN100" s="79"/>
      <c r="AO100" s="79"/>
      <c r="AP100" s="81"/>
    </row>
    <row r="101" spans="1:42" ht="24" hidden="1" customHeight="1" x14ac:dyDescent="0.3">
      <c r="A101" s="54">
        <f t="shared" si="74"/>
        <v>12</v>
      </c>
      <c r="B101" s="55" t="s">
        <v>122</v>
      </c>
      <c r="C101" s="56">
        <f t="shared" si="72"/>
        <v>0</v>
      </c>
      <c r="D101" s="57">
        <v>0</v>
      </c>
      <c r="E101" s="64">
        <v>0</v>
      </c>
      <c r="F101" s="79"/>
      <c r="G101" s="79"/>
      <c r="H101" s="58">
        <f t="shared" si="26"/>
        <v>0</v>
      </c>
      <c r="I101" s="59">
        <f t="shared" si="1"/>
        <v>0</v>
      </c>
      <c r="J101" s="60">
        <f t="shared" si="73"/>
        <v>0</v>
      </c>
      <c r="K101" s="80"/>
      <c r="L101" s="80"/>
      <c r="M101" s="64">
        <v>0</v>
      </c>
      <c r="N101" s="64">
        <v>0</v>
      </c>
      <c r="O101" s="64">
        <v>0</v>
      </c>
      <c r="P101" s="64">
        <v>0</v>
      </c>
      <c r="Q101" s="62">
        <v>0</v>
      </c>
      <c r="R101" s="62">
        <f t="shared" si="36"/>
        <v>0</v>
      </c>
      <c r="S101" s="79"/>
      <c r="T101" s="79"/>
      <c r="U101" s="79"/>
      <c r="V101" s="81"/>
      <c r="W101" s="79"/>
      <c r="X101" s="81"/>
      <c r="Y101" s="79"/>
      <c r="Z101" s="79"/>
      <c r="AA101" s="81"/>
      <c r="AB101" s="79"/>
      <c r="AC101" s="79"/>
      <c r="AD101" s="79"/>
      <c r="AE101" s="81"/>
      <c r="AF101" s="79"/>
      <c r="AG101" s="81"/>
      <c r="AH101" s="79"/>
      <c r="AI101" s="79"/>
      <c r="AJ101" s="79"/>
      <c r="AK101" s="81"/>
      <c r="AL101" s="79"/>
      <c r="AM101" s="81"/>
      <c r="AN101" s="79"/>
      <c r="AO101" s="79"/>
      <c r="AP101" s="81"/>
    </row>
    <row r="102" spans="1:42" ht="24" hidden="1" customHeight="1" x14ac:dyDescent="0.3">
      <c r="A102" s="54">
        <f t="shared" si="74"/>
        <v>13</v>
      </c>
      <c r="B102" s="55" t="s">
        <v>123</v>
      </c>
      <c r="C102" s="56">
        <f t="shared" si="72"/>
        <v>0</v>
      </c>
      <c r="D102" s="57">
        <v>0</v>
      </c>
      <c r="E102" s="64">
        <v>0</v>
      </c>
      <c r="F102" s="79"/>
      <c r="G102" s="79"/>
      <c r="H102" s="58">
        <f t="shared" si="26"/>
        <v>0</v>
      </c>
      <c r="I102" s="59">
        <f t="shared" si="1"/>
        <v>0</v>
      </c>
      <c r="J102" s="60">
        <f t="shared" si="73"/>
        <v>0</v>
      </c>
      <c r="K102" s="80"/>
      <c r="L102" s="80"/>
      <c r="M102" s="64">
        <v>0</v>
      </c>
      <c r="N102" s="64">
        <v>0</v>
      </c>
      <c r="O102" s="64">
        <v>0</v>
      </c>
      <c r="P102" s="64">
        <v>0</v>
      </c>
      <c r="Q102" s="62">
        <v>0</v>
      </c>
      <c r="R102" s="62">
        <f t="shared" si="36"/>
        <v>0</v>
      </c>
      <c r="S102" s="79"/>
      <c r="T102" s="79"/>
      <c r="U102" s="79"/>
      <c r="V102" s="81"/>
      <c r="W102" s="79"/>
      <c r="X102" s="81"/>
      <c r="Y102" s="79"/>
      <c r="Z102" s="79"/>
      <c r="AA102" s="81"/>
      <c r="AB102" s="79"/>
      <c r="AC102" s="79"/>
      <c r="AD102" s="79"/>
      <c r="AE102" s="81"/>
      <c r="AF102" s="79"/>
      <c r="AG102" s="81"/>
      <c r="AH102" s="79"/>
      <c r="AI102" s="79"/>
      <c r="AJ102" s="79"/>
      <c r="AK102" s="81"/>
      <c r="AL102" s="79"/>
      <c r="AM102" s="81"/>
      <c r="AN102" s="79"/>
      <c r="AO102" s="79"/>
      <c r="AP102" s="81"/>
    </row>
    <row r="103" spans="1:42" ht="24" hidden="1" customHeight="1" x14ac:dyDescent="0.3">
      <c r="A103" s="65">
        <f t="shared" si="74"/>
        <v>14</v>
      </c>
      <c r="B103" s="66" t="s">
        <v>124</v>
      </c>
      <c r="C103" s="67">
        <f t="shared" si="72"/>
        <v>0</v>
      </c>
      <c r="D103" s="68">
        <v>0</v>
      </c>
      <c r="E103" s="69">
        <v>0</v>
      </c>
      <c r="F103" s="82"/>
      <c r="G103" s="82"/>
      <c r="H103" s="70">
        <f t="shared" si="26"/>
        <v>0</v>
      </c>
      <c r="I103" s="71">
        <f t="shared" si="1"/>
        <v>0</v>
      </c>
      <c r="J103" s="72">
        <f t="shared" si="73"/>
        <v>0</v>
      </c>
      <c r="K103" s="83"/>
      <c r="L103" s="83"/>
      <c r="M103" s="69">
        <v>0</v>
      </c>
      <c r="N103" s="69">
        <v>0</v>
      </c>
      <c r="O103" s="69">
        <v>0</v>
      </c>
      <c r="P103" s="69">
        <v>0</v>
      </c>
      <c r="Q103" s="74">
        <v>0</v>
      </c>
      <c r="R103" s="74">
        <f t="shared" si="36"/>
        <v>0</v>
      </c>
      <c r="S103" s="82"/>
      <c r="T103" s="82"/>
      <c r="U103" s="82"/>
      <c r="V103" s="84"/>
      <c r="W103" s="82"/>
      <c r="X103" s="84"/>
      <c r="Y103" s="82"/>
      <c r="Z103" s="82"/>
      <c r="AA103" s="84"/>
      <c r="AB103" s="82"/>
      <c r="AC103" s="82"/>
      <c r="AD103" s="82"/>
      <c r="AE103" s="84"/>
      <c r="AF103" s="82"/>
      <c r="AG103" s="84"/>
      <c r="AH103" s="82"/>
      <c r="AI103" s="82"/>
      <c r="AJ103" s="82"/>
      <c r="AK103" s="84"/>
      <c r="AL103" s="82"/>
      <c r="AM103" s="84"/>
      <c r="AN103" s="82"/>
      <c r="AO103" s="82"/>
      <c r="AP103" s="84"/>
    </row>
    <row r="104" spans="1:42" ht="21" hidden="1" customHeight="1" x14ac:dyDescent="0.3">
      <c r="A104" s="187" t="s">
        <v>125</v>
      </c>
      <c r="B104" s="178"/>
      <c r="C104" s="77">
        <f>SUM(C105:C116)</f>
        <v>0</v>
      </c>
      <c r="D104" s="43"/>
      <c r="E104" s="43"/>
      <c r="F104" s="43"/>
      <c r="G104" s="43"/>
      <c r="H104" s="40">
        <f t="shared" si="26"/>
        <v>0</v>
      </c>
      <c r="I104" s="41">
        <f t="shared" si="1"/>
        <v>0</v>
      </c>
      <c r="J104" s="40">
        <f>SUM(J105:J116)</f>
        <v>0</v>
      </c>
      <c r="K104" s="43"/>
      <c r="L104" s="43"/>
      <c r="M104" s="43"/>
      <c r="N104" s="43"/>
      <c r="O104" s="43"/>
      <c r="P104" s="43"/>
      <c r="Q104" s="43"/>
      <c r="R104" s="40">
        <f t="shared" si="36"/>
        <v>0</v>
      </c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</row>
    <row r="105" spans="1:42" ht="24" hidden="1" customHeight="1" x14ac:dyDescent="0.3">
      <c r="A105" s="54">
        <v>1</v>
      </c>
      <c r="B105" s="85" t="s">
        <v>126</v>
      </c>
      <c r="C105" s="56">
        <f t="shared" ref="C105:C116" si="75">D105+E105</f>
        <v>0</v>
      </c>
      <c r="D105" s="57">
        <v>0</v>
      </c>
      <c r="E105" s="64">
        <v>0</v>
      </c>
      <c r="F105" s="79"/>
      <c r="G105" s="79"/>
      <c r="H105" s="58">
        <f t="shared" si="26"/>
        <v>0</v>
      </c>
      <c r="I105" s="59">
        <f t="shared" si="1"/>
        <v>0</v>
      </c>
      <c r="J105" s="60">
        <f t="shared" ref="J105:J116" si="76">M105+N105+O105+P105</f>
        <v>0</v>
      </c>
      <c r="K105" s="80"/>
      <c r="L105" s="80"/>
      <c r="M105" s="64">
        <v>0</v>
      </c>
      <c r="N105" s="64">
        <v>0</v>
      </c>
      <c r="O105" s="64">
        <v>0</v>
      </c>
      <c r="P105" s="64">
        <v>0</v>
      </c>
      <c r="Q105" s="62">
        <v>0</v>
      </c>
      <c r="R105" s="62">
        <f t="shared" si="36"/>
        <v>0</v>
      </c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79"/>
      <c r="AF105" s="79"/>
      <c r="AG105" s="79"/>
      <c r="AH105" s="79"/>
      <c r="AI105" s="79"/>
      <c r="AJ105" s="79"/>
      <c r="AK105" s="79"/>
      <c r="AL105" s="79"/>
      <c r="AM105" s="79"/>
      <c r="AN105" s="79"/>
      <c r="AO105" s="79"/>
      <c r="AP105" s="79"/>
    </row>
    <row r="106" spans="1:42" ht="24" hidden="1" customHeight="1" x14ac:dyDescent="0.3">
      <c r="A106" s="54">
        <v>2</v>
      </c>
      <c r="B106" s="85" t="s">
        <v>127</v>
      </c>
      <c r="C106" s="56">
        <f t="shared" si="75"/>
        <v>0</v>
      </c>
      <c r="D106" s="57">
        <v>0</v>
      </c>
      <c r="E106" s="64">
        <v>0</v>
      </c>
      <c r="F106" s="79"/>
      <c r="G106" s="79"/>
      <c r="H106" s="58">
        <f t="shared" si="26"/>
        <v>0</v>
      </c>
      <c r="I106" s="59">
        <f t="shared" si="1"/>
        <v>0</v>
      </c>
      <c r="J106" s="60">
        <f t="shared" si="76"/>
        <v>0</v>
      </c>
      <c r="K106" s="80"/>
      <c r="L106" s="80"/>
      <c r="M106" s="64">
        <v>0</v>
      </c>
      <c r="N106" s="64">
        <v>0</v>
      </c>
      <c r="O106" s="64">
        <v>0</v>
      </c>
      <c r="P106" s="64">
        <v>0</v>
      </c>
      <c r="Q106" s="62">
        <v>0</v>
      </c>
      <c r="R106" s="62">
        <f t="shared" si="36"/>
        <v>0</v>
      </c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79"/>
      <c r="AM106" s="79"/>
      <c r="AN106" s="79"/>
      <c r="AO106" s="79"/>
      <c r="AP106" s="79"/>
    </row>
    <row r="107" spans="1:42" ht="24" hidden="1" customHeight="1" x14ac:dyDescent="0.3">
      <c r="A107" s="54">
        <v>3</v>
      </c>
      <c r="B107" s="85" t="s">
        <v>128</v>
      </c>
      <c r="C107" s="56">
        <f t="shared" si="75"/>
        <v>0</v>
      </c>
      <c r="D107" s="57">
        <v>0</v>
      </c>
      <c r="E107" s="64">
        <v>0</v>
      </c>
      <c r="F107" s="79"/>
      <c r="G107" s="79"/>
      <c r="H107" s="58">
        <f t="shared" si="26"/>
        <v>0</v>
      </c>
      <c r="I107" s="59">
        <f t="shared" si="1"/>
        <v>0</v>
      </c>
      <c r="J107" s="60">
        <f t="shared" si="76"/>
        <v>0</v>
      </c>
      <c r="K107" s="80"/>
      <c r="L107" s="80"/>
      <c r="M107" s="64">
        <v>0</v>
      </c>
      <c r="N107" s="64">
        <v>0</v>
      </c>
      <c r="O107" s="64">
        <v>0</v>
      </c>
      <c r="P107" s="64">
        <v>0</v>
      </c>
      <c r="Q107" s="62">
        <v>0</v>
      </c>
      <c r="R107" s="62">
        <f t="shared" si="36"/>
        <v>0</v>
      </c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</row>
    <row r="108" spans="1:42" ht="24" hidden="1" customHeight="1" x14ac:dyDescent="0.3">
      <c r="A108" s="86">
        <v>4</v>
      </c>
      <c r="B108" s="85" t="s">
        <v>129</v>
      </c>
      <c r="C108" s="56">
        <f t="shared" si="75"/>
        <v>0</v>
      </c>
      <c r="D108" s="57">
        <v>0</v>
      </c>
      <c r="E108" s="64">
        <v>0</v>
      </c>
      <c r="F108" s="79"/>
      <c r="G108" s="79"/>
      <c r="H108" s="58">
        <f t="shared" si="26"/>
        <v>0</v>
      </c>
      <c r="I108" s="59">
        <f t="shared" si="1"/>
        <v>0</v>
      </c>
      <c r="J108" s="60">
        <f t="shared" si="76"/>
        <v>0</v>
      </c>
      <c r="K108" s="80"/>
      <c r="L108" s="80"/>
      <c r="M108" s="64">
        <v>0</v>
      </c>
      <c r="N108" s="64">
        <v>0</v>
      </c>
      <c r="O108" s="64">
        <v>0</v>
      </c>
      <c r="P108" s="64">
        <v>0</v>
      </c>
      <c r="Q108" s="62">
        <v>0</v>
      </c>
      <c r="R108" s="62">
        <f t="shared" si="36"/>
        <v>0</v>
      </c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</row>
    <row r="109" spans="1:42" ht="24" hidden="1" customHeight="1" x14ac:dyDescent="0.3">
      <c r="A109" s="86">
        <v>5</v>
      </c>
      <c r="B109" s="85" t="s">
        <v>130</v>
      </c>
      <c r="C109" s="56">
        <f t="shared" si="75"/>
        <v>0</v>
      </c>
      <c r="D109" s="57">
        <v>0</v>
      </c>
      <c r="E109" s="64">
        <v>0</v>
      </c>
      <c r="F109" s="79"/>
      <c r="G109" s="79"/>
      <c r="H109" s="58">
        <f t="shared" si="26"/>
        <v>0</v>
      </c>
      <c r="I109" s="59">
        <f t="shared" si="1"/>
        <v>0</v>
      </c>
      <c r="J109" s="60">
        <f t="shared" si="76"/>
        <v>0</v>
      </c>
      <c r="K109" s="80"/>
      <c r="L109" s="80"/>
      <c r="M109" s="64">
        <v>0</v>
      </c>
      <c r="N109" s="64">
        <v>0</v>
      </c>
      <c r="O109" s="64">
        <v>0</v>
      </c>
      <c r="P109" s="64">
        <v>0</v>
      </c>
      <c r="Q109" s="62">
        <v>0</v>
      </c>
      <c r="R109" s="62">
        <f t="shared" si="36"/>
        <v>0</v>
      </c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79"/>
      <c r="AF109" s="79"/>
      <c r="AG109" s="79"/>
      <c r="AH109" s="79"/>
      <c r="AI109" s="79"/>
      <c r="AJ109" s="79"/>
      <c r="AK109" s="79"/>
      <c r="AL109" s="79"/>
      <c r="AM109" s="79"/>
      <c r="AN109" s="79"/>
      <c r="AO109" s="79"/>
      <c r="AP109" s="79"/>
    </row>
    <row r="110" spans="1:42" ht="24" hidden="1" customHeight="1" x14ac:dyDescent="0.3">
      <c r="A110" s="86">
        <v>6</v>
      </c>
      <c r="B110" s="85" t="s">
        <v>131</v>
      </c>
      <c r="C110" s="56">
        <f t="shared" si="75"/>
        <v>0</v>
      </c>
      <c r="D110" s="57">
        <v>0</v>
      </c>
      <c r="E110" s="64">
        <v>0</v>
      </c>
      <c r="F110" s="79"/>
      <c r="G110" s="79"/>
      <c r="H110" s="58">
        <f t="shared" si="26"/>
        <v>0</v>
      </c>
      <c r="I110" s="59">
        <f t="shared" si="1"/>
        <v>0</v>
      </c>
      <c r="J110" s="60">
        <f t="shared" si="76"/>
        <v>0</v>
      </c>
      <c r="K110" s="80"/>
      <c r="L110" s="80"/>
      <c r="M110" s="64">
        <v>0</v>
      </c>
      <c r="N110" s="64">
        <v>0</v>
      </c>
      <c r="O110" s="64">
        <v>0</v>
      </c>
      <c r="P110" s="64">
        <v>0</v>
      </c>
      <c r="Q110" s="62">
        <v>0</v>
      </c>
      <c r="R110" s="62">
        <f t="shared" si="36"/>
        <v>0</v>
      </c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  <c r="AP110" s="79"/>
    </row>
    <row r="111" spans="1:42" ht="24" hidden="1" customHeight="1" x14ac:dyDescent="0.3">
      <c r="A111" s="86">
        <v>7</v>
      </c>
      <c r="B111" s="85" t="s">
        <v>132</v>
      </c>
      <c r="C111" s="56">
        <f t="shared" si="75"/>
        <v>0</v>
      </c>
      <c r="D111" s="57">
        <v>0</v>
      </c>
      <c r="E111" s="64">
        <v>0</v>
      </c>
      <c r="F111" s="79"/>
      <c r="G111" s="79"/>
      <c r="H111" s="58">
        <f t="shared" si="26"/>
        <v>0</v>
      </c>
      <c r="I111" s="59">
        <f t="shared" si="1"/>
        <v>0</v>
      </c>
      <c r="J111" s="60">
        <f t="shared" si="76"/>
        <v>0</v>
      </c>
      <c r="K111" s="80"/>
      <c r="L111" s="80"/>
      <c r="M111" s="64">
        <v>0</v>
      </c>
      <c r="N111" s="64">
        <v>0</v>
      </c>
      <c r="O111" s="64">
        <v>0</v>
      </c>
      <c r="P111" s="64">
        <v>0</v>
      </c>
      <c r="Q111" s="62">
        <v>0</v>
      </c>
      <c r="R111" s="62">
        <f t="shared" si="36"/>
        <v>0</v>
      </c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79"/>
      <c r="AL111" s="79"/>
      <c r="AM111" s="79"/>
      <c r="AN111" s="79"/>
      <c r="AO111" s="79"/>
      <c r="AP111" s="79"/>
    </row>
    <row r="112" spans="1:42" ht="24" hidden="1" customHeight="1" x14ac:dyDescent="0.3">
      <c r="A112" s="86">
        <v>8</v>
      </c>
      <c r="B112" s="85" t="s">
        <v>133</v>
      </c>
      <c r="C112" s="56">
        <f t="shared" si="75"/>
        <v>0</v>
      </c>
      <c r="D112" s="57">
        <v>0</v>
      </c>
      <c r="E112" s="64">
        <v>0</v>
      </c>
      <c r="F112" s="79"/>
      <c r="G112" s="79"/>
      <c r="H112" s="58">
        <f t="shared" si="26"/>
        <v>0</v>
      </c>
      <c r="I112" s="59">
        <f t="shared" si="1"/>
        <v>0</v>
      </c>
      <c r="J112" s="60">
        <f t="shared" si="76"/>
        <v>0</v>
      </c>
      <c r="K112" s="80"/>
      <c r="L112" s="80"/>
      <c r="M112" s="64">
        <v>0</v>
      </c>
      <c r="N112" s="64">
        <v>0</v>
      </c>
      <c r="O112" s="64">
        <v>0</v>
      </c>
      <c r="P112" s="64">
        <v>0</v>
      </c>
      <c r="Q112" s="62">
        <v>0</v>
      </c>
      <c r="R112" s="62">
        <f t="shared" si="36"/>
        <v>0</v>
      </c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</row>
    <row r="113" spans="1:42" ht="24" hidden="1" customHeight="1" x14ac:dyDescent="0.3">
      <c r="A113" s="86">
        <v>9</v>
      </c>
      <c r="B113" s="85" t="s">
        <v>134</v>
      </c>
      <c r="C113" s="56">
        <f t="shared" si="75"/>
        <v>0</v>
      </c>
      <c r="D113" s="57">
        <v>0</v>
      </c>
      <c r="E113" s="64">
        <v>0</v>
      </c>
      <c r="F113" s="79"/>
      <c r="G113" s="79"/>
      <c r="H113" s="58">
        <f t="shared" si="26"/>
        <v>0</v>
      </c>
      <c r="I113" s="59">
        <f t="shared" si="1"/>
        <v>0</v>
      </c>
      <c r="J113" s="60">
        <f t="shared" si="76"/>
        <v>0</v>
      </c>
      <c r="K113" s="80"/>
      <c r="L113" s="80"/>
      <c r="M113" s="64">
        <v>0</v>
      </c>
      <c r="N113" s="64">
        <v>0</v>
      </c>
      <c r="O113" s="64">
        <v>0</v>
      </c>
      <c r="P113" s="64">
        <v>0</v>
      </c>
      <c r="Q113" s="62">
        <v>0</v>
      </c>
      <c r="R113" s="62">
        <f t="shared" si="36"/>
        <v>0</v>
      </c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79"/>
      <c r="AF113" s="79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</row>
    <row r="114" spans="1:42" ht="24" hidden="1" customHeight="1" x14ac:dyDescent="0.3">
      <c r="A114" s="86">
        <v>10</v>
      </c>
      <c r="B114" s="85" t="s">
        <v>135</v>
      </c>
      <c r="C114" s="56">
        <f t="shared" si="75"/>
        <v>0</v>
      </c>
      <c r="D114" s="57">
        <v>0</v>
      </c>
      <c r="E114" s="64">
        <v>0</v>
      </c>
      <c r="F114" s="79"/>
      <c r="G114" s="79"/>
      <c r="H114" s="58">
        <f t="shared" si="26"/>
        <v>0</v>
      </c>
      <c r="I114" s="59">
        <f t="shared" si="1"/>
        <v>0</v>
      </c>
      <c r="J114" s="60">
        <f t="shared" si="76"/>
        <v>0</v>
      </c>
      <c r="K114" s="80"/>
      <c r="L114" s="80"/>
      <c r="M114" s="64">
        <v>0</v>
      </c>
      <c r="N114" s="64">
        <v>0</v>
      </c>
      <c r="O114" s="64">
        <v>0</v>
      </c>
      <c r="P114" s="64">
        <v>0</v>
      </c>
      <c r="Q114" s="62">
        <v>0</v>
      </c>
      <c r="R114" s="62">
        <f t="shared" si="36"/>
        <v>0</v>
      </c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79"/>
      <c r="AL114" s="79"/>
      <c r="AM114" s="79"/>
      <c r="AN114" s="79"/>
      <c r="AO114" s="79"/>
      <c r="AP114" s="79"/>
    </row>
    <row r="115" spans="1:42" ht="24" hidden="1" customHeight="1" x14ac:dyDescent="0.3">
      <c r="A115" s="86">
        <v>11</v>
      </c>
      <c r="B115" s="85" t="s">
        <v>136</v>
      </c>
      <c r="C115" s="56">
        <f t="shared" si="75"/>
        <v>0</v>
      </c>
      <c r="D115" s="57">
        <v>0</v>
      </c>
      <c r="E115" s="64">
        <v>0</v>
      </c>
      <c r="F115" s="79"/>
      <c r="G115" s="79"/>
      <c r="H115" s="58">
        <f t="shared" si="26"/>
        <v>0</v>
      </c>
      <c r="I115" s="59">
        <f t="shared" si="1"/>
        <v>0</v>
      </c>
      <c r="J115" s="60">
        <f t="shared" si="76"/>
        <v>0</v>
      </c>
      <c r="K115" s="80"/>
      <c r="L115" s="80"/>
      <c r="M115" s="64">
        <v>0</v>
      </c>
      <c r="N115" s="64">
        <v>0</v>
      </c>
      <c r="O115" s="64">
        <v>0</v>
      </c>
      <c r="P115" s="64">
        <v>0</v>
      </c>
      <c r="Q115" s="62">
        <v>0</v>
      </c>
      <c r="R115" s="62">
        <f t="shared" si="36"/>
        <v>0</v>
      </c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  <c r="AH115" s="79"/>
      <c r="AI115" s="79"/>
      <c r="AJ115" s="79"/>
      <c r="AK115" s="79"/>
      <c r="AL115" s="79"/>
      <c r="AM115" s="79"/>
      <c r="AN115" s="79"/>
      <c r="AO115" s="79"/>
      <c r="AP115" s="79"/>
    </row>
    <row r="116" spans="1:42" ht="24" hidden="1" customHeight="1" x14ac:dyDescent="0.3">
      <c r="A116" s="86">
        <v>12</v>
      </c>
      <c r="B116" s="85" t="s">
        <v>137</v>
      </c>
      <c r="C116" s="56">
        <f t="shared" si="75"/>
        <v>0</v>
      </c>
      <c r="D116" s="57">
        <v>0</v>
      </c>
      <c r="E116" s="64">
        <v>0</v>
      </c>
      <c r="F116" s="79"/>
      <c r="G116" s="79"/>
      <c r="H116" s="58">
        <f t="shared" si="26"/>
        <v>0</v>
      </c>
      <c r="I116" s="59">
        <f t="shared" si="1"/>
        <v>0</v>
      </c>
      <c r="J116" s="60">
        <f t="shared" si="76"/>
        <v>0</v>
      </c>
      <c r="K116" s="80"/>
      <c r="L116" s="80"/>
      <c r="M116" s="64">
        <v>0</v>
      </c>
      <c r="N116" s="64">
        <v>0</v>
      </c>
      <c r="O116" s="64">
        <v>0</v>
      </c>
      <c r="P116" s="64">
        <v>0</v>
      </c>
      <c r="Q116" s="62">
        <v>0</v>
      </c>
      <c r="R116" s="62">
        <f t="shared" si="36"/>
        <v>0</v>
      </c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</row>
    <row r="117" spans="1:42" ht="24" customHeight="1" x14ac:dyDescent="0.2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8"/>
      <c r="N117" s="88"/>
      <c r="O117" s="87"/>
      <c r="P117" s="87"/>
      <c r="Q117" s="89"/>
      <c r="R117" s="89"/>
      <c r="S117" s="90"/>
      <c r="T117" s="90"/>
      <c r="U117" s="8"/>
      <c r="V117" s="91"/>
      <c r="W117" s="91"/>
      <c r="X117" s="91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</row>
    <row r="118" spans="1:42" ht="24" customHeight="1" x14ac:dyDescent="0.2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8"/>
      <c r="N118" s="88"/>
      <c r="O118" s="87"/>
      <c r="P118" s="87"/>
      <c r="Q118" s="89"/>
      <c r="R118" s="89"/>
      <c r="S118" s="90"/>
      <c r="T118" s="90"/>
      <c r="U118" s="8"/>
      <c r="V118" s="91"/>
      <c r="W118" s="91"/>
      <c r="X118" s="91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</row>
    <row r="119" spans="1:42" ht="24" customHeight="1" x14ac:dyDescent="0.2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8"/>
      <c r="N119" s="88"/>
      <c r="O119" s="87"/>
      <c r="P119" s="87"/>
      <c r="Q119" s="89"/>
      <c r="R119" s="89"/>
      <c r="S119" s="90"/>
      <c r="T119" s="90"/>
      <c r="U119" s="8"/>
      <c r="V119" s="91"/>
      <c r="W119" s="91"/>
      <c r="X119" s="91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</row>
    <row r="120" spans="1:42" ht="24" customHeight="1" x14ac:dyDescent="0.2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8"/>
      <c r="N120" s="88"/>
      <c r="O120" s="87"/>
      <c r="P120" s="87"/>
      <c r="Q120" s="89"/>
      <c r="R120" s="89"/>
      <c r="S120" s="90"/>
      <c r="T120" s="90"/>
      <c r="U120" s="8"/>
      <c r="V120" s="91"/>
      <c r="W120" s="91"/>
      <c r="X120" s="91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</row>
    <row r="121" spans="1:42" ht="24" customHeight="1" x14ac:dyDescent="0.2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8"/>
      <c r="N121" s="88"/>
      <c r="O121" s="87"/>
      <c r="P121" s="87"/>
      <c r="Q121" s="89"/>
      <c r="R121" s="89"/>
      <c r="S121" s="90"/>
      <c r="T121" s="90"/>
      <c r="U121" s="8"/>
      <c r="V121" s="91"/>
      <c r="W121" s="91"/>
      <c r="X121" s="91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</row>
    <row r="122" spans="1:42" ht="24" customHeight="1" x14ac:dyDescent="0.2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8"/>
      <c r="N122" s="88"/>
      <c r="O122" s="87"/>
      <c r="P122" s="87"/>
      <c r="Q122" s="89"/>
      <c r="R122" s="89"/>
      <c r="S122" s="90"/>
      <c r="T122" s="90"/>
      <c r="U122" s="8"/>
      <c r="V122" s="91"/>
      <c r="W122" s="91"/>
      <c r="X122" s="91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</row>
    <row r="123" spans="1:42" ht="24" customHeight="1" x14ac:dyDescent="0.2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8"/>
      <c r="N123" s="88"/>
      <c r="O123" s="87"/>
      <c r="P123" s="87"/>
      <c r="Q123" s="89"/>
      <c r="R123" s="89"/>
      <c r="S123" s="90"/>
      <c r="T123" s="90"/>
      <c r="U123" s="8"/>
      <c r="V123" s="91"/>
      <c r="W123" s="91"/>
      <c r="X123" s="91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</row>
    <row r="124" spans="1:42" ht="24" customHeight="1" x14ac:dyDescent="0.2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8"/>
      <c r="N124" s="88"/>
      <c r="O124" s="87"/>
      <c r="P124" s="87"/>
      <c r="Q124" s="89"/>
      <c r="R124" s="89"/>
      <c r="S124" s="90"/>
      <c r="T124" s="90"/>
      <c r="U124" s="8"/>
      <c r="V124" s="91"/>
      <c r="W124" s="91"/>
      <c r="X124" s="91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</row>
    <row r="125" spans="1:42" ht="24" customHeight="1" x14ac:dyDescent="0.2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8"/>
      <c r="N125" s="88"/>
      <c r="O125" s="87"/>
      <c r="P125" s="87"/>
      <c r="Q125" s="89"/>
      <c r="R125" s="89"/>
      <c r="S125" s="90"/>
      <c r="T125" s="90"/>
      <c r="U125" s="8"/>
      <c r="V125" s="91"/>
      <c r="W125" s="91"/>
      <c r="X125" s="91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</row>
    <row r="126" spans="1:42" ht="24" customHeight="1" x14ac:dyDescent="0.2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8"/>
      <c r="N126" s="88"/>
      <c r="O126" s="87"/>
      <c r="P126" s="87"/>
      <c r="Q126" s="89"/>
      <c r="R126" s="89"/>
      <c r="S126" s="90"/>
      <c r="T126" s="90"/>
      <c r="U126" s="8"/>
      <c r="V126" s="91"/>
      <c r="W126" s="91"/>
      <c r="X126" s="91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</row>
    <row r="127" spans="1:42" ht="24" customHeight="1" x14ac:dyDescent="0.2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8"/>
      <c r="N127" s="88"/>
      <c r="O127" s="87"/>
      <c r="P127" s="87"/>
      <c r="Q127" s="89"/>
      <c r="R127" s="89"/>
      <c r="S127" s="90"/>
      <c r="T127" s="90"/>
      <c r="U127" s="8"/>
      <c r="V127" s="91"/>
      <c r="W127" s="91"/>
      <c r="X127" s="91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</row>
    <row r="128" spans="1:42" ht="24" customHeight="1" x14ac:dyDescent="0.2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8"/>
      <c r="N128" s="88"/>
      <c r="O128" s="87"/>
      <c r="P128" s="87"/>
      <c r="Q128" s="89"/>
      <c r="R128" s="89"/>
      <c r="S128" s="90"/>
      <c r="T128" s="90"/>
      <c r="U128" s="8"/>
      <c r="V128" s="91"/>
      <c r="W128" s="91"/>
      <c r="X128" s="91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</row>
    <row r="129" spans="1:42" ht="24" customHeight="1" x14ac:dyDescent="0.2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8"/>
      <c r="N129" s="88"/>
      <c r="O129" s="87"/>
      <c r="P129" s="87"/>
      <c r="Q129" s="89"/>
      <c r="R129" s="89"/>
      <c r="S129" s="90"/>
      <c r="T129" s="90"/>
      <c r="U129" s="8"/>
      <c r="V129" s="91"/>
      <c r="W129" s="91"/>
      <c r="X129" s="91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</row>
    <row r="130" spans="1:42" ht="24" customHeight="1" x14ac:dyDescent="0.2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8"/>
      <c r="N130" s="88"/>
      <c r="O130" s="87"/>
      <c r="P130" s="87"/>
      <c r="Q130" s="89"/>
      <c r="R130" s="89"/>
      <c r="S130" s="90"/>
      <c r="T130" s="90"/>
      <c r="U130" s="8"/>
      <c r="V130" s="91"/>
      <c r="W130" s="91"/>
      <c r="X130" s="91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</row>
    <row r="131" spans="1:42" ht="24" customHeight="1" x14ac:dyDescent="0.2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8"/>
      <c r="N131" s="88"/>
      <c r="O131" s="87"/>
      <c r="P131" s="87"/>
      <c r="Q131" s="89"/>
      <c r="R131" s="89"/>
      <c r="S131" s="90"/>
      <c r="T131" s="90"/>
      <c r="U131" s="8"/>
      <c r="V131" s="91"/>
      <c r="W131" s="91"/>
      <c r="X131" s="91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</row>
    <row r="132" spans="1:42" ht="24" customHeight="1" x14ac:dyDescent="0.2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8"/>
      <c r="N132" s="88"/>
      <c r="O132" s="87"/>
      <c r="P132" s="87"/>
      <c r="Q132" s="89"/>
      <c r="R132" s="89"/>
      <c r="S132" s="90"/>
      <c r="T132" s="90"/>
      <c r="U132" s="8"/>
      <c r="V132" s="91"/>
      <c r="W132" s="91"/>
      <c r="X132" s="91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</row>
    <row r="133" spans="1:42" ht="24" customHeight="1" x14ac:dyDescent="0.2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8"/>
      <c r="N133" s="88"/>
      <c r="O133" s="87"/>
      <c r="P133" s="87"/>
      <c r="Q133" s="89"/>
      <c r="R133" s="89"/>
      <c r="S133" s="90"/>
      <c r="T133" s="90"/>
      <c r="U133" s="8"/>
      <c r="V133" s="91"/>
      <c r="W133" s="91"/>
      <c r="X133" s="91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</row>
    <row r="134" spans="1:42" ht="24" customHeight="1" x14ac:dyDescent="0.2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8"/>
      <c r="N134" s="88"/>
      <c r="O134" s="87"/>
      <c r="P134" s="87"/>
      <c r="Q134" s="89"/>
      <c r="R134" s="89"/>
      <c r="S134" s="90"/>
      <c r="T134" s="90"/>
      <c r="U134" s="8"/>
      <c r="V134" s="91"/>
      <c r="W134" s="91"/>
      <c r="X134" s="91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</row>
    <row r="135" spans="1:42" ht="24" customHeight="1" x14ac:dyDescent="0.2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8"/>
      <c r="N135" s="88"/>
      <c r="O135" s="87"/>
      <c r="P135" s="87"/>
      <c r="Q135" s="89"/>
      <c r="R135" s="89"/>
      <c r="S135" s="90"/>
      <c r="T135" s="90"/>
      <c r="U135" s="8"/>
      <c r="V135" s="91"/>
      <c r="W135" s="91"/>
      <c r="X135" s="91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</row>
    <row r="136" spans="1:42" ht="24" customHeight="1" x14ac:dyDescent="0.2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8"/>
      <c r="N136" s="88"/>
      <c r="O136" s="87"/>
      <c r="P136" s="87"/>
      <c r="Q136" s="89"/>
      <c r="R136" s="89"/>
      <c r="S136" s="90"/>
      <c r="T136" s="90"/>
      <c r="U136" s="8"/>
      <c r="V136" s="91"/>
      <c r="W136" s="91"/>
      <c r="X136" s="91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</row>
    <row r="137" spans="1:42" ht="24" customHeight="1" x14ac:dyDescent="0.2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8"/>
      <c r="N137" s="88"/>
      <c r="O137" s="87"/>
      <c r="P137" s="87"/>
      <c r="Q137" s="89"/>
      <c r="R137" s="89"/>
      <c r="S137" s="90"/>
      <c r="T137" s="90"/>
      <c r="U137" s="8"/>
      <c r="V137" s="91"/>
      <c r="W137" s="91"/>
      <c r="X137" s="91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</row>
    <row r="138" spans="1:42" ht="24" customHeight="1" x14ac:dyDescent="0.2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8"/>
      <c r="N138" s="88"/>
      <c r="O138" s="87"/>
      <c r="P138" s="87"/>
      <c r="Q138" s="89"/>
      <c r="R138" s="89"/>
      <c r="S138" s="90"/>
      <c r="T138" s="90"/>
      <c r="U138" s="8"/>
      <c r="V138" s="91"/>
      <c r="W138" s="91"/>
      <c r="X138" s="91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</row>
    <row r="139" spans="1:42" ht="24" customHeight="1" x14ac:dyDescent="0.2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8"/>
      <c r="N139" s="88"/>
      <c r="O139" s="87"/>
      <c r="P139" s="87"/>
      <c r="Q139" s="89"/>
      <c r="R139" s="89"/>
      <c r="S139" s="90"/>
      <c r="T139" s="90"/>
      <c r="U139" s="8"/>
      <c r="V139" s="91"/>
      <c r="W139" s="91"/>
      <c r="X139" s="91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</row>
    <row r="140" spans="1:42" ht="24" customHeight="1" x14ac:dyDescent="0.2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8"/>
      <c r="N140" s="88"/>
      <c r="O140" s="87"/>
      <c r="P140" s="87"/>
      <c r="Q140" s="89"/>
      <c r="R140" s="89"/>
      <c r="S140" s="90"/>
      <c r="T140" s="90"/>
      <c r="U140" s="8"/>
      <c r="V140" s="91"/>
      <c r="W140" s="91"/>
      <c r="X140" s="91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</row>
    <row r="141" spans="1:42" ht="24" customHeight="1" x14ac:dyDescent="0.2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8"/>
      <c r="N141" s="88"/>
      <c r="O141" s="87"/>
      <c r="P141" s="87"/>
      <c r="Q141" s="89"/>
      <c r="R141" s="89"/>
      <c r="S141" s="90"/>
      <c r="T141" s="90"/>
      <c r="U141" s="8"/>
      <c r="V141" s="91"/>
      <c r="W141" s="91"/>
      <c r="X141" s="91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</row>
    <row r="142" spans="1:42" ht="24" customHeight="1" x14ac:dyDescent="0.2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8"/>
      <c r="N142" s="88"/>
      <c r="O142" s="87"/>
      <c r="P142" s="87"/>
      <c r="Q142" s="89"/>
      <c r="R142" s="89"/>
      <c r="S142" s="90"/>
      <c r="T142" s="90"/>
      <c r="U142" s="8"/>
      <c r="V142" s="91"/>
      <c r="W142" s="91"/>
      <c r="X142" s="91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</row>
    <row r="143" spans="1:42" ht="24" customHeight="1" x14ac:dyDescent="0.2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8"/>
      <c r="N143" s="88"/>
      <c r="O143" s="87"/>
      <c r="P143" s="87"/>
      <c r="Q143" s="89"/>
      <c r="R143" s="89"/>
      <c r="S143" s="90"/>
      <c r="T143" s="90"/>
      <c r="U143" s="8"/>
      <c r="V143" s="91"/>
      <c r="W143" s="91"/>
      <c r="X143" s="91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</row>
    <row r="144" spans="1:42" ht="24" customHeight="1" x14ac:dyDescent="0.2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8"/>
      <c r="N144" s="88"/>
      <c r="O144" s="87"/>
      <c r="P144" s="87"/>
      <c r="Q144" s="89"/>
      <c r="R144" s="89"/>
      <c r="S144" s="90"/>
      <c r="T144" s="90"/>
      <c r="U144" s="8"/>
      <c r="V144" s="91"/>
      <c r="W144" s="91"/>
      <c r="X144" s="91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</row>
    <row r="145" spans="1:42" ht="24" customHeight="1" x14ac:dyDescent="0.2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8"/>
      <c r="N145" s="88"/>
      <c r="O145" s="87"/>
      <c r="P145" s="87"/>
      <c r="Q145" s="89"/>
      <c r="R145" s="89"/>
      <c r="S145" s="90"/>
      <c r="T145" s="90"/>
      <c r="U145" s="8"/>
      <c r="V145" s="91"/>
      <c r="W145" s="91"/>
      <c r="X145" s="91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</row>
    <row r="146" spans="1:42" ht="24" customHeight="1" x14ac:dyDescent="0.2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8"/>
      <c r="N146" s="88"/>
      <c r="O146" s="87"/>
      <c r="P146" s="87"/>
      <c r="Q146" s="89"/>
      <c r="R146" s="89"/>
      <c r="S146" s="90"/>
      <c r="T146" s="90"/>
      <c r="U146" s="8"/>
      <c r="V146" s="91"/>
      <c r="W146" s="91"/>
      <c r="X146" s="91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</row>
    <row r="147" spans="1:42" ht="24" customHeight="1" x14ac:dyDescent="0.2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8"/>
      <c r="N147" s="88"/>
      <c r="O147" s="87"/>
      <c r="P147" s="87"/>
      <c r="Q147" s="89"/>
      <c r="R147" s="89"/>
      <c r="S147" s="90"/>
      <c r="T147" s="90"/>
      <c r="U147" s="8"/>
      <c r="V147" s="91"/>
      <c r="W147" s="91"/>
      <c r="X147" s="91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</row>
    <row r="148" spans="1:42" ht="24" customHeight="1" x14ac:dyDescent="0.2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8"/>
      <c r="N148" s="88"/>
      <c r="O148" s="87"/>
      <c r="P148" s="87"/>
      <c r="Q148" s="89"/>
      <c r="R148" s="89"/>
      <c r="S148" s="90"/>
      <c r="T148" s="90"/>
      <c r="U148" s="8"/>
      <c r="V148" s="91"/>
      <c r="W148" s="91"/>
      <c r="X148" s="91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</row>
    <row r="149" spans="1:42" ht="24" customHeight="1" x14ac:dyDescent="0.2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8"/>
      <c r="N149" s="88"/>
      <c r="O149" s="87"/>
      <c r="P149" s="87"/>
      <c r="Q149" s="89"/>
      <c r="R149" s="89"/>
      <c r="S149" s="90"/>
      <c r="T149" s="90"/>
      <c r="U149" s="8"/>
      <c r="V149" s="91"/>
      <c r="W149" s="91"/>
      <c r="X149" s="91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</row>
    <row r="150" spans="1:42" ht="24" customHeight="1" x14ac:dyDescent="0.2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8"/>
      <c r="N150" s="88"/>
      <c r="O150" s="87"/>
      <c r="P150" s="87"/>
      <c r="Q150" s="89"/>
      <c r="R150" s="89"/>
      <c r="S150" s="90"/>
      <c r="T150" s="90"/>
      <c r="U150" s="8"/>
      <c r="V150" s="91"/>
      <c r="W150" s="91"/>
      <c r="X150" s="91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</row>
    <row r="151" spans="1:42" ht="24" customHeight="1" x14ac:dyDescent="0.2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8"/>
      <c r="N151" s="88"/>
      <c r="O151" s="87"/>
      <c r="P151" s="87"/>
      <c r="Q151" s="89"/>
      <c r="R151" s="89"/>
      <c r="S151" s="90"/>
      <c r="T151" s="90"/>
      <c r="U151" s="8"/>
      <c r="V151" s="91"/>
      <c r="W151" s="91"/>
      <c r="X151" s="91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</row>
    <row r="152" spans="1:42" ht="24" customHeight="1" x14ac:dyDescent="0.2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8"/>
      <c r="N152" s="88"/>
      <c r="O152" s="87"/>
      <c r="P152" s="87"/>
      <c r="Q152" s="89"/>
      <c r="R152" s="89"/>
      <c r="S152" s="90"/>
      <c r="T152" s="90"/>
      <c r="U152" s="8"/>
      <c r="V152" s="91"/>
      <c r="W152" s="91"/>
      <c r="X152" s="91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</row>
    <row r="153" spans="1:42" ht="24" customHeight="1" x14ac:dyDescent="0.2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8"/>
      <c r="N153" s="88"/>
      <c r="O153" s="87"/>
      <c r="P153" s="87"/>
      <c r="Q153" s="89"/>
      <c r="R153" s="89"/>
      <c r="S153" s="90"/>
      <c r="T153" s="90"/>
      <c r="U153" s="8"/>
      <c r="V153" s="91"/>
      <c r="W153" s="91"/>
      <c r="X153" s="91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</row>
    <row r="154" spans="1:42" ht="24" customHeight="1" x14ac:dyDescent="0.2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8"/>
      <c r="N154" s="88"/>
      <c r="O154" s="87"/>
      <c r="P154" s="87"/>
      <c r="Q154" s="89"/>
      <c r="R154" s="89"/>
      <c r="S154" s="90"/>
      <c r="T154" s="90"/>
      <c r="U154" s="8"/>
      <c r="V154" s="91"/>
      <c r="W154" s="91"/>
      <c r="X154" s="91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</row>
    <row r="155" spans="1:42" ht="24" customHeight="1" x14ac:dyDescent="0.2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8"/>
      <c r="N155" s="88"/>
      <c r="O155" s="87"/>
      <c r="P155" s="87"/>
      <c r="Q155" s="89"/>
      <c r="R155" s="89"/>
      <c r="S155" s="90"/>
      <c r="T155" s="90"/>
      <c r="U155" s="8"/>
      <c r="V155" s="91"/>
      <c r="W155" s="91"/>
      <c r="X155" s="91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</row>
    <row r="156" spans="1:42" ht="24" customHeight="1" x14ac:dyDescent="0.2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8"/>
      <c r="N156" s="88"/>
      <c r="O156" s="87"/>
      <c r="P156" s="87"/>
      <c r="Q156" s="89"/>
      <c r="R156" s="89"/>
      <c r="S156" s="90"/>
      <c r="T156" s="90"/>
      <c r="U156" s="8"/>
      <c r="V156" s="91"/>
      <c r="W156" s="91"/>
      <c r="X156" s="91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</row>
    <row r="157" spans="1:42" ht="24" customHeight="1" x14ac:dyDescent="0.2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8"/>
      <c r="N157" s="88"/>
      <c r="O157" s="87"/>
      <c r="P157" s="87"/>
      <c r="Q157" s="89"/>
      <c r="R157" s="89"/>
      <c r="S157" s="90"/>
      <c r="T157" s="90"/>
      <c r="U157" s="8"/>
      <c r="V157" s="91"/>
      <c r="W157" s="91"/>
      <c r="X157" s="91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</row>
    <row r="158" spans="1:42" ht="24" customHeight="1" x14ac:dyDescent="0.2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8"/>
      <c r="N158" s="88"/>
      <c r="O158" s="87"/>
      <c r="P158" s="87"/>
      <c r="Q158" s="89"/>
      <c r="R158" s="89"/>
      <c r="S158" s="90"/>
      <c r="T158" s="90"/>
      <c r="U158" s="8"/>
      <c r="V158" s="91"/>
      <c r="W158" s="91"/>
      <c r="X158" s="91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</row>
    <row r="159" spans="1:42" ht="24" customHeight="1" x14ac:dyDescent="0.2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8"/>
      <c r="N159" s="88"/>
      <c r="O159" s="87"/>
      <c r="P159" s="87"/>
      <c r="Q159" s="89"/>
      <c r="R159" s="89"/>
      <c r="S159" s="90"/>
      <c r="T159" s="90"/>
      <c r="U159" s="8"/>
      <c r="V159" s="91"/>
      <c r="W159" s="91"/>
      <c r="X159" s="91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</row>
    <row r="160" spans="1:42" ht="24" customHeight="1" x14ac:dyDescent="0.2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8"/>
      <c r="N160" s="88"/>
      <c r="O160" s="87"/>
      <c r="P160" s="87"/>
      <c r="Q160" s="89"/>
      <c r="R160" s="89"/>
      <c r="S160" s="90"/>
      <c r="T160" s="90"/>
      <c r="U160" s="8"/>
      <c r="V160" s="91"/>
      <c r="W160" s="91"/>
      <c r="X160" s="91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</row>
    <row r="161" spans="1:42" ht="24" customHeight="1" x14ac:dyDescent="0.2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8"/>
      <c r="N161" s="88"/>
      <c r="O161" s="87"/>
      <c r="P161" s="87"/>
      <c r="Q161" s="89"/>
      <c r="R161" s="89"/>
      <c r="S161" s="90"/>
      <c r="T161" s="90"/>
      <c r="U161" s="8"/>
      <c r="V161" s="91"/>
      <c r="W161" s="91"/>
      <c r="X161" s="91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</row>
    <row r="162" spans="1:42" ht="24" customHeight="1" x14ac:dyDescent="0.2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8"/>
      <c r="N162" s="88"/>
      <c r="O162" s="87"/>
      <c r="P162" s="87"/>
      <c r="Q162" s="89"/>
      <c r="R162" s="89"/>
      <c r="S162" s="90"/>
      <c r="T162" s="90"/>
      <c r="U162" s="8"/>
      <c r="V162" s="91"/>
      <c r="W162" s="91"/>
      <c r="X162" s="91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</row>
    <row r="163" spans="1:42" ht="24" customHeight="1" x14ac:dyDescent="0.2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8"/>
      <c r="N163" s="88"/>
      <c r="O163" s="87"/>
      <c r="P163" s="87"/>
      <c r="Q163" s="89"/>
      <c r="R163" s="89"/>
      <c r="S163" s="90"/>
      <c r="T163" s="90"/>
      <c r="U163" s="8"/>
      <c r="V163" s="91"/>
      <c r="W163" s="91"/>
      <c r="X163" s="91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</row>
    <row r="164" spans="1:42" ht="24" customHeight="1" x14ac:dyDescent="0.2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8"/>
      <c r="N164" s="88"/>
      <c r="O164" s="87"/>
      <c r="P164" s="87"/>
      <c r="Q164" s="89"/>
      <c r="R164" s="89"/>
      <c r="S164" s="90"/>
      <c r="T164" s="90"/>
      <c r="U164" s="8"/>
      <c r="V164" s="91"/>
      <c r="W164" s="91"/>
      <c r="X164" s="91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</row>
    <row r="165" spans="1:42" ht="24" customHeight="1" x14ac:dyDescent="0.2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8"/>
      <c r="N165" s="88"/>
      <c r="O165" s="87"/>
      <c r="P165" s="87"/>
      <c r="Q165" s="89"/>
      <c r="R165" s="89"/>
      <c r="S165" s="90"/>
      <c r="T165" s="90"/>
      <c r="U165" s="8"/>
      <c r="V165" s="91"/>
      <c r="W165" s="91"/>
      <c r="X165" s="91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</row>
    <row r="166" spans="1:42" ht="24" customHeight="1" x14ac:dyDescent="0.2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8"/>
      <c r="N166" s="88"/>
      <c r="O166" s="87"/>
      <c r="P166" s="87"/>
      <c r="Q166" s="89"/>
      <c r="R166" s="89"/>
      <c r="S166" s="90"/>
      <c r="T166" s="90"/>
      <c r="U166" s="8"/>
      <c r="V166" s="91"/>
      <c r="W166" s="91"/>
      <c r="X166" s="91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</row>
    <row r="167" spans="1:42" ht="24" customHeight="1" x14ac:dyDescent="0.2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8"/>
      <c r="N167" s="88"/>
      <c r="O167" s="87"/>
      <c r="P167" s="87"/>
      <c r="Q167" s="89"/>
      <c r="R167" s="89"/>
      <c r="S167" s="90"/>
      <c r="T167" s="90"/>
      <c r="U167" s="8"/>
      <c r="V167" s="91"/>
      <c r="W167" s="91"/>
      <c r="X167" s="91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</row>
    <row r="168" spans="1:42" ht="24" customHeight="1" x14ac:dyDescent="0.2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8"/>
      <c r="N168" s="88"/>
      <c r="O168" s="87"/>
      <c r="P168" s="87"/>
      <c r="Q168" s="89"/>
      <c r="R168" s="89"/>
      <c r="S168" s="90"/>
      <c r="T168" s="90"/>
      <c r="U168" s="8"/>
      <c r="V168" s="91"/>
      <c r="W168" s="91"/>
      <c r="X168" s="91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</row>
    <row r="169" spans="1:42" ht="24" customHeight="1" x14ac:dyDescent="0.2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8"/>
      <c r="N169" s="88"/>
      <c r="O169" s="87"/>
      <c r="P169" s="87"/>
      <c r="Q169" s="89"/>
      <c r="R169" s="89"/>
      <c r="S169" s="90"/>
      <c r="T169" s="90"/>
      <c r="U169" s="8"/>
      <c r="V169" s="91"/>
      <c r="W169" s="91"/>
      <c r="X169" s="91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</row>
    <row r="170" spans="1:42" ht="24" customHeight="1" x14ac:dyDescent="0.2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8"/>
      <c r="N170" s="88"/>
      <c r="O170" s="87"/>
      <c r="P170" s="87"/>
      <c r="Q170" s="89"/>
      <c r="R170" s="89"/>
      <c r="S170" s="90"/>
      <c r="T170" s="90"/>
      <c r="U170" s="8"/>
      <c r="V170" s="91"/>
      <c r="W170" s="91"/>
      <c r="X170" s="91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</row>
    <row r="171" spans="1:42" ht="24" customHeight="1" x14ac:dyDescent="0.2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8"/>
      <c r="N171" s="88"/>
      <c r="O171" s="87"/>
      <c r="P171" s="87"/>
      <c r="Q171" s="89"/>
      <c r="R171" s="89"/>
      <c r="S171" s="90"/>
      <c r="T171" s="90"/>
      <c r="U171" s="8"/>
      <c r="V171" s="91"/>
      <c r="W171" s="91"/>
      <c r="X171" s="91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</row>
    <row r="172" spans="1:42" ht="24" customHeight="1" x14ac:dyDescent="0.2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8"/>
      <c r="N172" s="88"/>
      <c r="O172" s="87"/>
      <c r="P172" s="87"/>
      <c r="Q172" s="89"/>
      <c r="R172" s="89"/>
      <c r="S172" s="90"/>
      <c r="T172" s="90"/>
      <c r="U172" s="8"/>
      <c r="V172" s="91"/>
      <c r="W172" s="91"/>
      <c r="X172" s="91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</row>
    <row r="173" spans="1:42" ht="24" customHeight="1" x14ac:dyDescent="0.2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8"/>
      <c r="N173" s="88"/>
      <c r="O173" s="87"/>
      <c r="P173" s="87"/>
      <c r="Q173" s="89"/>
      <c r="R173" s="89"/>
      <c r="S173" s="90"/>
      <c r="T173" s="90"/>
      <c r="U173" s="8"/>
      <c r="V173" s="91"/>
      <c r="W173" s="91"/>
      <c r="X173" s="91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</row>
    <row r="174" spans="1:42" ht="24" customHeight="1" x14ac:dyDescent="0.2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8"/>
      <c r="N174" s="88"/>
      <c r="O174" s="87"/>
      <c r="P174" s="87"/>
      <c r="Q174" s="89"/>
      <c r="R174" s="89"/>
      <c r="S174" s="90"/>
      <c r="T174" s="90"/>
      <c r="U174" s="8"/>
      <c r="V174" s="91"/>
      <c r="W174" s="91"/>
      <c r="X174" s="91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</row>
    <row r="175" spans="1:42" ht="24" customHeight="1" x14ac:dyDescent="0.2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8"/>
      <c r="N175" s="88"/>
      <c r="O175" s="87"/>
      <c r="P175" s="87"/>
      <c r="Q175" s="89"/>
      <c r="R175" s="89"/>
      <c r="S175" s="90"/>
      <c r="T175" s="90"/>
      <c r="U175" s="8"/>
      <c r="V175" s="91"/>
      <c r="W175" s="91"/>
      <c r="X175" s="91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</row>
    <row r="176" spans="1:42" ht="24" customHeight="1" x14ac:dyDescent="0.2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8"/>
      <c r="N176" s="88"/>
      <c r="O176" s="87"/>
      <c r="P176" s="87"/>
      <c r="Q176" s="89"/>
      <c r="R176" s="89"/>
      <c r="S176" s="90"/>
      <c r="T176" s="90"/>
      <c r="U176" s="8"/>
      <c r="V176" s="91"/>
      <c r="W176" s="91"/>
      <c r="X176" s="91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</row>
    <row r="177" spans="1:42" ht="24" customHeight="1" x14ac:dyDescent="0.2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8"/>
      <c r="N177" s="88"/>
      <c r="O177" s="87"/>
      <c r="P177" s="87"/>
      <c r="Q177" s="89"/>
      <c r="R177" s="89"/>
      <c r="S177" s="90"/>
      <c r="T177" s="90"/>
      <c r="U177" s="8"/>
      <c r="V177" s="91"/>
      <c r="W177" s="91"/>
      <c r="X177" s="91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</row>
    <row r="178" spans="1:42" ht="24" customHeight="1" x14ac:dyDescent="0.2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8"/>
      <c r="N178" s="88"/>
      <c r="O178" s="87"/>
      <c r="P178" s="87"/>
      <c r="Q178" s="89"/>
      <c r="R178" s="89"/>
      <c r="S178" s="90"/>
      <c r="T178" s="90"/>
      <c r="U178" s="8"/>
      <c r="V178" s="91"/>
      <c r="W178" s="91"/>
      <c r="X178" s="91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</row>
    <row r="179" spans="1:42" ht="24" customHeight="1" x14ac:dyDescent="0.2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8"/>
      <c r="N179" s="88"/>
      <c r="O179" s="87"/>
      <c r="P179" s="87"/>
      <c r="Q179" s="89"/>
      <c r="R179" s="89"/>
      <c r="S179" s="90"/>
      <c r="T179" s="90"/>
      <c r="U179" s="8"/>
      <c r="V179" s="91"/>
      <c r="W179" s="91"/>
      <c r="X179" s="91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</row>
    <row r="180" spans="1:42" ht="24" customHeight="1" x14ac:dyDescent="0.2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8"/>
      <c r="N180" s="88"/>
      <c r="O180" s="87"/>
      <c r="P180" s="87"/>
      <c r="Q180" s="89"/>
      <c r="R180" s="89"/>
      <c r="S180" s="90"/>
      <c r="T180" s="90"/>
      <c r="U180" s="8"/>
      <c r="V180" s="91"/>
      <c r="W180" s="91"/>
      <c r="X180" s="91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</row>
    <row r="181" spans="1:42" ht="24" customHeight="1" x14ac:dyDescent="0.2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8"/>
      <c r="N181" s="88"/>
      <c r="O181" s="87"/>
      <c r="P181" s="87"/>
      <c r="Q181" s="89"/>
      <c r="R181" s="89"/>
      <c r="S181" s="90"/>
      <c r="T181" s="90"/>
      <c r="U181" s="8"/>
      <c r="V181" s="91"/>
      <c r="W181" s="91"/>
      <c r="X181" s="91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</row>
    <row r="182" spans="1:42" ht="24" customHeight="1" x14ac:dyDescent="0.2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8"/>
      <c r="N182" s="88"/>
      <c r="O182" s="87"/>
      <c r="P182" s="87"/>
      <c r="Q182" s="89"/>
      <c r="R182" s="89"/>
      <c r="S182" s="90"/>
      <c r="T182" s="90"/>
      <c r="U182" s="8"/>
      <c r="V182" s="91"/>
      <c r="W182" s="91"/>
      <c r="X182" s="91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</row>
    <row r="183" spans="1:42" ht="24" customHeight="1" x14ac:dyDescent="0.2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8"/>
      <c r="N183" s="88"/>
      <c r="O183" s="87"/>
      <c r="P183" s="87"/>
      <c r="Q183" s="89"/>
      <c r="R183" s="89"/>
      <c r="S183" s="90"/>
      <c r="T183" s="90"/>
      <c r="U183" s="8"/>
      <c r="V183" s="91"/>
      <c r="W183" s="91"/>
      <c r="X183" s="91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</row>
    <row r="184" spans="1:42" ht="24" customHeight="1" x14ac:dyDescent="0.2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8"/>
      <c r="N184" s="88"/>
      <c r="O184" s="87"/>
      <c r="P184" s="87"/>
      <c r="Q184" s="89"/>
      <c r="R184" s="89"/>
      <c r="S184" s="90"/>
      <c r="T184" s="90"/>
      <c r="U184" s="8"/>
      <c r="V184" s="91"/>
      <c r="W184" s="91"/>
      <c r="X184" s="91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</row>
    <row r="185" spans="1:42" ht="24" customHeight="1" x14ac:dyDescent="0.2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8"/>
      <c r="N185" s="88"/>
      <c r="O185" s="87"/>
      <c r="P185" s="87"/>
      <c r="Q185" s="89"/>
      <c r="R185" s="89"/>
      <c r="S185" s="90"/>
      <c r="T185" s="90"/>
      <c r="U185" s="8"/>
      <c r="V185" s="91"/>
      <c r="W185" s="91"/>
      <c r="X185" s="91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</row>
    <row r="186" spans="1:42" ht="24" customHeight="1" x14ac:dyDescent="0.2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8"/>
      <c r="N186" s="88"/>
      <c r="O186" s="87"/>
      <c r="P186" s="87"/>
      <c r="Q186" s="89"/>
      <c r="R186" s="89"/>
      <c r="S186" s="90"/>
      <c r="T186" s="90"/>
      <c r="U186" s="8"/>
      <c r="V186" s="91"/>
      <c r="W186" s="91"/>
      <c r="X186" s="91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</row>
    <row r="187" spans="1:42" ht="24" customHeight="1" x14ac:dyDescent="0.2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8"/>
      <c r="N187" s="88"/>
      <c r="O187" s="87"/>
      <c r="P187" s="87"/>
      <c r="Q187" s="89"/>
      <c r="R187" s="89"/>
      <c r="S187" s="90"/>
      <c r="T187" s="90"/>
      <c r="U187" s="8"/>
      <c r="V187" s="91"/>
      <c r="W187" s="91"/>
      <c r="X187" s="91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</row>
    <row r="188" spans="1:42" ht="24" customHeight="1" x14ac:dyDescent="0.2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8"/>
      <c r="N188" s="88"/>
      <c r="O188" s="87"/>
      <c r="P188" s="87"/>
      <c r="Q188" s="89"/>
      <c r="R188" s="89"/>
      <c r="S188" s="90"/>
      <c r="T188" s="90"/>
      <c r="U188" s="8"/>
      <c r="V188" s="91"/>
      <c r="W188" s="91"/>
      <c r="X188" s="91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</row>
    <row r="189" spans="1:42" ht="24" customHeight="1" x14ac:dyDescent="0.2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8"/>
      <c r="N189" s="88"/>
      <c r="O189" s="87"/>
      <c r="P189" s="87"/>
      <c r="Q189" s="89"/>
      <c r="R189" s="89"/>
      <c r="S189" s="90"/>
      <c r="T189" s="90"/>
      <c r="U189" s="8"/>
      <c r="V189" s="91"/>
      <c r="W189" s="91"/>
      <c r="X189" s="91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</row>
    <row r="190" spans="1:42" ht="24" customHeight="1" x14ac:dyDescent="0.2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8"/>
      <c r="N190" s="88"/>
      <c r="O190" s="87"/>
      <c r="P190" s="87"/>
      <c r="Q190" s="89"/>
      <c r="R190" s="89"/>
      <c r="S190" s="90"/>
      <c r="T190" s="90"/>
      <c r="U190" s="8"/>
      <c r="V190" s="91"/>
      <c r="W190" s="91"/>
      <c r="X190" s="91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</row>
    <row r="191" spans="1:42" ht="24" customHeight="1" x14ac:dyDescent="0.2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8"/>
      <c r="N191" s="88"/>
      <c r="O191" s="87"/>
      <c r="P191" s="87"/>
      <c r="Q191" s="89"/>
      <c r="R191" s="89"/>
      <c r="S191" s="90"/>
      <c r="T191" s="90"/>
      <c r="U191" s="8"/>
      <c r="V191" s="91"/>
      <c r="W191" s="91"/>
      <c r="X191" s="91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</row>
    <row r="192" spans="1:42" ht="24" customHeight="1" x14ac:dyDescent="0.2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8"/>
      <c r="N192" s="88"/>
      <c r="O192" s="87"/>
      <c r="P192" s="87"/>
      <c r="Q192" s="89"/>
      <c r="R192" s="89"/>
      <c r="S192" s="90"/>
      <c r="T192" s="90"/>
      <c r="U192" s="8"/>
      <c r="V192" s="91"/>
      <c r="W192" s="91"/>
      <c r="X192" s="91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</row>
    <row r="193" spans="1:42" ht="24" customHeight="1" x14ac:dyDescent="0.2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8"/>
      <c r="N193" s="88"/>
      <c r="O193" s="87"/>
      <c r="P193" s="87"/>
      <c r="Q193" s="89"/>
      <c r="R193" s="89"/>
      <c r="S193" s="90"/>
      <c r="T193" s="90"/>
      <c r="U193" s="8"/>
      <c r="V193" s="91"/>
      <c r="W193" s="91"/>
      <c r="X193" s="91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</row>
    <row r="194" spans="1:42" ht="24" customHeight="1" x14ac:dyDescent="0.2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8"/>
      <c r="N194" s="88"/>
      <c r="O194" s="87"/>
      <c r="P194" s="87"/>
      <c r="Q194" s="89"/>
      <c r="R194" s="89"/>
      <c r="S194" s="90"/>
      <c r="T194" s="90"/>
      <c r="U194" s="8"/>
      <c r="V194" s="91"/>
      <c r="W194" s="91"/>
      <c r="X194" s="91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</row>
    <row r="195" spans="1:42" ht="24" customHeight="1" x14ac:dyDescent="0.2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8"/>
      <c r="N195" s="88"/>
      <c r="O195" s="87"/>
      <c r="P195" s="87"/>
      <c r="Q195" s="89"/>
      <c r="R195" s="89"/>
      <c r="S195" s="90"/>
      <c r="T195" s="90"/>
      <c r="U195" s="8"/>
      <c r="V195" s="91"/>
      <c r="W195" s="91"/>
      <c r="X195" s="91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</row>
    <row r="196" spans="1:42" ht="24" customHeight="1" x14ac:dyDescent="0.2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8"/>
      <c r="N196" s="88"/>
      <c r="O196" s="87"/>
      <c r="P196" s="87"/>
      <c r="Q196" s="89"/>
      <c r="R196" s="89"/>
      <c r="S196" s="90"/>
      <c r="T196" s="90"/>
      <c r="U196" s="8"/>
      <c r="V196" s="91"/>
      <c r="W196" s="91"/>
      <c r="X196" s="91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</row>
    <row r="197" spans="1:42" ht="24" customHeight="1" x14ac:dyDescent="0.2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8"/>
      <c r="N197" s="88"/>
      <c r="O197" s="87"/>
      <c r="P197" s="87"/>
      <c r="Q197" s="89"/>
      <c r="R197" s="89"/>
      <c r="S197" s="90"/>
      <c r="T197" s="90"/>
      <c r="U197" s="8"/>
      <c r="V197" s="91"/>
      <c r="W197" s="91"/>
      <c r="X197" s="91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</row>
    <row r="198" spans="1:42" ht="24" customHeight="1" x14ac:dyDescent="0.2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8"/>
      <c r="N198" s="88"/>
      <c r="O198" s="87"/>
      <c r="P198" s="87"/>
      <c r="Q198" s="89"/>
      <c r="R198" s="89"/>
      <c r="S198" s="90"/>
      <c r="T198" s="90"/>
      <c r="U198" s="8"/>
      <c r="V198" s="91"/>
      <c r="W198" s="91"/>
      <c r="X198" s="91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</row>
    <row r="199" spans="1:42" ht="24" customHeight="1" x14ac:dyDescent="0.2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8"/>
      <c r="N199" s="88"/>
      <c r="O199" s="87"/>
      <c r="P199" s="87"/>
      <c r="Q199" s="89"/>
      <c r="R199" s="89"/>
      <c r="S199" s="90"/>
      <c r="T199" s="90"/>
      <c r="U199" s="8"/>
      <c r="V199" s="91"/>
      <c r="W199" s="91"/>
      <c r="X199" s="91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</row>
    <row r="200" spans="1:42" ht="24" customHeight="1" x14ac:dyDescent="0.2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8"/>
      <c r="N200" s="88"/>
      <c r="O200" s="87"/>
      <c r="P200" s="87"/>
      <c r="Q200" s="89"/>
      <c r="R200" s="89"/>
      <c r="S200" s="90"/>
      <c r="T200" s="90"/>
      <c r="U200" s="8"/>
      <c r="V200" s="91"/>
      <c r="W200" s="91"/>
      <c r="X200" s="91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</row>
    <row r="201" spans="1:42" ht="24" customHeight="1" x14ac:dyDescent="0.2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8"/>
      <c r="N201" s="88"/>
      <c r="O201" s="87"/>
      <c r="P201" s="87"/>
      <c r="Q201" s="89"/>
      <c r="R201" s="89"/>
      <c r="S201" s="90"/>
      <c r="T201" s="90"/>
      <c r="U201" s="8"/>
      <c r="V201" s="91"/>
      <c r="W201" s="91"/>
      <c r="X201" s="91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</row>
    <row r="202" spans="1:42" ht="24" customHeight="1" x14ac:dyDescent="0.2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8"/>
      <c r="N202" s="88"/>
      <c r="O202" s="87"/>
      <c r="P202" s="87"/>
      <c r="Q202" s="89"/>
      <c r="R202" s="89"/>
      <c r="S202" s="90"/>
      <c r="T202" s="90"/>
      <c r="U202" s="8"/>
      <c r="V202" s="91"/>
      <c r="W202" s="91"/>
      <c r="X202" s="91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</row>
    <row r="203" spans="1:42" ht="24" customHeight="1" x14ac:dyDescent="0.2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8"/>
      <c r="N203" s="88"/>
      <c r="O203" s="87"/>
      <c r="P203" s="87"/>
      <c r="Q203" s="89"/>
      <c r="R203" s="89"/>
      <c r="S203" s="90"/>
      <c r="T203" s="90"/>
      <c r="U203" s="8"/>
      <c r="V203" s="91"/>
      <c r="W203" s="91"/>
      <c r="X203" s="91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</row>
    <row r="204" spans="1:42" ht="24" customHeight="1" x14ac:dyDescent="0.2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8"/>
      <c r="N204" s="88"/>
      <c r="O204" s="87"/>
      <c r="P204" s="87"/>
      <c r="Q204" s="89"/>
      <c r="R204" s="89"/>
      <c r="S204" s="90"/>
      <c r="T204" s="90"/>
      <c r="U204" s="8"/>
      <c r="V204" s="91"/>
      <c r="W204" s="91"/>
      <c r="X204" s="91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</row>
    <row r="205" spans="1:42" ht="24" customHeight="1" x14ac:dyDescent="0.2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8"/>
      <c r="N205" s="88"/>
      <c r="O205" s="87"/>
      <c r="P205" s="87"/>
      <c r="Q205" s="89"/>
      <c r="R205" s="89"/>
      <c r="S205" s="90"/>
      <c r="T205" s="90"/>
      <c r="U205" s="8"/>
      <c r="V205" s="91"/>
      <c r="W205" s="91"/>
      <c r="X205" s="91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</row>
    <row r="206" spans="1:42" ht="24" customHeight="1" x14ac:dyDescent="0.2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8"/>
      <c r="N206" s="88"/>
      <c r="O206" s="87"/>
      <c r="P206" s="87"/>
      <c r="Q206" s="89"/>
      <c r="R206" s="89"/>
      <c r="S206" s="90"/>
      <c r="T206" s="90"/>
      <c r="U206" s="8"/>
      <c r="V206" s="91"/>
      <c r="W206" s="91"/>
      <c r="X206" s="91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</row>
    <row r="207" spans="1:42" ht="24" customHeight="1" x14ac:dyDescent="0.2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8"/>
      <c r="N207" s="88"/>
      <c r="O207" s="87"/>
      <c r="P207" s="87"/>
      <c r="Q207" s="89"/>
      <c r="R207" s="89"/>
      <c r="S207" s="90"/>
      <c r="T207" s="90"/>
      <c r="U207" s="8"/>
      <c r="V207" s="91"/>
      <c r="W207" s="91"/>
      <c r="X207" s="91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</row>
    <row r="208" spans="1:42" ht="24" customHeight="1" x14ac:dyDescent="0.2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8"/>
      <c r="N208" s="88"/>
      <c r="O208" s="87"/>
      <c r="P208" s="87"/>
      <c r="Q208" s="89"/>
      <c r="R208" s="89"/>
      <c r="S208" s="90"/>
      <c r="T208" s="90"/>
      <c r="U208" s="8"/>
      <c r="V208" s="91"/>
      <c r="W208" s="91"/>
      <c r="X208" s="91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</row>
    <row r="209" spans="1:42" ht="24" customHeight="1" x14ac:dyDescent="0.2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8"/>
      <c r="N209" s="88"/>
      <c r="O209" s="87"/>
      <c r="P209" s="87"/>
      <c r="Q209" s="89"/>
      <c r="R209" s="89"/>
      <c r="S209" s="90"/>
      <c r="T209" s="90"/>
      <c r="U209" s="8"/>
      <c r="V209" s="91"/>
      <c r="W209" s="91"/>
      <c r="X209" s="91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</row>
    <row r="210" spans="1:42" ht="24" customHeight="1" x14ac:dyDescent="0.2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8"/>
      <c r="N210" s="88"/>
      <c r="O210" s="87"/>
      <c r="P210" s="87"/>
      <c r="Q210" s="89"/>
      <c r="R210" s="89"/>
      <c r="S210" s="90"/>
      <c r="T210" s="90"/>
      <c r="U210" s="8"/>
      <c r="V210" s="91"/>
      <c r="W210" s="91"/>
      <c r="X210" s="91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</row>
    <row r="211" spans="1:42" ht="24" customHeight="1" x14ac:dyDescent="0.2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8"/>
      <c r="N211" s="88"/>
      <c r="O211" s="87"/>
      <c r="P211" s="87"/>
      <c r="Q211" s="89"/>
      <c r="R211" s="89"/>
      <c r="S211" s="90"/>
      <c r="T211" s="90"/>
      <c r="U211" s="8"/>
      <c r="V211" s="91"/>
      <c r="W211" s="91"/>
      <c r="X211" s="91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</row>
    <row r="212" spans="1:42" ht="24" customHeight="1" x14ac:dyDescent="0.2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8"/>
      <c r="N212" s="88"/>
      <c r="O212" s="87"/>
      <c r="P212" s="87"/>
      <c r="Q212" s="89"/>
      <c r="R212" s="89"/>
      <c r="S212" s="90"/>
      <c r="T212" s="90"/>
      <c r="U212" s="8"/>
      <c r="V212" s="91"/>
      <c r="W212" s="91"/>
      <c r="X212" s="91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</row>
    <row r="213" spans="1:42" ht="24" customHeight="1" x14ac:dyDescent="0.2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8"/>
      <c r="N213" s="88"/>
      <c r="O213" s="87"/>
      <c r="P213" s="87"/>
      <c r="Q213" s="89"/>
      <c r="R213" s="89"/>
      <c r="S213" s="90"/>
      <c r="T213" s="90"/>
      <c r="U213" s="8"/>
      <c r="V213" s="91"/>
      <c r="W213" s="91"/>
      <c r="X213" s="91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</row>
    <row r="214" spans="1:42" ht="24" customHeight="1" x14ac:dyDescent="0.2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8"/>
      <c r="N214" s="88"/>
      <c r="O214" s="87"/>
      <c r="P214" s="87"/>
      <c r="Q214" s="89"/>
      <c r="R214" s="89"/>
      <c r="S214" s="90"/>
      <c r="T214" s="90"/>
      <c r="U214" s="8"/>
      <c r="V214" s="91"/>
      <c r="W214" s="91"/>
      <c r="X214" s="91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</row>
    <row r="215" spans="1:42" ht="24" customHeight="1" x14ac:dyDescent="0.2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8"/>
      <c r="N215" s="88"/>
      <c r="O215" s="87"/>
      <c r="P215" s="87"/>
      <c r="Q215" s="89"/>
      <c r="R215" s="89"/>
      <c r="S215" s="90"/>
      <c r="T215" s="90"/>
      <c r="U215" s="8"/>
      <c r="V215" s="91"/>
      <c r="W215" s="91"/>
      <c r="X215" s="91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</row>
    <row r="216" spans="1:42" ht="24" customHeight="1" x14ac:dyDescent="0.2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8"/>
      <c r="N216" s="88"/>
      <c r="O216" s="87"/>
      <c r="P216" s="87"/>
      <c r="Q216" s="89"/>
      <c r="R216" s="89"/>
      <c r="S216" s="90"/>
      <c r="T216" s="90"/>
      <c r="U216" s="8"/>
      <c r="V216" s="91"/>
      <c r="W216" s="91"/>
      <c r="X216" s="91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</row>
    <row r="217" spans="1:42" ht="24" customHeight="1" x14ac:dyDescent="0.2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8"/>
      <c r="N217" s="88"/>
      <c r="O217" s="87"/>
      <c r="P217" s="87"/>
      <c r="Q217" s="89"/>
      <c r="R217" s="89"/>
      <c r="S217" s="90"/>
      <c r="T217" s="90"/>
      <c r="U217" s="8"/>
      <c r="V217" s="91"/>
      <c r="W217" s="91"/>
      <c r="X217" s="91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</row>
    <row r="218" spans="1:42" ht="24" customHeight="1" x14ac:dyDescent="0.2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8"/>
      <c r="N218" s="88"/>
      <c r="O218" s="87"/>
      <c r="P218" s="87"/>
      <c r="Q218" s="89"/>
      <c r="R218" s="89"/>
      <c r="S218" s="90"/>
      <c r="T218" s="90"/>
      <c r="U218" s="8"/>
      <c r="V218" s="91"/>
      <c r="W218" s="91"/>
      <c r="X218" s="91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</row>
    <row r="219" spans="1:42" ht="24" customHeight="1" x14ac:dyDescent="0.2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8"/>
      <c r="N219" s="88"/>
      <c r="O219" s="87"/>
      <c r="P219" s="87"/>
      <c r="Q219" s="89"/>
      <c r="R219" s="89"/>
      <c r="S219" s="90"/>
      <c r="T219" s="90"/>
      <c r="U219" s="8"/>
      <c r="V219" s="91"/>
      <c r="W219" s="91"/>
      <c r="X219" s="91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</row>
    <row r="220" spans="1:42" ht="24" customHeight="1" x14ac:dyDescent="0.2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8"/>
      <c r="N220" s="88"/>
      <c r="O220" s="87"/>
      <c r="P220" s="87"/>
      <c r="Q220" s="89"/>
      <c r="R220" s="89"/>
      <c r="S220" s="90"/>
      <c r="T220" s="90"/>
      <c r="U220" s="8"/>
      <c r="V220" s="91"/>
      <c r="W220" s="91"/>
      <c r="X220" s="91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</row>
    <row r="221" spans="1:42" ht="24" customHeight="1" x14ac:dyDescent="0.2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8"/>
      <c r="N221" s="88"/>
      <c r="O221" s="87"/>
      <c r="P221" s="87"/>
      <c r="Q221" s="89"/>
      <c r="R221" s="89"/>
      <c r="S221" s="90"/>
      <c r="T221" s="90"/>
      <c r="U221" s="8"/>
      <c r="V221" s="91"/>
      <c r="W221" s="91"/>
      <c r="X221" s="91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</row>
    <row r="222" spans="1:42" ht="24" customHeight="1" x14ac:dyDescent="0.2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8"/>
      <c r="N222" s="88"/>
      <c r="O222" s="87"/>
      <c r="P222" s="87"/>
      <c r="Q222" s="89"/>
      <c r="R222" s="89"/>
      <c r="S222" s="90"/>
      <c r="T222" s="90"/>
      <c r="U222" s="8"/>
      <c r="V222" s="91"/>
      <c r="W222" s="91"/>
      <c r="X222" s="91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</row>
    <row r="223" spans="1:42" ht="24" customHeight="1" x14ac:dyDescent="0.2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8"/>
      <c r="N223" s="88"/>
      <c r="O223" s="87"/>
      <c r="P223" s="87"/>
      <c r="Q223" s="89"/>
      <c r="R223" s="89"/>
      <c r="S223" s="90"/>
      <c r="T223" s="90"/>
      <c r="U223" s="8"/>
      <c r="V223" s="91"/>
      <c r="W223" s="91"/>
      <c r="X223" s="91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</row>
    <row r="224" spans="1:42" ht="24" customHeight="1" x14ac:dyDescent="0.2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8"/>
      <c r="N224" s="88"/>
      <c r="O224" s="87"/>
      <c r="P224" s="87"/>
      <c r="Q224" s="89"/>
      <c r="R224" s="89"/>
      <c r="S224" s="90"/>
      <c r="T224" s="90"/>
      <c r="U224" s="8"/>
      <c r="V224" s="91"/>
      <c r="W224" s="91"/>
      <c r="X224" s="91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</row>
    <row r="225" spans="1:42" ht="24" customHeight="1" x14ac:dyDescent="0.2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8"/>
      <c r="N225" s="88"/>
      <c r="O225" s="87"/>
      <c r="P225" s="87"/>
      <c r="Q225" s="89"/>
      <c r="R225" s="89"/>
      <c r="S225" s="90"/>
      <c r="T225" s="90"/>
      <c r="U225" s="8"/>
      <c r="V225" s="91"/>
      <c r="W225" s="91"/>
      <c r="X225" s="91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</row>
    <row r="226" spans="1:42" ht="24" customHeight="1" x14ac:dyDescent="0.2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8"/>
      <c r="N226" s="88"/>
      <c r="O226" s="87"/>
      <c r="P226" s="87"/>
      <c r="Q226" s="89"/>
      <c r="R226" s="89"/>
      <c r="S226" s="90"/>
      <c r="T226" s="90"/>
      <c r="U226" s="8"/>
      <c r="V226" s="91"/>
      <c r="W226" s="91"/>
      <c r="X226" s="91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</row>
    <row r="227" spans="1:42" ht="24" customHeight="1" x14ac:dyDescent="0.2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8"/>
      <c r="N227" s="88"/>
      <c r="O227" s="87"/>
      <c r="P227" s="87"/>
      <c r="Q227" s="89"/>
      <c r="R227" s="89"/>
      <c r="S227" s="90"/>
      <c r="T227" s="90"/>
      <c r="U227" s="8"/>
      <c r="V227" s="91"/>
      <c r="W227" s="91"/>
      <c r="X227" s="91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</row>
    <row r="228" spans="1:42" ht="24" customHeight="1" x14ac:dyDescent="0.2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8"/>
      <c r="N228" s="88"/>
      <c r="O228" s="87"/>
      <c r="P228" s="87"/>
      <c r="Q228" s="89"/>
      <c r="R228" s="89"/>
      <c r="S228" s="90"/>
      <c r="T228" s="90"/>
      <c r="U228" s="8"/>
      <c r="V228" s="91"/>
      <c r="W228" s="91"/>
      <c r="X228" s="91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</row>
    <row r="229" spans="1:42" ht="24" customHeight="1" x14ac:dyDescent="0.2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8"/>
      <c r="N229" s="88"/>
      <c r="O229" s="87"/>
      <c r="P229" s="87"/>
      <c r="Q229" s="89"/>
      <c r="R229" s="89"/>
      <c r="S229" s="90"/>
      <c r="T229" s="90"/>
      <c r="U229" s="8"/>
      <c r="V229" s="91"/>
      <c r="W229" s="91"/>
      <c r="X229" s="91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</row>
    <row r="230" spans="1:42" ht="24" customHeight="1" x14ac:dyDescent="0.2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8"/>
      <c r="N230" s="88"/>
      <c r="O230" s="87"/>
      <c r="P230" s="87"/>
      <c r="Q230" s="89"/>
      <c r="R230" s="89"/>
      <c r="S230" s="90"/>
      <c r="T230" s="90"/>
      <c r="U230" s="8"/>
      <c r="V230" s="91"/>
      <c r="W230" s="91"/>
      <c r="X230" s="91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</row>
    <row r="231" spans="1:42" ht="24" customHeight="1" x14ac:dyDescent="0.2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8"/>
      <c r="N231" s="88"/>
      <c r="O231" s="87"/>
      <c r="P231" s="87"/>
      <c r="Q231" s="89"/>
      <c r="R231" s="89"/>
      <c r="S231" s="90"/>
      <c r="T231" s="90"/>
      <c r="U231" s="8"/>
      <c r="V231" s="91"/>
      <c r="W231" s="91"/>
      <c r="X231" s="91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</row>
    <row r="232" spans="1:42" ht="24" customHeight="1" x14ac:dyDescent="0.2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8"/>
      <c r="N232" s="88"/>
      <c r="O232" s="87"/>
      <c r="P232" s="87"/>
      <c r="Q232" s="89"/>
      <c r="R232" s="89"/>
      <c r="S232" s="90"/>
      <c r="T232" s="90"/>
      <c r="U232" s="8"/>
      <c r="V232" s="91"/>
      <c r="W232" s="91"/>
      <c r="X232" s="91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</row>
    <row r="233" spans="1:42" ht="24" customHeight="1" x14ac:dyDescent="0.2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8"/>
      <c r="N233" s="88"/>
      <c r="O233" s="87"/>
      <c r="P233" s="87"/>
      <c r="Q233" s="89"/>
      <c r="R233" s="89"/>
      <c r="S233" s="90"/>
      <c r="T233" s="90"/>
      <c r="U233" s="8"/>
      <c r="V233" s="91"/>
      <c r="W233" s="91"/>
      <c r="X233" s="91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</row>
    <row r="234" spans="1:42" ht="24" customHeight="1" x14ac:dyDescent="0.2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8"/>
      <c r="N234" s="88"/>
      <c r="O234" s="87"/>
      <c r="P234" s="87"/>
      <c r="Q234" s="89"/>
      <c r="R234" s="89"/>
      <c r="S234" s="90"/>
      <c r="T234" s="90"/>
      <c r="U234" s="8"/>
      <c r="V234" s="91"/>
      <c r="W234" s="91"/>
      <c r="X234" s="91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</row>
    <row r="235" spans="1:42" ht="24" customHeight="1" x14ac:dyDescent="0.2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8"/>
      <c r="N235" s="88"/>
      <c r="O235" s="87"/>
      <c r="P235" s="87"/>
      <c r="Q235" s="89"/>
      <c r="R235" s="89"/>
      <c r="S235" s="90"/>
      <c r="T235" s="90"/>
      <c r="U235" s="8"/>
      <c r="V235" s="91"/>
      <c r="W235" s="91"/>
      <c r="X235" s="91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</row>
    <row r="236" spans="1:42" ht="24" customHeight="1" x14ac:dyDescent="0.2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8"/>
      <c r="N236" s="88"/>
      <c r="O236" s="87"/>
      <c r="P236" s="87"/>
      <c r="Q236" s="89"/>
      <c r="R236" s="89"/>
      <c r="S236" s="90"/>
      <c r="T236" s="90"/>
      <c r="U236" s="8"/>
      <c r="V236" s="91"/>
      <c r="W236" s="91"/>
      <c r="X236" s="91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</row>
    <row r="237" spans="1:42" ht="24" customHeight="1" x14ac:dyDescent="0.2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8"/>
      <c r="N237" s="88"/>
      <c r="O237" s="87"/>
      <c r="P237" s="87"/>
      <c r="Q237" s="89"/>
      <c r="R237" s="89"/>
      <c r="S237" s="90"/>
      <c r="T237" s="90"/>
      <c r="U237" s="8"/>
      <c r="V237" s="91"/>
      <c r="W237" s="91"/>
      <c r="X237" s="91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</row>
    <row r="238" spans="1:42" ht="24" customHeight="1" x14ac:dyDescent="0.2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8"/>
      <c r="N238" s="88"/>
      <c r="O238" s="87"/>
      <c r="P238" s="87"/>
      <c r="Q238" s="89"/>
      <c r="R238" s="89"/>
      <c r="S238" s="90"/>
      <c r="T238" s="90"/>
      <c r="U238" s="8"/>
      <c r="V238" s="91"/>
      <c r="W238" s="91"/>
      <c r="X238" s="91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</row>
    <row r="239" spans="1:42" ht="24" customHeight="1" x14ac:dyDescent="0.2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8"/>
      <c r="N239" s="88"/>
      <c r="O239" s="87"/>
      <c r="P239" s="87"/>
      <c r="Q239" s="89"/>
      <c r="R239" s="89"/>
      <c r="S239" s="90"/>
      <c r="T239" s="90"/>
      <c r="U239" s="8"/>
      <c r="V239" s="91"/>
      <c r="W239" s="91"/>
      <c r="X239" s="91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</row>
    <row r="240" spans="1:42" ht="24" customHeight="1" x14ac:dyDescent="0.2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8"/>
      <c r="N240" s="88"/>
      <c r="O240" s="87"/>
      <c r="P240" s="87"/>
      <c r="Q240" s="89"/>
      <c r="R240" s="89"/>
      <c r="S240" s="90"/>
      <c r="T240" s="90"/>
      <c r="U240" s="8"/>
      <c r="V240" s="91"/>
      <c r="W240" s="91"/>
      <c r="X240" s="91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</row>
    <row r="241" spans="1:42" ht="24" customHeight="1" x14ac:dyDescent="0.2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8"/>
      <c r="N241" s="88"/>
      <c r="O241" s="87"/>
      <c r="P241" s="87"/>
      <c r="Q241" s="89"/>
      <c r="R241" s="89"/>
      <c r="S241" s="90"/>
      <c r="T241" s="90"/>
      <c r="U241" s="8"/>
      <c r="V241" s="91"/>
      <c r="W241" s="91"/>
      <c r="X241" s="91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</row>
    <row r="242" spans="1:42" ht="24" customHeight="1" x14ac:dyDescent="0.2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8"/>
      <c r="N242" s="88"/>
      <c r="O242" s="87"/>
      <c r="P242" s="87"/>
      <c r="Q242" s="89"/>
      <c r="R242" s="89"/>
      <c r="S242" s="90"/>
      <c r="T242" s="90"/>
      <c r="U242" s="8"/>
      <c r="V242" s="91"/>
      <c r="W242" s="91"/>
      <c r="X242" s="91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</row>
    <row r="243" spans="1:42" ht="24" customHeight="1" x14ac:dyDescent="0.2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8"/>
      <c r="N243" s="88"/>
      <c r="O243" s="87"/>
      <c r="P243" s="87"/>
      <c r="Q243" s="89"/>
      <c r="R243" s="89"/>
      <c r="S243" s="90"/>
      <c r="T243" s="90"/>
      <c r="U243" s="8"/>
      <c r="V243" s="91"/>
      <c r="W243" s="91"/>
      <c r="X243" s="91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</row>
    <row r="244" spans="1:42" ht="24" customHeight="1" x14ac:dyDescent="0.2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8"/>
      <c r="N244" s="88"/>
      <c r="O244" s="87"/>
      <c r="P244" s="87"/>
      <c r="Q244" s="89"/>
      <c r="R244" s="89"/>
      <c r="S244" s="90"/>
      <c r="T244" s="90"/>
      <c r="U244" s="8"/>
      <c r="V244" s="91"/>
      <c r="W244" s="91"/>
      <c r="X244" s="91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</row>
    <row r="245" spans="1:42" ht="24" customHeight="1" x14ac:dyDescent="0.2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8"/>
      <c r="N245" s="88"/>
      <c r="O245" s="87"/>
      <c r="P245" s="87"/>
      <c r="Q245" s="89"/>
      <c r="R245" s="89"/>
      <c r="S245" s="90"/>
      <c r="T245" s="90"/>
      <c r="U245" s="8"/>
      <c r="V245" s="91"/>
      <c r="W245" s="91"/>
      <c r="X245" s="91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</row>
    <row r="246" spans="1:42" ht="24" customHeight="1" x14ac:dyDescent="0.2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8"/>
      <c r="N246" s="88"/>
      <c r="O246" s="87"/>
      <c r="P246" s="87"/>
      <c r="Q246" s="89"/>
      <c r="R246" s="89"/>
      <c r="S246" s="90"/>
      <c r="T246" s="90"/>
      <c r="U246" s="8"/>
      <c r="V246" s="91"/>
      <c r="W246" s="91"/>
      <c r="X246" s="91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</row>
    <row r="247" spans="1:42" ht="24" customHeight="1" x14ac:dyDescent="0.2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8"/>
      <c r="N247" s="88"/>
      <c r="O247" s="87"/>
      <c r="P247" s="87"/>
      <c r="Q247" s="89"/>
      <c r="R247" s="89"/>
      <c r="S247" s="90"/>
      <c r="T247" s="90"/>
      <c r="U247" s="8"/>
      <c r="V247" s="91"/>
      <c r="W247" s="91"/>
      <c r="X247" s="91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</row>
    <row r="248" spans="1:42" ht="24" customHeight="1" x14ac:dyDescent="0.2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8"/>
      <c r="N248" s="88"/>
      <c r="O248" s="87"/>
      <c r="P248" s="87"/>
      <c r="Q248" s="89"/>
      <c r="R248" s="89"/>
      <c r="S248" s="90"/>
      <c r="T248" s="90"/>
      <c r="U248" s="8"/>
      <c r="V248" s="91"/>
      <c r="W248" s="91"/>
      <c r="X248" s="91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</row>
    <row r="249" spans="1:42" ht="24" customHeight="1" x14ac:dyDescent="0.2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8"/>
      <c r="N249" s="88"/>
      <c r="O249" s="87"/>
      <c r="P249" s="87"/>
      <c r="Q249" s="89"/>
      <c r="R249" s="89"/>
      <c r="S249" s="90"/>
      <c r="T249" s="90"/>
      <c r="U249" s="8"/>
      <c r="V249" s="91"/>
      <c r="W249" s="91"/>
      <c r="X249" s="91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</row>
    <row r="250" spans="1:42" ht="24" customHeight="1" x14ac:dyDescent="0.2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8"/>
      <c r="N250" s="88"/>
      <c r="O250" s="87"/>
      <c r="P250" s="87"/>
      <c r="Q250" s="89"/>
      <c r="R250" s="89"/>
      <c r="S250" s="90"/>
      <c r="T250" s="90"/>
      <c r="U250" s="8"/>
      <c r="V250" s="91"/>
      <c r="W250" s="91"/>
      <c r="X250" s="91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</row>
    <row r="251" spans="1:42" ht="24" customHeight="1" x14ac:dyDescent="0.2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8"/>
      <c r="N251" s="88"/>
      <c r="O251" s="87"/>
      <c r="P251" s="87"/>
      <c r="Q251" s="89"/>
      <c r="R251" s="89"/>
      <c r="S251" s="90"/>
      <c r="T251" s="90"/>
      <c r="U251" s="8"/>
      <c r="V251" s="91"/>
      <c r="W251" s="91"/>
      <c r="X251" s="91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</row>
    <row r="252" spans="1:42" ht="24" customHeight="1" x14ac:dyDescent="0.2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8"/>
      <c r="N252" s="88"/>
      <c r="O252" s="87"/>
      <c r="P252" s="87"/>
      <c r="Q252" s="89"/>
      <c r="R252" s="89"/>
      <c r="S252" s="90"/>
      <c r="T252" s="90"/>
      <c r="U252" s="8"/>
      <c r="V252" s="91"/>
      <c r="W252" s="91"/>
      <c r="X252" s="91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</row>
    <row r="253" spans="1:42" ht="24" customHeight="1" x14ac:dyDescent="0.2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8"/>
      <c r="N253" s="88"/>
      <c r="O253" s="87"/>
      <c r="P253" s="87"/>
      <c r="Q253" s="89"/>
      <c r="R253" s="89"/>
      <c r="S253" s="90"/>
      <c r="T253" s="90"/>
      <c r="U253" s="8"/>
      <c r="V253" s="91"/>
      <c r="W253" s="91"/>
      <c r="X253" s="91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</row>
    <row r="254" spans="1:42" ht="24" customHeight="1" x14ac:dyDescent="0.2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8"/>
      <c r="N254" s="88"/>
      <c r="O254" s="87"/>
      <c r="P254" s="87"/>
      <c r="Q254" s="89"/>
      <c r="R254" s="89"/>
      <c r="S254" s="90"/>
      <c r="T254" s="90"/>
      <c r="U254" s="8"/>
      <c r="V254" s="91"/>
      <c r="W254" s="91"/>
      <c r="X254" s="91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</row>
    <row r="255" spans="1:42" ht="24" customHeight="1" x14ac:dyDescent="0.2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8"/>
      <c r="N255" s="88"/>
      <c r="O255" s="87"/>
      <c r="P255" s="87"/>
      <c r="Q255" s="89"/>
      <c r="R255" s="89"/>
      <c r="S255" s="90"/>
      <c r="T255" s="90"/>
      <c r="U255" s="8"/>
      <c r="V255" s="91"/>
      <c r="W255" s="91"/>
      <c r="X255" s="91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</row>
    <row r="256" spans="1:42" ht="24" customHeight="1" x14ac:dyDescent="0.2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8"/>
      <c r="N256" s="88"/>
      <c r="O256" s="87"/>
      <c r="P256" s="87"/>
      <c r="Q256" s="89"/>
      <c r="R256" s="89"/>
      <c r="S256" s="90"/>
      <c r="T256" s="90"/>
      <c r="U256" s="8"/>
      <c r="V256" s="91"/>
      <c r="W256" s="91"/>
      <c r="X256" s="91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</row>
    <row r="257" spans="1:42" ht="24" customHeight="1" x14ac:dyDescent="0.2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8"/>
      <c r="N257" s="88"/>
      <c r="O257" s="87"/>
      <c r="P257" s="87"/>
      <c r="Q257" s="89"/>
      <c r="R257" s="89"/>
      <c r="S257" s="90"/>
      <c r="T257" s="90"/>
      <c r="U257" s="8"/>
      <c r="V257" s="91"/>
      <c r="W257" s="91"/>
      <c r="X257" s="91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</row>
    <row r="258" spans="1:42" ht="24" customHeight="1" x14ac:dyDescent="0.2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8"/>
      <c r="N258" s="88"/>
      <c r="O258" s="87"/>
      <c r="P258" s="87"/>
      <c r="Q258" s="89"/>
      <c r="R258" s="89"/>
      <c r="S258" s="90"/>
      <c r="T258" s="90"/>
      <c r="U258" s="8"/>
      <c r="V258" s="91"/>
      <c r="W258" s="91"/>
      <c r="X258" s="91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</row>
    <row r="259" spans="1:42" ht="24" customHeight="1" x14ac:dyDescent="0.2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8"/>
      <c r="N259" s="88"/>
      <c r="O259" s="87"/>
      <c r="P259" s="87"/>
      <c r="Q259" s="89"/>
      <c r="R259" s="89"/>
      <c r="S259" s="90"/>
      <c r="T259" s="90"/>
      <c r="U259" s="8"/>
      <c r="V259" s="91"/>
      <c r="W259" s="91"/>
      <c r="X259" s="91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</row>
    <row r="260" spans="1:42" ht="24" customHeight="1" x14ac:dyDescent="0.2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8"/>
      <c r="N260" s="88"/>
      <c r="O260" s="87"/>
      <c r="P260" s="87"/>
      <c r="Q260" s="89"/>
      <c r="R260" s="89"/>
      <c r="S260" s="90"/>
      <c r="T260" s="90"/>
      <c r="U260" s="8"/>
      <c r="V260" s="91"/>
      <c r="W260" s="91"/>
      <c r="X260" s="91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</row>
    <row r="261" spans="1:42" ht="24" customHeight="1" x14ac:dyDescent="0.2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8"/>
      <c r="N261" s="88"/>
      <c r="O261" s="87"/>
      <c r="P261" s="87"/>
      <c r="Q261" s="89"/>
      <c r="R261" s="89"/>
      <c r="S261" s="90"/>
      <c r="T261" s="90"/>
      <c r="U261" s="8"/>
      <c r="V261" s="91"/>
      <c r="W261" s="91"/>
      <c r="X261" s="91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</row>
    <row r="262" spans="1:42" ht="24" customHeight="1" x14ac:dyDescent="0.2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8"/>
      <c r="N262" s="88"/>
      <c r="O262" s="87"/>
      <c r="P262" s="87"/>
      <c r="Q262" s="89"/>
      <c r="R262" s="89"/>
      <c r="S262" s="90"/>
      <c r="T262" s="90"/>
      <c r="U262" s="8"/>
      <c r="V262" s="91"/>
      <c r="W262" s="91"/>
      <c r="X262" s="91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</row>
    <row r="263" spans="1:42" ht="24" customHeight="1" x14ac:dyDescent="0.2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8"/>
      <c r="N263" s="88"/>
      <c r="O263" s="87"/>
      <c r="P263" s="87"/>
      <c r="Q263" s="89"/>
      <c r="R263" s="89"/>
      <c r="S263" s="90"/>
      <c r="T263" s="90"/>
      <c r="U263" s="8"/>
      <c r="V263" s="91"/>
      <c r="W263" s="91"/>
      <c r="X263" s="91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</row>
    <row r="264" spans="1:42" ht="24" customHeight="1" x14ac:dyDescent="0.2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8"/>
      <c r="N264" s="88"/>
      <c r="O264" s="87"/>
      <c r="P264" s="87"/>
      <c r="Q264" s="89"/>
      <c r="R264" s="89"/>
      <c r="S264" s="90"/>
      <c r="T264" s="90"/>
      <c r="U264" s="8"/>
      <c r="V264" s="91"/>
      <c r="W264" s="91"/>
      <c r="X264" s="91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</row>
    <row r="265" spans="1:42" ht="24" customHeight="1" x14ac:dyDescent="0.2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8"/>
      <c r="N265" s="88"/>
      <c r="O265" s="87"/>
      <c r="P265" s="87"/>
      <c r="Q265" s="89"/>
      <c r="R265" s="89"/>
      <c r="S265" s="90"/>
      <c r="T265" s="90"/>
      <c r="U265" s="8"/>
      <c r="V265" s="91"/>
      <c r="W265" s="91"/>
      <c r="X265" s="91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</row>
    <row r="266" spans="1:42" ht="24" customHeight="1" x14ac:dyDescent="0.2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8"/>
      <c r="N266" s="88"/>
      <c r="O266" s="87"/>
      <c r="P266" s="87"/>
      <c r="Q266" s="89"/>
      <c r="R266" s="89"/>
      <c r="S266" s="90"/>
      <c r="T266" s="90"/>
      <c r="U266" s="8"/>
      <c r="V266" s="91"/>
      <c r="W266" s="91"/>
      <c r="X266" s="91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</row>
    <row r="267" spans="1:42" ht="24" customHeight="1" x14ac:dyDescent="0.2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8"/>
      <c r="N267" s="88"/>
      <c r="O267" s="87"/>
      <c r="P267" s="87"/>
      <c r="Q267" s="89"/>
      <c r="R267" s="89"/>
      <c r="S267" s="90"/>
      <c r="T267" s="90"/>
      <c r="U267" s="8"/>
      <c r="V267" s="91"/>
      <c r="W267" s="91"/>
      <c r="X267" s="91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</row>
    <row r="268" spans="1:42" ht="24" customHeight="1" x14ac:dyDescent="0.2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8"/>
      <c r="N268" s="88"/>
      <c r="O268" s="87"/>
      <c r="P268" s="87"/>
      <c r="Q268" s="89"/>
      <c r="R268" s="89"/>
      <c r="S268" s="90"/>
      <c r="T268" s="90"/>
      <c r="U268" s="8"/>
      <c r="V268" s="91"/>
      <c r="W268" s="91"/>
      <c r="X268" s="91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</row>
    <row r="269" spans="1:42" ht="24" customHeight="1" x14ac:dyDescent="0.2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8"/>
      <c r="N269" s="88"/>
      <c r="O269" s="87"/>
      <c r="P269" s="87"/>
      <c r="Q269" s="89"/>
      <c r="R269" s="89"/>
      <c r="S269" s="90"/>
      <c r="T269" s="90"/>
      <c r="U269" s="8"/>
      <c r="V269" s="91"/>
      <c r="W269" s="91"/>
      <c r="X269" s="91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</row>
    <row r="270" spans="1:42" ht="24" customHeight="1" x14ac:dyDescent="0.2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8"/>
      <c r="N270" s="88"/>
      <c r="O270" s="87"/>
      <c r="P270" s="87"/>
      <c r="Q270" s="89"/>
      <c r="R270" s="89"/>
      <c r="S270" s="90"/>
      <c r="T270" s="90"/>
      <c r="U270" s="8"/>
      <c r="V270" s="91"/>
      <c r="W270" s="91"/>
      <c r="X270" s="91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</row>
    <row r="271" spans="1:42" ht="24" customHeight="1" x14ac:dyDescent="0.2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8"/>
      <c r="N271" s="88"/>
      <c r="O271" s="87"/>
      <c r="P271" s="87"/>
      <c r="Q271" s="89"/>
      <c r="R271" s="89"/>
      <c r="S271" s="90"/>
      <c r="T271" s="90"/>
      <c r="U271" s="8"/>
      <c r="V271" s="91"/>
      <c r="W271" s="91"/>
      <c r="X271" s="91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</row>
    <row r="272" spans="1:42" ht="24" customHeight="1" x14ac:dyDescent="0.2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8"/>
      <c r="N272" s="88"/>
      <c r="O272" s="87"/>
      <c r="P272" s="87"/>
      <c r="Q272" s="89"/>
      <c r="R272" s="89"/>
      <c r="S272" s="90"/>
      <c r="T272" s="90"/>
      <c r="U272" s="8"/>
      <c r="V272" s="91"/>
      <c r="W272" s="91"/>
      <c r="X272" s="91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</row>
    <row r="273" spans="1:42" ht="24" customHeight="1" x14ac:dyDescent="0.2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8"/>
      <c r="N273" s="88"/>
      <c r="O273" s="87"/>
      <c r="P273" s="87"/>
      <c r="Q273" s="89"/>
      <c r="R273" s="89"/>
      <c r="S273" s="90"/>
      <c r="T273" s="90"/>
      <c r="U273" s="8"/>
      <c r="V273" s="91"/>
      <c r="W273" s="91"/>
      <c r="X273" s="91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</row>
    <row r="274" spans="1:42" ht="24" customHeight="1" x14ac:dyDescent="0.2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8"/>
      <c r="N274" s="88"/>
      <c r="O274" s="87"/>
      <c r="P274" s="87"/>
      <c r="Q274" s="89"/>
      <c r="R274" s="89"/>
      <c r="S274" s="90"/>
      <c r="T274" s="90"/>
      <c r="U274" s="8"/>
      <c r="V274" s="91"/>
      <c r="W274" s="91"/>
      <c r="X274" s="91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</row>
    <row r="275" spans="1:42" ht="24" customHeight="1" x14ac:dyDescent="0.2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8"/>
      <c r="N275" s="88"/>
      <c r="O275" s="87"/>
      <c r="P275" s="87"/>
      <c r="Q275" s="89"/>
      <c r="R275" s="89"/>
      <c r="S275" s="90"/>
      <c r="T275" s="90"/>
      <c r="U275" s="8"/>
      <c r="V275" s="91"/>
      <c r="W275" s="91"/>
      <c r="X275" s="91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</row>
    <row r="276" spans="1:42" ht="24" customHeight="1" x14ac:dyDescent="0.2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8"/>
      <c r="N276" s="88"/>
      <c r="O276" s="87"/>
      <c r="P276" s="87"/>
      <c r="Q276" s="89"/>
      <c r="R276" s="89"/>
      <c r="S276" s="90"/>
      <c r="T276" s="90"/>
      <c r="U276" s="8"/>
      <c r="V276" s="91"/>
      <c r="W276" s="91"/>
      <c r="X276" s="91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</row>
    <row r="277" spans="1:42" ht="24" customHeight="1" x14ac:dyDescent="0.2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8"/>
      <c r="N277" s="88"/>
      <c r="O277" s="87"/>
      <c r="P277" s="87"/>
      <c r="Q277" s="89"/>
      <c r="R277" s="89"/>
      <c r="S277" s="90"/>
      <c r="T277" s="90"/>
      <c r="U277" s="8"/>
      <c r="V277" s="91"/>
      <c r="W277" s="91"/>
      <c r="X277" s="91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</row>
    <row r="278" spans="1:42" ht="24" customHeight="1" x14ac:dyDescent="0.2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8"/>
      <c r="N278" s="88"/>
      <c r="O278" s="87"/>
      <c r="P278" s="87"/>
      <c r="Q278" s="89"/>
      <c r="R278" s="89"/>
      <c r="S278" s="90"/>
      <c r="T278" s="90"/>
      <c r="U278" s="8"/>
      <c r="V278" s="91"/>
      <c r="W278" s="91"/>
      <c r="X278" s="91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</row>
    <row r="279" spans="1:42" ht="24" customHeight="1" x14ac:dyDescent="0.2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8"/>
      <c r="N279" s="88"/>
      <c r="O279" s="87"/>
      <c r="P279" s="87"/>
      <c r="Q279" s="89"/>
      <c r="R279" s="89"/>
      <c r="S279" s="90"/>
      <c r="T279" s="90"/>
      <c r="U279" s="8"/>
      <c r="V279" s="91"/>
      <c r="W279" s="91"/>
      <c r="X279" s="91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</row>
    <row r="280" spans="1:42" ht="24" customHeight="1" x14ac:dyDescent="0.2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8"/>
      <c r="N280" s="88"/>
      <c r="O280" s="87"/>
      <c r="P280" s="87"/>
      <c r="Q280" s="89"/>
      <c r="R280" s="89"/>
      <c r="S280" s="90"/>
      <c r="T280" s="90"/>
      <c r="U280" s="8"/>
      <c r="V280" s="91"/>
      <c r="W280" s="91"/>
      <c r="X280" s="91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</row>
    <row r="281" spans="1:42" ht="24" customHeight="1" x14ac:dyDescent="0.2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8"/>
      <c r="N281" s="88"/>
      <c r="O281" s="87"/>
      <c r="P281" s="87"/>
      <c r="Q281" s="89"/>
      <c r="R281" s="89"/>
      <c r="S281" s="90"/>
      <c r="T281" s="90"/>
      <c r="U281" s="8"/>
      <c r="V281" s="91"/>
      <c r="W281" s="91"/>
      <c r="X281" s="91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</row>
    <row r="282" spans="1:42" ht="24" customHeight="1" x14ac:dyDescent="0.2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8"/>
      <c r="N282" s="88"/>
      <c r="O282" s="87"/>
      <c r="P282" s="87"/>
      <c r="Q282" s="89"/>
      <c r="R282" s="89"/>
      <c r="S282" s="90"/>
      <c r="T282" s="90"/>
      <c r="U282" s="8"/>
      <c r="V282" s="91"/>
      <c r="W282" s="91"/>
      <c r="X282" s="91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</row>
    <row r="283" spans="1:42" ht="24" customHeight="1" x14ac:dyDescent="0.2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8"/>
      <c r="N283" s="88"/>
      <c r="O283" s="87"/>
      <c r="P283" s="87"/>
      <c r="Q283" s="89"/>
      <c r="R283" s="89"/>
      <c r="S283" s="90"/>
      <c r="T283" s="90"/>
      <c r="U283" s="8"/>
      <c r="V283" s="91"/>
      <c r="W283" s="91"/>
      <c r="X283" s="91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</row>
    <row r="284" spans="1:42" ht="24" customHeight="1" x14ac:dyDescent="0.2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8"/>
      <c r="N284" s="88"/>
      <c r="O284" s="87"/>
      <c r="P284" s="87"/>
      <c r="Q284" s="89"/>
      <c r="R284" s="89"/>
      <c r="S284" s="90"/>
      <c r="T284" s="90"/>
      <c r="U284" s="8"/>
      <c r="V284" s="91"/>
      <c r="W284" s="91"/>
      <c r="X284" s="91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</row>
    <row r="285" spans="1:42" ht="24" customHeight="1" x14ac:dyDescent="0.2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8"/>
      <c r="N285" s="88"/>
      <c r="O285" s="87"/>
      <c r="P285" s="87"/>
      <c r="Q285" s="89"/>
      <c r="R285" s="89"/>
      <c r="S285" s="90"/>
      <c r="T285" s="90"/>
      <c r="U285" s="8"/>
      <c r="V285" s="91"/>
      <c r="W285" s="91"/>
      <c r="X285" s="91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</row>
    <row r="286" spans="1:42" ht="24" customHeight="1" x14ac:dyDescent="0.2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8"/>
      <c r="N286" s="88"/>
      <c r="O286" s="87"/>
      <c r="P286" s="87"/>
      <c r="Q286" s="89"/>
      <c r="R286" s="89"/>
      <c r="S286" s="90"/>
      <c r="T286" s="90"/>
      <c r="U286" s="8"/>
      <c r="V286" s="91"/>
      <c r="W286" s="91"/>
      <c r="X286" s="91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</row>
    <row r="287" spans="1:42" ht="24" customHeight="1" x14ac:dyDescent="0.2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8"/>
      <c r="N287" s="88"/>
      <c r="O287" s="87"/>
      <c r="P287" s="87"/>
      <c r="Q287" s="89"/>
      <c r="R287" s="89"/>
      <c r="S287" s="90"/>
      <c r="T287" s="90"/>
      <c r="U287" s="8"/>
      <c r="V287" s="91"/>
      <c r="W287" s="91"/>
      <c r="X287" s="91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</row>
    <row r="288" spans="1:42" ht="24" customHeight="1" x14ac:dyDescent="0.2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8"/>
      <c r="N288" s="88"/>
      <c r="O288" s="87"/>
      <c r="P288" s="87"/>
      <c r="Q288" s="89"/>
      <c r="R288" s="89"/>
      <c r="S288" s="90"/>
      <c r="T288" s="90"/>
      <c r="U288" s="8"/>
      <c r="V288" s="91"/>
      <c r="W288" s="91"/>
      <c r="X288" s="91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</row>
    <row r="289" spans="1:42" ht="24" customHeight="1" x14ac:dyDescent="0.2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8"/>
      <c r="N289" s="88"/>
      <c r="O289" s="87"/>
      <c r="P289" s="87"/>
      <c r="Q289" s="89"/>
      <c r="R289" s="89"/>
      <c r="S289" s="90"/>
      <c r="T289" s="90"/>
      <c r="U289" s="8"/>
      <c r="V289" s="91"/>
      <c r="W289" s="91"/>
      <c r="X289" s="91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</row>
    <row r="290" spans="1:42" ht="24" customHeight="1" x14ac:dyDescent="0.2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8"/>
      <c r="N290" s="88"/>
      <c r="O290" s="87"/>
      <c r="P290" s="87"/>
      <c r="Q290" s="89"/>
      <c r="R290" s="89"/>
      <c r="S290" s="90"/>
      <c r="T290" s="90"/>
      <c r="U290" s="8"/>
      <c r="V290" s="91"/>
      <c r="W290" s="91"/>
      <c r="X290" s="91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</row>
    <row r="291" spans="1:42" ht="24" customHeight="1" x14ac:dyDescent="0.2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8"/>
      <c r="N291" s="88"/>
      <c r="O291" s="87"/>
      <c r="P291" s="87"/>
      <c r="Q291" s="89"/>
      <c r="R291" s="89"/>
      <c r="S291" s="90"/>
      <c r="T291" s="90"/>
      <c r="U291" s="8"/>
      <c r="V291" s="91"/>
      <c r="W291" s="91"/>
      <c r="X291" s="91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</row>
    <row r="292" spans="1:42" ht="24" customHeight="1" x14ac:dyDescent="0.2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8"/>
      <c r="N292" s="88"/>
      <c r="O292" s="87"/>
      <c r="P292" s="87"/>
      <c r="Q292" s="89"/>
      <c r="R292" s="89"/>
      <c r="S292" s="90"/>
      <c r="T292" s="90"/>
      <c r="U292" s="8"/>
      <c r="V292" s="91"/>
      <c r="W292" s="91"/>
      <c r="X292" s="91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</row>
    <row r="293" spans="1:42" ht="24" customHeight="1" x14ac:dyDescent="0.2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8"/>
      <c r="N293" s="88"/>
      <c r="O293" s="87"/>
      <c r="P293" s="87"/>
      <c r="Q293" s="89"/>
      <c r="R293" s="89"/>
      <c r="S293" s="90"/>
      <c r="T293" s="90"/>
      <c r="U293" s="8"/>
      <c r="V293" s="91"/>
      <c r="W293" s="91"/>
      <c r="X293" s="91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</row>
    <row r="294" spans="1:42" ht="24" customHeight="1" x14ac:dyDescent="0.2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8"/>
      <c r="N294" s="88"/>
      <c r="O294" s="87"/>
      <c r="P294" s="87"/>
      <c r="Q294" s="89"/>
      <c r="R294" s="89"/>
      <c r="S294" s="90"/>
      <c r="T294" s="90"/>
      <c r="U294" s="8"/>
      <c r="V294" s="91"/>
      <c r="W294" s="91"/>
      <c r="X294" s="91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</row>
    <row r="295" spans="1:42" ht="24" customHeight="1" x14ac:dyDescent="0.2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8"/>
      <c r="N295" s="88"/>
      <c r="O295" s="87"/>
      <c r="P295" s="87"/>
      <c r="Q295" s="89"/>
      <c r="R295" s="89"/>
      <c r="S295" s="90"/>
      <c r="T295" s="90"/>
      <c r="U295" s="8"/>
      <c r="V295" s="91"/>
      <c r="W295" s="91"/>
      <c r="X295" s="91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</row>
    <row r="296" spans="1:42" ht="24" customHeight="1" x14ac:dyDescent="0.2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8"/>
      <c r="N296" s="88"/>
      <c r="O296" s="87"/>
      <c r="P296" s="87"/>
      <c r="Q296" s="89"/>
      <c r="R296" s="89"/>
      <c r="S296" s="90"/>
      <c r="T296" s="90"/>
      <c r="U296" s="8"/>
      <c r="V296" s="91"/>
      <c r="W296" s="91"/>
      <c r="X296" s="91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</row>
    <row r="297" spans="1:42" ht="24" customHeight="1" x14ac:dyDescent="0.2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8"/>
      <c r="N297" s="88"/>
      <c r="O297" s="87"/>
      <c r="P297" s="87"/>
      <c r="Q297" s="89"/>
      <c r="R297" s="89"/>
      <c r="S297" s="90"/>
      <c r="T297" s="90"/>
      <c r="U297" s="8"/>
      <c r="V297" s="91"/>
      <c r="W297" s="91"/>
      <c r="X297" s="91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</row>
    <row r="298" spans="1:42" ht="24" customHeight="1" x14ac:dyDescent="0.2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8"/>
      <c r="N298" s="88"/>
      <c r="O298" s="87"/>
      <c r="P298" s="87"/>
      <c r="Q298" s="89"/>
      <c r="R298" s="89"/>
      <c r="S298" s="90"/>
      <c r="T298" s="90"/>
      <c r="U298" s="8"/>
      <c r="V298" s="91"/>
      <c r="W298" s="91"/>
      <c r="X298" s="91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</row>
    <row r="299" spans="1:42" ht="24" customHeight="1" x14ac:dyDescent="0.2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8"/>
      <c r="N299" s="88"/>
      <c r="O299" s="87"/>
      <c r="P299" s="87"/>
      <c r="Q299" s="89"/>
      <c r="R299" s="89"/>
      <c r="S299" s="90"/>
      <c r="T299" s="90"/>
      <c r="U299" s="8"/>
      <c r="V299" s="91"/>
      <c r="W299" s="91"/>
      <c r="X299" s="91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</row>
    <row r="300" spans="1:42" ht="24" customHeight="1" x14ac:dyDescent="0.2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8"/>
      <c r="N300" s="88"/>
      <c r="O300" s="87"/>
      <c r="P300" s="87"/>
      <c r="Q300" s="89"/>
      <c r="R300" s="89"/>
      <c r="S300" s="90"/>
      <c r="T300" s="90"/>
      <c r="U300" s="8"/>
      <c r="V300" s="91"/>
      <c r="W300" s="91"/>
      <c r="X300" s="91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</row>
    <row r="301" spans="1:42" ht="24" customHeight="1" x14ac:dyDescent="0.2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8"/>
      <c r="N301" s="88"/>
      <c r="O301" s="87"/>
      <c r="P301" s="87"/>
      <c r="Q301" s="89"/>
      <c r="R301" s="89"/>
      <c r="S301" s="90"/>
      <c r="T301" s="90"/>
      <c r="U301" s="8"/>
      <c r="V301" s="91"/>
      <c r="W301" s="91"/>
      <c r="X301" s="91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</row>
    <row r="302" spans="1:42" ht="24" customHeight="1" x14ac:dyDescent="0.2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8"/>
      <c r="N302" s="88"/>
      <c r="O302" s="87"/>
      <c r="P302" s="87"/>
      <c r="Q302" s="89"/>
      <c r="R302" s="89"/>
      <c r="S302" s="90"/>
      <c r="T302" s="90"/>
      <c r="U302" s="8"/>
      <c r="V302" s="91"/>
      <c r="W302" s="91"/>
      <c r="X302" s="91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</row>
    <row r="303" spans="1:42" ht="24" customHeight="1" x14ac:dyDescent="0.2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8"/>
      <c r="N303" s="88"/>
      <c r="O303" s="87"/>
      <c r="P303" s="87"/>
      <c r="Q303" s="89"/>
      <c r="R303" s="89"/>
      <c r="S303" s="90"/>
      <c r="T303" s="90"/>
      <c r="U303" s="8"/>
      <c r="V303" s="91"/>
      <c r="W303" s="91"/>
      <c r="X303" s="91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</row>
    <row r="304" spans="1:42" ht="24" customHeight="1" x14ac:dyDescent="0.2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8"/>
      <c r="N304" s="88"/>
      <c r="O304" s="87"/>
      <c r="P304" s="87"/>
      <c r="Q304" s="89"/>
      <c r="R304" s="89"/>
      <c r="S304" s="90"/>
      <c r="T304" s="90"/>
      <c r="U304" s="8"/>
      <c r="V304" s="91"/>
      <c r="W304" s="91"/>
      <c r="X304" s="91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</row>
    <row r="305" spans="1:42" ht="24" customHeight="1" x14ac:dyDescent="0.2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8"/>
      <c r="N305" s="88"/>
      <c r="O305" s="87"/>
      <c r="P305" s="87"/>
      <c r="Q305" s="89"/>
      <c r="R305" s="89"/>
      <c r="S305" s="90"/>
      <c r="T305" s="90"/>
      <c r="U305" s="8"/>
      <c r="V305" s="91"/>
      <c r="W305" s="91"/>
      <c r="X305" s="91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</row>
    <row r="306" spans="1:42" ht="24" customHeight="1" x14ac:dyDescent="0.2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8"/>
      <c r="N306" s="88"/>
      <c r="O306" s="87"/>
      <c r="P306" s="87"/>
      <c r="Q306" s="89"/>
      <c r="R306" s="89"/>
      <c r="S306" s="90"/>
      <c r="T306" s="90"/>
      <c r="U306" s="8"/>
      <c r="V306" s="91"/>
      <c r="W306" s="91"/>
      <c r="X306" s="91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</row>
    <row r="307" spans="1:42" ht="24" customHeight="1" x14ac:dyDescent="0.2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8"/>
      <c r="N307" s="88"/>
      <c r="O307" s="87"/>
      <c r="P307" s="87"/>
      <c r="Q307" s="89"/>
      <c r="R307" s="89"/>
      <c r="S307" s="90"/>
      <c r="T307" s="90"/>
      <c r="U307" s="8"/>
      <c r="V307" s="91"/>
      <c r="W307" s="91"/>
      <c r="X307" s="91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</row>
    <row r="308" spans="1:42" ht="24" customHeight="1" x14ac:dyDescent="0.2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8"/>
      <c r="N308" s="88"/>
      <c r="O308" s="87"/>
      <c r="P308" s="87"/>
      <c r="Q308" s="89"/>
      <c r="R308" s="89"/>
      <c r="S308" s="90"/>
      <c r="T308" s="90"/>
      <c r="U308" s="8"/>
      <c r="V308" s="91"/>
      <c r="W308" s="91"/>
      <c r="X308" s="91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</row>
    <row r="309" spans="1:42" ht="24" customHeight="1" x14ac:dyDescent="0.2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8"/>
      <c r="N309" s="88"/>
      <c r="O309" s="87"/>
      <c r="P309" s="87"/>
      <c r="Q309" s="89"/>
      <c r="R309" s="89"/>
      <c r="S309" s="90"/>
      <c r="T309" s="90"/>
      <c r="U309" s="8"/>
      <c r="V309" s="91"/>
      <c r="W309" s="91"/>
      <c r="X309" s="91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</row>
    <row r="310" spans="1:42" ht="24" customHeight="1" x14ac:dyDescent="0.2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8"/>
      <c r="N310" s="88"/>
      <c r="O310" s="87"/>
      <c r="P310" s="87"/>
      <c r="Q310" s="89"/>
      <c r="R310" s="89"/>
      <c r="S310" s="90"/>
      <c r="T310" s="90"/>
      <c r="U310" s="8"/>
      <c r="V310" s="91"/>
      <c r="W310" s="91"/>
      <c r="X310" s="91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</row>
    <row r="311" spans="1:42" ht="24" customHeight="1" x14ac:dyDescent="0.2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8"/>
      <c r="N311" s="88"/>
      <c r="O311" s="87"/>
      <c r="P311" s="87"/>
      <c r="Q311" s="89"/>
      <c r="R311" s="89"/>
      <c r="S311" s="90"/>
      <c r="T311" s="90"/>
      <c r="U311" s="8"/>
      <c r="V311" s="91"/>
      <c r="W311" s="91"/>
      <c r="X311" s="91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</row>
    <row r="312" spans="1:42" ht="24" customHeight="1" x14ac:dyDescent="0.2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8"/>
      <c r="N312" s="88"/>
      <c r="O312" s="87"/>
      <c r="P312" s="87"/>
      <c r="Q312" s="89"/>
      <c r="R312" s="89"/>
      <c r="S312" s="90"/>
      <c r="T312" s="90"/>
      <c r="U312" s="8"/>
      <c r="V312" s="91"/>
      <c r="W312" s="91"/>
      <c r="X312" s="91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</row>
    <row r="313" spans="1:42" ht="24" customHeight="1" x14ac:dyDescent="0.2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8"/>
      <c r="N313" s="88"/>
      <c r="O313" s="87"/>
      <c r="P313" s="87"/>
      <c r="Q313" s="89"/>
      <c r="R313" s="89"/>
      <c r="S313" s="90"/>
      <c r="T313" s="90"/>
      <c r="U313" s="8"/>
      <c r="V313" s="91"/>
      <c r="W313" s="91"/>
      <c r="X313" s="91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</row>
    <row r="314" spans="1:42" ht="12.75" x14ac:dyDescent="0.2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8"/>
      <c r="N314" s="88"/>
      <c r="O314" s="87"/>
      <c r="P314" s="87"/>
      <c r="Q314" s="89"/>
      <c r="R314" s="89"/>
      <c r="S314" s="90"/>
      <c r="T314" s="90"/>
      <c r="U314" s="8"/>
      <c r="V314" s="91"/>
      <c r="W314" s="91"/>
      <c r="X314" s="91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</row>
    <row r="315" spans="1:42" ht="12.75" x14ac:dyDescent="0.2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8"/>
      <c r="N315" s="88"/>
      <c r="O315" s="87"/>
      <c r="P315" s="87"/>
      <c r="Q315" s="89"/>
      <c r="R315" s="89"/>
      <c r="S315" s="90"/>
      <c r="T315" s="90"/>
      <c r="U315" s="8"/>
      <c r="V315" s="91"/>
      <c r="W315" s="91"/>
      <c r="X315" s="91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</row>
    <row r="316" spans="1:42" ht="12.75" x14ac:dyDescent="0.2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8"/>
      <c r="N316" s="88"/>
      <c r="O316" s="87"/>
      <c r="P316" s="87"/>
      <c r="Q316" s="89"/>
      <c r="R316" s="89"/>
      <c r="S316" s="90"/>
      <c r="T316" s="90"/>
      <c r="U316" s="8"/>
      <c r="V316" s="91"/>
      <c r="W316" s="91"/>
      <c r="X316" s="91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</row>
    <row r="317" spans="1:42" ht="12.75" x14ac:dyDescent="0.2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8"/>
      <c r="N317" s="88"/>
      <c r="O317" s="87"/>
      <c r="P317" s="87"/>
      <c r="Q317" s="89"/>
      <c r="R317" s="89"/>
      <c r="S317" s="90"/>
      <c r="T317" s="90"/>
      <c r="U317" s="8"/>
      <c r="V317" s="91"/>
      <c r="W317" s="91"/>
      <c r="X317" s="91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</row>
    <row r="318" spans="1:42" ht="12.75" x14ac:dyDescent="0.2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8"/>
      <c r="N318" s="88"/>
      <c r="O318" s="87"/>
      <c r="P318" s="87"/>
      <c r="Q318" s="89"/>
      <c r="R318" s="89"/>
      <c r="S318" s="90"/>
      <c r="T318" s="90"/>
      <c r="U318" s="8"/>
      <c r="V318" s="91"/>
      <c r="W318" s="91"/>
      <c r="X318" s="91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</row>
    <row r="319" spans="1:42" ht="12.75" x14ac:dyDescent="0.2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8"/>
      <c r="N319" s="88"/>
      <c r="O319" s="87"/>
      <c r="P319" s="87"/>
      <c r="Q319" s="89"/>
      <c r="R319" s="89"/>
      <c r="S319" s="90"/>
      <c r="T319" s="90"/>
      <c r="U319" s="8"/>
      <c r="V319" s="91"/>
      <c r="W319" s="91"/>
      <c r="X319" s="91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</row>
    <row r="320" spans="1:42" ht="12.75" x14ac:dyDescent="0.2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8"/>
      <c r="N320" s="88"/>
      <c r="O320" s="87"/>
      <c r="P320" s="87"/>
      <c r="Q320" s="89"/>
      <c r="R320" s="89"/>
      <c r="S320" s="90"/>
      <c r="T320" s="90"/>
      <c r="U320" s="8"/>
      <c r="V320" s="91"/>
      <c r="W320" s="91"/>
      <c r="X320" s="91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</row>
    <row r="321" spans="1:42" ht="12.75" x14ac:dyDescent="0.2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8"/>
      <c r="N321" s="88"/>
      <c r="O321" s="87"/>
      <c r="P321" s="87"/>
      <c r="Q321" s="89"/>
      <c r="R321" s="89"/>
      <c r="S321" s="90"/>
      <c r="T321" s="90"/>
      <c r="U321" s="8"/>
      <c r="V321" s="91"/>
      <c r="W321" s="91"/>
      <c r="X321" s="91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</row>
    <row r="322" spans="1:42" ht="12.75" x14ac:dyDescent="0.2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8"/>
      <c r="N322" s="88"/>
      <c r="O322" s="87"/>
      <c r="P322" s="87"/>
      <c r="Q322" s="89"/>
      <c r="R322" s="89"/>
      <c r="S322" s="90"/>
      <c r="T322" s="90"/>
      <c r="U322" s="8"/>
      <c r="V322" s="91"/>
      <c r="W322" s="91"/>
      <c r="X322" s="91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</row>
    <row r="323" spans="1:42" ht="12.75" x14ac:dyDescent="0.2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8"/>
      <c r="N323" s="88"/>
      <c r="O323" s="87"/>
      <c r="P323" s="87"/>
      <c r="Q323" s="89"/>
      <c r="R323" s="89"/>
      <c r="S323" s="90"/>
      <c r="T323" s="90"/>
      <c r="U323" s="8"/>
      <c r="V323" s="91"/>
      <c r="W323" s="91"/>
      <c r="X323" s="91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</row>
    <row r="324" spans="1:42" ht="12.75" x14ac:dyDescent="0.2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8"/>
      <c r="N324" s="88"/>
      <c r="O324" s="87"/>
      <c r="P324" s="87"/>
      <c r="Q324" s="89"/>
      <c r="R324" s="89"/>
      <c r="S324" s="90"/>
      <c r="T324" s="90"/>
      <c r="U324" s="8"/>
      <c r="V324" s="91"/>
      <c r="W324" s="91"/>
      <c r="X324" s="91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</row>
    <row r="325" spans="1:42" ht="12.75" x14ac:dyDescent="0.2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8"/>
      <c r="N325" s="88"/>
      <c r="O325" s="87"/>
      <c r="P325" s="87"/>
      <c r="Q325" s="89"/>
      <c r="R325" s="89"/>
      <c r="S325" s="90"/>
      <c r="T325" s="90"/>
      <c r="U325" s="8"/>
      <c r="V325" s="91"/>
      <c r="W325" s="91"/>
      <c r="X325" s="91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</row>
    <row r="326" spans="1:42" ht="12.75" x14ac:dyDescent="0.2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8"/>
      <c r="N326" s="88"/>
      <c r="O326" s="87"/>
      <c r="P326" s="87"/>
      <c r="Q326" s="89"/>
      <c r="R326" s="89"/>
      <c r="S326" s="90"/>
      <c r="T326" s="90"/>
      <c r="U326" s="8"/>
      <c r="V326" s="91"/>
      <c r="W326" s="91"/>
      <c r="X326" s="91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</row>
    <row r="327" spans="1:42" ht="12.75" x14ac:dyDescent="0.2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8"/>
      <c r="N327" s="88"/>
      <c r="O327" s="87"/>
      <c r="P327" s="87"/>
      <c r="Q327" s="89"/>
      <c r="R327" s="89"/>
      <c r="S327" s="90"/>
      <c r="T327" s="90"/>
      <c r="U327" s="8"/>
      <c r="V327" s="91"/>
      <c r="W327" s="91"/>
      <c r="X327" s="91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</row>
    <row r="328" spans="1:42" ht="12.75" x14ac:dyDescent="0.2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8"/>
      <c r="N328" s="88"/>
      <c r="O328" s="87"/>
      <c r="P328" s="87"/>
      <c r="Q328" s="89"/>
      <c r="R328" s="89"/>
      <c r="S328" s="90"/>
      <c r="T328" s="90"/>
      <c r="U328" s="8"/>
      <c r="V328" s="91"/>
      <c r="W328" s="91"/>
      <c r="X328" s="91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</row>
    <row r="329" spans="1:42" ht="12.75" x14ac:dyDescent="0.2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8"/>
      <c r="N329" s="88"/>
      <c r="O329" s="87"/>
      <c r="P329" s="87"/>
      <c r="Q329" s="89"/>
      <c r="R329" s="89"/>
      <c r="S329" s="90"/>
      <c r="T329" s="90"/>
      <c r="U329" s="8"/>
      <c r="V329" s="91"/>
      <c r="W329" s="91"/>
      <c r="X329" s="91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</row>
    <row r="330" spans="1:42" ht="12.75" x14ac:dyDescent="0.2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8"/>
      <c r="N330" s="88"/>
      <c r="O330" s="87"/>
      <c r="P330" s="87"/>
      <c r="Q330" s="89"/>
      <c r="R330" s="89"/>
      <c r="S330" s="90"/>
      <c r="T330" s="90"/>
      <c r="U330" s="8"/>
      <c r="V330" s="91"/>
      <c r="W330" s="91"/>
      <c r="X330" s="91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</row>
    <row r="331" spans="1:42" ht="12.75" x14ac:dyDescent="0.2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8"/>
      <c r="N331" s="88"/>
      <c r="O331" s="87"/>
      <c r="P331" s="87"/>
      <c r="Q331" s="89"/>
      <c r="R331" s="89"/>
      <c r="S331" s="90"/>
      <c r="T331" s="90"/>
      <c r="U331" s="8"/>
      <c r="V331" s="91"/>
      <c r="W331" s="91"/>
      <c r="X331" s="91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</row>
    <row r="332" spans="1:42" ht="12.75" x14ac:dyDescent="0.2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8"/>
      <c r="N332" s="88"/>
      <c r="O332" s="87"/>
      <c r="P332" s="87"/>
      <c r="Q332" s="89"/>
      <c r="R332" s="89"/>
      <c r="S332" s="90"/>
      <c r="T332" s="90"/>
      <c r="U332" s="8"/>
      <c r="V332" s="91"/>
      <c r="W332" s="91"/>
      <c r="X332" s="91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</row>
    <row r="333" spans="1:42" ht="12.75" x14ac:dyDescent="0.2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8"/>
      <c r="N333" s="88"/>
      <c r="O333" s="87"/>
      <c r="P333" s="87"/>
      <c r="Q333" s="89"/>
      <c r="R333" s="89"/>
      <c r="S333" s="90"/>
      <c r="T333" s="90"/>
      <c r="U333" s="8"/>
      <c r="V333" s="91"/>
      <c r="W333" s="91"/>
      <c r="X333" s="91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</row>
    <row r="334" spans="1:42" ht="12.75" x14ac:dyDescent="0.2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8"/>
      <c r="N334" s="88"/>
      <c r="O334" s="87"/>
      <c r="P334" s="87"/>
      <c r="Q334" s="89"/>
      <c r="R334" s="89"/>
      <c r="S334" s="90"/>
      <c r="T334" s="90"/>
      <c r="U334" s="8"/>
      <c r="V334" s="91"/>
      <c r="W334" s="91"/>
      <c r="X334" s="91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</row>
    <row r="335" spans="1:42" ht="12.75" x14ac:dyDescent="0.2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8"/>
      <c r="N335" s="88"/>
      <c r="O335" s="87"/>
      <c r="P335" s="87"/>
      <c r="Q335" s="89"/>
      <c r="R335" s="89"/>
      <c r="S335" s="90"/>
      <c r="T335" s="90"/>
      <c r="U335" s="8"/>
      <c r="V335" s="91"/>
      <c r="W335" s="91"/>
      <c r="X335" s="91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</row>
    <row r="336" spans="1:42" ht="12.75" x14ac:dyDescent="0.2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8"/>
      <c r="N336" s="88"/>
      <c r="O336" s="87"/>
      <c r="P336" s="87"/>
      <c r="Q336" s="89"/>
      <c r="R336" s="89"/>
      <c r="S336" s="90"/>
      <c r="T336" s="90"/>
      <c r="U336" s="8"/>
      <c r="V336" s="91"/>
      <c r="W336" s="91"/>
      <c r="X336" s="91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</row>
    <row r="337" spans="1:42" ht="12.75" x14ac:dyDescent="0.2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8"/>
      <c r="N337" s="88"/>
      <c r="O337" s="87"/>
      <c r="P337" s="87"/>
      <c r="Q337" s="89"/>
      <c r="R337" s="89"/>
      <c r="S337" s="90"/>
      <c r="T337" s="90"/>
      <c r="U337" s="8"/>
      <c r="V337" s="91"/>
      <c r="W337" s="91"/>
      <c r="X337" s="91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</row>
    <row r="338" spans="1:42" ht="12.75" x14ac:dyDescent="0.2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8"/>
      <c r="N338" s="88"/>
      <c r="O338" s="87"/>
      <c r="P338" s="87"/>
      <c r="Q338" s="89"/>
      <c r="R338" s="89"/>
      <c r="S338" s="90"/>
      <c r="T338" s="90"/>
      <c r="U338" s="8"/>
      <c r="V338" s="91"/>
      <c r="W338" s="91"/>
      <c r="X338" s="91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</row>
    <row r="339" spans="1:42" ht="12.75" x14ac:dyDescent="0.2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8"/>
      <c r="N339" s="88"/>
      <c r="O339" s="87"/>
      <c r="P339" s="87"/>
      <c r="Q339" s="89"/>
      <c r="R339" s="89"/>
      <c r="S339" s="90"/>
      <c r="T339" s="90"/>
      <c r="U339" s="8"/>
      <c r="V339" s="91"/>
      <c r="W339" s="91"/>
      <c r="X339" s="91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</row>
    <row r="340" spans="1:42" ht="12.75" x14ac:dyDescent="0.2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8"/>
      <c r="N340" s="88"/>
      <c r="O340" s="87"/>
      <c r="P340" s="87"/>
      <c r="Q340" s="89"/>
      <c r="R340" s="89"/>
      <c r="S340" s="90"/>
      <c r="T340" s="90"/>
      <c r="U340" s="8"/>
      <c r="V340" s="91"/>
      <c r="W340" s="91"/>
      <c r="X340" s="91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</row>
    <row r="341" spans="1:42" ht="12.75" x14ac:dyDescent="0.2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8"/>
      <c r="N341" s="88"/>
      <c r="O341" s="87"/>
      <c r="P341" s="87"/>
      <c r="Q341" s="89"/>
      <c r="R341" s="89"/>
      <c r="S341" s="90"/>
      <c r="T341" s="90"/>
      <c r="U341" s="8"/>
      <c r="V341" s="91"/>
      <c r="W341" s="91"/>
      <c r="X341" s="91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</row>
    <row r="342" spans="1:42" ht="12.75" x14ac:dyDescent="0.2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8"/>
      <c r="N342" s="88"/>
      <c r="O342" s="87"/>
      <c r="P342" s="87"/>
      <c r="Q342" s="89"/>
      <c r="R342" s="89"/>
      <c r="S342" s="90"/>
      <c r="T342" s="90"/>
      <c r="U342" s="8"/>
      <c r="V342" s="91"/>
      <c r="W342" s="91"/>
      <c r="X342" s="91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</row>
    <row r="343" spans="1:42" ht="12.75" x14ac:dyDescent="0.2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8"/>
      <c r="N343" s="88"/>
      <c r="O343" s="87"/>
      <c r="P343" s="87"/>
      <c r="Q343" s="89"/>
      <c r="R343" s="89"/>
      <c r="S343" s="90"/>
      <c r="T343" s="90"/>
      <c r="U343" s="8"/>
      <c r="V343" s="91"/>
      <c r="W343" s="91"/>
      <c r="X343" s="91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</row>
    <row r="344" spans="1:42" ht="12.75" x14ac:dyDescent="0.2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8"/>
      <c r="N344" s="88"/>
      <c r="O344" s="87"/>
      <c r="P344" s="87"/>
      <c r="Q344" s="89"/>
      <c r="R344" s="89"/>
      <c r="S344" s="90"/>
      <c r="T344" s="90"/>
      <c r="U344" s="8"/>
      <c r="V344" s="91"/>
      <c r="W344" s="91"/>
      <c r="X344" s="91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</row>
    <row r="345" spans="1:42" ht="12.75" x14ac:dyDescent="0.2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8"/>
      <c r="N345" s="88"/>
      <c r="O345" s="87"/>
      <c r="P345" s="87"/>
      <c r="Q345" s="89"/>
      <c r="R345" s="89"/>
      <c r="S345" s="90"/>
      <c r="T345" s="90"/>
      <c r="U345" s="8"/>
      <c r="V345" s="91"/>
      <c r="W345" s="91"/>
      <c r="X345" s="91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</row>
    <row r="346" spans="1:42" ht="12.75" x14ac:dyDescent="0.2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8"/>
      <c r="N346" s="88"/>
      <c r="O346" s="87"/>
      <c r="P346" s="87"/>
      <c r="Q346" s="89"/>
      <c r="R346" s="89"/>
      <c r="S346" s="90"/>
      <c r="T346" s="90"/>
      <c r="U346" s="8"/>
      <c r="V346" s="91"/>
      <c r="W346" s="91"/>
      <c r="X346" s="91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</row>
    <row r="347" spans="1:42" ht="12.75" x14ac:dyDescent="0.2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8"/>
      <c r="N347" s="88"/>
      <c r="O347" s="87"/>
      <c r="P347" s="87"/>
      <c r="Q347" s="89"/>
      <c r="R347" s="89"/>
      <c r="S347" s="90"/>
      <c r="T347" s="90"/>
      <c r="U347" s="8"/>
      <c r="V347" s="91"/>
      <c r="W347" s="91"/>
      <c r="X347" s="91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</row>
    <row r="348" spans="1:42" ht="12.75" x14ac:dyDescent="0.2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8"/>
      <c r="N348" s="88"/>
      <c r="O348" s="87"/>
      <c r="P348" s="87"/>
      <c r="Q348" s="89"/>
      <c r="R348" s="89"/>
      <c r="S348" s="90"/>
      <c r="T348" s="90"/>
      <c r="U348" s="8"/>
      <c r="V348" s="91"/>
      <c r="W348" s="91"/>
      <c r="X348" s="91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</row>
    <row r="349" spans="1:42" ht="12.75" x14ac:dyDescent="0.2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8"/>
      <c r="N349" s="88"/>
      <c r="O349" s="87"/>
      <c r="P349" s="87"/>
      <c r="Q349" s="89"/>
      <c r="R349" s="89"/>
      <c r="S349" s="90"/>
      <c r="T349" s="90"/>
      <c r="U349" s="8"/>
      <c r="V349" s="91"/>
      <c r="W349" s="91"/>
      <c r="X349" s="91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</row>
    <row r="350" spans="1:42" ht="12.75" x14ac:dyDescent="0.2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8"/>
      <c r="N350" s="88"/>
      <c r="O350" s="87"/>
      <c r="P350" s="87"/>
      <c r="Q350" s="89"/>
      <c r="R350" s="89"/>
      <c r="S350" s="90"/>
      <c r="T350" s="90"/>
      <c r="U350" s="8"/>
      <c r="V350" s="91"/>
      <c r="W350" s="91"/>
      <c r="X350" s="91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</row>
    <row r="351" spans="1:42" ht="12.75" x14ac:dyDescent="0.2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8"/>
      <c r="N351" s="88"/>
      <c r="O351" s="87"/>
      <c r="P351" s="87"/>
      <c r="Q351" s="89"/>
      <c r="R351" s="89"/>
      <c r="S351" s="90"/>
      <c r="T351" s="90"/>
      <c r="U351" s="8"/>
      <c r="V351" s="91"/>
      <c r="W351" s="91"/>
      <c r="X351" s="91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</row>
    <row r="352" spans="1:42" ht="12.75" x14ac:dyDescent="0.2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8"/>
      <c r="N352" s="88"/>
      <c r="O352" s="87"/>
      <c r="P352" s="87"/>
      <c r="Q352" s="89"/>
      <c r="R352" s="89"/>
      <c r="S352" s="90"/>
      <c r="T352" s="90"/>
      <c r="U352" s="8"/>
      <c r="V352" s="91"/>
      <c r="W352" s="91"/>
      <c r="X352" s="91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</row>
    <row r="353" spans="1:42" ht="12.75" x14ac:dyDescent="0.2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8"/>
      <c r="N353" s="88"/>
      <c r="O353" s="87"/>
      <c r="P353" s="87"/>
      <c r="Q353" s="89"/>
      <c r="R353" s="89"/>
      <c r="S353" s="90"/>
      <c r="T353" s="90"/>
      <c r="U353" s="8"/>
      <c r="V353" s="91"/>
      <c r="W353" s="91"/>
      <c r="X353" s="91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</row>
    <row r="354" spans="1:42" ht="12.75" x14ac:dyDescent="0.2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8"/>
      <c r="N354" s="88"/>
      <c r="O354" s="87"/>
      <c r="P354" s="87"/>
      <c r="Q354" s="89"/>
      <c r="R354" s="89"/>
      <c r="S354" s="90"/>
      <c r="T354" s="90"/>
      <c r="U354" s="8"/>
      <c r="V354" s="91"/>
      <c r="W354" s="91"/>
      <c r="X354" s="91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</row>
    <row r="355" spans="1:42" ht="12.75" x14ac:dyDescent="0.2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8"/>
      <c r="N355" s="88"/>
      <c r="O355" s="87"/>
      <c r="P355" s="87"/>
      <c r="Q355" s="89"/>
      <c r="R355" s="89"/>
      <c r="S355" s="90"/>
      <c r="T355" s="90"/>
      <c r="U355" s="8"/>
      <c r="V355" s="91"/>
      <c r="W355" s="91"/>
      <c r="X355" s="91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</row>
    <row r="356" spans="1:42" ht="12.75" x14ac:dyDescent="0.2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8"/>
      <c r="N356" s="88"/>
      <c r="O356" s="87"/>
      <c r="P356" s="87"/>
      <c r="Q356" s="89"/>
      <c r="R356" s="89"/>
      <c r="S356" s="90"/>
      <c r="T356" s="90"/>
      <c r="U356" s="8"/>
      <c r="V356" s="91"/>
      <c r="W356" s="91"/>
      <c r="X356" s="91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</row>
    <row r="357" spans="1:42" ht="12.75" x14ac:dyDescent="0.2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8"/>
      <c r="N357" s="88"/>
      <c r="O357" s="87"/>
      <c r="P357" s="87"/>
      <c r="Q357" s="89"/>
      <c r="R357" s="89"/>
      <c r="S357" s="90"/>
      <c r="T357" s="90"/>
      <c r="U357" s="8"/>
      <c r="V357" s="91"/>
      <c r="W357" s="91"/>
      <c r="X357" s="91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</row>
    <row r="358" spans="1:42" ht="12.75" x14ac:dyDescent="0.2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8"/>
      <c r="N358" s="88"/>
      <c r="O358" s="87"/>
      <c r="P358" s="87"/>
      <c r="Q358" s="89"/>
      <c r="R358" s="89"/>
      <c r="S358" s="90"/>
      <c r="T358" s="90"/>
      <c r="U358" s="8"/>
      <c r="V358" s="91"/>
      <c r="W358" s="91"/>
      <c r="X358" s="91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</row>
    <row r="359" spans="1:42" ht="12.75" x14ac:dyDescent="0.2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8"/>
      <c r="N359" s="88"/>
      <c r="O359" s="87"/>
      <c r="P359" s="87"/>
      <c r="Q359" s="89"/>
      <c r="R359" s="89"/>
      <c r="S359" s="90"/>
      <c r="T359" s="90"/>
      <c r="U359" s="8"/>
      <c r="V359" s="91"/>
      <c r="W359" s="91"/>
      <c r="X359" s="91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</row>
    <row r="360" spans="1:42" ht="12.75" x14ac:dyDescent="0.2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8"/>
      <c r="N360" s="88"/>
      <c r="O360" s="87"/>
      <c r="P360" s="87"/>
      <c r="Q360" s="89"/>
      <c r="R360" s="89"/>
      <c r="S360" s="90"/>
      <c r="T360" s="90"/>
      <c r="U360" s="8"/>
      <c r="V360" s="91"/>
      <c r="W360" s="91"/>
      <c r="X360" s="91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</row>
    <row r="361" spans="1:42" ht="12.75" x14ac:dyDescent="0.2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8"/>
      <c r="N361" s="88"/>
      <c r="O361" s="87"/>
      <c r="P361" s="87"/>
      <c r="Q361" s="89"/>
      <c r="R361" s="89"/>
      <c r="S361" s="90"/>
      <c r="T361" s="90"/>
      <c r="U361" s="8"/>
      <c r="V361" s="91"/>
      <c r="W361" s="91"/>
      <c r="X361" s="91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</row>
    <row r="362" spans="1:42" ht="12.75" x14ac:dyDescent="0.2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8"/>
      <c r="N362" s="88"/>
      <c r="O362" s="87"/>
      <c r="P362" s="87"/>
      <c r="Q362" s="89"/>
      <c r="R362" s="89"/>
      <c r="S362" s="90"/>
      <c r="T362" s="90"/>
      <c r="U362" s="8"/>
      <c r="V362" s="91"/>
      <c r="W362" s="91"/>
      <c r="X362" s="91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</row>
    <row r="363" spans="1:42" ht="12.75" x14ac:dyDescent="0.2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8"/>
      <c r="N363" s="88"/>
      <c r="O363" s="87"/>
      <c r="P363" s="87"/>
      <c r="Q363" s="89"/>
      <c r="R363" s="89"/>
      <c r="S363" s="90"/>
      <c r="T363" s="90"/>
      <c r="U363" s="8"/>
      <c r="V363" s="91"/>
      <c r="W363" s="91"/>
      <c r="X363" s="91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</row>
    <row r="364" spans="1:42" ht="12.75" x14ac:dyDescent="0.2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8"/>
      <c r="N364" s="88"/>
      <c r="O364" s="87"/>
      <c r="P364" s="87"/>
      <c r="Q364" s="89"/>
      <c r="R364" s="89"/>
      <c r="S364" s="90"/>
      <c r="T364" s="90"/>
      <c r="U364" s="8"/>
      <c r="V364" s="91"/>
      <c r="W364" s="91"/>
      <c r="X364" s="91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</row>
    <row r="365" spans="1:42" ht="12.75" x14ac:dyDescent="0.2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8"/>
      <c r="N365" s="88"/>
      <c r="O365" s="87"/>
      <c r="P365" s="87"/>
      <c r="Q365" s="89"/>
      <c r="R365" s="89"/>
      <c r="S365" s="90"/>
      <c r="T365" s="90"/>
      <c r="U365" s="8"/>
      <c r="V365" s="91"/>
      <c r="W365" s="91"/>
      <c r="X365" s="91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</row>
    <row r="366" spans="1:42" ht="12.75" x14ac:dyDescent="0.2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8"/>
      <c r="N366" s="88"/>
      <c r="O366" s="87"/>
      <c r="P366" s="87"/>
      <c r="Q366" s="89"/>
      <c r="R366" s="89"/>
      <c r="S366" s="90"/>
      <c r="T366" s="90"/>
      <c r="U366" s="8"/>
      <c r="V366" s="91"/>
      <c r="W366" s="91"/>
      <c r="X366" s="91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</row>
    <row r="367" spans="1:42" ht="12.75" x14ac:dyDescent="0.2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8"/>
      <c r="N367" s="88"/>
      <c r="O367" s="87"/>
      <c r="P367" s="87"/>
      <c r="Q367" s="89"/>
      <c r="R367" s="89"/>
      <c r="S367" s="90"/>
      <c r="T367" s="90"/>
      <c r="U367" s="8"/>
      <c r="V367" s="91"/>
      <c r="W367" s="91"/>
      <c r="X367" s="91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</row>
    <row r="368" spans="1:42" ht="12.75" x14ac:dyDescent="0.2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8"/>
      <c r="N368" s="88"/>
      <c r="O368" s="87"/>
      <c r="P368" s="87"/>
      <c r="Q368" s="89"/>
      <c r="R368" s="89"/>
      <c r="S368" s="90"/>
      <c r="T368" s="90"/>
      <c r="U368" s="8"/>
      <c r="V368" s="91"/>
      <c r="W368" s="91"/>
      <c r="X368" s="91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</row>
    <row r="369" spans="1:42" ht="12.75" x14ac:dyDescent="0.2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8"/>
      <c r="N369" s="88"/>
      <c r="O369" s="87"/>
      <c r="P369" s="87"/>
      <c r="Q369" s="89"/>
      <c r="R369" s="89"/>
      <c r="S369" s="90"/>
      <c r="T369" s="90"/>
      <c r="U369" s="8"/>
      <c r="V369" s="91"/>
      <c r="W369" s="91"/>
      <c r="X369" s="91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</row>
    <row r="370" spans="1:42" ht="12.75" x14ac:dyDescent="0.2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8"/>
      <c r="N370" s="88"/>
      <c r="O370" s="87"/>
      <c r="P370" s="87"/>
      <c r="Q370" s="89"/>
      <c r="R370" s="89"/>
      <c r="S370" s="90"/>
      <c r="T370" s="90"/>
      <c r="U370" s="8"/>
      <c r="V370" s="91"/>
      <c r="W370" s="91"/>
      <c r="X370" s="91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</row>
    <row r="371" spans="1:42" ht="12.75" x14ac:dyDescent="0.2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8"/>
      <c r="N371" s="88"/>
      <c r="O371" s="87"/>
      <c r="P371" s="87"/>
      <c r="Q371" s="89"/>
      <c r="R371" s="89"/>
      <c r="S371" s="90"/>
      <c r="T371" s="90"/>
      <c r="U371" s="8"/>
      <c r="V371" s="91"/>
      <c r="W371" s="91"/>
      <c r="X371" s="91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</row>
    <row r="372" spans="1:42" ht="12.75" x14ac:dyDescent="0.2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8"/>
      <c r="N372" s="88"/>
      <c r="O372" s="87"/>
      <c r="P372" s="87"/>
      <c r="Q372" s="89"/>
      <c r="R372" s="89"/>
      <c r="S372" s="90"/>
      <c r="T372" s="90"/>
      <c r="U372" s="8"/>
      <c r="V372" s="91"/>
      <c r="W372" s="91"/>
      <c r="X372" s="91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</row>
    <row r="373" spans="1:42" ht="12.75" x14ac:dyDescent="0.2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8"/>
      <c r="N373" s="88"/>
      <c r="O373" s="87"/>
      <c r="P373" s="87"/>
      <c r="Q373" s="89"/>
      <c r="R373" s="89"/>
      <c r="S373" s="90"/>
      <c r="T373" s="90"/>
      <c r="U373" s="8"/>
      <c r="V373" s="91"/>
      <c r="W373" s="91"/>
      <c r="X373" s="91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</row>
    <row r="374" spans="1:42" ht="12.75" x14ac:dyDescent="0.2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8"/>
      <c r="N374" s="88"/>
      <c r="O374" s="87"/>
      <c r="P374" s="87"/>
      <c r="Q374" s="89"/>
      <c r="R374" s="89"/>
      <c r="S374" s="90"/>
      <c r="T374" s="90"/>
      <c r="U374" s="8"/>
      <c r="V374" s="91"/>
      <c r="W374" s="91"/>
      <c r="X374" s="91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</row>
    <row r="375" spans="1:42" ht="12.75" x14ac:dyDescent="0.2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8"/>
      <c r="N375" s="88"/>
      <c r="O375" s="87"/>
      <c r="P375" s="87"/>
      <c r="Q375" s="89"/>
      <c r="R375" s="89"/>
      <c r="S375" s="90"/>
      <c r="T375" s="90"/>
      <c r="U375" s="8"/>
      <c r="V375" s="91"/>
      <c r="W375" s="91"/>
      <c r="X375" s="91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</row>
    <row r="376" spans="1:42" ht="12.75" x14ac:dyDescent="0.2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8"/>
      <c r="N376" s="88"/>
      <c r="O376" s="87"/>
      <c r="P376" s="87"/>
      <c r="Q376" s="89"/>
      <c r="R376" s="89"/>
      <c r="S376" s="90"/>
      <c r="T376" s="90"/>
      <c r="U376" s="8"/>
      <c r="V376" s="91"/>
      <c r="W376" s="91"/>
      <c r="X376" s="91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</row>
    <row r="377" spans="1:42" ht="12.75" x14ac:dyDescent="0.2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8"/>
      <c r="N377" s="88"/>
      <c r="O377" s="87"/>
      <c r="P377" s="87"/>
      <c r="Q377" s="89"/>
      <c r="R377" s="89"/>
      <c r="S377" s="90"/>
      <c r="T377" s="90"/>
      <c r="U377" s="8"/>
      <c r="V377" s="91"/>
      <c r="W377" s="91"/>
      <c r="X377" s="91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</row>
    <row r="378" spans="1:42" ht="12.75" x14ac:dyDescent="0.2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8"/>
      <c r="N378" s="88"/>
      <c r="O378" s="87"/>
      <c r="P378" s="87"/>
      <c r="Q378" s="89"/>
      <c r="R378" s="89"/>
      <c r="S378" s="90"/>
      <c r="T378" s="90"/>
      <c r="U378" s="8"/>
      <c r="V378" s="91"/>
      <c r="W378" s="91"/>
      <c r="X378" s="91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</row>
    <row r="379" spans="1:42" ht="12.75" x14ac:dyDescent="0.2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8"/>
      <c r="N379" s="88"/>
      <c r="O379" s="87"/>
      <c r="P379" s="87"/>
      <c r="Q379" s="89"/>
      <c r="R379" s="89"/>
      <c r="S379" s="90"/>
      <c r="T379" s="90"/>
      <c r="U379" s="8"/>
      <c r="V379" s="91"/>
      <c r="W379" s="91"/>
      <c r="X379" s="91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</row>
    <row r="380" spans="1:42" ht="12.75" x14ac:dyDescent="0.2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8"/>
      <c r="N380" s="88"/>
      <c r="O380" s="87"/>
      <c r="P380" s="87"/>
      <c r="Q380" s="89"/>
      <c r="R380" s="89"/>
      <c r="S380" s="90"/>
      <c r="T380" s="90"/>
      <c r="U380" s="8"/>
      <c r="V380" s="91"/>
      <c r="W380" s="91"/>
      <c r="X380" s="91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</row>
    <row r="381" spans="1:42" ht="12.75" x14ac:dyDescent="0.2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8"/>
      <c r="N381" s="88"/>
      <c r="O381" s="87"/>
      <c r="P381" s="87"/>
      <c r="Q381" s="89"/>
      <c r="R381" s="89"/>
      <c r="S381" s="90"/>
      <c r="T381" s="90"/>
      <c r="U381" s="8"/>
      <c r="V381" s="91"/>
      <c r="W381" s="91"/>
      <c r="X381" s="91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</row>
    <row r="382" spans="1:42" ht="12.75" x14ac:dyDescent="0.2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8"/>
      <c r="N382" s="88"/>
      <c r="O382" s="87"/>
      <c r="P382" s="87"/>
      <c r="Q382" s="89"/>
      <c r="R382" s="89"/>
      <c r="S382" s="90"/>
      <c r="T382" s="90"/>
      <c r="U382" s="8"/>
      <c r="V382" s="91"/>
      <c r="W382" s="91"/>
      <c r="X382" s="91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</row>
    <row r="383" spans="1:42" ht="12.75" x14ac:dyDescent="0.2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8"/>
      <c r="N383" s="88"/>
      <c r="O383" s="87"/>
      <c r="P383" s="87"/>
      <c r="Q383" s="89"/>
      <c r="R383" s="89"/>
      <c r="S383" s="90"/>
      <c r="T383" s="90"/>
      <c r="U383" s="8"/>
      <c r="V383" s="91"/>
      <c r="W383" s="91"/>
      <c r="X383" s="91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</row>
    <row r="384" spans="1:42" ht="12.75" x14ac:dyDescent="0.2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8"/>
      <c r="N384" s="88"/>
      <c r="O384" s="87"/>
      <c r="P384" s="87"/>
      <c r="Q384" s="89"/>
      <c r="R384" s="89"/>
      <c r="S384" s="90"/>
      <c r="T384" s="90"/>
      <c r="U384" s="8"/>
      <c r="V384" s="91"/>
      <c r="W384" s="91"/>
      <c r="X384" s="91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</row>
    <row r="385" spans="1:42" ht="12.75" x14ac:dyDescent="0.2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8"/>
      <c r="N385" s="88"/>
      <c r="O385" s="87"/>
      <c r="P385" s="87"/>
      <c r="Q385" s="89"/>
      <c r="R385" s="89"/>
      <c r="S385" s="90"/>
      <c r="T385" s="90"/>
      <c r="U385" s="8"/>
      <c r="V385" s="91"/>
      <c r="W385" s="91"/>
      <c r="X385" s="91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</row>
    <row r="386" spans="1:42" ht="12.75" x14ac:dyDescent="0.2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8"/>
      <c r="N386" s="88"/>
      <c r="O386" s="87"/>
      <c r="P386" s="87"/>
      <c r="Q386" s="89"/>
      <c r="R386" s="89"/>
      <c r="S386" s="90"/>
      <c r="T386" s="90"/>
      <c r="U386" s="8"/>
      <c r="V386" s="91"/>
      <c r="W386" s="91"/>
      <c r="X386" s="91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</row>
    <row r="387" spans="1:42" ht="12.75" x14ac:dyDescent="0.2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8"/>
      <c r="N387" s="88"/>
      <c r="O387" s="87"/>
      <c r="P387" s="87"/>
      <c r="Q387" s="89"/>
      <c r="R387" s="89"/>
      <c r="S387" s="90"/>
      <c r="T387" s="90"/>
      <c r="U387" s="8"/>
      <c r="V387" s="91"/>
      <c r="W387" s="91"/>
      <c r="X387" s="91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</row>
    <row r="388" spans="1:42" ht="12.75" x14ac:dyDescent="0.2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8"/>
      <c r="N388" s="88"/>
      <c r="O388" s="87"/>
      <c r="P388" s="87"/>
      <c r="Q388" s="89"/>
      <c r="R388" s="89"/>
      <c r="S388" s="90"/>
      <c r="T388" s="90"/>
      <c r="U388" s="8"/>
      <c r="V388" s="91"/>
      <c r="W388" s="91"/>
      <c r="X388" s="91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</row>
    <row r="389" spans="1:42" ht="12.75" x14ac:dyDescent="0.2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8"/>
      <c r="N389" s="88"/>
      <c r="O389" s="87"/>
      <c r="P389" s="87"/>
      <c r="Q389" s="89"/>
      <c r="R389" s="89"/>
      <c r="S389" s="90"/>
      <c r="T389" s="90"/>
      <c r="U389" s="8"/>
      <c r="V389" s="91"/>
      <c r="W389" s="91"/>
      <c r="X389" s="91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</row>
    <row r="390" spans="1:42" ht="12.75" x14ac:dyDescent="0.2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8"/>
      <c r="N390" s="88"/>
      <c r="O390" s="87"/>
      <c r="P390" s="87"/>
      <c r="Q390" s="89"/>
      <c r="R390" s="89"/>
      <c r="S390" s="90"/>
      <c r="T390" s="90"/>
      <c r="U390" s="8"/>
      <c r="V390" s="91"/>
      <c r="W390" s="91"/>
      <c r="X390" s="91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</row>
    <row r="391" spans="1:42" ht="12.75" x14ac:dyDescent="0.2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8"/>
      <c r="N391" s="88"/>
      <c r="O391" s="87"/>
      <c r="P391" s="87"/>
      <c r="Q391" s="89"/>
      <c r="R391" s="89"/>
      <c r="S391" s="90"/>
      <c r="T391" s="90"/>
      <c r="U391" s="8"/>
      <c r="V391" s="91"/>
      <c r="W391" s="91"/>
      <c r="X391" s="91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</row>
    <row r="392" spans="1:42" ht="12.75" x14ac:dyDescent="0.2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8"/>
      <c r="N392" s="88"/>
      <c r="O392" s="87"/>
      <c r="P392" s="87"/>
      <c r="Q392" s="89"/>
      <c r="R392" s="89"/>
      <c r="S392" s="90"/>
      <c r="T392" s="90"/>
      <c r="U392" s="8"/>
      <c r="V392" s="91"/>
      <c r="W392" s="91"/>
      <c r="X392" s="91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</row>
    <row r="393" spans="1:42" ht="12.75" x14ac:dyDescent="0.2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8"/>
      <c r="N393" s="88"/>
      <c r="O393" s="87"/>
      <c r="P393" s="87"/>
      <c r="Q393" s="89"/>
      <c r="R393" s="89"/>
      <c r="S393" s="90"/>
      <c r="T393" s="90"/>
      <c r="U393" s="8"/>
      <c r="V393" s="91"/>
      <c r="W393" s="91"/>
      <c r="X393" s="91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</row>
    <row r="394" spans="1:42" ht="12.75" x14ac:dyDescent="0.2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8"/>
      <c r="N394" s="88"/>
      <c r="O394" s="87"/>
      <c r="P394" s="87"/>
      <c r="Q394" s="89"/>
      <c r="R394" s="89"/>
      <c r="S394" s="90"/>
      <c r="T394" s="90"/>
      <c r="U394" s="8"/>
      <c r="V394" s="91"/>
      <c r="W394" s="91"/>
      <c r="X394" s="91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</row>
    <row r="395" spans="1:42" ht="12.75" x14ac:dyDescent="0.2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8"/>
      <c r="N395" s="88"/>
      <c r="O395" s="87"/>
      <c r="P395" s="87"/>
      <c r="Q395" s="89"/>
      <c r="R395" s="89"/>
      <c r="S395" s="90"/>
      <c r="T395" s="90"/>
      <c r="U395" s="8"/>
      <c r="V395" s="91"/>
      <c r="W395" s="91"/>
      <c r="X395" s="91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</row>
    <row r="396" spans="1:42" ht="12.75" x14ac:dyDescent="0.2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8"/>
      <c r="N396" s="88"/>
      <c r="O396" s="87"/>
      <c r="P396" s="87"/>
      <c r="Q396" s="89"/>
      <c r="R396" s="89"/>
      <c r="S396" s="90"/>
      <c r="T396" s="90"/>
      <c r="U396" s="8"/>
      <c r="V396" s="91"/>
      <c r="W396" s="91"/>
      <c r="X396" s="91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</row>
    <row r="397" spans="1:42" ht="12.75" x14ac:dyDescent="0.2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8"/>
      <c r="N397" s="88"/>
      <c r="O397" s="87"/>
      <c r="P397" s="87"/>
      <c r="Q397" s="89"/>
      <c r="R397" s="89"/>
      <c r="S397" s="90"/>
      <c r="T397" s="90"/>
      <c r="U397" s="8"/>
      <c r="V397" s="91"/>
      <c r="W397" s="91"/>
      <c r="X397" s="91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</row>
    <row r="398" spans="1:42" ht="12.75" x14ac:dyDescent="0.2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8"/>
      <c r="N398" s="88"/>
      <c r="O398" s="87"/>
      <c r="P398" s="87"/>
      <c r="Q398" s="89"/>
      <c r="R398" s="89"/>
      <c r="S398" s="90"/>
      <c r="T398" s="90"/>
      <c r="U398" s="8"/>
      <c r="V398" s="91"/>
      <c r="W398" s="91"/>
      <c r="X398" s="91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</row>
    <row r="399" spans="1:42" ht="12.75" x14ac:dyDescent="0.2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8"/>
      <c r="N399" s="88"/>
      <c r="O399" s="87"/>
      <c r="P399" s="87"/>
      <c r="Q399" s="89"/>
      <c r="R399" s="89"/>
      <c r="S399" s="90"/>
      <c r="T399" s="90"/>
      <c r="U399" s="8"/>
      <c r="V399" s="91"/>
      <c r="W399" s="91"/>
      <c r="X399" s="91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</row>
    <row r="400" spans="1:42" ht="12.75" x14ac:dyDescent="0.2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8"/>
      <c r="N400" s="88"/>
      <c r="O400" s="87"/>
      <c r="P400" s="87"/>
      <c r="Q400" s="89"/>
      <c r="R400" s="89"/>
      <c r="S400" s="90"/>
      <c r="T400" s="90"/>
      <c r="U400" s="8"/>
      <c r="V400" s="91"/>
      <c r="W400" s="91"/>
      <c r="X400" s="91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</row>
    <row r="401" spans="1:42" ht="12.75" x14ac:dyDescent="0.2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8"/>
      <c r="N401" s="88"/>
      <c r="O401" s="87"/>
      <c r="P401" s="87"/>
      <c r="Q401" s="89"/>
      <c r="R401" s="89"/>
      <c r="S401" s="90"/>
      <c r="T401" s="90"/>
      <c r="U401" s="8"/>
      <c r="V401" s="91"/>
      <c r="W401" s="91"/>
      <c r="X401" s="91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</row>
    <row r="402" spans="1:42" ht="12.75" x14ac:dyDescent="0.2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8"/>
      <c r="N402" s="88"/>
      <c r="O402" s="87"/>
      <c r="P402" s="87"/>
      <c r="Q402" s="89"/>
      <c r="R402" s="89"/>
      <c r="S402" s="90"/>
      <c r="T402" s="90"/>
      <c r="U402" s="8"/>
      <c r="V402" s="91"/>
      <c r="W402" s="91"/>
      <c r="X402" s="91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</row>
    <row r="403" spans="1:42" ht="12.75" x14ac:dyDescent="0.2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8"/>
      <c r="N403" s="88"/>
      <c r="O403" s="87"/>
      <c r="P403" s="87"/>
      <c r="Q403" s="89"/>
      <c r="R403" s="89"/>
      <c r="S403" s="90"/>
      <c r="T403" s="90"/>
      <c r="U403" s="8"/>
      <c r="V403" s="91"/>
      <c r="W403" s="91"/>
      <c r="X403" s="91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</row>
    <row r="404" spans="1:42" ht="12.75" x14ac:dyDescent="0.2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8"/>
      <c r="N404" s="88"/>
      <c r="O404" s="87"/>
      <c r="P404" s="87"/>
      <c r="Q404" s="89"/>
      <c r="R404" s="89"/>
      <c r="S404" s="90"/>
      <c r="T404" s="90"/>
      <c r="U404" s="8"/>
      <c r="V404" s="91"/>
      <c r="W404" s="91"/>
      <c r="X404" s="91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</row>
    <row r="405" spans="1:42" ht="12.75" x14ac:dyDescent="0.2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8"/>
      <c r="N405" s="88"/>
      <c r="O405" s="87"/>
      <c r="P405" s="87"/>
      <c r="Q405" s="89"/>
      <c r="R405" s="89"/>
      <c r="S405" s="90"/>
      <c r="T405" s="90"/>
      <c r="U405" s="8"/>
      <c r="V405" s="91"/>
      <c r="W405" s="91"/>
      <c r="X405" s="91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</row>
    <row r="406" spans="1:42" ht="12.75" x14ac:dyDescent="0.2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8"/>
      <c r="N406" s="88"/>
      <c r="O406" s="87"/>
      <c r="P406" s="87"/>
      <c r="Q406" s="89"/>
      <c r="R406" s="89"/>
      <c r="S406" s="90"/>
      <c r="T406" s="90"/>
      <c r="U406" s="8"/>
      <c r="V406" s="91"/>
      <c r="W406" s="91"/>
      <c r="X406" s="91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</row>
    <row r="407" spans="1:42" ht="12.75" x14ac:dyDescent="0.2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8"/>
      <c r="N407" s="88"/>
      <c r="O407" s="87"/>
      <c r="P407" s="87"/>
      <c r="Q407" s="89"/>
      <c r="R407" s="89"/>
      <c r="S407" s="90"/>
      <c r="T407" s="90"/>
      <c r="U407" s="8"/>
      <c r="V407" s="91"/>
      <c r="W407" s="91"/>
      <c r="X407" s="91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</row>
    <row r="408" spans="1:42" ht="12.75" x14ac:dyDescent="0.2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8"/>
      <c r="N408" s="88"/>
      <c r="O408" s="87"/>
      <c r="P408" s="87"/>
      <c r="Q408" s="89"/>
      <c r="R408" s="89"/>
      <c r="S408" s="90"/>
      <c r="T408" s="90"/>
      <c r="U408" s="8"/>
      <c r="V408" s="91"/>
      <c r="W408" s="91"/>
      <c r="X408" s="91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</row>
    <row r="409" spans="1:42" ht="12.75" x14ac:dyDescent="0.2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8"/>
      <c r="N409" s="88"/>
      <c r="O409" s="87"/>
      <c r="P409" s="87"/>
      <c r="Q409" s="89"/>
      <c r="R409" s="89"/>
      <c r="S409" s="90"/>
      <c r="T409" s="90"/>
      <c r="U409" s="8"/>
      <c r="V409" s="91"/>
      <c r="W409" s="91"/>
      <c r="X409" s="91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</row>
    <row r="410" spans="1:42" ht="12.75" x14ac:dyDescent="0.2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8"/>
      <c r="N410" s="88"/>
      <c r="O410" s="87"/>
      <c r="P410" s="87"/>
      <c r="Q410" s="89"/>
      <c r="R410" s="89"/>
      <c r="S410" s="90"/>
      <c r="T410" s="90"/>
      <c r="U410" s="8"/>
      <c r="V410" s="91"/>
      <c r="W410" s="91"/>
      <c r="X410" s="91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</row>
    <row r="411" spans="1:42" ht="12.75" x14ac:dyDescent="0.2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8"/>
      <c r="N411" s="88"/>
      <c r="O411" s="87"/>
      <c r="P411" s="87"/>
      <c r="Q411" s="89"/>
      <c r="R411" s="89"/>
      <c r="S411" s="90"/>
      <c r="T411" s="90"/>
      <c r="U411" s="8"/>
      <c r="V411" s="91"/>
      <c r="W411" s="91"/>
      <c r="X411" s="91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</row>
    <row r="412" spans="1:42" ht="12.75" x14ac:dyDescent="0.2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8"/>
      <c r="N412" s="88"/>
      <c r="O412" s="87"/>
      <c r="P412" s="87"/>
      <c r="Q412" s="89"/>
      <c r="R412" s="89"/>
      <c r="S412" s="90"/>
      <c r="T412" s="90"/>
      <c r="U412" s="8"/>
      <c r="V412" s="91"/>
      <c r="W412" s="91"/>
      <c r="X412" s="91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</row>
    <row r="413" spans="1:42" ht="12.75" x14ac:dyDescent="0.2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8"/>
      <c r="N413" s="88"/>
      <c r="O413" s="87"/>
      <c r="P413" s="87"/>
      <c r="Q413" s="89"/>
      <c r="R413" s="89"/>
      <c r="S413" s="90"/>
      <c r="T413" s="90"/>
      <c r="U413" s="8"/>
      <c r="V413" s="91"/>
      <c r="W413" s="91"/>
      <c r="X413" s="91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</row>
    <row r="414" spans="1:42" ht="12.75" x14ac:dyDescent="0.2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8"/>
      <c r="N414" s="88"/>
      <c r="O414" s="87"/>
      <c r="P414" s="87"/>
      <c r="Q414" s="89"/>
      <c r="R414" s="89"/>
      <c r="S414" s="90"/>
      <c r="T414" s="90"/>
      <c r="U414" s="8"/>
      <c r="V414" s="91"/>
      <c r="W414" s="91"/>
      <c r="X414" s="91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</row>
    <row r="415" spans="1:42" ht="12.75" x14ac:dyDescent="0.2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8"/>
      <c r="N415" s="88"/>
      <c r="O415" s="87"/>
      <c r="P415" s="87"/>
      <c r="Q415" s="89"/>
      <c r="R415" s="89"/>
      <c r="S415" s="90"/>
      <c r="T415" s="90"/>
      <c r="U415" s="8"/>
      <c r="V415" s="91"/>
      <c r="W415" s="91"/>
      <c r="X415" s="91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</row>
    <row r="416" spans="1:42" ht="12.75" x14ac:dyDescent="0.2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8"/>
      <c r="N416" s="88"/>
      <c r="O416" s="87"/>
      <c r="P416" s="87"/>
      <c r="Q416" s="89"/>
      <c r="R416" s="89"/>
      <c r="S416" s="90"/>
      <c r="T416" s="90"/>
      <c r="U416" s="8"/>
      <c r="V416" s="91"/>
      <c r="W416" s="91"/>
      <c r="X416" s="91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</row>
    <row r="417" spans="1:42" ht="12.75" x14ac:dyDescent="0.2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8"/>
      <c r="N417" s="88"/>
      <c r="O417" s="87"/>
      <c r="P417" s="87"/>
      <c r="Q417" s="89"/>
      <c r="R417" s="89"/>
      <c r="S417" s="90"/>
      <c r="T417" s="90"/>
      <c r="U417" s="8"/>
      <c r="V417" s="91"/>
      <c r="W417" s="91"/>
      <c r="X417" s="91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</row>
    <row r="418" spans="1:42" ht="12.75" x14ac:dyDescent="0.2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8"/>
      <c r="N418" s="88"/>
      <c r="O418" s="87"/>
      <c r="P418" s="87"/>
      <c r="Q418" s="89"/>
      <c r="R418" s="89"/>
      <c r="S418" s="90"/>
      <c r="T418" s="90"/>
      <c r="U418" s="8"/>
      <c r="V418" s="91"/>
      <c r="W418" s="91"/>
      <c r="X418" s="91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</row>
    <row r="419" spans="1:42" ht="12.75" x14ac:dyDescent="0.2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8"/>
      <c r="N419" s="88"/>
      <c r="O419" s="87"/>
      <c r="P419" s="87"/>
      <c r="Q419" s="89"/>
      <c r="R419" s="89"/>
      <c r="S419" s="90"/>
      <c r="T419" s="90"/>
      <c r="U419" s="8"/>
      <c r="V419" s="91"/>
      <c r="W419" s="91"/>
      <c r="X419" s="91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</row>
    <row r="420" spans="1:42" ht="12.75" x14ac:dyDescent="0.2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8"/>
      <c r="N420" s="88"/>
      <c r="O420" s="87"/>
      <c r="P420" s="87"/>
      <c r="Q420" s="89"/>
      <c r="R420" s="89"/>
      <c r="S420" s="90"/>
      <c r="T420" s="90"/>
      <c r="U420" s="8"/>
      <c r="V420" s="91"/>
      <c r="W420" s="91"/>
      <c r="X420" s="91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</row>
    <row r="421" spans="1:42" ht="12.75" x14ac:dyDescent="0.2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8"/>
      <c r="N421" s="88"/>
      <c r="O421" s="87"/>
      <c r="P421" s="87"/>
      <c r="Q421" s="89"/>
      <c r="R421" s="89"/>
      <c r="S421" s="90"/>
      <c r="T421" s="90"/>
      <c r="U421" s="8"/>
      <c r="V421" s="91"/>
      <c r="W421" s="91"/>
      <c r="X421" s="91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</row>
    <row r="422" spans="1:42" ht="12.75" x14ac:dyDescent="0.2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8"/>
      <c r="N422" s="88"/>
      <c r="O422" s="87"/>
      <c r="P422" s="87"/>
      <c r="Q422" s="89"/>
      <c r="R422" s="89"/>
      <c r="S422" s="90"/>
      <c r="T422" s="90"/>
      <c r="U422" s="8"/>
      <c r="V422" s="91"/>
      <c r="W422" s="91"/>
      <c r="X422" s="91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</row>
    <row r="423" spans="1:42" ht="12.75" x14ac:dyDescent="0.2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8"/>
      <c r="N423" s="88"/>
      <c r="O423" s="87"/>
      <c r="P423" s="87"/>
      <c r="Q423" s="89"/>
      <c r="R423" s="89"/>
      <c r="S423" s="90"/>
      <c r="T423" s="90"/>
      <c r="U423" s="8"/>
      <c r="V423" s="91"/>
      <c r="W423" s="91"/>
      <c r="X423" s="91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</row>
    <row r="424" spans="1:42" ht="12.75" x14ac:dyDescent="0.2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8"/>
      <c r="N424" s="88"/>
      <c r="O424" s="87"/>
      <c r="P424" s="87"/>
      <c r="Q424" s="89"/>
      <c r="R424" s="89"/>
      <c r="S424" s="90"/>
      <c r="T424" s="90"/>
      <c r="U424" s="8"/>
      <c r="V424" s="91"/>
      <c r="W424" s="91"/>
      <c r="X424" s="91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</row>
    <row r="425" spans="1:42" ht="12.75" x14ac:dyDescent="0.2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8"/>
      <c r="N425" s="88"/>
      <c r="O425" s="87"/>
      <c r="P425" s="87"/>
      <c r="Q425" s="89"/>
      <c r="R425" s="89"/>
      <c r="S425" s="90"/>
      <c r="T425" s="90"/>
      <c r="U425" s="8"/>
      <c r="V425" s="91"/>
      <c r="W425" s="91"/>
      <c r="X425" s="91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</row>
    <row r="426" spans="1:42" ht="12.75" x14ac:dyDescent="0.2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8"/>
      <c r="N426" s="88"/>
      <c r="O426" s="87"/>
      <c r="P426" s="87"/>
      <c r="Q426" s="89"/>
      <c r="R426" s="89"/>
      <c r="S426" s="90"/>
      <c r="T426" s="90"/>
      <c r="U426" s="8"/>
      <c r="V426" s="91"/>
      <c r="W426" s="91"/>
      <c r="X426" s="91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</row>
    <row r="427" spans="1:42" ht="12.75" x14ac:dyDescent="0.2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8"/>
      <c r="N427" s="88"/>
      <c r="O427" s="87"/>
      <c r="P427" s="87"/>
      <c r="Q427" s="89"/>
      <c r="R427" s="89"/>
      <c r="S427" s="90"/>
      <c r="T427" s="90"/>
      <c r="U427" s="8"/>
      <c r="V427" s="91"/>
      <c r="W427" s="91"/>
      <c r="X427" s="91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</row>
    <row r="428" spans="1:42" ht="12.75" x14ac:dyDescent="0.2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8"/>
      <c r="N428" s="88"/>
      <c r="O428" s="87"/>
      <c r="P428" s="87"/>
      <c r="Q428" s="89"/>
      <c r="R428" s="89"/>
      <c r="S428" s="90"/>
      <c r="T428" s="90"/>
      <c r="U428" s="8"/>
      <c r="V428" s="91"/>
      <c r="W428" s="91"/>
      <c r="X428" s="91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</row>
    <row r="429" spans="1:42" ht="12.75" x14ac:dyDescent="0.2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8"/>
      <c r="N429" s="88"/>
      <c r="O429" s="87"/>
      <c r="P429" s="87"/>
      <c r="Q429" s="89"/>
      <c r="R429" s="89"/>
      <c r="S429" s="90"/>
      <c r="T429" s="90"/>
      <c r="U429" s="8"/>
      <c r="V429" s="91"/>
      <c r="W429" s="91"/>
      <c r="X429" s="91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</row>
    <row r="430" spans="1:42" ht="12.75" x14ac:dyDescent="0.2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8"/>
      <c r="N430" s="88"/>
      <c r="O430" s="87"/>
      <c r="P430" s="87"/>
      <c r="Q430" s="89"/>
      <c r="R430" s="89"/>
      <c r="S430" s="90"/>
      <c r="T430" s="90"/>
      <c r="U430" s="8"/>
      <c r="V430" s="91"/>
      <c r="W430" s="91"/>
      <c r="X430" s="91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</row>
    <row r="431" spans="1:42" ht="12.75" x14ac:dyDescent="0.2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8"/>
      <c r="N431" s="88"/>
      <c r="O431" s="87"/>
      <c r="P431" s="87"/>
      <c r="Q431" s="89"/>
      <c r="R431" s="89"/>
      <c r="S431" s="90"/>
      <c r="T431" s="90"/>
      <c r="U431" s="8"/>
      <c r="V431" s="91"/>
      <c r="W431" s="91"/>
      <c r="X431" s="91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</row>
    <row r="432" spans="1:42" ht="12.75" x14ac:dyDescent="0.2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8"/>
      <c r="N432" s="88"/>
      <c r="O432" s="87"/>
      <c r="P432" s="87"/>
      <c r="Q432" s="89"/>
      <c r="R432" s="89"/>
      <c r="S432" s="90"/>
      <c r="T432" s="90"/>
      <c r="U432" s="8"/>
      <c r="V432" s="91"/>
      <c r="W432" s="91"/>
      <c r="X432" s="91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</row>
    <row r="433" spans="1:42" ht="12.75" x14ac:dyDescent="0.2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8"/>
      <c r="N433" s="88"/>
      <c r="O433" s="87"/>
      <c r="P433" s="87"/>
      <c r="Q433" s="89"/>
      <c r="R433" s="89"/>
      <c r="S433" s="90"/>
      <c r="T433" s="90"/>
      <c r="U433" s="8"/>
      <c r="V433" s="91"/>
      <c r="W433" s="91"/>
      <c r="X433" s="91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</row>
    <row r="434" spans="1:42" ht="12.75" x14ac:dyDescent="0.2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8"/>
      <c r="N434" s="88"/>
      <c r="O434" s="87"/>
      <c r="P434" s="87"/>
      <c r="Q434" s="89"/>
      <c r="R434" s="89"/>
      <c r="S434" s="90"/>
      <c r="T434" s="90"/>
      <c r="U434" s="8"/>
      <c r="V434" s="91"/>
      <c r="W434" s="91"/>
      <c r="X434" s="91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</row>
    <row r="435" spans="1:42" ht="12.75" x14ac:dyDescent="0.2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8"/>
      <c r="N435" s="88"/>
      <c r="O435" s="87"/>
      <c r="P435" s="87"/>
      <c r="Q435" s="89"/>
      <c r="R435" s="89"/>
      <c r="S435" s="90"/>
      <c r="T435" s="90"/>
      <c r="U435" s="8"/>
      <c r="V435" s="91"/>
      <c r="W435" s="91"/>
      <c r="X435" s="91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</row>
    <row r="436" spans="1:42" ht="12.75" x14ac:dyDescent="0.2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8"/>
      <c r="N436" s="88"/>
      <c r="O436" s="87"/>
      <c r="P436" s="87"/>
      <c r="Q436" s="89"/>
      <c r="R436" s="89"/>
      <c r="S436" s="90"/>
      <c r="T436" s="90"/>
      <c r="U436" s="8"/>
      <c r="V436" s="91"/>
      <c r="W436" s="91"/>
      <c r="X436" s="91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</row>
    <row r="437" spans="1:42" ht="12.75" x14ac:dyDescent="0.2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8"/>
      <c r="N437" s="88"/>
      <c r="O437" s="87"/>
      <c r="P437" s="87"/>
      <c r="Q437" s="89"/>
      <c r="R437" s="89"/>
      <c r="S437" s="90"/>
      <c r="T437" s="90"/>
      <c r="U437" s="8"/>
      <c r="V437" s="91"/>
      <c r="W437" s="91"/>
      <c r="X437" s="91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</row>
    <row r="438" spans="1:42" ht="12.75" x14ac:dyDescent="0.2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8"/>
      <c r="N438" s="88"/>
      <c r="O438" s="87"/>
      <c r="P438" s="87"/>
      <c r="Q438" s="89"/>
      <c r="R438" s="89"/>
      <c r="S438" s="90"/>
      <c r="T438" s="90"/>
      <c r="U438" s="8"/>
      <c r="V438" s="91"/>
      <c r="W438" s="91"/>
      <c r="X438" s="91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</row>
    <row r="439" spans="1:42" ht="12.75" x14ac:dyDescent="0.2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8"/>
      <c r="N439" s="88"/>
      <c r="O439" s="87"/>
      <c r="P439" s="87"/>
      <c r="Q439" s="89"/>
      <c r="R439" s="89"/>
      <c r="S439" s="90"/>
      <c r="T439" s="90"/>
      <c r="U439" s="8"/>
      <c r="V439" s="91"/>
      <c r="W439" s="91"/>
      <c r="X439" s="91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</row>
    <row r="440" spans="1:42" ht="12.75" x14ac:dyDescent="0.2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8"/>
      <c r="N440" s="88"/>
      <c r="O440" s="87"/>
      <c r="P440" s="87"/>
      <c r="Q440" s="89"/>
      <c r="R440" s="89"/>
      <c r="S440" s="90"/>
      <c r="T440" s="90"/>
      <c r="U440" s="8"/>
      <c r="V440" s="91"/>
      <c r="W440" s="91"/>
      <c r="X440" s="91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</row>
    <row r="441" spans="1:42" ht="12.75" x14ac:dyDescent="0.2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8"/>
      <c r="N441" s="88"/>
      <c r="O441" s="87"/>
      <c r="P441" s="87"/>
      <c r="Q441" s="89"/>
      <c r="R441" s="89"/>
      <c r="S441" s="90"/>
      <c r="T441" s="90"/>
      <c r="U441" s="8"/>
      <c r="V441" s="91"/>
      <c r="W441" s="91"/>
      <c r="X441" s="91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</row>
    <row r="442" spans="1:42" ht="12.75" x14ac:dyDescent="0.2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8"/>
      <c r="N442" s="88"/>
      <c r="O442" s="87"/>
      <c r="P442" s="87"/>
      <c r="Q442" s="89"/>
      <c r="R442" s="89"/>
      <c r="S442" s="90"/>
      <c r="T442" s="90"/>
      <c r="U442" s="8"/>
      <c r="V442" s="91"/>
      <c r="W442" s="91"/>
      <c r="X442" s="91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</row>
    <row r="443" spans="1:42" ht="12.75" x14ac:dyDescent="0.2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8"/>
      <c r="N443" s="88"/>
      <c r="O443" s="87"/>
      <c r="P443" s="87"/>
      <c r="Q443" s="89"/>
      <c r="R443" s="89"/>
      <c r="S443" s="90"/>
      <c r="T443" s="90"/>
      <c r="U443" s="8"/>
      <c r="V443" s="91"/>
      <c r="W443" s="91"/>
      <c r="X443" s="91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</row>
    <row r="444" spans="1:42" ht="12.75" x14ac:dyDescent="0.2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8"/>
      <c r="N444" s="88"/>
      <c r="O444" s="87"/>
      <c r="P444" s="87"/>
      <c r="Q444" s="89"/>
      <c r="R444" s="89"/>
      <c r="S444" s="90"/>
      <c r="T444" s="90"/>
      <c r="U444" s="8"/>
      <c r="V444" s="91"/>
      <c r="W444" s="91"/>
      <c r="X444" s="91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</row>
    <row r="445" spans="1:42" ht="12.75" x14ac:dyDescent="0.2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8"/>
      <c r="N445" s="88"/>
      <c r="O445" s="87"/>
      <c r="P445" s="87"/>
      <c r="Q445" s="89"/>
      <c r="R445" s="89"/>
      <c r="S445" s="90"/>
      <c r="T445" s="90"/>
      <c r="U445" s="8"/>
      <c r="V445" s="91"/>
      <c r="W445" s="91"/>
      <c r="X445" s="91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</row>
    <row r="446" spans="1:42" ht="12.75" x14ac:dyDescent="0.2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8"/>
      <c r="N446" s="88"/>
      <c r="O446" s="87"/>
      <c r="P446" s="87"/>
      <c r="Q446" s="89"/>
      <c r="R446" s="89"/>
      <c r="S446" s="90"/>
      <c r="T446" s="90"/>
      <c r="U446" s="8"/>
      <c r="V446" s="91"/>
      <c r="W446" s="91"/>
      <c r="X446" s="91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</row>
    <row r="447" spans="1:42" ht="12.75" x14ac:dyDescent="0.2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8"/>
      <c r="N447" s="88"/>
      <c r="O447" s="87"/>
      <c r="P447" s="87"/>
      <c r="Q447" s="89"/>
      <c r="R447" s="89"/>
      <c r="S447" s="90"/>
      <c r="T447" s="90"/>
      <c r="U447" s="8"/>
      <c r="V447" s="91"/>
      <c r="W447" s="91"/>
      <c r="X447" s="91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</row>
    <row r="448" spans="1:42" ht="12.75" x14ac:dyDescent="0.2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8"/>
      <c r="N448" s="88"/>
      <c r="O448" s="87"/>
      <c r="P448" s="87"/>
      <c r="Q448" s="89"/>
      <c r="R448" s="89"/>
      <c r="S448" s="90"/>
      <c r="T448" s="90"/>
      <c r="U448" s="8"/>
      <c r="V448" s="91"/>
      <c r="W448" s="91"/>
      <c r="X448" s="91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</row>
    <row r="449" spans="1:42" ht="12.75" x14ac:dyDescent="0.2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8"/>
      <c r="N449" s="88"/>
      <c r="O449" s="87"/>
      <c r="P449" s="87"/>
      <c r="Q449" s="89"/>
      <c r="R449" s="89"/>
      <c r="S449" s="90"/>
      <c r="T449" s="90"/>
      <c r="U449" s="8"/>
      <c r="V449" s="91"/>
      <c r="W449" s="91"/>
      <c r="X449" s="91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</row>
    <row r="450" spans="1:42" ht="12.75" x14ac:dyDescent="0.2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8"/>
      <c r="N450" s="88"/>
      <c r="O450" s="87"/>
      <c r="P450" s="87"/>
      <c r="Q450" s="89"/>
      <c r="R450" s="89"/>
      <c r="S450" s="90"/>
      <c r="T450" s="90"/>
      <c r="U450" s="8"/>
      <c r="V450" s="91"/>
      <c r="W450" s="91"/>
      <c r="X450" s="91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</row>
    <row r="451" spans="1:42" ht="12.75" x14ac:dyDescent="0.2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8"/>
      <c r="N451" s="88"/>
      <c r="O451" s="87"/>
      <c r="P451" s="87"/>
      <c r="Q451" s="89"/>
      <c r="R451" s="89"/>
      <c r="S451" s="90"/>
      <c r="T451" s="90"/>
      <c r="U451" s="8"/>
      <c r="V451" s="91"/>
      <c r="W451" s="91"/>
      <c r="X451" s="91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</row>
    <row r="452" spans="1:42" ht="12.75" x14ac:dyDescent="0.2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8"/>
      <c r="N452" s="88"/>
      <c r="O452" s="87"/>
      <c r="P452" s="87"/>
      <c r="Q452" s="89"/>
      <c r="R452" s="89"/>
      <c r="S452" s="90"/>
      <c r="T452" s="90"/>
      <c r="U452" s="8"/>
      <c r="V452" s="91"/>
      <c r="W452" s="91"/>
      <c r="X452" s="91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</row>
    <row r="453" spans="1:42" ht="12.75" x14ac:dyDescent="0.2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8"/>
      <c r="N453" s="88"/>
      <c r="O453" s="87"/>
      <c r="P453" s="87"/>
      <c r="Q453" s="89"/>
      <c r="R453" s="89"/>
      <c r="S453" s="90"/>
      <c r="T453" s="90"/>
      <c r="U453" s="8"/>
      <c r="V453" s="91"/>
      <c r="W453" s="91"/>
      <c r="X453" s="91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</row>
    <row r="454" spans="1:42" ht="12.75" x14ac:dyDescent="0.2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8"/>
      <c r="N454" s="88"/>
      <c r="O454" s="87"/>
      <c r="P454" s="87"/>
      <c r="Q454" s="89"/>
      <c r="R454" s="89"/>
      <c r="S454" s="90"/>
      <c r="T454" s="90"/>
      <c r="U454" s="8"/>
      <c r="V454" s="91"/>
      <c r="W454" s="91"/>
      <c r="X454" s="91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</row>
    <row r="455" spans="1:42" ht="12.75" x14ac:dyDescent="0.2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8"/>
      <c r="N455" s="88"/>
      <c r="O455" s="87"/>
      <c r="P455" s="87"/>
      <c r="Q455" s="89"/>
      <c r="R455" s="89"/>
      <c r="S455" s="90"/>
      <c r="T455" s="90"/>
      <c r="U455" s="8"/>
      <c r="V455" s="91"/>
      <c r="W455" s="91"/>
      <c r="X455" s="91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</row>
    <row r="456" spans="1:42" ht="12.75" x14ac:dyDescent="0.2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8"/>
      <c r="N456" s="88"/>
      <c r="O456" s="87"/>
      <c r="P456" s="87"/>
      <c r="Q456" s="89"/>
      <c r="R456" s="89"/>
      <c r="S456" s="90"/>
      <c r="T456" s="90"/>
      <c r="U456" s="8"/>
      <c r="V456" s="91"/>
      <c r="W456" s="91"/>
      <c r="X456" s="91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</row>
    <row r="457" spans="1:42" ht="12.75" x14ac:dyDescent="0.2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8"/>
      <c r="N457" s="88"/>
      <c r="O457" s="87"/>
      <c r="P457" s="87"/>
      <c r="Q457" s="89"/>
      <c r="R457" s="89"/>
      <c r="S457" s="90"/>
      <c r="T457" s="90"/>
      <c r="U457" s="8"/>
      <c r="V457" s="91"/>
      <c r="W457" s="91"/>
      <c r="X457" s="91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</row>
    <row r="458" spans="1:42" ht="12.75" x14ac:dyDescent="0.2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8"/>
      <c r="N458" s="88"/>
      <c r="O458" s="87"/>
      <c r="P458" s="87"/>
      <c r="Q458" s="89"/>
      <c r="R458" s="89"/>
      <c r="S458" s="90"/>
      <c r="T458" s="90"/>
      <c r="U458" s="8"/>
      <c r="V458" s="91"/>
      <c r="W458" s="91"/>
      <c r="X458" s="91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</row>
    <row r="459" spans="1:42" ht="12.75" x14ac:dyDescent="0.2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8"/>
      <c r="N459" s="88"/>
      <c r="O459" s="87"/>
      <c r="P459" s="87"/>
      <c r="Q459" s="89"/>
      <c r="R459" s="89"/>
      <c r="S459" s="90"/>
      <c r="T459" s="90"/>
      <c r="U459" s="8"/>
      <c r="V459" s="91"/>
      <c r="W459" s="91"/>
      <c r="X459" s="91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</row>
    <row r="460" spans="1:42" ht="12.75" x14ac:dyDescent="0.2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8"/>
      <c r="N460" s="88"/>
      <c r="O460" s="87"/>
      <c r="P460" s="87"/>
      <c r="Q460" s="89"/>
      <c r="R460" s="89"/>
      <c r="S460" s="90"/>
      <c r="T460" s="90"/>
      <c r="U460" s="8"/>
      <c r="V460" s="91"/>
      <c r="W460" s="91"/>
      <c r="X460" s="91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</row>
    <row r="461" spans="1:42" ht="12.75" x14ac:dyDescent="0.2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8"/>
      <c r="N461" s="88"/>
      <c r="O461" s="87"/>
      <c r="P461" s="87"/>
      <c r="Q461" s="89"/>
      <c r="R461" s="89"/>
      <c r="S461" s="90"/>
      <c r="T461" s="90"/>
      <c r="U461" s="8"/>
      <c r="V461" s="91"/>
      <c r="W461" s="91"/>
      <c r="X461" s="91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</row>
    <row r="462" spans="1:42" ht="12.75" x14ac:dyDescent="0.2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8"/>
      <c r="N462" s="88"/>
      <c r="O462" s="87"/>
      <c r="P462" s="87"/>
      <c r="Q462" s="89"/>
      <c r="R462" s="89"/>
      <c r="S462" s="90"/>
      <c r="T462" s="90"/>
      <c r="U462" s="8"/>
      <c r="V462" s="91"/>
      <c r="W462" s="91"/>
      <c r="X462" s="91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</row>
    <row r="463" spans="1:42" ht="12.75" x14ac:dyDescent="0.2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8"/>
      <c r="N463" s="88"/>
      <c r="O463" s="87"/>
      <c r="P463" s="87"/>
      <c r="Q463" s="89"/>
      <c r="R463" s="89"/>
      <c r="S463" s="90"/>
      <c r="T463" s="90"/>
      <c r="U463" s="8"/>
      <c r="V463" s="91"/>
      <c r="W463" s="91"/>
      <c r="X463" s="91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</row>
    <row r="464" spans="1:42" ht="12.75" x14ac:dyDescent="0.2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8"/>
      <c r="N464" s="88"/>
      <c r="O464" s="87"/>
      <c r="P464" s="87"/>
      <c r="Q464" s="89"/>
      <c r="R464" s="89"/>
      <c r="S464" s="90"/>
      <c r="T464" s="90"/>
      <c r="U464" s="8"/>
      <c r="V464" s="91"/>
      <c r="W464" s="91"/>
      <c r="X464" s="91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</row>
    <row r="465" spans="1:42" ht="12.75" x14ac:dyDescent="0.2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8"/>
      <c r="N465" s="88"/>
      <c r="O465" s="87"/>
      <c r="P465" s="87"/>
      <c r="Q465" s="89"/>
      <c r="R465" s="89"/>
      <c r="S465" s="90"/>
      <c r="T465" s="90"/>
      <c r="U465" s="8"/>
      <c r="V465" s="91"/>
      <c r="W465" s="91"/>
      <c r="X465" s="91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</row>
    <row r="466" spans="1:42" ht="12.75" x14ac:dyDescent="0.2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8"/>
      <c r="N466" s="88"/>
      <c r="O466" s="87"/>
      <c r="P466" s="87"/>
      <c r="Q466" s="89"/>
      <c r="R466" s="89"/>
      <c r="S466" s="90"/>
      <c r="T466" s="90"/>
      <c r="U466" s="8"/>
      <c r="V466" s="91"/>
      <c r="W466" s="91"/>
      <c r="X466" s="91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</row>
    <row r="467" spans="1:42" ht="12.75" x14ac:dyDescent="0.2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8"/>
      <c r="N467" s="88"/>
      <c r="O467" s="87"/>
      <c r="P467" s="87"/>
      <c r="Q467" s="89"/>
      <c r="R467" s="89"/>
      <c r="S467" s="90"/>
      <c r="T467" s="90"/>
      <c r="U467" s="8"/>
      <c r="V467" s="91"/>
      <c r="W467" s="91"/>
      <c r="X467" s="91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</row>
    <row r="468" spans="1:42" ht="12.75" x14ac:dyDescent="0.2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8"/>
      <c r="N468" s="88"/>
      <c r="O468" s="87"/>
      <c r="P468" s="87"/>
      <c r="Q468" s="89"/>
      <c r="R468" s="89"/>
      <c r="S468" s="90"/>
      <c r="T468" s="90"/>
      <c r="U468" s="8"/>
      <c r="V468" s="91"/>
      <c r="W468" s="91"/>
      <c r="X468" s="91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</row>
    <row r="469" spans="1:42" ht="12.75" x14ac:dyDescent="0.2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8"/>
      <c r="N469" s="88"/>
      <c r="O469" s="87"/>
      <c r="P469" s="87"/>
      <c r="Q469" s="89"/>
      <c r="R469" s="89"/>
      <c r="S469" s="90"/>
      <c r="T469" s="90"/>
      <c r="U469" s="8"/>
      <c r="V469" s="91"/>
      <c r="W469" s="91"/>
      <c r="X469" s="91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</row>
    <row r="470" spans="1:42" ht="12.75" x14ac:dyDescent="0.2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8"/>
      <c r="N470" s="88"/>
      <c r="O470" s="87"/>
      <c r="P470" s="87"/>
      <c r="Q470" s="89"/>
      <c r="R470" s="89"/>
      <c r="S470" s="90"/>
      <c r="T470" s="90"/>
      <c r="U470" s="8"/>
      <c r="V470" s="91"/>
      <c r="W470" s="91"/>
      <c r="X470" s="91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</row>
    <row r="471" spans="1:42" ht="12.75" x14ac:dyDescent="0.2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8"/>
      <c r="N471" s="88"/>
      <c r="O471" s="87"/>
      <c r="P471" s="87"/>
      <c r="Q471" s="89"/>
      <c r="R471" s="89"/>
      <c r="S471" s="90"/>
      <c r="T471" s="90"/>
      <c r="U471" s="8"/>
      <c r="V471" s="91"/>
      <c r="W471" s="91"/>
      <c r="X471" s="91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</row>
    <row r="472" spans="1:42" ht="12.75" x14ac:dyDescent="0.2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8"/>
      <c r="N472" s="88"/>
      <c r="O472" s="87"/>
      <c r="P472" s="87"/>
      <c r="Q472" s="89"/>
      <c r="R472" s="89"/>
      <c r="S472" s="90"/>
      <c r="T472" s="90"/>
      <c r="U472" s="8"/>
      <c r="V472" s="91"/>
      <c r="W472" s="91"/>
      <c r="X472" s="91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</row>
    <row r="473" spans="1:42" ht="12.75" x14ac:dyDescent="0.2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8"/>
      <c r="N473" s="88"/>
      <c r="O473" s="87"/>
      <c r="P473" s="87"/>
      <c r="Q473" s="89"/>
      <c r="R473" s="89"/>
      <c r="S473" s="90"/>
      <c r="T473" s="90"/>
      <c r="U473" s="8"/>
      <c r="V473" s="91"/>
      <c r="W473" s="91"/>
      <c r="X473" s="91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</row>
    <row r="474" spans="1:42" ht="12.75" x14ac:dyDescent="0.2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8"/>
      <c r="N474" s="88"/>
      <c r="O474" s="87"/>
      <c r="P474" s="87"/>
      <c r="Q474" s="89"/>
      <c r="R474" s="89"/>
      <c r="S474" s="90"/>
      <c r="T474" s="90"/>
      <c r="U474" s="8"/>
      <c r="V474" s="91"/>
      <c r="W474" s="91"/>
      <c r="X474" s="91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</row>
    <row r="475" spans="1:42" ht="12.75" x14ac:dyDescent="0.2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8"/>
      <c r="N475" s="88"/>
      <c r="O475" s="87"/>
      <c r="P475" s="87"/>
      <c r="Q475" s="89"/>
      <c r="R475" s="89"/>
      <c r="S475" s="90"/>
      <c r="T475" s="90"/>
      <c r="U475" s="8"/>
      <c r="V475" s="91"/>
      <c r="W475" s="91"/>
      <c r="X475" s="91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</row>
    <row r="476" spans="1:42" ht="12.75" x14ac:dyDescent="0.2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8"/>
      <c r="N476" s="88"/>
      <c r="O476" s="87"/>
      <c r="P476" s="87"/>
      <c r="Q476" s="89"/>
      <c r="R476" s="89"/>
      <c r="S476" s="90"/>
      <c r="T476" s="90"/>
      <c r="U476" s="8"/>
      <c r="V476" s="91"/>
      <c r="W476" s="91"/>
      <c r="X476" s="91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</row>
    <row r="477" spans="1:42" ht="12.75" x14ac:dyDescent="0.2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8"/>
      <c r="N477" s="88"/>
      <c r="O477" s="87"/>
      <c r="P477" s="87"/>
      <c r="Q477" s="89"/>
      <c r="R477" s="89"/>
      <c r="S477" s="90"/>
      <c r="T477" s="90"/>
      <c r="U477" s="8"/>
      <c r="V477" s="91"/>
      <c r="W477" s="91"/>
      <c r="X477" s="91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</row>
    <row r="478" spans="1:42" ht="12.75" x14ac:dyDescent="0.2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8"/>
      <c r="N478" s="88"/>
      <c r="O478" s="87"/>
      <c r="P478" s="87"/>
      <c r="Q478" s="89"/>
      <c r="R478" s="89"/>
      <c r="S478" s="90"/>
      <c r="T478" s="90"/>
      <c r="U478" s="8"/>
      <c r="V478" s="91"/>
      <c r="W478" s="91"/>
      <c r="X478" s="91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</row>
    <row r="479" spans="1:42" ht="12.75" x14ac:dyDescent="0.2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8"/>
      <c r="N479" s="88"/>
      <c r="O479" s="87"/>
      <c r="P479" s="87"/>
      <c r="Q479" s="89"/>
      <c r="R479" s="89"/>
      <c r="S479" s="90"/>
      <c r="T479" s="90"/>
      <c r="U479" s="8"/>
      <c r="V479" s="91"/>
      <c r="W479" s="91"/>
      <c r="X479" s="91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</row>
    <row r="480" spans="1:42" ht="12.75" x14ac:dyDescent="0.2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8"/>
      <c r="N480" s="88"/>
      <c r="O480" s="87"/>
      <c r="P480" s="87"/>
      <c r="Q480" s="89"/>
      <c r="R480" s="89"/>
      <c r="S480" s="90"/>
      <c r="T480" s="90"/>
      <c r="U480" s="8"/>
      <c r="V480" s="91"/>
      <c r="W480" s="91"/>
      <c r="X480" s="91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</row>
    <row r="481" spans="1:42" ht="12.75" x14ac:dyDescent="0.2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8"/>
      <c r="N481" s="88"/>
      <c r="O481" s="87"/>
      <c r="P481" s="87"/>
      <c r="Q481" s="89"/>
      <c r="R481" s="89"/>
      <c r="S481" s="90"/>
      <c r="T481" s="90"/>
      <c r="U481" s="8"/>
      <c r="V481" s="91"/>
      <c r="W481" s="91"/>
      <c r="X481" s="91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</row>
    <row r="482" spans="1:42" ht="12.75" x14ac:dyDescent="0.2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8"/>
      <c r="N482" s="88"/>
      <c r="O482" s="87"/>
      <c r="P482" s="87"/>
      <c r="Q482" s="89"/>
      <c r="R482" s="89"/>
      <c r="S482" s="90"/>
      <c r="T482" s="90"/>
      <c r="U482" s="8"/>
      <c r="V482" s="91"/>
      <c r="W482" s="91"/>
      <c r="X482" s="91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</row>
    <row r="483" spans="1:42" ht="12.75" x14ac:dyDescent="0.2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8"/>
      <c r="N483" s="88"/>
      <c r="O483" s="87"/>
      <c r="P483" s="87"/>
      <c r="Q483" s="89"/>
      <c r="R483" s="89"/>
      <c r="S483" s="90"/>
      <c r="T483" s="90"/>
      <c r="U483" s="8"/>
      <c r="V483" s="91"/>
      <c r="W483" s="91"/>
      <c r="X483" s="91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</row>
    <row r="484" spans="1:42" ht="12.75" x14ac:dyDescent="0.2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8"/>
      <c r="N484" s="88"/>
      <c r="O484" s="87"/>
      <c r="P484" s="87"/>
      <c r="Q484" s="89"/>
      <c r="R484" s="89"/>
      <c r="S484" s="90"/>
      <c r="T484" s="90"/>
      <c r="U484" s="8"/>
      <c r="V484" s="91"/>
      <c r="W484" s="91"/>
      <c r="X484" s="91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</row>
    <row r="485" spans="1:42" ht="12.75" x14ac:dyDescent="0.2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8"/>
      <c r="N485" s="88"/>
      <c r="O485" s="87"/>
      <c r="P485" s="87"/>
      <c r="Q485" s="89"/>
      <c r="R485" s="89"/>
      <c r="S485" s="90"/>
      <c r="T485" s="90"/>
      <c r="U485" s="8"/>
      <c r="V485" s="91"/>
      <c r="W485" s="91"/>
      <c r="X485" s="91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</row>
    <row r="486" spans="1:42" ht="12.75" x14ac:dyDescent="0.2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8"/>
      <c r="N486" s="88"/>
      <c r="O486" s="87"/>
      <c r="P486" s="87"/>
      <c r="Q486" s="89"/>
      <c r="R486" s="89"/>
      <c r="S486" s="90"/>
      <c r="T486" s="90"/>
      <c r="U486" s="8"/>
      <c r="V486" s="91"/>
      <c r="W486" s="91"/>
      <c r="X486" s="91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</row>
    <row r="487" spans="1:42" ht="12.75" x14ac:dyDescent="0.2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8"/>
      <c r="N487" s="88"/>
      <c r="O487" s="87"/>
      <c r="P487" s="87"/>
      <c r="Q487" s="89"/>
      <c r="R487" s="89"/>
      <c r="S487" s="90"/>
      <c r="T487" s="90"/>
      <c r="U487" s="8"/>
      <c r="V487" s="91"/>
      <c r="W487" s="91"/>
      <c r="X487" s="91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</row>
    <row r="488" spans="1:42" ht="12.75" x14ac:dyDescent="0.2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8"/>
      <c r="N488" s="88"/>
      <c r="O488" s="87"/>
      <c r="P488" s="87"/>
      <c r="Q488" s="89"/>
      <c r="R488" s="89"/>
      <c r="S488" s="90"/>
      <c r="T488" s="90"/>
      <c r="U488" s="8"/>
      <c r="V488" s="91"/>
      <c r="W488" s="91"/>
      <c r="X488" s="91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</row>
    <row r="489" spans="1:42" ht="12.75" x14ac:dyDescent="0.2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8"/>
      <c r="N489" s="88"/>
      <c r="O489" s="87"/>
      <c r="P489" s="87"/>
      <c r="Q489" s="89"/>
      <c r="R489" s="89"/>
      <c r="S489" s="90"/>
      <c r="T489" s="90"/>
      <c r="U489" s="8"/>
      <c r="V489" s="91"/>
      <c r="W489" s="91"/>
      <c r="X489" s="91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</row>
    <row r="490" spans="1:42" ht="12.75" x14ac:dyDescent="0.2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8"/>
      <c r="N490" s="88"/>
      <c r="O490" s="87"/>
      <c r="P490" s="87"/>
      <c r="Q490" s="89"/>
      <c r="R490" s="89"/>
      <c r="S490" s="90"/>
      <c r="T490" s="90"/>
      <c r="U490" s="8"/>
      <c r="V490" s="91"/>
      <c r="W490" s="91"/>
      <c r="X490" s="91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</row>
    <row r="491" spans="1:42" ht="12.75" x14ac:dyDescent="0.2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8"/>
      <c r="N491" s="88"/>
      <c r="O491" s="87"/>
      <c r="P491" s="87"/>
      <c r="Q491" s="89"/>
      <c r="R491" s="89"/>
      <c r="S491" s="90"/>
      <c r="T491" s="90"/>
      <c r="U491" s="8"/>
      <c r="V491" s="91"/>
      <c r="W491" s="91"/>
      <c r="X491" s="91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</row>
    <row r="492" spans="1:42" ht="12.75" x14ac:dyDescent="0.2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8"/>
      <c r="N492" s="88"/>
      <c r="O492" s="87"/>
      <c r="P492" s="87"/>
      <c r="Q492" s="89"/>
      <c r="R492" s="89"/>
      <c r="S492" s="90"/>
      <c r="T492" s="90"/>
      <c r="U492" s="8"/>
      <c r="V492" s="91"/>
      <c r="W492" s="91"/>
      <c r="X492" s="91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</row>
    <row r="493" spans="1:42" ht="12.75" x14ac:dyDescent="0.2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8"/>
      <c r="N493" s="88"/>
      <c r="O493" s="87"/>
      <c r="P493" s="87"/>
      <c r="Q493" s="89"/>
      <c r="R493" s="89"/>
      <c r="S493" s="90"/>
      <c r="T493" s="90"/>
      <c r="U493" s="8"/>
      <c r="V493" s="91"/>
      <c r="W493" s="91"/>
      <c r="X493" s="91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</row>
    <row r="494" spans="1:42" ht="12.75" x14ac:dyDescent="0.2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8"/>
      <c r="N494" s="88"/>
      <c r="O494" s="87"/>
      <c r="P494" s="87"/>
      <c r="Q494" s="89"/>
      <c r="R494" s="89"/>
      <c r="S494" s="90"/>
      <c r="T494" s="90"/>
      <c r="U494" s="8"/>
      <c r="V494" s="91"/>
      <c r="W494" s="91"/>
      <c r="X494" s="91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</row>
    <row r="495" spans="1:42" ht="12.75" x14ac:dyDescent="0.2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8"/>
      <c r="N495" s="88"/>
      <c r="O495" s="87"/>
      <c r="P495" s="87"/>
      <c r="Q495" s="89"/>
      <c r="R495" s="89"/>
      <c r="S495" s="90"/>
      <c r="T495" s="90"/>
      <c r="U495" s="8"/>
      <c r="V495" s="91"/>
      <c r="W495" s="91"/>
      <c r="X495" s="91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</row>
    <row r="496" spans="1:42" ht="12.75" x14ac:dyDescent="0.2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8"/>
      <c r="N496" s="88"/>
      <c r="O496" s="87"/>
      <c r="P496" s="87"/>
      <c r="Q496" s="89"/>
      <c r="R496" s="89"/>
      <c r="S496" s="90"/>
      <c r="T496" s="90"/>
      <c r="U496" s="8"/>
      <c r="V496" s="91"/>
      <c r="W496" s="91"/>
      <c r="X496" s="91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</row>
    <row r="497" spans="1:42" ht="12.75" x14ac:dyDescent="0.2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8"/>
      <c r="N497" s="88"/>
      <c r="O497" s="87"/>
      <c r="P497" s="87"/>
      <c r="Q497" s="89"/>
      <c r="R497" s="89"/>
      <c r="S497" s="90"/>
      <c r="T497" s="90"/>
      <c r="U497" s="8"/>
      <c r="V497" s="91"/>
      <c r="W497" s="91"/>
      <c r="X497" s="91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</row>
    <row r="498" spans="1:42" ht="12.75" x14ac:dyDescent="0.2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8"/>
      <c r="N498" s="88"/>
      <c r="O498" s="87"/>
      <c r="P498" s="87"/>
      <c r="Q498" s="89"/>
      <c r="R498" s="89"/>
      <c r="S498" s="90"/>
      <c r="T498" s="90"/>
      <c r="U498" s="8"/>
      <c r="V498" s="91"/>
      <c r="W498" s="91"/>
      <c r="X498" s="91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</row>
    <row r="499" spans="1:42" ht="12.75" x14ac:dyDescent="0.2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8"/>
      <c r="N499" s="88"/>
      <c r="O499" s="87"/>
      <c r="P499" s="87"/>
      <c r="Q499" s="89"/>
      <c r="R499" s="89"/>
      <c r="S499" s="90"/>
      <c r="T499" s="90"/>
      <c r="U499" s="8"/>
      <c r="V499" s="91"/>
      <c r="W499" s="91"/>
      <c r="X499" s="91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</row>
    <row r="500" spans="1:42" ht="12.75" x14ac:dyDescent="0.2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8"/>
      <c r="N500" s="88"/>
      <c r="O500" s="87"/>
      <c r="P500" s="87"/>
      <c r="Q500" s="89"/>
      <c r="R500" s="89"/>
      <c r="S500" s="90"/>
      <c r="T500" s="90"/>
      <c r="U500" s="8"/>
      <c r="V500" s="91"/>
      <c r="W500" s="91"/>
      <c r="X500" s="91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</row>
    <row r="501" spans="1:42" ht="12.75" x14ac:dyDescent="0.2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8"/>
      <c r="N501" s="88"/>
      <c r="O501" s="87"/>
      <c r="P501" s="87"/>
      <c r="Q501" s="89"/>
      <c r="R501" s="89"/>
      <c r="S501" s="90"/>
      <c r="T501" s="90"/>
      <c r="U501" s="8"/>
      <c r="V501" s="91"/>
      <c r="W501" s="91"/>
      <c r="X501" s="91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</row>
    <row r="502" spans="1:42" ht="12.75" x14ac:dyDescent="0.2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8"/>
      <c r="N502" s="88"/>
      <c r="O502" s="87"/>
      <c r="P502" s="87"/>
      <c r="Q502" s="89"/>
      <c r="R502" s="89"/>
      <c r="S502" s="90"/>
      <c r="T502" s="90"/>
      <c r="U502" s="8"/>
      <c r="V502" s="91"/>
      <c r="W502" s="91"/>
      <c r="X502" s="91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</row>
    <row r="503" spans="1:42" ht="12.75" x14ac:dyDescent="0.2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8"/>
      <c r="N503" s="88"/>
      <c r="O503" s="87"/>
      <c r="P503" s="87"/>
      <c r="Q503" s="89"/>
      <c r="R503" s="89"/>
      <c r="S503" s="90"/>
      <c r="T503" s="90"/>
      <c r="U503" s="8"/>
      <c r="V503" s="91"/>
      <c r="W503" s="91"/>
      <c r="X503" s="91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</row>
    <row r="504" spans="1:42" ht="12.75" x14ac:dyDescent="0.2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8"/>
      <c r="N504" s="88"/>
      <c r="O504" s="87"/>
      <c r="P504" s="87"/>
      <c r="Q504" s="89"/>
      <c r="R504" s="89"/>
      <c r="S504" s="90"/>
      <c r="T504" s="90"/>
      <c r="U504" s="8"/>
      <c r="V504" s="91"/>
      <c r="W504" s="91"/>
      <c r="X504" s="91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</row>
    <row r="505" spans="1:42" ht="12.75" x14ac:dyDescent="0.2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8"/>
      <c r="N505" s="88"/>
      <c r="O505" s="87"/>
      <c r="P505" s="87"/>
      <c r="Q505" s="89"/>
      <c r="R505" s="89"/>
      <c r="S505" s="90"/>
      <c r="T505" s="90"/>
      <c r="U505" s="8"/>
      <c r="V505" s="91"/>
      <c r="W505" s="91"/>
      <c r="X505" s="91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</row>
    <row r="506" spans="1:42" ht="12.75" x14ac:dyDescent="0.2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8"/>
      <c r="N506" s="88"/>
      <c r="O506" s="87"/>
      <c r="P506" s="87"/>
      <c r="Q506" s="89"/>
      <c r="R506" s="89"/>
      <c r="S506" s="90"/>
      <c r="T506" s="90"/>
      <c r="U506" s="8"/>
      <c r="V506" s="91"/>
      <c r="W506" s="91"/>
      <c r="X506" s="91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</row>
    <row r="507" spans="1:42" ht="12.75" x14ac:dyDescent="0.2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8"/>
      <c r="N507" s="88"/>
      <c r="O507" s="87"/>
      <c r="P507" s="87"/>
      <c r="Q507" s="89"/>
      <c r="R507" s="89"/>
      <c r="S507" s="90"/>
      <c r="T507" s="90"/>
      <c r="U507" s="8"/>
      <c r="V507" s="91"/>
      <c r="W507" s="91"/>
      <c r="X507" s="91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</row>
    <row r="508" spans="1:42" ht="12.75" x14ac:dyDescent="0.2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8"/>
      <c r="N508" s="88"/>
      <c r="O508" s="87"/>
      <c r="P508" s="87"/>
      <c r="Q508" s="89"/>
      <c r="R508" s="89"/>
      <c r="S508" s="90"/>
      <c r="T508" s="90"/>
      <c r="U508" s="8"/>
      <c r="V508" s="91"/>
      <c r="W508" s="91"/>
      <c r="X508" s="91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</row>
    <row r="509" spans="1:42" ht="12.75" x14ac:dyDescent="0.2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8"/>
      <c r="N509" s="88"/>
      <c r="O509" s="87"/>
      <c r="P509" s="87"/>
      <c r="Q509" s="89"/>
      <c r="R509" s="89"/>
      <c r="S509" s="90"/>
      <c r="T509" s="90"/>
      <c r="U509" s="8"/>
      <c r="V509" s="91"/>
      <c r="W509" s="91"/>
      <c r="X509" s="91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</row>
    <row r="510" spans="1:42" ht="12.75" x14ac:dyDescent="0.2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8"/>
      <c r="N510" s="88"/>
      <c r="O510" s="87"/>
      <c r="P510" s="87"/>
      <c r="Q510" s="89"/>
      <c r="R510" s="89"/>
      <c r="S510" s="90"/>
      <c r="T510" s="90"/>
      <c r="U510" s="8"/>
      <c r="V510" s="91"/>
      <c r="W510" s="91"/>
      <c r="X510" s="91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</row>
    <row r="511" spans="1:42" ht="12.75" x14ac:dyDescent="0.2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8"/>
      <c r="N511" s="88"/>
      <c r="O511" s="87"/>
      <c r="P511" s="87"/>
      <c r="Q511" s="89"/>
      <c r="R511" s="89"/>
      <c r="S511" s="90"/>
      <c r="T511" s="90"/>
      <c r="U511" s="8"/>
      <c r="V511" s="91"/>
      <c r="W511" s="91"/>
      <c r="X511" s="91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</row>
    <row r="512" spans="1:42" ht="12.75" x14ac:dyDescent="0.2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8"/>
      <c r="N512" s="88"/>
      <c r="O512" s="87"/>
      <c r="P512" s="87"/>
      <c r="Q512" s="89"/>
      <c r="R512" s="89"/>
      <c r="S512" s="90"/>
      <c r="T512" s="90"/>
      <c r="U512" s="8"/>
      <c r="V512" s="91"/>
      <c r="W512" s="91"/>
      <c r="X512" s="91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</row>
    <row r="513" spans="1:42" ht="12.75" x14ac:dyDescent="0.2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8"/>
      <c r="N513" s="88"/>
      <c r="O513" s="87"/>
      <c r="P513" s="87"/>
      <c r="Q513" s="89"/>
      <c r="R513" s="89"/>
      <c r="S513" s="90"/>
      <c r="T513" s="90"/>
      <c r="U513" s="8"/>
      <c r="V513" s="91"/>
      <c r="W513" s="91"/>
      <c r="X513" s="91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</row>
    <row r="514" spans="1:42" ht="12.75" x14ac:dyDescent="0.2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8"/>
      <c r="N514" s="88"/>
      <c r="O514" s="87"/>
      <c r="P514" s="87"/>
      <c r="Q514" s="89"/>
      <c r="R514" s="89"/>
      <c r="S514" s="90"/>
      <c r="T514" s="90"/>
      <c r="U514" s="8"/>
      <c r="V514" s="91"/>
      <c r="W514" s="91"/>
      <c r="X514" s="91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</row>
    <row r="515" spans="1:42" ht="12.75" x14ac:dyDescent="0.2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8"/>
      <c r="N515" s="88"/>
      <c r="O515" s="87"/>
      <c r="P515" s="87"/>
      <c r="Q515" s="89"/>
      <c r="R515" s="89"/>
      <c r="S515" s="90"/>
      <c r="T515" s="90"/>
      <c r="U515" s="8"/>
      <c r="V515" s="91"/>
      <c r="W515" s="91"/>
      <c r="X515" s="91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</row>
    <row r="516" spans="1:42" ht="12.75" x14ac:dyDescent="0.2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8"/>
      <c r="N516" s="88"/>
      <c r="O516" s="87"/>
      <c r="P516" s="87"/>
      <c r="Q516" s="89"/>
      <c r="R516" s="89"/>
      <c r="S516" s="90"/>
      <c r="T516" s="90"/>
      <c r="U516" s="8"/>
      <c r="V516" s="91"/>
      <c r="W516" s="91"/>
      <c r="X516" s="91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</row>
    <row r="517" spans="1:42" ht="12.75" x14ac:dyDescent="0.2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8"/>
      <c r="N517" s="88"/>
      <c r="O517" s="87"/>
      <c r="P517" s="87"/>
      <c r="Q517" s="89"/>
      <c r="R517" s="89"/>
      <c r="S517" s="90"/>
      <c r="T517" s="90"/>
      <c r="U517" s="8"/>
      <c r="V517" s="91"/>
      <c r="W517" s="91"/>
      <c r="X517" s="91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</row>
    <row r="518" spans="1:42" ht="12.75" x14ac:dyDescent="0.2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8"/>
      <c r="N518" s="88"/>
      <c r="O518" s="87"/>
      <c r="P518" s="87"/>
      <c r="Q518" s="89"/>
      <c r="R518" s="89"/>
      <c r="S518" s="90"/>
      <c r="T518" s="90"/>
      <c r="U518" s="8"/>
      <c r="V518" s="91"/>
      <c r="W518" s="91"/>
      <c r="X518" s="91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</row>
    <row r="519" spans="1:42" ht="12.75" x14ac:dyDescent="0.2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8"/>
      <c r="N519" s="88"/>
      <c r="O519" s="87"/>
      <c r="P519" s="87"/>
      <c r="Q519" s="89"/>
      <c r="R519" s="89"/>
      <c r="S519" s="90"/>
      <c r="T519" s="90"/>
      <c r="U519" s="8"/>
      <c r="V519" s="91"/>
      <c r="W519" s="91"/>
      <c r="X519" s="91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</row>
    <row r="520" spans="1:42" ht="12.75" x14ac:dyDescent="0.2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8"/>
      <c r="N520" s="88"/>
      <c r="O520" s="87"/>
      <c r="P520" s="87"/>
      <c r="Q520" s="89"/>
      <c r="R520" s="89"/>
      <c r="S520" s="90"/>
      <c r="T520" s="90"/>
      <c r="U520" s="8"/>
      <c r="V520" s="91"/>
      <c r="W520" s="91"/>
      <c r="X520" s="91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</row>
    <row r="521" spans="1:42" ht="12.75" x14ac:dyDescent="0.2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8"/>
      <c r="N521" s="88"/>
      <c r="O521" s="87"/>
      <c r="P521" s="87"/>
      <c r="Q521" s="89"/>
      <c r="R521" s="89"/>
      <c r="S521" s="90"/>
      <c r="T521" s="90"/>
      <c r="U521" s="8"/>
      <c r="V521" s="91"/>
      <c r="W521" s="91"/>
      <c r="X521" s="91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</row>
    <row r="522" spans="1:42" ht="12.75" x14ac:dyDescent="0.2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8"/>
      <c r="N522" s="88"/>
      <c r="O522" s="87"/>
      <c r="P522" s="87"/>
      <c r="Q522" s="89"/>
      <c r="R522" s="89"/>
      <c r="S522" s="90"/>
      <c r="T522" s="90"/>
      <c r="U522" s="8"/>
      <c r="V522" s="91"/>
      <c r="W522" s="91"/>
      <c r="X522" s="91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</row>
    <row r="523" spans="1:42" ht="12.75" x14ac:dyDescent="0.2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8"/>
      <c r="N523" s="88"/>
      <c r="O523" s="87"/>
      <c r="P523" s="87"/>
      <c r="Q523" s="89"/>
      <c r="R523" s="89"/>
      <c r="S523" s="90"/>
      <c r="T523" s="90"/>
      <c r="U523" s="8"/>
      <c r="V523" s="91"/>
      <c r="W523" s="91"/>
      <c r="X523" s="91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</row>
    <row r="524" spans="1:42" ht="12.75" x14ac:dyDescent="0.2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8"/>
      <c r="N524" s="88"/>
      <c r="O524" s="87"/>
      <c r="P524" s="87"/>
      <c r="Q524" s="89"/>
      <c r="R524" s="89"/>
      <c r="S524" s="90"/>
      <c r="T524" s="90"/>
      <c r="U524" s="8"/>
      <c r="V524" s="91"/>
      <c r="W524" s="91"/>
      <c r="X524" s="91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</row>
    <row r="525" spans="1:42" ht="12.75" x14ac:dyDescent="0.2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8"/>
      <c r="N525" s="88"/>
      <c r="O525" s="87"/>
      <c r="P525" s="87"/>
      <c r="Q525" s="89"/>
      <c r="R525" s="89"/>
      <c r="S525" s="90"/>
      <c r="T525" s="90"/>
      <c r="U525" s="8"/>
      <c r="V525" s="91"/>
      <c r="W525" s="91"/>
      <c r="X525" s="91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</row>
    <row r="526" spans="1:42" ht="12.75" x14ac:dyDescent="0.2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8"/>
      <c r="N526" s="88"/>
      <c r="O526" s="87"/>
      <c r="P526" s="87"/>
      <c r="Q526" s="89"/>
      <c r="R526" s="89"/>
      <c r="S526" s="90"/>
      <c r="T526" s="90"/>
      <c r="U526" s="8"/>
      <c r="V526" s="91"/>
      <c r="W526" s="91"/>
      <c r="X526" s="91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</row>
    <row r="527" spans="1:42" ht="12.75" x14ac:dyDescent="0.2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8"/>
      <c r="N527" s="88"/>
      <c r="O527" s="87"/>
      <c r="P527" s="87"/>
      <c r="Q527" s="89"/>
      <c r="R527" s="89"/>
      <c r="S527" s="90"/>
      <c r="T527" s="90"/>
      <c r="U527" s="8"/>
      <c r="V527" s="91"/>
      <c r="W527" s="91"/>
      <c r="X527" s="91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</row>
    <row r="528" spans="1:42" ht="12.75" x14ac:dyDescent="0.2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8"/>
      <c r="N528" s="88"/>
      <c r="O528" s="87"/>
      <c r="P528" s="87"/>
      <c r="Q528" s="89"/>
      <c r="R528" s="89"/>
      <c r="S528" s="90"/>
      <c r="T528" s="90"/>
      <c r="U528" s="8"/>
      <c r="V528" s="91"/>
      <c r="W528" s="91"/>
      <c r="X528" s="91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</row>
    <row r="529" spans="1:42" ht="12.75" x14ac:dyDescent="0.2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8"/>
      <c r="N529" s="88"/>
      <c r="O529" s="87"/>
      <c r="P529" s="87"/>
      <c r="Q529" s="89"/>
      <c r="R529" s="89"/>
      <c r="S529" s="90"/>
      <c r="T529" s="90"/>
      <c r="U529" s="8"/>
      <c r="V529" s="91"/>
      <c r="W529" s="91"/>
      <c r="X529" s="91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</row>
    <row r="530" spans="1:42" ht="12.75" x14ac:dyDescent="0.2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8"/>
      <c r="N530" s="88"/>
      <c r="O530" s="87"/>
      <c r="P530" s="87"/>
      <c r="Q530" s="89"/>
      <c r="R530" s="89"/>
      <c r="S530" s="90"/>
      <c r="T530" s="90"/>
      <c r="U530" s="8"/>
      <c r="V530" s="91"/>
      <c r="W530" s="91"/>
      <c r="X530" s="91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</row>
    <row r="531" spans="1:42" ht="12.75" x14ac:dyDescent="0.2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8"/>
      <c r="N531" s="88"/>
      <c r="O531" s="87"/>
      <c r="P531" s="87"/>
      <c r="Q531" s="89"/>
      <c r="R531" s="89"/>
      <c r="S531" s="90"/>
      <c r="T531" s="90"/>
      <c r="U531" s="8"/>
      <c r="V531" s="91"/>
      <c r="W531" s="91"/>
      <c r="X531" s="91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</row>
    <row r="532" spans="1:42" ht="12.75" x14ac:dyDescent="0.2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8"/>
      <c r="N532" s="88"/>
      <c r="O532" s="87"/>
      <c r="P532" s="87"/>
      <c r="Q532" s="89"/>
      <c r="R532" s="89"/>
      <c r="S532" s="90"/>
      <c r="T532" s="90"/>
      <c r="U532" s="8"/>
      <c r="V532" s="91"/>
      <c r="W532" s="91"/>
      <c r="X532" s="91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</row>
    <row r="533" spans="1:42" ht="12.75" x14ac:dyDescent="0.2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8"/>
      <c r="N533" s="88"/>
      <c r="O533" s="87"/>
      <c r="P533" s="87"/>
      <c r="Q533" s="89"/>
      <c r="R533" s="89"/>
      <c r="S533" s="90"/>
      <c r="T533" s="90"/>
      <c r="U533" s="8"/>
      <c r="V533" s="91"/>
      <c r="W533" s="91"/>
      <c r="X533" s="91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</row>
    <row r="534" spans="1:42" ht="12.75" x14ac:dyDescent="0.2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8"/>
      <c r="N534" s="88"/>
      <c r="O534" s="87"/>
      <c r="P534" s="87"/>
      <c r="Q534" s="89"/>
      <c r="R534" s="89"/>
      <c r="S534" s="90"/>
      <c r="T534" s="90"/>
      <c r="U534" s="8"/>
      <c r="V534" s="91"/>
      <c r="W534" s="91"/>
      <c r="X534" s="91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</row>
    <row r="535" spans="1:42" ht="12.75" x14ac:dyDescent="0.2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8"/>
      <c r="N535" s="88"/>
      <c r="O535" s="87"/>
      <c r="P535" s="87"/>
      <c r="Q535" s="89"/>
      <c r="R535" s="89"/>
      <c r="S535" s="90"/>
      <c r="T535" s="90"/>
      <c r="U535" s="8"/>
      <c r="V535" s="91"/>
      <c r="W535" s="91"/>
      <c r="X535" s="91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</row>
    <row r="536" spans="1:42" ht="12.75" x14ac:dyDescent="0.2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8"/>
      <c r="N536" s="88"/>
      <c r="O536" s="87"/>
      <c r="P536" s="87"/>
      <c r="Q536" s="89"/>
      <c r="R536" s="89"/>
      <c r="S536" s="90"/>
      <c r="T536" s="90"/>
      <c r="U536" s="8"/>
      <c r="V536" s="91"/>
      <c r="W536" s="91"/>
      <c r="X536" s="91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</row>
    <row r="537" spans="1:42" ht="12.75" x14ac:dyDescent="0.2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8"/>
      <c r="N537" s="88"/>
      <c r="O537" s="87"/>
      <c r="P537" s="87"/>
      <c r="Q537" s="89"/>
      <c r="R537" s="89"/>
      <c r="S537" s="90"/>
      <c r="T537" s="90"/>
      <c r="U537" s="8"/>
      <c r="V537" s="91"/>
      <c r="W537" s="91"/>
      <c r="X537" s="91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</row>
    <row r="538" spans="1:42" ht="12.75" x14ac:dyDescent="0.2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8"/>
      <c r="N538" s="88"/>
      <c r="O538" s="87"/>
      <c r="P538" s="87"/>
      <c r="Q538" s="89"/>
      <c r="R538" s="89"/>
      <c r="S538" s="90"/>
      <c r="T538" s="90"/>
      <c r="U538" s="8"/>
      <c r="V538" s="91"/>
      <c r="W538" s="91"/>
      <c r="X538" s="91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</row>
    <row r="539" spans="1:42" ht="12.75" x14ac:dyDescent="0.2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8"/>
      <c r="N539" s="88"/>
      <c r="O539" s="87"/>
      <c r="P539" s="87"/>
      <c r="Q539" s="89"/>
      <c r="R539" s="89"/>
      <c r="S539" s="90"/>
      <c r="T539" s="90"/>
      <c r="U539" s="8"/>
      <c r="V539" s="91"/>
      <c r="W539" s="91"/>
      <c r="X539" s="91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</row>
    <row r="540" spans="1:42" ht="12.75" x14ac:dyDescent="0.2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8"/>
      <c r="N540" s="88"/>
      <c r="O540" s="87"/>
      <c r="P540" s="87"/>
      <c r="Q540" s="89"/>
      <c r="R540" s="89"/>
      <c r="S540" s="90"/>
      <c r="T540" s="90"/>
      <c r="U540" s="8"/>
      <c r="V540" s="91"/>
      <c r="W540" s="91"/>
      <c r="X540" s="91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</row>
    <row r="541" spans="1:42" ht="12.75" x14ac:dyDescent="0.2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8"/>
      <c r="N541" s="88"/>
      <c r="O541" s="87"/>
      <c r="P541" s="87"/>
      <c r="Q541" s="89"/>
      <c r="R541" s="89"/>
      <c r="S541" s="90"/>
      <c r="T541" s="90"/>
      <c r="U541" s="8"/>
      <c r="V541" s="91"/>
      <c r="W541" s="91"/>
      <c r="X541" s="91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</row>
    <row r="542" spans="1:42" ht="12.75" x14ac:dyDescent="0.2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8"/>
      <c r="N542" s="88"/>
      <c r="O542" s="87"/>
      <c r="P542" s="87"/>
      <c r="Q542" s="89"/>
      <c r="R542" s="89"/>
      <c r="S542" s="90"/>
      <c r="T542" s="90"/>
      <c r="U542" s="8"/>
      <c r="V542" s="91"/>
      <c r="W542" s="91"/>
      <c r="X542" s="91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</row>
    <row r="543" spans="1:42" ht="12.75" x14ac:dyDescent="0.2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8"/>
      <c r="N543" s="88"/>
      <c r="O543" s="87"/>
      <c r="P543" s="87"/>
      <c r="Q543" s="89"/>
      <c r="R543" s="89"/>
      <c r="S543" s="90"/>
      <c r="T543" s="90"/>
      <c r="U543" s="8"/>
      <c r="V543" s="91"/>
      <c r="W543" s="91"/>
      <c r="X543" s="91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</row>
    <row r="544" spans="1:42" ht="12.75" x14ac:dyDescent="0.2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8"/>
      <c r="N544" s="88"/>
      <c r="O544" s="87"/>
      <c r="P544" s="87"/>
      <c r="Q544" s="89"/>
      <c r="R544" s="89"/>
      <c r="S544" s="90"/>
      <c r="T544" s="90"/>
      <c r="U544" s="8"/>
      <c r="V544" s="91"/>
      <c r="W544" s="91"/>
      <c r="X544" s="91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</row>
    <row r="545" spans="1:42" ht="12.75" x14ac:dyDescent="0.2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8"/>
      <c r="N545" s="88"/>
      <c r="O545" s="87"/>
      <c r="P545" s="87"/>
      <c r="Q545" s="89"/>
      <c r="R545" s="89"/>
      <c r="S545" s="90"/>
      <c r="T545" s="90"/>
      <c r="U545" s="8"/>
      <c r="V545" s="91"/>
      <c r="W545" s="91"/>
      <c r="X545" s="91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</row>
    <row r="546" spans="1:42" ht="12.75" x14ac:dyDescent="0.2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8"/>
      <c r="N546" s="88"/>
      <c r="O546" s="87"/>
      <c r="P546" s="87"/>
      <c r="Q546" s="89"/>
      <c r="R546" s="89"/>
      <c r="S546" s="90"/>
      <c r="T546" s="90"/>
      <c r="U546" s="8"/>
      <c r="V546" s="91"/>
      <c r="W546" s="91"/>
      <c r="X546" s="91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</row>
    <row r="547" spans="1:42" ht="12.75" x14ac:dyDescent="0.2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8"/>
      <c r="N547" s="88"/>
      <c r="O547" s="87"/>
      <c r="P547" s="87"/>
      <c r="Q547" s="89"/>
      <c r="R547" s="89"/>
      <c r="S547" s="90"/>
      <c r="T547" s="90"/>
      <c r="U547" s="8"/>
      <c r="V547" s="91"/>
      <c r="W547" s="91"/>
      <c r="X547" s="91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</row>
    <row r="548" spans="1:42" ht="12.75" x14ac:dyDescent="0.2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8"/>
      <c r="N548" s="88"/>
      <c r="O548" s="87"/>
      <c r="P548" s="87"/>
      <c r="Q548" s="89"/>
      <c r="R548" s="89"/>
      <c r="S548" s="90"/>
      <c r="T548" s="90"/>
      <c r="U548" s="8"/>
      <c r="V548" s="91"/>
      <c r="W548" s="91"/>
      <c r="X548" s="91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</row>
    <row r="549" spans="1:42" ht="12.75" x14ac:dyDescent="0.2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8"/>
      <c r="N549" s="88"/>
      <c r="O549" s="87"/>
      <c r="P549" s="87"/>
      <c r="Q549" s="89"/>
      <c r="R549" s="89"/>
      <c r="S549" s="90"/>
      <c r="T549" s="90"/>
      <c r="U549" s="8"/>
      <c r="V549" s="91"/>
      <c r="W549" s="91"/>
      <c r="X549" s="91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</row>
    <row r="550" spans="1:42" ht="12.75" x14ac:dyDescent="0.2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8"/>
      <c r="N550" s="88"/>
      <c r="O550" s="87"/>
      <c r="P550" s="87"/>
      <c r="Q550" s="89"/>
      <c r="R550" s="89"/>
      <c r="S550" s="90"/>
      <c r="T550" s="90"/>
      <c r="U550" s="8"/>
      <c r="V550" s="91"/>
      <c r="W550" s="91"/>
      <c r="X550" s="91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</row>
    <row r="551" spans="1:42" ht="12.75" x14ac:dyDescent="0.2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8"/>
      <c r="N551" s="88"/>
      <c r="O551" s="87"/>
      <c r="P551" s="87"/>
      <c r="Q551" s="89"/>
      <c r="R551" s="89"/>
      <c r="S551" s="90"/>
      <c r="T551" s="90"/>
      <c r="U551" s="8"/>
      <c r="V551" s="91"/>
      <c r="W551" s="91"/>
      <c r="X551" s="91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</row>
    <row r="552" spans="1:42" ht="12.75" x14ac:dyDescent="0.2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8"/>
      <c r="N552" s="88"/>
      <c r="O552" s="87"/>
      <c r="P552" s="87"/>
      <c r="Q552" s="89"/>
      <c r="R552" s="89"/>
      <c r="S552" s="90"/>
      <c r="T552" s="90"/>
      <c r="U552" s="8"/>
      <c r="V552" s="91"/>
      <c r="W552" s="91"/>
      <c r="X552" s="91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</row>
    <row r="553" spans="1:42" ht="12.75" x14ac:dyDescent="0.2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8"/>
      <c r="N553" s="88"/>
      <c r="O553" s="87"/>
      <c r="P553" s="87"/>
      <c r="Q553" s="89"/>
      <c r="R553" s="89"/>
      <c r="S553" s="90"/>
      <c r="T553" s="90"/>
      <c r="U553" s="8"/>
      <c r="V553" s="91"/>
      <c r="W553" s="91"/>
      <c r="X553" s="91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</row>
    <row r="554" spans="1:42" ht="12.75" x14ac:dyDescent="0.2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8"/>
      <c r="N554" s="88"/>
      <c r="O554" s="87"/>
      <c r="P554" s="87"/>
      <c r="Q554" s="89"/>
      <c r="R554" s="89"/>
      <c r="S554" s="90"/>
      <c r="T554" s="90"/>
      <c r="U554" s="8"/>
      <c r="V554" s="91"/>
      <c r="W554" s="91"/>
      <c r="X554" s="91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</row>
    <row r="555" spans="1:42" ht="12.75" x14ac:dyDescent="0.2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8"/>
      <c r="N555" s="88"/>
      <c r="O555" s="87"/>
      <c r="P555" s="87"/>
      <c r="Q555" s="89"/>
      <c r="R555" s="89"/>
      <c r="S555" s="90"/>
      <c r="T555" s="90"/>
      <c r="U555" s="8"/>
      <c r="V555" s="91"/>
      <c r="W555" s="91"/>
      <c r="X555" s="91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</row>
    <row r="556" spans="1:42" ht="12.75" x14ac:dyDescent="0.2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8"/>
      <c r="N556" s="88"/>
      <c r="O556" s="87"/>
      <c r="P556" s="87"/>
      <c r="Q556" s="89"/>
      <c r="R556" s="89"/>
      <c r="S556" s="90"/>
      <c r="T556" s="90"/>
      <c r="U556" s="8"/>
      <c r="V556" s="91"/>
      <c r="W556" s="91"/>
      <c r="X556" s="91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</row>
    <row r="557" spans="1:42" ht="12.75" x14ac:dyDescent="0.2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8"/>
      <c r="N557" s="88"/>
      <c r="O557" s="87"/>
      <c r="P557" s="87"/>
      <c r="Q557" s="89"/>
      <c r="R557" s="89"/>
      <c r="S557" s="90"/>
      <c r="T557" s="90"/>
      <c r="U557" s="8"/>
      <c r="V557" s="91"/>
      <c r="W557" s="91"/>
      <c r="X557" s="91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</row>
    <row r="558" spans="1:42" ht="12.75" x14ac:dyDescent="0.2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8"/>
      <c r="N558" s="88"/>
      <c r="O558" s="87"/>
      <c r="P558" s="87"/>
      <c r="Q558" s="89"/>
      <c r="R558" s="89"/>
      <c r="S558" s="90"/>
      <c r="T558" s="90"/>
      <c r="U558" s="8"/>
      <c r="V558" s="91"/>
      <c r="W558" s="91"/>
      <c r="X558" s="91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</row>
    <row r="559" spans="1:42" ht="12.75" x14ac:dyDescent="0.2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8"/>
      <c r="N559" s="88"/>
      <c r="O559" s="87"/>
      <c r="P559" s="87"/>
      <c r="Q559" s="89"/>
      <c r="R559" s="89"/>
      <c r="S559" s="90"/>
      <c r="T559" s="90"/>
      <c r="U559" s="8"/>
      <c r="V559" s="91"/>
      <c r="W559" s="91"/>
      <c r="X559" s="91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</row>
    <row r="560" spans="1:42" ht="12.75" x14ac:dyDescent="0.2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8"/>
      <c r="N560" s="88"/>
      <c r="O560" s="87"/>
      <c r="P560" s="87"/>
      <c r="Q560" s="89"/>
      <c r="R560" s="89"/>
      <c r="S560" s="90"/>
      <c r="T560" s="90"/>
      <c r="U560" s="8"/>
      <c r="V560" s="91"/>
      <c r="W560" s="91"/>
      <c r="X560" s="91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</row>
    <row r="561" spans="1:42" ht="12.75" x14ac:dyDescent="0.2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8"/>
      <c r="N561" s="88"/>
      <c r="O561" s="87"/>
      <c r="P561" s="87"/>
      <c r="Q561" s="89"/>
      <c r="R561" s="89"/>
      <c r="S561" s="90"/>
      <c r="T561" s="90"/>
      <c r="U561" s="8"/>
      <c r="V561" s="91"/>
      <c r="W561" s="91"/>
      <c r="X561" s="91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</row>
    <row r="562" spans="1:42" ht="12.75" x14ac:dyDescent="0.2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8"/>
      <c r="N562" s="88"/>
      <c r="O562" s="87"/>
      <c r="P562" s="87"/>
      <c r="Q562" s="89"/>
      <c r="R562" s="89"/>
      <c r="S562" s="90"/>
      <c r="T562" s="90"/>
      <c r="U562" s="8"/>
      <c r="V562" s="91"/>
      <c r="W562" s="91"/>
      <c r="X562" s="91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</row>
    <row r="563" spans="1:42" ht="12.75" x14ac:dyDescent="0.2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8"/>
      <c r="N563" s="88"/>
      <c r="O563" s="87"/>
      <c r="P563" s="87"/>
      <c r="Q563" s="89"/>
      <c r="R563" s="89"/>
      <c r="S563" s="90"/>
      <c r="T563" s="90"/>
      <c r="U563" s="8"/>
      <c r="V563" s="91"/>
      <c r="W563" s="91"/>
      <c r="X563" s="91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</row>
    <row r="564" spans="1:42" ht="12.75" x14ac:dyDescent="0.2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8"/>
      <c r="N564" s="88"/>
      <c r="O564" s="87"/>
      <c r="P564" s="87"/>
      <c r="Q564" s="89"/>
      <c r="R564" s="89"/>
      <c r="S564" s="90"/>
      <c r="T564" s="90"/>
      <c r="U564" s="8"/>
      <c r="V564" s="91"/>
      <c r="W564" s="91"/>
      <c r="X564" s="91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</row>
    <row r="565" spans="1:42" ht="12.75" x14ac:dyDescent="0.2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8"/>
      <c r="N565" s="88"/>
      <c r="O565" s="87"/>
      <c r="P565" s="87"/>
      <c r="Q565" s="89"/>
      <c r="R565" s="89"/>
      <c r="S565" s="90"/>
      <c r="T565" s="90"/>
      <c r="U565" s="8"/>
      <c r="V565" s="91"/>
      <c r="W565" s="91"/>
      <c r="X565" s="91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</row>
    <row r="566" spans="1:42" ht="12.75" x14ac:dyDescent="0.2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8"/>
      <c r="N566" s="88"/>
      <c r="O566" s="87"/>
      <c r="P566" s="87"/>
      <c r="Q566" s="89"/>
      <c r="R566" s="89"/>
      <c r="S566" s="90"/>
      <c r="T566" s="90"/>
      <c r="U566" s="8"/>
      <c r="V566" s="91"/>
      <c r="W566" s="91"/>
      <c r="X566" s="91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</row>
    <row r="567" spans="1:42" ht="12.75" x14ac:dyDescent="0.2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8"/>
      <c r="N567" s="88"/>
      <c r="O567" s="87"/>
      <c r="P567" s="87"/>
      <c r="Q567" s="89"/>
      <c r="R567" s="89"/>
      <c r="S567" s="90"/>
      <c r="T567" s="90"/>
      <c r="U567" s="8"/>
      <c r="V567" s="91"/>
      <c r="W567" s="91"/>
      <c r="X567" s="91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</row>
    <row r="568" spans="1:42" ht="12.75" x14ac:dyDescent="0.2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8"/>
      <c r="N568" s="88"/>
      <c r="O568" s="87"/>
      <c r="P568" s="87"/>
      <c r="Q568" s="89"/>
      <c r="R568" s="89"/>
      <c r="S568" s="90"/>
      <c r="T568" s="90"/>
      <c r="U568" s="8"/>
      <c r="V568" s="91"/>
      <c r="W568" s="91"/>
      <c r="X568" s="91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</row>
    <row r="569" spans="1:42" ht="12.75" x14ac:dyDescent="0.2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8"/>
      <c r="N569" s="88"/>
      <c r="O569" s="87"/>
      <c r="P569" s="87"/>
      <c r="Q569" s="89"/>
      <c r="R569" s="89"/>
      <c r="S569" s="90"/>
      <c r="T569" s="90"/>
      <c r="U569" s="8"/>
      <c r="V569" s="91"/>
      <c r="W569" s="91"/>
      <c r="X569" s="91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</row>
    <row r="570" spans="1:42" ht="12.75" x14ac:dyDescent="0.2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8"/>
      <c r="N570" s="88"/>
      <c r="O570" s="87"/>
      <c r="P570" s="87"/>
      <c r="Q570" s="89"/>
      <c r="R570" s="89"/>
      <c r="S570" s="90"/>
      <c r="T570" s="90"/>
      <c r="U570" s="8"/>
      <c r="V570" s="91"/>
      <c r="W570" s="91"/>
      <c r="X570" s="91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</row>
    <row r="571" spans="1:42" ht="12.75" x14ac:dyDescent="0.2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8"/>
      <c r="N571" s="88"/>
      <c r="O571" s="87"/>
      <c r="P571" s="87"/>
      <c r="Q571" s="89"/>
      <c r="R571" s="89"/>
      <c r="S571" s="90"/>
      <c r="T571" s="90"/>
      <c r="U571" s="8"/>
      <c r="V571" s="91"/>
      <c r="W571" s="91"/>
      <c r="X571" s="91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</row>
    <row r="572" spans="1:42" ht="12.75" x14ac:dyDescent="0.2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8"/>
      <c r="N572" s="88"/>
      <c r="O572" s="87"/>
      <c r="P572" s="87"/>
      <c r="Q572" s="89"/>
      <c r="R572" s="89"/>
      <c r="S572" s="90"/>
      <c r="T572" s="90"/>
      <c r="U572" s="8"/>
      <c r="V572" s="91"/>
      <c r="W572" s="91"/>
      <c r="X572" s="91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</row>
    <row r="573" spans="1:42" ht="12.75" x14ac:dyDescent="0.2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8"/>
      <c r="N573" s="88"/>
      <c r="O573" s="87"/>
      <c r="P573" s="87"/>
      <c r="Q573" s="89"/>
      <c r="R573" s="89"/>
      <c r="S573" s="90"/>
      <c r="T573" s="90"/>
      <c r="U573" s="8"/>
      <c r="V573" s="91"/>
      <c r="W573" s="91"/>
      <c r="X573" s="91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</row>
    <row r="574" spans="1:42" ht="12.75" x14ac:dyDescent="0.2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8"/>
      <c r="N574" s="88"/>
      <c r="O574" s="87"/>
      <c r="P574" s="87"/>
      <c r="Q574" s="89"/>
      <c r="R574" s="89"/>
      <c r="S574" s="90"/>
      <c r="T574" s="90"/>
      <c r="U574" s="8"/>
      <c r="V574" s="91"/>
      <c r="W574" s="91"/>
      <c r="X574" s="91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</row>
    <row r="575" spans="1:42" ht="12.75" x14ac:dyDescent="0.2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8"/>
      <c r="N575" s="88"/>
      <c r="O575" s="87"/>
      <c r="P575" s="87"/>
      <c r="Q575" s="89"/>
      <c r="R575" s="89"/>
      <c r="S575" s="90"/>
      <c r="T575" s="90"/>
      <c r="U575" s="8"/>
      <c r="V575" s="91"/>
      <c r="W575" s="91"/>
      <c r="X575" s="91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</row>
    <row r="576" spans="1:42" ht="12.75" x14ac:dyDescent="0.2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8"/>
      <c r="N576" s="88"/>
      <c r="O576" s="87"/>
      <c r="P576" s="87"/>
      <c r="Q576" s="89"/>
      <c r="R576" s="89"/>
      <c r="S576" s="90"/>
      <c r="T576" s="90"/>
      <c r="U576" s="8"/>
      <c r="V576" s="91"/>
      <c r="W576" s="91"/>
      <c r="X576" s="91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</row>
    <row r="577" spans="1:42" ht="12.75" x14ac:dyDescent="0.2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8"/>
      <c r="N577" s="88"/>
      <c r="O577" s="87"/>
      <c r="P577" s="87"/>
      <c r="Q577" s="89"/>
      <c r="R577" s="89"/>
      <c r="S577" s="90"/>
      <c r="T577" s="90"/>
      <c r="U577" s="8"/>
      <c r="V577" s="91"/>
      <c r="W577" s="91"/>
      <c r="X577" s="91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</row>
    <row r="578" spans="1:42" ht="12.75" x14ac:dyDescent="0.2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8"/>
      <c r="N578" s="88"/>
      <c r="O578" s="87"/>
      <c r="P578" s="87"/>
      <c r="Q578" s="89"/>
      <c r="R578" s="89"/>
      <c r="S578" s="90"/>
      <c r="T578" s="90"/>
      <c r="U578" s="8"/>
      <c r="V578" s="91"/>
      <c r="W578" s="91"/>
      <c r="X578" s="91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</row>
    <row r="579" spans="1:42" ht="12.75" x14ac:dyDescent="0.2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8"/>
      <c r="N579" s="88"/>
      <c r="O579" s="87"/>
      <c r="P579" s="87"/>
      <c r="Q579" s="89"/>
      <c r="R579" s="89"/>
      <c r="S579" s="90"/>
      <c r="T579" s="90"/>
      <c r="U579" s="8"/>
      <c r="V579" s="91"/>
      <c r="W579" s="91"/>
      <c r="X579" s="91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</row>
    <row r="580" spans="1:42" ht="12.75" x14ac:dyDescent="0.2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8"/>
      <c r="N580" s="88"/>
      <c r="O580" s="87"/>
      <c r="P580" s="87"/>
      <c r="Q580" s="89"/>
      <c r="R580" s="89"/>
      <c r="S580" s="90"/>
      <c r="T580" s="90"/>
      <c r="U580" s="8"/>
      <c r="V580" s="91"/>
      <c r="W580" s="91"/>
      <c r="X580" s="91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</row>
    <row r="581" spans="1:42" ht="12.75" x14ac:dyDescent="0.2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8"/>
      <c r="N581" s="88"/>
      <c r="O581" s="87"/>
      <c r="P581" s="87"/>
      <c r="Q581" s="89"/>
      <c r="R581" s="89"/>
      <c r="S581" s="90"/>
      <c r="T581" s="90"/>
      <c r="U581" s="8"/>
      <c r="V581" s="91"/>
      <c r="W581" s="91"/>
      <c r="X581" s="91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</row>
    <row r="582" spans="1:42" ht="12.75" x14ac:dyDescent="0.2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8"/>
      <c r="N582" s="88"/>
      <c r="O582" s="87"/>
      <c r="P582" s="87"/>
      <c r="Q582" s="89"/>
      <c r="R582" s="89"/>
      <c r="S582" s="90"/>
      <c r="T582" s="90"/>
      <c r="U582" s="8"/>
      <c r="V582" s="91"/>
      <c r="W582" s="91"/>
      <c r="X582" s="91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</row>
    <row r="583" spans="1:42" ht="12.75" x14ac:dyDescent="0.2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8"/>
      <c r="N583" s="88"/>
      <c r="O583" s="87"/>
      <c r="P583" s="87"/>
      <c r="Q583" s="89"/>
      <c r="R583" s="89"/>
      <c r="S583" s="90"/>
      <c r="T583" s="90"/>
      <c r="U583" s="8"/>
      <c r="V583" s="91"/>
      <c r="W583" s="91"/>
      <c r="X583" s="91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</row>
    <row r="584" spans="1:42" ht="12.75" x14ac:dyDescent="0.2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8"/>
      <c r="N584" s="88"/>
      <c r="O584" s="87"/>
      <c r="P584" s="87"/>
      <c r="Q584" s="89"/>
      <c r="R584" s="89"/>
      <c r="S584" s="90"/>
      <c r="T584" s="90"/>
      <c r="U584" s="8"/>
      <c r="V584" s="91"/>
      <c r="W584" s="91"/>
      <c r="X584" s="91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</row>
    <row r="585" spans="1:42" ht="12.75" x14ac:dyDescent="0.2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8"/>
      <c r="N585" s="88"/>
      <c r="O585" s="87"/>
      <c r="P585" s="87"/>
      <c r="Q585" s="89"/>
      <c r="R585" s="89"/>
      <c r="S585" s="90"/>
      <c r="T585" s="90"/>
      <c r="U585" s="8"/>
      <c r="V585" s="91"/>
      <c r="W585" s="91"/>
      <c r="X585" s="91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</row>
    <row r="586" spans="1:42" ht="12.75" x14ac:dyDescent="0.2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8"/>
      <c r="N586" s="88"/>
      <c r="O586" s="87"/>
      <c r="P586" s="87"/>
      <c r="Q586" s="89"/>
      <c r="R586" s="89"/>
      <c r="S586" s="90"/>
      <c r="T586" s="90"/>
      <c r="U586" s="8"/>
      <c r="V586" s="91"/>
      <c r="W586" s="91"/>
      <c r="X586" s="91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</row>
    <row r="587" spans="1:42" ht="12.75" x14ac:dyDescent="0.2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8"/>
      <c r="N587" s="88"/>
      <c r="O587" s="87"/>
      <c r="P587" s="87"/>
      <c r="Q587" s="89"/>
      <c r="R587" s="89"/>
      <c r="S587" s="90"/>
      <c r="T587" s="90"/>
      <c r="U587" s="8"/>
      <c r="V587" s="91"/>
      <c r="W587" s="91"/>
      <c r="X587" s="91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</row>
    <row r="588" spans="1:42" ht="12.75" x14ac:dyDescent="0.2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8"/>
      <c r="N588" s="88"/>
      <c r="O588" s="87"/>
      <c r="P588" s="87"/>
      <c r="Q588" s="89"/>
      <c r="R588" s="89"/>
      <c r="S588" s="90"/>
      <c r="T588" s="90"/>
      <c r="U588" s="8"/>
      <c r="V588" s="91"/>
      <c r="W588" s="91"/>
      <c r="X588" s="91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</row>
    <row r="589" spans="1:42" ht="12.75" x14ac:dyDescent="0.2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8"/>
      <c r="N589" s="88"/>
      <c r="O589" s="87"/>
      <c r="P589" s="87"/>
      <c r="Q589" s="89"/>
      <c r="R589" s="89"/>
      <c r="S589" s="90"/>
      <c r="T589" s="90"/>
      <c r="U589" s="8"/>
      <c r="V589" s="91"/>
      <c r="W589" s="91"/>
      <c r="X589" s="91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</row>
    <row r="590" spans="1:42" ht="12.75" x14ac:dyDescent="0.2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8"/>
      <c r="N590" s="88"/>
      <c r="O590" s="87"/>
      <c r="P590" s="87"/>
      <c r="Q590" s="89"/>
      <c r="R590" s="89"/>
      <c r="S590" s="90"/>
      <c r="T590" s="90"/>
      <c r="U590" s="8"/>
      <c r="V590" s="91"/>
      <c r="W590" s="91"/>
      <c r="X590" s="91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</row>
    <row r="591" spans="1:42" ht="12.75" x14ac:dyDescent="0.2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8"/>
      <c r="N591" s="88"/>
      <c r="O591" s="87"/>
      <c r="P591" s="87"/>
      <c r="Q591" s="89"/>
      <c r="R591" s="89"/>
      <c r="S591" s="90"/>
      <c r="T591" s="90"/>
      <c r="U591" s="8"/>
      <c r="V591" s="91"/>
      <c r="W591" s="91"/>
      <c r="X591" s="91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</row>
    <row r="592" spans="1:42" ht="12.75" x14ac:dyDescent="0.2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8"/>
      <c r="N592" s="88"/>
      <c r="O592" s="87"/>
      <c r="P592" s="87"/>
      <c r="Q592" s="89"/>
      <c r="R592" s="89"/>
      <c r="S592" s="90"/>
      <c r="T592" s="90"/>
      <c r="U592" s="8"/>
      <c r="V592" s="91"/>
      <c r="W592" s="91"/>
      <c r="X592" s="91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</row>
    <row r="593" spans="1:42" ht="12.75" x14ac:dyDescent="0.2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8"/>
      <c r="N593" s="88"/>
      <c r="O593" s="87"/>
      <c r="P593" s="87"/>
      <c r="Q593" s="89"/>
      <c r="R593" s="89"/>
      <c r="S593" s="90"/>
      <c r="T593" s="90"/>
      <c r="U593" s="8"/>
      <c r="V593" s="91"/>
      <c r="W593" s="91"/>
      <c r="X593" s="91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</row>
    <row r="594" spans="1:42" ht="12.75" x14ac:dyDescent="0.2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8"/>
      <c r="N594" s="88"/>
      <c r="O594" s="87"/>
      <c r="P594" s="87"/>
      <c r="Q594" s="89"/>
      <c r="R594" s="89"/>
      <c r="S594" s="90"/>
      <c r="T594" s="90"/>
      <c r="U594" s="8"/>
      <c r="V594" s="91"/>
      <c r="W594" s="91"/>
      <c r="X594" s="91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</row>
    <row r="595" spans="1:42" ht="12.75" x14ac:dyDescent="0.2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8"/>
      <c r="N595" s="88"/>
      <c r="O595" s="87"/>
      <c r="P595" s="87"/>
      <c r="Q595" s="89"/>
      <c r="R595" s="89"/>
      <c r="S595" s="90"/>
      <c r="T595" s="90"/>
      <c r="U595" s="8"/>
      <c r="V595" s="91"/>
      <c r="W595" s="91"/>
      <c r="X595" s="91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</row>
    <row r="596" spans="1:42" ht="12.75" x14ac:dyDescent="0.2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8"/>
      <c r="N596" s="88"/>
      <c r="O596" s="87"/>
      <c r="P596" s="87"/>
      <c r="Q596" s="89"/>
      <c r="R596" s="89"/>
      <c r="S596" s="90"/>
      <c r="T596" s="90"/>
      <c r="U596" s="8"/>
      <c r="V596" s="91"/>
      <c r="W596" s="91"/>
      <c r="X596" s="91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</row>
    <row r="597" spans="1:42" ht="12.75" x14ac:dyDescent="0.2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8"/>
      <c r="N597" s="88"/>
      <c r="O597" s="87"/>
      <c r="P597" s="87"/>
      <c r="Q597" s="89"/>
      <c r="R597" s="89"/>
      <c r="S597" s="90"/>
      <c r="T597" s="90"/>
      <c r="U597" s="8"/>
      <c r="V597" s="91"/>
      <c r="W597" s="91"/>
      <c r="X597" s="91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</row>
    <row r="598" spans="1:42" ht="12.75" x14ac:dyDescent="0.2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8"/>
      <c r="N598" s="88"/>
      <c r="O598" s="87"/>
      <c r="P598" s="87"/>
      <c r="Q598" s="89"/>
      <c r="R598" s="89"/>
      <c r="S598" s="90"/>
      <c r="T598" s="90"/>
      <c r="U598" s="8"/>
      <c r="V598" s="91"/>
      <c r="W598" s="91"/>
      <c r="X598" s="91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</row>
    <row r="599" spans="1:42" ht="12.75" x14ac:dyDescent="0.2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8"/>
      <c r="N599" s="88"/>
      <c r="O599" s="87"/>
      <c r="P599" s="87"/>
      <c r="Q599" s="89"/>
      <c r="R599" s="89"/>
      <c r="S599" s="90"/>
      <c r="T599" s="90"/>
      <c r="U599" s="8"/>
      <c r="V599" s="91"/>
      <c r="W599" s="91"/>
      <c r="X599" s="91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</row>
    <row r="600" spans="1:42" ht="12.75" x14ac:dyDescent="0.2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8"/>
      <c r="N600" s="88"/>
      <c r="O600" s="87"/>
      <c r="P600" s="87"/>
      <c r="Q600" s="89"/>
      <c r="R600" s="89"/>
      <c r="S600" s="90"/>
      <c r="T600" s="90"/>
      <c r="U600" s="8"/>
      <c r="V600" s="91"/>
      <c r="W600" s="91"/>
      <c r="X600" s="91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</row>
    <row r="601" spans="1:42" ht="12.75" x14ac:dyDescent="0.2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8"/>
      <c r="N601" s="88"/>
      <c r="O601" s="87"/>
      <c r="P601" s="87"/>
      <c r="Q601" s="89"/>
      <c r="R601" s="89"/>
      <c r="S601" s="90"/>
      <c r="T601" s="90"/>
      <c r="U601" s="8"/>
      <c r="V601" s="91"/>
      <c r="W601" s="91"/>
      <c r="X601" s="91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</row>
    <row r="602" spans="1:42" ht="12.75" x14ac:dyDescent="0.2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8"/>
      <c r="N602" s="88"/>
      <c r="O602" s="87"/>
      <c r="P602" s="87"/>
      <c r="Q602" s="89"/>
      <c r="R602" s="89"/>
      <c r="S602" s="90"/>
      <c r="T602" s="90"/>
      <c r="U602" s="8"/>
      <c r="V602" s="91"/>
      <c r="W602" s="91"/>
      <c r="X602" s="91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</row>
    <row r="603" spans="1:42" ht="12.75" x14ac:dyDescent="0.2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8"/>
      <c r="N603" s="88"/>
      <c r="O603" s="87"/>
      <c r="P603" s="87"/>
      <c r="Q603" s="89"/>
      <c r="R603" s="89"/>
      <c r="S603" s="90"/>
      <c r="T603" s="90"/>
      <c r="U603" s="8"/>
      <c r="V603" s="91"/>
      <c r="W603" s="91"/>
      <c r="X603" s="91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</row>
    <row r="604" spans="1:42" ht="12.75" x14ac:dyDescent="0.2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8"/>
      <c r="N604" s="88"/>
      <c r="O604" s="87"/>
      <c r="P604" s="87"/>
      <c r="Q604" s="89"/>
      <c r="R604" s="89"/>
      <c r="S604" s="90"/>
      <c r="T604" s="90"/>
      <c r="U604" s="8"/>
      <c r="V604" s="91"/>
      <c r="W604" s="91"/>
      <c r="X604" s="91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</row>
    <row r="605" spans="1:42" ht="12.75" x14ac:dyDescent="0.2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8"/>
      <c r="N605" s="88"/>
      <c r="O605" s="87"/>
      <c r="P605" s="87"/>
      <c r="Q605" s="89"/>
      <c r="R605" s="89"/>
      <c r="S605" s="90"/>
      <c r="T605" s="90"/>
      <c r="U605" s="8"/>
      <c r="V605" s="91"/>
      <c r="W605" s="91"/>
      <c r="X605" s="91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</row>
    <row r="606" spans="1:42" ht="12.75" x14ac:dyDescent="0.2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8"/>
      <c r="N606" s="88"/>
      <c r="O606" s="87"/>
      <c r="P606" s="87"/>
      <c r="Q606" s="89"/>
      <c r="R606" s="89"/>
      <c r="S606" s="90"/>
      <c r="T606" s="90"/>
      <c r="U606" s="8"/>
      <c r="V606" s="91"/>
      <c r="W606" s="91"/>
      <c r="X606" s="91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</row>
    <row r="607" spans="1:42" ht="12.75" x14ac:dyDescent="0.2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8"/>
      <c r="N607" s="88"/>
      <c r="O607" s="87"/>
      <c r="P607" s="87"/>
      <c r="Q607" s="89"/>
      <c r="R607" s="89"/>
      <c r="S607" s="90"/>
      <c r="T607" s="90"/>
      <c r="U607" s="8"/>
      <c r="V607" s="91"/>
      <c r="W607" s="91"/>
      <c r="X607" s="91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</row>
    <row r="608" spans="1:42" ht="12.75" x14ac:dyDescent="0.2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8"/>
      <c r="N608" s="88"/>
      <c r="O608" s="87"/>
      <c r="P608" s="87"/>
      <c r="Q608" s="89"/>
      <c r="R608" s="89"/>
      <c r="S608" s="90"/>
      <c r="T608" s="90"/>
      <c r="U608" s="8"/>
      <c r="V608" s="91"/>
      <c r="W608" s="91"/>
      <c r="X608" s="91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</row>
    <row r="609" spans="1:42" ht="12.75" x14ac:dyDescent="0.2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8"/>
      <c r="N609" s="88"/>
      <c r="O609" s="87"/>
      <c r="P609" s="87"/>
      <c r="Q609" s="89"/>
      <c r="R609" s="89"/>
      <c r="S609" s="90"/>
      <c r="T609" s="90"/>
      <c r="U609" s="8"/>
      <c r="V609" s="91"/>
      <c r="W609" s="91"/>
      <c r="X609" s="91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</row>
    <row r="610" spans="1:42" ht="12.75" x14ac:dyDescent="0.2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8"/>
      <c r="N610" s="88"/>
      <c r="O610" s="87"/>
      <c r="P610" s="87"/>
      <c r="Q610" s="89"/>
      <c r="R610" s="89"/>
      <c r="S610" s="90"/>
      <c r="T610" s="90"/>
      <c r="U610" s="8"/>
      <c r="V610" s="91"/>
      <c r="W610" s="91"/>
      <c r="X610" s="91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</row>
    <row r="611" spans="1:42" ht="12.75" x14ac:dyDescent="0.2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8"/>
      <c r="N611" s="88"/>
      <c r="O611" s="87"/>
      <c r="P611" s="87"/>
      <c r="Q611" s="89"/>
      <c r="R611" s="89"/>
      <c r="S611" s="90"/>
      <c r="T611" s="90"/>
      <c r="U611" s="8"/>
      <c r="V611" s="91"/>
      <c r="W611" s="91"/>
      <c r="X611" s="91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</row>
    <row r="612" spans="1:42" ht="12.75" x14ac:dyDescent="0.2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8"/>
      <c r="N612" s="88"/>
      <c r="O612" s="87"/>
      <c r="P612" s="87"/>
      <c r="Q612" s="89"/>
      <c r="R612" s="89"/>
      <c r="S612" s="90"/>
      <c r="T612" s="90"/>
      <c r="U612" s="8"/>
      <c r="V612" s="91"/>
      <c r="W612" s="91"/>
      <c r="X612" s="91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</row>
    <row r="613" spans="1:42" ht="12.75" x14ac:dyDescent="0.2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8"/>
      <c r="N613" s="88"/>
      <c r="O613" s="87"/>
      <c r="P613" s="87"/>
      <c r="Q613" s="89"/>
      <c r="R613" s="89"/>
      <c r="S613" s="90"/>
      <c r="T613" s="90"/>
      <c r="U613" s="8"/>
      <c r="V613" s="91"/>
      <c r="W613" s="91"/>
      <c r="X613" s="91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</row>
    <row r="614" spans="1:42" ht="12.75" x14ac:dyDescent="0.2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8"/>
      <c r="N614" s="88"/>
      <c r="O614" s="87"/>
      <c r="P614" s="87"/>
      <c r="Q614" s="89"/>
      <c r="R614" s="89"/>
      <c r="S614" s="90"/>
      <c r="T614" s="90"/>
      <c r="U614" s="8"/>
      <c r="V614" s="91"/>
      <c r="W614" s="91"/>
      <c r="X614" s="91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</row>
    <row r="615" spans="1:42" ht="12.75" x14ac:dyDescent="0.2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8"/>
      <c r="N615" s="88"/>
      <c r="O615" s="87"/>
      <c r="P615" s="87"/>
      <c r="Q615" s="89"/>
      <c r="R615" s="89"/>
      <c r="S615" s="90"/>
      <c r="T615" s="90"/>
      <c r="U615" s="8"/>
      <c r="V615" s="91"/>
      <c r="W615" s="91"/>
      <c r="X615" s="91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</row>
    <row r="616" spans="1:42" ht="12.75" x14ac:dyDescent="0.2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8"/>
      <c r="N616" s="88"/>
      <c r="O616" s="87"/>
      <c r="P616" s="87"/>
      <c r="Q616" s="89"/>
      <c r="R616" s="89"/>
      <c r="S616" s="90"/>
      <c r="T616" s="90"/>
      <c r="U616" s="8"/>
      <c r="V616" s="91"/>
      <c r="W616" s="91"/>
      <c r="X616" s="91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</row>
    <row r="617" spans="1:42" ht="12.75" x14ac:dyDescent="0.2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8"/>
      <c r="N617" s="88"/>
      <c r="O617" s="87"/>
      <c r="P617" s="87"/>
      <c r="Q617" s="89"/>
      <c r="R617" s="89"/>
      <c r="S617" s="90"/>
      <c r="T617" s="90"/>
      <c r="U617" s="8"/>
      <c r="V617" s="91"/>
      <c r="W617" s="91"/>
      <c r="X617" s="91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</row>
    <row r="618" spans="1:42" ht="12.75" x14ac:dyDescent="0.2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8"/>
      <c r="N618" s="88"/>
      <c r="O618" s="87"/>
      <c r="P618" s="87"/>
      <c r="Q618" s="89"/>
      <c r="R618" s="89"/>
      <c r="S618" s="90"/>
      <c r="T618" s="90"/>
      <c r="U618" s="8"/>
      <c r="V618" s="91"/>
      <c r="W618" s="91"/>
      <c r="X618" s="91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</row>
    <row r="619" spans="1:42" ht="12.75" x14ac:dyDescent="0.2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8"/>
      <c r="N619" s="88"/>
      <c r="O619" s="87"/>
      <c r="P619" s="87"/>
      <c r="Q619" s="89"/>
      <c r="R619" s="89"/>
      <c r="S619" s="90"/>
      <c r="T619" s="90"/>
      <c r="U619" s="8"/>
      <c r="V619" s="91"/>
      <c r="W619" s="91"/>
      <c r="X619" s="91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</row>
    <row r="620" spans="1:42" ht="12.75" x14ac:dyDescent="0.2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8"/>
      <c r="N620" s="88"/>
      <c r="O620" s="87"/>
      <c r="P620" s="87"/>
      <c r="Q620" s="89"/>
      <c r="R620" s="89"/>
      <c r="S620" s="90"/>
      <c r="T620" s="90"/>
      <c r="U620" s="8"/>
      <c r="V620" s="91"/>
      <c r="W620" s="91"/>
      <c r="X620" s="91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</row>
    <row r="621" spans="1:42" ht="12.75" x14ac:dyDescent="0.2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8"/>
      <c r="N621" s="88"/>
      <c r="O621" s="87"/>
      <c r="P621" s="87"/>
      <c r="Q621" s="89"/>
      <c r="R621" s="89"/>
      <c r="S621" s="90"/>
      <c r="T621" s="90"/>
      <c r="U621" s="8"/>
      <c r="V621" s="91"/>
      <c r="W621" s="91"/>
      <c r="X621" s="91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</row>
    <row r="622" spans="1:42" ht="12.75" x14ac:dyDescent="0.2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8"/>
      <c r="N622" s="88"/>
      <c r="O622" s="87"/>
      <c r="P622" s="87"/>
      <c r="Q622" s="89"/>
      <c r="R622" s="89"/>
      <c r="S622" s="90"/>
      <c r="T622" s="90"/>
      <c r="U622" s="8"/>
      <c r="V622" s="91"/>
      <c r="W622" s="91"/>
      <c r="X622" s="91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</row>
    <row r="623" spans="1:42" ht="12.75" x14ac:dyDescent="0.2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8"/>
      <c r="N623" s="88"/>
      <c r="O623" s="87"/>
      <c r="P623" s="87"/>
      <c r="Q623" s="89"/>
      <c r="R623" s="89"/>
      <c r="S623" s="90"/>
      <c r="T623" s="90"/>
      <c r="U623" s="8"/>
      <c r="V623" s="91"/>
      <c r="W623" s="91"/>
      <c r="X623" s="91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</row>
    <row r="624" spans="1:42" ht="12.75" x14ac:dyDescent="0.2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8"/>
      <c r="N624" s="88"/>
      <c r="O624" s="87"/>
      <c r="P624" s="87"/>
      <c r="Q624" s="89"/>
      <c r="R624" s="89"/>
      <c r="S624" s="90"/>
      <c r="T624" s="90"/>
      <c r="U624" s="8"/>
      <c r="V624" s="91"/>
      <c r="W624" s="91"/>
      <c r="X624" s="91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</row>
    <row r="625" spans="1:42" ht="12.75" x14ac:dyDescent="0.2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8"/>
      <c r="N625" s="88"/>
      <c r="O625" s="87"/>
      <c r="P625" s="87"/>
      <c r="Q625" s="89"/>
      <c r="R625" s="89"/>
      <c r="S625" s="90"/>
      <c r="T625" s="90"/>
      <c r="U625" s="8"/>
      <c r="V625" s="91"/>
      <c r="W625" s="91"/>
      <c r="X625" s="91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</row>
    <row r="626" spans="1:42" ht="12.75" x14ac:dyDescent="0.2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8"/>
      <c r="N626" s="88"/>
      <c r="O626" s="87"/>
      <c r="P626" s="87"/>
      <c r="Q626" s="89"/>
      <c r="R626" s="89"/>
      <c r="S626" s="90"/>
      <c r="T626" s="90"/>
      <c r="U626" s="8"/>
      <c r="V626" s="91"/>
      <c r="W626" s="91"/>
      <c r="X626" s="91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</row>
    <row r="627" spans="1:42" ht="12.75" x14ac:dyDescent="0.2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8"/>
      <c r="N627" s="88"/>
      <c r="O627" s="87"/>
      <c r="P627" s="87"/>
      <c r="Q627" s="89"/>
      <c r="R627" s="89"/>
      <c r="S627" s="90"/>
      <c r="T627" s="90"/>
      <c r="U627" s="8"/>
      <c r="V627" s="91"/>
      <c r="W627" s="91"/>
      <c r="X627" s="91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</row>
    <row r="628" spans="1:42" ht="12.75" x14ac:dyDescent="0.2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8"/>
      <c r="N628" s="88"/>
      <c r="O628" s="87"/>
      <c r="P628" s="87"/>
      <c r="Q628" s="89"/>
      <c r="R628" s="89"/>
      <c r="S628" s="90"/>
      <c r="T628" s="90"/>
      <c r="U628" s="8"/>
      <c r="V628" s="91"/>
      <c r="W628" s="91"/>
      <c r="X628" s="91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</row>
    <row r="629" spans="1:42" ht="12.75" x14ac:dyDescent="0.2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8"/>
      <c r="N629" s="88"/>
      <c r="O629" s="87"/>
      <c r="P629" s="87"/>
      <c r="Q629" s="89"/>
      <c r="R629" s="89"/>
      <c r="S629" s="90"/>
      <c r="T629" s="90"/>
      <c r="U629" s="8"/>
      <c r="V629" s="91"/>
      <c r="W629" s="91"/>
      <c r="X629" s="91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</row>
    <row r="630" spans="1:42" ht="12.75" x14ac:dyDescent="0.2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8"/>
      <c r="N630" s="88"/>
      <c r="O630" s="87"/>
      <c r="P630" s="87"/>
      <c r="Q630" s="89"/>
      <c r="R630" s="89"/>
      <c r="S630" s="90"/>
      <c r="T630" s="90"/>
      <c r="U630" s="8"/>
      <c r="V630" s="91"/>
      <c r="W630" s="91"/>
      <c r="X630" s="91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</row>
    <row r="631" spans="1:42" ht="12.75" x14ac:dyDescent="0.2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8"/>
      <c r="N631" s="88"/>
      <c r="O631" s="87"/>
      <c r="P631" s="87"/>
      <c r="Q631" s="89"/>
      <c r="R631" s="89"/>
      <c r="S631" s="90"/>
      <c r="T631" s="90"/>
      <c r="U631" s="8"/>
      <c r="V631" s="91"/>
      <c r="W631" s="91"/>
      <c r="X631" s="91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</row>
    <row r="632" spans="1:42" ht="12.75" x14ac:dyDescent="0.2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8"/>
      <c r="N632" s="88"/>
      <c r="O632" s="87"/>
      <c r="P632" s="87"/>
      <c r="Q632" s="89"/>
      <c r="R632" s="89"/>
      <c r="S632" s="90"/>
      <c r="T632" s="90"/>
      <c r="U632" s="8"/>
      <c r="V632" s="91"/>
      <c r="W632" s="91"/>
      <c r="X632" s="91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</row>
    <row r="633" spans="1:42" ht="12.75" x14ac:dyDescent="0.2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8"/>
      <c r="N633" s="88"/>
      <c r="O633" s="87"/>
      <c r="P633" s="87"/>
      <c r="Q633" s="89"/>
      <c r="R633" s="89"/>
      <c r="S633" s="90"/>
      <c r="T633" s="90"/>
      <c r="U633" s="8"/>
      <c r="V633" s="91"/>
      <c r="W633" s="91"/>
      <c r="X633" s="91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</row>
    <row r="634" spans="1:42" ht="12.75" x14ac:dyDescent="0.2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8"/>
      <c r="N634" s="88"/>
      <c r="O634" s="87"/>
      <c r="P634" s="87"/>
      <c r="Q634" s="89"/>
      <c r="R634" s="89"/>
      <c r="S634" s="90"/>
      <c r="T634" s="90"/>
      <c r="U634" s="8"/>
      <c r="V634" s="91"/>
      <c r="W634" s="91"/>
      <c r="X634" s="91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</row>
    <row r="635" spans="1:42" ht="12.75" x14ac:dyDescent="0.2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8"/>
      <c r="N635" s="88"/>
      <c r="O635" s="87"/>
      <c r="P635" s="87"/>
      <c r="Q635" s="89"/>
      <c r="R635" s="89"/>
      <c r="S635" s="90"/>
      <c r="T635" s="90"/>
      <c r="U635" s="8"/>
      <c r="V635" s="91"/>
      <c r="W635" s="91"/>
      <c r="X635" s="91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</row>
    <row r="636" spans="1:42" ht="12.75" x14ac:dyDescent="0.2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8"/>
      <c r="N636" s="88"/>
      <c r="O636" s="87"/>
      <c r="P636" s="87"/>
      <c r="Q636" s="89"/>
      <c r="R636" s="89"/>
      <c r="S636" s="90"/>
      <c r="T636" s="90"/>
      <c r="U636" s="8"/>
      <c r="V636" s="91"/>
      <c r="W636" s="91"/>
      <c r="X636" s="91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</row>
    <row r="637" spans="1:42" ht="12.75" x14ac:dyDescent="0.2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8"/>
      <c r="N637" s="88"/>
      <c r="O637" s="87"/>
      <c r="P637" s="87"/>
      <c r="Q637" s="89"/>
      <c r="R637" s="89"/>
      <c r="S637" s="90"/>
      <c r="T637" s="90"/>
      <c r="U637" s="8"/>
      <c r="V637" s="91"/>
      <c r="W637" s="91"/>
      <c r="X637" s="91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</row>
    <row r="638" spans="1:42" ht="12.75" x14ac:dyDescent="0.2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8"/>
      <c r="N638" s="88"/>
      <c r="O638" s="87"/>
      <c r="P638" s="87"/>
      <c r="Q638" s="89"/>
      <c r="R638" s="89"/>
      <c r="S638" s="90"/>
      <c r="T638" s="90"/>
      <c r="U638" s="8"/>
      <c r="V638" s="91"/>
      <c r="W638" s="91"/>
      <c r="X638" s="91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</row>
    <row r="639" spans="1:42" ht="12.75" x14ac:dyDescent="0.2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8"/>
      <c r="N639" s="88"/>
      <c r="O639" s="87"/>
      <c r="P639" s="87"/>
      <c r="Q639" s="89"/>
      <c r="R639" s="89"/>
      <c r="S639" s="90"/>
      <c r="T639" s="90"/>
      <c r="U639" s="8"/>
      <c r="V639" s="91"/>
      <c r="W639" s="91"/>
      <c r="X639" s="91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</row>
    <row r="640" spans="1:42" ht="12.75" x14ac:dyDescent="0.2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8"/>
      <c r="N640" s="88"/>
      <c r="O640" s="87"/>
      <c r="P640" s="87"/>
      <c r="Q640" s="89"/>
      <c r="R640" s="89"/>
      <c r="S640" s="90"/>
      <c r="T640" s="90"/>
      <c r="U640" s="8"/>
      <c r="V640" s="91"/>
      <c r="W640" s="91"/>
      <c r="X640" s="91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</row>
    <row r="641" spans="1:42" ht="12.75" x14ac:dyDescent="0.2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8"/>
      <c r="N641" s="88"/>
      <c r="O641" s="87"/>
      <c r="P641" s="87"/>
      <c r="Q641" s="89"/>
      <c r="R641" s="89"/>
      <c r="S641" s="90"/>
      <c r="T641" s="90"/>
      <c r="U641" s="8"/>
      <c r="V641" s="91"/>
      <c r="W641" s="91"/>
      <c r="X641" s="91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</row>
    <row r="642" spans="1:42" ht="12.75" x14ac:dyDescent="0.2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8"/>
      <c r="N642" s="88"/>
      <c r="O642" s="87"/>
      <c r="P642" s="87"/>
      <c r="Q642" s="89"/>
      <c r="R642" s="89"/>
      <c r="S642" s="90"/>
      <c r="T642" s="90"/>
      <c r="U642" s="8"/>
      <c r="V642" s="91"/>
      <c r="W642" s="91"/>
      <c r="X642" s="91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</row>
    <row r="643" spans="1:42" ht="12.75" x14ac:dyDescent="0.2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8"/>
      <c r="N643" s="88"/>
      <c r="O643" s="87"/>
      <c r="P643" s="87"/>
      <c r="Q643" s="89"/>
      <c r="R643" s="89"/>
      <c r="S643" s="90"/>
      <c r="T643" s="90"/>
      <c r="U643" s="8"/>
      <c r="V643" s="91"/>
      <c r="W643" s="91"/>
      <c r="X643" s="91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</row>
    <row r="644" spans="1:42" ht="12.75" x14ac:dyDescent="0.2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8"/>
      <c r="N644" s="88"/>
      <c r="O644" s="87"/>
      <c r="P644" s="87"/>
      <c r="Q644" s="89"/>
      <c r="R644" s="89"/>
      <c r="S644" s="90"/>
      <c r="T644" s="90"/>
      <c r="U644" s="8"/>
      <c r="V644" s="91"/>
      <c r="W644" s="91"/>
      <c r="X644" s="91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</row>
    <row r="645" spans="1:42" ht="12.75" x14ac:dyDescent="0.2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8"/>
      <c r="N645" s="88"/>
      <c r="O645" s="87"/>
      <c r="P645" s="87"/>
      <c r="Q645" s="89"/>
      <c r="R645" s="89"/>
      <c r="S645" s="90"/>
      <c r="T645" s="90"/>
      <c r="U645" s="8"/>
      <c r="V645" s="91"/>
      <c r="W645" s="91"/>
      <c r="X645" s="91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</row>
    <row r="646" spans="1:42" ht="12.75" x14ac:dyDescent="0.2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8"/>
      <c r="N646" s="88"/>
      <c r="O646" s="87"/>
      <c r="P646" s="87"/>
      <c r="Q646" s="89"/>
      <c r="R646" s="89"/>
      <c r="S646" s="90"/>
      <c r="T646" s="90"/>
      <c r="U646" s="8"/>
      <c r="V646" s="91"/>
      <c r="W646" s="91"/>
      <c r="X646" s="91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</row>
    <row r="647" spans="1:42" ht="12.75" x14ac:dyDescent="0.2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8"/>
      <c r="N647" s="88"/>
      <c r="O647" s="87"/>
      <c r="P647" s="87"/>
      <c r="Q647" s="89"/>
      <c r="R647" s="89"/>
      <c r="S647" s="90"/>
      <c r="T647" s="90"/>
      <c r="U647" s="8"/>
      <c r="V647" s="91"/>
      <c r="W647" s="91"/>
      <c r="X647" s="91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</row>
    <row r="648" spans="1:42" ht="12.75" x14ac:dyDescent="0.2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8"/>
      <c r="N648" s="88"/>
      <c r="O648" s="87"/>
      <c r="P648" s="87"/>
      <c r="Q648" s="89"/>
      <c r="R648" s="89"/>
      <c r="S648" s="90"/>
      <c r="T648" s="90"/>
      <c r="U648" s="8"/>
      <c r="V648" s="91"/>
      <c r="W648" s="91"/>
      <c r="X648" s="91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</row>
    <row r="649" spans="1:42" ht="12.75" x14ac:dyDescent="0.2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8"/>
      <c r="N649" s="88"/>
      <c r="O649" s="87"/>
      <c r="P649" s="87"/>
      <c r="Q649" s="89"/>
      <c r="R649" s="89"/>
      <c r="S649" s="90"/>
      <c r="T649" s="90"/>
      <c r="U649" s="8"/>
      <c r="V649" s="91"/>
      <c r="W649" s="91"/>
      <c r="X649" s="91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</row>
    <row r="650" spans="1:42" ht="12.75" x14ac:dyDescent="0.2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8"/>
      <c r="N650" s="88"/>
      <c r="O650" s="87"/>
      <c r="P650" s="87"/>
      <c r="Q650" s="89"/>
      <c r="R650" s="89"/>
      <c r="S650" s="90"/>
      <c r="T650" s="90"/>
      <c r="U650" s="8"/>
      <c r="V650" s="91"/>
      <c r="W650" s="91"/>
      <c r="X650" s="91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</row>
    <row r="651" spans="1:42" ht="12.75" x14ac:dyDescent="0.2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8"/>
      <c r="N651" s="88"/>
      <c r="O651" s="87"/>
      <c r="P651" s="87"/>
      <c r="Q651" s="89"/>
      <c r="R651" s="89"/>
      <c r="S651" s="90"/>
      <c r="T651" s="90"/>
      <c r="U651" s="8"/>
      <c r="V651" s="91"/>
      <c r="W651" s="91"/>
      <c r="X651" s="91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</row>
    <row r="652" spans="1:42" ht="12.75" x14ac:dyDescent="0.2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8"/>
      <c r="N652" s="88"/>
      <c r="O652" s="87"/>
      <c r="P652" s="87"/>
      <c r="Q652" s="89"/>
      <c r="R652" s="89"/>
      <c r="S652" s="90"/>
      <c r="T652" s="90"/>
      <c r="U652" s="8"/>
      <c r="V652" s="91"/>
      <c r="W652" s="91"/>
      <c r="X652" s="91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</row>
    <row r="653" spans="1:42" ht="12.75" x14ac:dyDescent="0.2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8"/>
      <c r="N653" s="88"/>
      <c r="O653" s="87"/>
      <c r="P653" s="87"/>
      <c r="Q653" s="89"/>
      <c r="R653" s="89"/>
      <c r="S653" s="90"/>
      <c r="T653" s="90"/>
      <c r="U653" s="8"/>
      <c r="V653" s="91"/>
      <c r="W653" s="91"/>
      <c r="X653" s="91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</row>
    <row r="654" spans="1:42" ht="12.75" x14ac:dyDescent="0.2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8"/>
      <c r="N654" s="88"/>
      <c r="O654" s="87"/>
      <c r="P654" s="87"/>
      <c r="Q654" s="89"/>
      <c r="R654" s="89"/>
      <c r="S654" s="90"/>
      <c r="T654" s="90"/>
      <c r="U654" s="8"/>
      <c r="V654" s="91"/>
      <c r="W654" s="91"/>
      <c r="X654" s="91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</row>
    <row r="655" spans="1:42" ht="12.75" x14ac:dyDescent="0.2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8"/>
      <c r="N655" s="88"/>
      <c r="O655" s="87"/>
      <c r="P655" s="87"/>
      <c r="Q655" s="89"/>
      <c r="R655" s="89"/>
      <c r="S655" s="90"/>
      <c r="T655" s="90"/>
      <c r="U655" s="8"/>
      <c r="V655" s="91"/>
      <c r="W655" s="91"/>
      <c r="X655" s="91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</row>
    <row r="656" spans="1:42" ht="12.75" x14ac:dyDescent="0.2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8"/>
      <c r="N656" s="88"/>
      <c r="O656" s="87"/>
      <c r="P656" s="87"/>
      <c r="Q656" s="89"/>
      <c r="R656" s="89"/>
      <c r="S656" s="90"/>
      <c r="T656" s="90"/>
      <c r="U656" s="8"/>
      <c r="V656" s="91"/>
      <c r="W656" s="91"/>
      <c r="X656" s="91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</row>
    <row r="657" spans="1:42" ht="12.75" x14ac:dyDescent="0.2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8"/>
      <c r="N657" s="88"/>
      <c r="O657" s="87"/>
      <c r="P657" s="87"/>
      <c r="Q657" s="89"/>
      <c r="R657" s="89"/>
      <c r="S657" s="90"/>
      <c r="T657" s="90"/>
      <c r="U657" s="8"/>
      <c r="V657" s="91"/>
      <c r="W657" s="91"/>
      <c r="X657" s="91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</row>
    <row r="658" spans="1:42" ht="12.75" x14ac:dyDescent="0.2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8"/>
      <c r="N658" s="88"/>
      <c r="O658" s="87"/>
      <c r="P658" s="87"/>
      <c r="Q658" s="89"/>
      <c r="R658" s="89"/>
      <c r="S658" s="90"/>
      <c r="T658" s="90"/>
      <c r="U658" s="8"/>
      <c r="V658" s="91"/>
      <c r="W658" s="91"/>
      <c r="X658" s="91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</row>
    <row r="659" spans="1:42" ht="12.75" x14ac:dyDescent="0.2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8"/>
      <c r="N659" s="88"/>
      <c r="O659" s="87"/>
      <c r="P659" s="87"/>
      <c r="Q659" s="89"/>
      <c r="R659" s="89"/>
      <c r="S659" s="90"/>
      <c r="T659" s="90"/>
      <c r="U659" s="8"/>
      <c r="V659" s="91"/>
      <c r="W659" s="91"/>
      <c r="X659" s="91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</row>
    <row r="660" spans="1:42" ht="12.75" x14ac:dyDescent="0.2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8"/>
      <c r="N660" s="88"/>
      <c r="O660" s="87"/>
      <c r="P660" s="87"/>
      <c r="Q660" s="89"/>
      <c r="R660" s="89"/>
      <c r="S660" s="90"/>
      <c r="T660" s="90"/>
      <c r="U660" s="8"/>
      <c r="V660" s="91"/>
      <c r="W660" s="91"/>
      <c r="X660" s="91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</row>
    <row r="661" spans="1:42" ht="12.75" x14ac:dyDescent="0.2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8"/>
      <c r="N661" s="88"/>
      <c r="O661" s="87"/>
      <c r="P661" s="87"/>
      <c r="Q661" s="89"/>
      <c r="R661" s="89"/>
      <c r="S661" s="90"/>
      <c r="T661" s="90"/>
      <c r="U661" s="8"/>
      <c r="V661" s="91"/>
      <c r="W661" s="91"/>
      <c r="X661" s="91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</row>
    <row r="662" spans="1:42" ht="12.75" x14ac:dyDescent="0.2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8"/>
      <c r="N662" s="88"/>
      <c r="O662" s="87"/>
      <c r="P662" s="87"/>
      <c r="Q662" s="89"/>
      <c r="R662" s="89"/>
      <c r="S662" s="90"/>
      <c r="T662" s="90"/>
      <c r="U662" s="8"/>
      <c r="V662" s="91"/>
      <c r="W662" s="91"/>
      <c r="X662" s="91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</row>
    <row r="663" spans="1:42" ht="12.75" x14ac:dyDescent="0.2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8"/>
      <c r="N663" s="88"/>
      <c r="O663" s="87"/>
      <c r="P663" s="87"/>
      <c r="Q663" s="89"/>
      <c r="R663" s="89"/>
      <c r="S663" s="90"/>
      <c r="T663" s="90"/>
      <c r="U663" s="8"/>
      <c r="V663" s="91"/>
      <c r="W663" s="91"/>
      <c r="X663" s="91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</row>
    <row r="664" spans="1:42" ht="12.75" x14ac:dyDescent="0.2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8"/>
      <c r="N664" s="88"/>
      <c r="O664" s="87"/>
      <c r="P664" s="87"/>
      <c r="Q664" s="89"/>
      <c r="R664" s="89"/>
      <c r="S664" s="90"/>
      <c r="T664" s="90"/>
      <c r="U664" s="8"/>
      <c r="V664" s="91"/>
      <c r="W664" s="91"/>
      <c r="X664" s="91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</row>
    <row r="665" spans="1:42" ht="12.75" x14ac:dyDescent="0.2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8"/>
      <c r="N665" s="88"/>
      <c r="O665" s="87"/>
      <c r="P665" s="87"/>
      <c r="Q665" s="89"/>
      <c r="R665" s="89"/>
      <c r="S665" s="90"/>
      <c r="T665" s="90"/>
      <c r="U665" s="8"/>
      <c r="V665" s="91"/>
      <c r="W665" s="91"/>
      <c r="X665" s="91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</row>
    <row r="666" spans="1:42" ht="12.75" x14ac:dyDescent="0.2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8"/>
      <c r="N666" s="88"/>
      <c r="O666" s="87"/>
      <c r="P666" s="87"/>
      <c r="Q666" s="89"/>
      <c r="R666" s="89"/>
      <c r="S666" s="90"/>
      <c r="T666" s="90"/>
      <c r="U666" s="8"/>
      <c r="V666" s="91"/>
      <c r="W666" s="91"/>
      <c r="X666" s="91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</row>
    <row r="667" spans="1:42" ht="12.75" x14ac:dyDescent="0.2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8"/>
      <c r="N667" s="88"/>
      <c r="O667" s="87"/>
      <c r="P667" s="87"/>
      <c r="Q667" s="89"/>
      <c r="R667" s="89"/>
      <c r="S667" s="90"/>
      <c r="T667" s="90"/>
      <c r="U667" s="8"/>
      <c r="V667" s="91"/>
      <c r="W667" s="91"/>
      <c r="X667" s="91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</row>
    <row r="668" spans="1:42" ht="12.75" x14ac:dyDescent="0.2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8"/>
      <c r="N668" s="88"/>
      <c r="O668" s="87"/>
      <c r="P668" s="87"/>
      <c r="Q668" s="89"/>
      <c r="R668" s="89"/>
      <c r="S668" s="90"/>
      <c r="T668" s="90"/>
      <c r="U668" s="8"/>
      <c r="V668" s="91"/>
      <c r="W668" s="91"/>
      <c r="X668" s="91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</row>
    <row r="669" spans="1:42" ht="12.75" x14ac:dyDescent="0.2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8"/>
      <c r="N669" s="88"/>
      <c r="O669" s="87"/>
      <c r="P669" s="87"/>
      <c r="Q669" s="89"/>
      <c r="R669" s="89"/>
      <c r="S669" s="90"/>
      <c r="T669" s="90"/>
      <c r="U669" s="8"/>
      <c r="V669" s="91"/>
      <c r="W669" s="91"/>
      <c r="X669" s="91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</row>
    <row r="670" spans="1:42" ht="12.75" x14ac:dyDescent="0.2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8"/>
      <c r="N670" s="88"/>
      <c r="O670" s="87"/>
      <c r="P670" s="87"/>
      <c r="Q670" s="89"/>
      <c r="R670" s="89"/>
      <c r="S670" s="90"/>
      <c r="T670" s="90"/>
      <c r="U670" s="8"/>
      <c r="V670" s="91"/>
      <c r="W670" s="91"/>
      <c r="X670" s="91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</row>
    <row r="671" spans="1:42" ht="12.75" x14ac:dyDescent="0.2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8"/>
      <c r="N671" s="88"/>
      <c r="O671" s="87"/>
      <c r="P671" s="87"/>
      <c r="Q671" s="89"/>
      <c r="R671" s="89"/>
      <c r="S671" s="90"/>
      <c r="T671" s="90"/>
      <c r="U671" s="8"/>
      <c r="V671" s="91"/>
      <c r="W671" s="91"/>
      <c r="X671" s="91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</row>
    <row r="672" spans="1:42" ht="12.75" x14ac:dyDescent="0.2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8"/>
      <c r="N672" s="88"/>
      <c r="O672" s="87"/>
      <c r="P672" s="87"/>
      <c r="Q672" s="89"/>
      <c r="R672" s="89"/>
      <c r="S672" s="90"/>
      <c r="T672" s="90"/>
      <c r="U672" s="8"/>
      <c r="V672" s="91"/>
      <c r="W672" s="91"/>
      <c r="X672" s="91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</row>
    <row r="673" spans="1:42" ht="12.75" x14ac:dyDescent="0.2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8"/>
      <c r="N673" s="88"/>
      <c r="O673" s="87"/>
      <c r="P673" s="87"/>
      <c r="Q673" s="89"/>
      <c r="R673" s="89"/>
      <c r="S673" s="90"/>
      <c r="T673" s="90"/>
      <c r="U673" s="8"/>
      <c r="V673" s="91"/>
      <c r="W673" s="91"/>
      <c r="X673" s="91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</row>
    <row r="674" spans="1:42" ht="12.75" x14ac:dyDescent="0.2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8"/>
      <c r="N674" s="88"/>
      <c r="O674" s="87"/>
      <c r="P674" s="87"/>
      <c r="Q674" s="89"/>
      <c r="R674" s="89"/>
      <c r="S674" s="90"/>
      <c r="T674" s="90"/>
      <c r="U674" s="8"/>
      <c r="V674" s="91"/>
      <c r="W674" s="91"/>
      <c r="X674" s="91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</row>
    <row r="675" spans="1:42" ht="12.75" x14ac:dyDescent="0.2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8"/>
      <c r="N675" s="88"/>
      <c r="O675" s="87"/>
      <c r="P675" s="87"/>
      <c r="Q675" s="89"/>
      <c r="R675" s="89"/>
      <c r="S675" s="90"/>
      <c r="T675" s="90"/>
      <c r="U675" s="8"/>
      <c r="V675" s="91"/>
      <c r="W675" s="91"/>
      <c r="X675" s="91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</row>
    <row r="676" spans="1:42" ht="12.75" x14ac:dyDescent="0.2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8"/>
      <c r="N676" s="88"/>
      <c r="O676" s="87"/>
      <c r="P676" s="87"/>
      <c r="Q676" s="89"/>
      <c r="R676" s="89"/>
      <c r="S676" s="90"/>
      <c r="T676" s="90"/>
      <c r="U676" s="8"/>
      <c r="V676" s="91"/>
      <c r="W676" s="91"/>
      <c r="X676" s="91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</row>
    <row r="677" spans="1:42" ht="12.75" x14ac:dyDescent="0.2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8"/>
      <c r="N677" s="88"/>
      <c r="O677" s="87"/>
      <c r="P677" s="87"/>
      <c r="Q677" s="89"/>
      <c r="R677" s="89"/>
      <c r="S677" s="90"/>
      <c r="T677" s="90"/>
      <c r="U677" s="8"/>
      <c r="V677" s="91"/>
      <c r="W677" s="91"/>
      <c r="X677" s="91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</row>
    <row r="678" spans="1:42" ht="12.75" x14ac:dyDescent="0.2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8"/>
      <c r="N678" s="88"/>
      <c r="O678" s="87"/>
      <c r="P678" s="87"/>
      <c r="Q678" s="89"/>
      <c r="R678" s="89"/>
      <c r="S678" s="90"/>
      <c r="T678" s="90"/>
      <c r="U678" s="8"/>
      <c r="V678" s="91"/>
      <c r="W678" s="91"/>
      <c r="X678" s="91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</row>
    <row r="679" spans="1:42" ht="12.75" x14ac:dyDescent="0.2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8"/>
      <c r="N679" s="88"/>
      <c r="O679" s="87"/>
      <c r="P679" s="87"/>
      <c r="Q679" s="89"/>
      <c r="R679" s="89"/>
      <c r="S679" s="90"/>
      <c r="T679" s="90"/>
      <c r="U679" s="8"/>
      <c r="V679" s="91"/>
      <c r="W679" s="91"/>
      <c r="X679" s="91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</row>
    <row r="680" spans="1:42" ht="12.75" x14ac:dyDescent="0.2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8"/>
      <c r="N680" s="88"/>
      <c r="O680" s="87"/>
      <c r="P680" s="87"/>
      <c r="Q680" s="89"/>
      <c r="R680" s="89"/>
      <c r="S680" s="90"/>
      <c r="T680" s="90"/>
      <c r="U680" s="8"/>
      <c r="V680" s="91"/>
      <c r="W680" s="91"/>
      <c r="X680" s="91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</row>
    <row r="681" spans="1:42" ht="12.75" x14ac:dyDescent="0.2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8"/>
      <c r="N681" s="88"/>
      <c r="O681" s="87"/>
      <c r="P681" s="87"/>
      <c r="Q681" s="89"/>
      <c r="R681" s="89"/>
      <c r="S681" s="90"/>
      <c r="T681" s="90"/>
      <c r="U681" s="8"/>
      <c r="V681" s="91"/>
      <c r="W681" s="91"/>
      <c r="X681" s="91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</row>
    <row r="682" spans="1:42" ht="12.75" x14ac:dyDescent="0.2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8"/>
      <c r="N682" s="88"/>
      <c r="O682" s="87"/>
      <c r="P682" s="87"/>
      <c r="Q682" s="89"/>
      <c r="R682" s="89"/>
      <c r="S682" s="90"/>
      <c r="T682" s="90"/>
      <c r="U682" s="8"/>
      <c r="V682" s="91"/>
      <c r="W682" s="91"/>
      <c r="X682" s="91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</row>
    <row r="683" spans="1:42" ht="12.75" x14ac:dyDescent="0.2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8"/>
      <c r="N683" s="88"/>
      <c r="O683" s="87"/>
      <c r="P683" s="87"/>
      <c r="Q683" s="89"/>
      <c r="R683" s="89"/>
      <c r="S683" s="90"/>
      <c r="T683" s="90"/>
      <c r="U683" s="8"/>
      <c r="V683" s="91"/>
      <c r="W683" s="91"/>
      <c r="X683" s="91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</row>
    <row r="684" spans="1:42" ht="12.75" x14ac:dyDescent="0.2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8"/>
      <c r="N684" s="88"/>
      <c r="O684" s="87"/>
      <c r="P684" s="87"/>
      <c r="Q684" s="89"/>
      <c r="R684" s="89"/>
      <c r="S684" s="90"/>
      <c r="T684" s="90"/>
      <c r="U684" s="8"/>
      <c r="V684" s="91"/>
      <c r="W684" s="91"/>
      <c r="X684" s="91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</row>
    <row r="685" spans="1:42" ht="12.75" x14ac:dyDescent="0.2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8"/>
      <c r="N685" s="88"/>
      <c r="O685" s="87"/>
      <c r="P685" s="87"/>
      <c r="Q685" s="89"/>
      <c r="R685" s="89"/>
      <c r="S685" s="90"/>
      <c r="T685" s="90"/>
      <c r="U685" s="8"/>
      <c r="V685" s="91"/>
      <c r="W685" s="91"/>
      <c r="X685" s="91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</row>
    <row r="686" spans="1:42" ht="12.75" x14ac:dyDescent="0.2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8"/>
      <c r="N686" s="88"/>
      <c r="O686" s="87"/>
      <c r="P686" s="87"/>
      <c r="Q686" s="89"/>
      <c r="R686" s="89"/>
      <c r="S686" s="90"/>
      <c r="T686" s="90"/>
      <c r="U686" s="8"/>
      <c r="V686" s="91"/>
      <c r="W686" s="91"/>
      <c r="X686" s="91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</row>
    <row r="687" spans="1:42" ht="12.75" x14ac:dyDescent="0.2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8"/>
      <c r="N687" s="88"/>
      <c r="O687" s="87"/>
      <c r="P687" s="87"/>
      <c r="Q687" s="89"/>
      <c r="R687" s="89"/>
      <c r="S687" s="90"/>
      <c r="T687" s="90"/>
      <c r="U687" s="8"/>
      <c r="V687" s="91"/>
      <c r="W687" s="91"/>
      <c r="X687" s="91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</row>
    <row r="688" spans="1:42" ht="12.75" x14ac:dyDescent="0.2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8"/>
      <c r="N688" s="88"/>
      <c r="O688" s="87"/>
      <c r="P688" s="87"/>
      <c r="Q688" s="89"/>
      <c r="R688" s="89"/>
      <c r="S688" s="90"/>
      <c r="T688" s="90"/>
      <c r="U688" s="8"/>
      <c r="V688" s="91"/>
      <c r="W688" s="91"/>
      <c r="X688" s="91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</row>
    <row r="689" spans="1:42" ht="12.75" x14ac:dyDescent="0.2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8"/>
      <c r="N689" s="88"/>
      <c r="O689" s="87"/>
      <c r="P689" s="87"/>
      <c r="Q689" s="89"/>
      <c r="R689" s="89"/>
      <c r="S689" s="90"/>
      <c r="T689" s="90"/>
      <c r="U689" s="8"/>
      <c r="V689" s="91"/>
      <c r="W689" s="91"/>
      <c r="X689" s="91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</row>
    <row r="690" spans="1:42" ht="12.75" x14ac:dyDescent="0.2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8"/>
      <c r="N690" s="88"/>
      <c r="O690" s="87"/>
      <c r="P690" s="87"/>
      <c r="Q690" s="89"/>
      <c r="R690" s="89"/>
      <c r="S690" s="90"/>
      <c r="T690" s="90"/>
      <c r="U690" s="8"/>
      <c r="V690" s="91"/>
      <c r="W690" s="91"/>
      <c r="X690" s="91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</row>
    <row r="691" spans="1:42" ht="12.75" x14ac:dyDescent="0.2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8"/>
      <c r="N691" s="88"/>
      <c r="O691" s="87"/>
      <c r="P691" s="87"/>
      <c r="Q691" s="89"/>
      <c r="R691" s="89"/>
      <c r="S691" s="90"/>
      <c r="T691" s="90"/>
      <c r="U691" s="8"/>
      <c r="V691" s="91"/>
      <c r="W691" s="91"/>
      <c r="X691" s="91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</row>
    <row r="692" spans="1:42" ht="12.75" x14ac:dyDescent="0.2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8"/>
      <c r="N692" s="88"/>
      <c r="O692" s="87"/>
      <c r="P692" s="87"/>
      <c r="Q692" s="89"/>
      <c r="R692" s="89"/>
      <c r="S692" s="90"/>
      <c r="T692" s="90"/>
      <c r="U692" s="8"/>
      <c r="V692" s="91"/>
      <c r="W692" s="91"/>
      <c r="X692" s="91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</row>
    <row r="693" spans="1:42" ht="12.75" x14ac:dyDescent="0.2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8"/>
      <c r="N693" s="88"/>
      <c r="O693" s="87"/>
      <c r="P693" s="87"/>
      <c r="Q693" s="89"/>
      <c r="R693" s="89"/>
      <c r="S693" s="90"/>
      <c r="T693" s="90"/>
      <c r="U693" s="8"/>
      <c r="V693" s="91"/>
      <c r="W693" s="91"/>
      <c r="X693" s="91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</row>
    <row r="694" spans="1:42" ht="12.75" x14ac:dyDescent="0.2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8"/>
      <c r="N694" s="88"/>
      <c r="O694" s="87"/>
      <c r="P694" s="87"/>
      <c r="Q694" s="89"/>
      <c r="R694" s="89"/>
      <c r="S694" s="90"/>
      <c r="T694" s="90"/>
      <c r="U694" s="8"/>
      <c r="V694" s="91"/>
      <c r="W694" s="91"/>
      <c r="X694" s="91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</row>
    <row r="695" spans="1:42" ht="12.75" x14ac:dyDescent="0.2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8"/>
      <c r="N695" s="88"/>
      <c r="O695" s="87"/>
      <c r="P695" s="87"/>
      <c r="Q695" s="89"/>
      <c r="R695" s="89"/>
      <c r="S695" s="90"/>
      <c r="T695" s="90"/>
      <c r="U695" s="8"/>
      <c r="V695" s="91"/>
      <c r="W695" s="91"/>
      <c r="X695" s="91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</row>
    <row r="696" spans="1:42" ht="12.75" x14ac:dyDescent="0.2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8"/>
      <c r="N696" s="88"/>
      <c r="O696" s="87"/>
      <c r="P696" s="87"/>
      <c r="Q696" s="89"/>
      <c r="R696" s="89"/>
      <c r="S696" s="90"/>
      <c r="T696" s="90"/>
      <c r="U696" s="8"/>
      <c r="V696" s="91"/>
      <c r="W696" s="91"/>
      <c r="X696" s="91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</row>
    <row r="697" spans="1:42" ht="12.75" x14ac:dyDescent="0.2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8"/>
      <c r="N697" s="88"/>
      <c r="O697" s="87"/>
      <c r="P697" s="87"/>
      <c r="Q697" s="89"/>
      <c r="R697" s="89"/>
      <c r="S697" s="90"/>
      <c r="T697" s="90"/>
      <c r="U697" s="8"/>
      <c r="V697" s="91"/>
      <c r="W697" s="91"/>
      <c r="X697" s="91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</row>
    <row r="698" spans="1:42" ht="12.75" x14ac:dyDescent="0.2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8"/>
      <c r="N698" s="88"/>
      <c r="O698" s="87"/>
      <c r="P698" s="87"/>
      <c r="Q698" s="89"/>
      <c r="R698" s="89"/>
      <c r="S698" s="90"/>
      <c r="T698" s="90"/>
      <c r="U698" s="8"/>
      <c r="V698" s="91"/>
      <c r="W698" s="91"/>
      <c r="X698" s="91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</row>
    <row r="699" spans="1:42" ht="12.75" x14ac:dyDescent="0.2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8"/>
      <c r="N699" s="88"/>
      <c r="O699" s="87"/>
      <c r="P699" s="87"/>
      <c r="Q699" s="89"/>
      <c r="R699" s="89"/>
      <c r="S699" s="90"/>
      <c r="T699" s="90"/>
      <c r="U699" s="8"/>
      <c r="V699" s="91"/>
      <c r="W699" s="91"/>
      <c r="X699" s="91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</row>
    <row r="700" spans="1:42" ht="12.75" x14ac:dyDescent="0.2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8"/>
      <c r="N700" s="88"/>
      <c r="O700" s="87"/>
      <c r="P700" s="87"/>
      <c r="Q700" s="89"/>
      <c r="R700" s="89"/>
      <c r="S700" s="90"/>
      <c r="T700" s="90"/>
      <c r="U700" s="8"/>
      <c r="V700" s="91"/>
      <c r="W700" s="91"/>
      <c r="X700" s="91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</row>
    <row r="701" spans="1:42" ht="12.75" x14ac:dyDescent="0.2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8"/>
      <c r="N701" s="88"/>
      <c r="O701" s="87"/>
      <c r="P701" s="87"/>
      <c r="Q701" s="89"/>
      <c r="R701" s="89"/>
      <c r="S701" s="90"/>
      <c r="T701" s="90"/>
      <c r="U701" s="8"/>
      <c r="V701" s="91"/>
      <c r="W701" s="91"/>
      <c r="X701" s="91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</row>
    <row r="702" spans="1:42" ht="12.75" x14ac:dyDescent="0.2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8"/>
      <c r="N702" s="88"/>
      <c r="O702" s="87"/>
      <c r="P702" s="87"/>
      <c r="Q702" s="89"/>
      <c r="R702" s="89"/>
      <c r="S702" s="90"/>
      <c r="T702" s="90"/>
      <c r="U702" s="8"/>
      <c r="V702" s="91"/>
      <c r="W702" s="91"/>
      <c r="X702" s="91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</row>
    <row r="703" spans="1:42" ht="12.75" x14ac:dyDescent="0.2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8"/>
      <c r="N703" s="88"/>
      <c r="O703" s="87"/>
      <c r="P703" s="87"/>
      <c r="Q703" s="89"/>
      <c r="R703" s="89"/>
      <c r="S703" s="90"/>
      <c r="T703" s="90"/>
      <c r="U703" s="8"/>
      <c r="V703" s="91"/>
      <c r="W703" s="91"/>
      <c r="X703" s="91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</row>
    <row r="704" spans="1:42" ht="12.75" x14ac:dyDescent="0.2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8"/>
      <c r="N704" s="88"/>
      <c r="O704" s="87"/>
      <c r="P704" s="87"/>
      <c r="Q704" s="89"/>
      <c r="R704" s="89"/>
      <c r="S704" s="90"/>
      <c r="T704" s="90"/>
      <c r="U704" s="8"/>
      <c r="V704" s="91"/>
      <c r="W704" s="91"/>
      <c r="X704" s="91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</row>
    <row r="705" spans="1:42" ht="12.75" x14ac:dyDescent="0.2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8"/>
      <c r="N705" s="88"/>
      <c r="O705" s="87"/>
      <c r="P705" s="87"/>
      <c r="Q705" s="89"/>
      <c r="R705" s="89"/>
      <c r="S705" s="90"/>
      <c r="T705" s="90"/>
      <c r="U705" s="8"/>
      <c r="V705" s="91"/>
      <c r="W705" s="91"/>
      <c r="X705" s="91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</row>
    <row r="706" spans="1:42" ht="12.75" x14ac:dyDescent="0.2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8"/>
      <c r="N706" s="88"/>
      <c r="O706" s="87"/>
      <c r="P706" s="87"/>
      <c r="Q706" s="89"/>
      <c r="R706" s="89"/>
      <c r="S706" s="90"/>
      <c r="T706" s="90"/>
      <c r="U706" s="8"/>
      <c r="V706" s="91"/>
      <c r="W706" s="91"/>
      <c r="X706" s="91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</row>
    <row r="707" spans="1:42" ht="12.75" x14ac:dyDescent="0.2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8"/>
      <c r="N707" s="88"/>
      <c r="O707" s="87"/>
      <c r="P707" s="87"/>
      <c r="Q707" s="89"/>
      <c r="R707" s="89"/>
      <c r="S707" s="90"/>
      <c r="T707" s="90"/>
      <c r="U707" s="8"/>
      <c r="V707" s="91"/>
      <c r="W707" s="91"/>
      <c r="X707" s="91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</row>
    <row r="708" spans="1:42" ht="12.75" x14ac:dyDescent="0.2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8"/>
      <c r="N708" s="88"/>
      <c r="O708" s="87"/>
      <c r="P708" s="87"/>
      <c r="Q708" s="89"/>
      <c r="R708" s="89"/>
      <c r="S708" s="90"/>
      <c r="T708" s="90"/>
      <c r="U708" s="8"/>
      <c r="V708" s="91"/>
      <c r="W708" s="91"/>
      <c r="X708" s="91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</row>
    <row r="709" spans="1:42" ht="12.75" x14ac:dyDescent="0.2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8"/>
      <c r="N709" s="88"/>
      <c r="O709" s="87"/>
      <c r="P709" s="87"/>
      <c r="Q709" s="89"/>
      <c r="R709" s="89"/>
      <c r="S709" s="90"/>
      <c r="T709" s="90"/>
      <c r="U709" s="8"/>
      <c r="V709" s="91"/>
      <c r="W709" s="91"/>
      <c r="X709" s="91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</row>
    <row r="710" spans="1:42" ht="12.75" x14ac:dyDescent="0.2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8"/>
      <c r="N710" s="88"/>
      <c r="O710" s="87"/>
      <c r="P710" s="87"/>
      <c r="Q710" s="89"/>
      <c r="R710" s="89"/>
      <c r="S710" s="90"/>
      <c r="T710" s="90"/>
      <c r="U710" s="8"/>
      <c r="V710" s="91"/>
      <c r="W710" s="91"/>
      <c r="X710" s="91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</row>
    <row r="711" spans="1:42" ht="12.75" x14ac:dyDescent="0.2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8"/>
      <c r="N711" s="88"/>
      <c r="O711" s="87"/>
      <c r="P711" s="87"/>
      <c r="Q711" s="89"/>
      <c r="R711" s="89"/>
      <c r="S711" s="90"/>
      <c r="T711" s="90"/>
      <c r="U711" s="8"/>
      <c r="V711" s="91"/>
      <c r="W711" s="91"/>
      <c r="X711" s="91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</row>
    <row r="712" spans="1:42" ht="12.75" x14ac:dyDescent="0.2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8"/>
      <c r="N712" s="88"/>
      <c r="O712" s="87"/>
      <c r="P712" s="87"/>
      <c r="Q712" s="89"/>
      <c r="R712" s="89"/>
      <c r="S712" s="90"/>
      <c r="T712" s="90"/>
      <c r="U712" s="8"/>
      <c r="V712" s="91"/>
      <c r="W712" s="91"/>
      <c r="X712" s="91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</row>
    <row r="713" spans="1:42" ht="12.75" x14ac:dyDescent="0.2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8"/>
      <c r="N713" s="88"/>
      <c r="O713" s="87"/>
      <c r="P713" s="87"/>
      <c r="Q713" s="89"/>
      <c r="R713" s="89"/>
      <c r="S713" s="90"/>
      <c r="T713" s="90"/>
      <c r="U713" s="8"/>
      <c r="V713" s="91"/>
      <c r="W713" s="91"/>
      <c r="X713" s="91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</row>
    <row r="714" spans="1:42" ht="12.75" x14ac:dyDescent="0.2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8"/>
      <c r="N714" s="88"/>
      <c r="O714" s="87"/>
      <c r="P714" s="87"/>
      <c r="Q714" s="89"/>
      <c r="R714" s="89"/>
      <c r="S714" s="90"/>
      <c r="T714" s="90"/>
      <c r="U714" s="8"/>
      <c r="V714" s="91"/>
      <c r="W714" s="91"/>
      <c r="X714" s="91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</row>
    <row r="715" spans="1:42" ht="12.75" x14ac:dyDescent="0.2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8"/>
      <c r="N715" s="88"/>
      <c r="O715" s="87"/>
      <c r="P715" s="87"/>
      <c r="Q715" s="89"/>
      <c r="R715" s="89"/>
      <c r="S715" s="90"/>
      <c r="T715" s="90"/>
      <c r="U715" s="8"/>
      <c r="V715" s="91"/>
      <c r="W715" s="91"/>
      <c r="X715" s="91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</row>
    <row r="716" spans="1:42" ht="12.75" x14ac:dyDescent="0.2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8"/>
      <c r="N716" s="88"/>
      <c r="O716" s="87"/>
      <c r="P716" s="87"/>
      <c r="Q716" s="89"/>
      <c r="R716" s="89"/>
      <c r="S716" s="90"/>
      <c r="T716" s="90"/>
      <c r="U716" s="8"/>
      <c r="V716" s="91"/>
      <c r="W716" s="91"/>
      <c r="X716" s="91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</row>
    <row r="717" spans="1:42" ht="12.75" x14ac:dyDescent="0.2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8"/>
      <c r="N717" s="88"/>
      <c r="O717" s="87"/>
      <c r="P717" s="87"/>
      <c r="Q717" s="89"/>
      <c r="R717" s="89"/>
      <c r="S717" s="90"/>
      <c r="T717" s="90"/>
      <c r="U717" s="8"/>
      <c r="V717" s="91"/>
      <c r="W717" s="91"/>
      <c r="X717" s="91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</row>
    <row r="718" spans="1:42" ht="12.75" x14ac:dyDescent="0.2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8"/>
      <c r="N718" s="88"/>
      <c r="O718" s="87"/>
      <c r="P718" s="87"/>
      <c r="Q718" s="89"/>
      <c r="R718" s="89"/>
      <c r="S718" s="90"/>
      <c r="T718" s="90"/>
      <c r="U718" s="8"/>
      <c r="V718" s="91"/>
      <c r="W718" s="91"/>
      <c r="X718" s="91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</row>
    <row r="719" spans="1:42" ht="12.75" x14ac:dyDescent="0.2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8"/>
      <c r="N719" s="88"/>
      <c r="O719" s="87"/>
      <c r="P719" s="87"/>
      <c r="Q719" s="89"/>
      <c r="R719" s="89"/>
      <c r="S719" s="90"/>
      <c r="T719" s="90"/>
      <c r="U719" s="8"/>
      <c r="V719" s="91"/>
      <c r="W719" s="91"/>
      <c r="X719" s="91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</row>
    <row r="720" spans="1:42" ht="12.75" x14ac:dyDescent="0.2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8"/>
      <c r="N720" s="88"/>
      <c r="O720" s="87"/>
      <c r="P720" s="87"/>
      <c r="Q720" s="89"/>
      <c r="R720" s="89"/>
      <c r="S720" s="90"/>
      <c r="T720" s="90"/>
      <c r="U720" s="8"/>
      <c r="V720" s="91"/>
      <c r="W720" s="91"/>
      <c r="X720" s="91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</row>
    <row r="721" spans="1:42" ht="12.75" x14ac:dyDescent="0.2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8"/>
      <c r="N721" s="88"/>
      <c r="O721" s="87"/>
      <c r="P721" s="87"/>
      <c r="Q721" s="89"/>
      <c r="R721" s="89"/>
      <c r="S721" s="90"/>
      <c r="T721" s="90"/>
      <c r="U721" s="8"/>
      <c r="V721" s="91"/>
      <c r="W721" s="91"/>
      <c r="X721" s="91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</row>
    <row r="722" spans="1:42" ht="12.75" x14ac:dyDescent="0.2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8"/>
      <c r="N722" s="88"/>
      <c r="O722" s="87"/>
      <c r="P722" s="87"/>
      <c r="Q722" s="89"/>
      <c r="R722" s="89"/>
      <c r="S722" s="90"/>
      <c r="T722" s="90"/>
      <c r="U722" s="8"/>
      <c r="V722" s="91"/>
      <c r="W722" s="91"/>
      <c r="X722" s="91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</row>
    <row r="723" spans="1:42" ht="12.75" x14ac:dyDescent="0.2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8"/>
      <c r="N723" s="88"/>
      <c r="O723" s="87"/>
      <c r="P723" s="87"/>
      <c r="Q723" s="89"/>
      <c r="R723" s="89"/>
      <c r="S723" s="90"/>
      <c r="T723" s="90"/>
      <c r="U723" s="8"/>
      <c r="V723" s="91"/>
      <c r="W723" s="91"/>
      <c r="X723" s="91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</row>
    <row r="724" spans="1:42" ht="12.75" x14ac:dyDescent="0.2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8"/>
      <c r="N724" s="88"/>
      <c r="O724" s="87"/>
      <c r="P724" s="87"/>
      <c r="Q724" s="89"/>
      <c r="R724" s="89"/>
      <c r="S724" s="90"/>
      <c r="T724" s="90"/>
      <c r="U724" s="8"/>
      <c r="V724" s="91"/>
      <c r="W724" s="91"/>
      <c r="X724" s="91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</row>
    <row r="725" spans="1:42" ht="12.75" x14ac:dyDescent="0.2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8"/>
      <c r="N725" s="88"/>
      <c r="O725" s="87"/>
      <c r="P725" s="87"/>
      <c r="Q725" s="89"/>
      <c r="R725" s="89"/>
      <c r="S725" s="90"/>
      <c r="T725" s="90"/>
      <c r="U725" s="8"/>
      <c r="V725" s="91"/>
      <c r="W725" s="91"/>
      <c r="X725" s="91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</row>
    <row r="726" spans="1:42" ht="12.75" x14ac:dyDescent="0.2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8"/>
      <c r="N726" s="88"/>
      <c r="O726" s="87"/>
      <c r="P726" s="87"/>
      <c r="Q726" s="89"/>
      <c r="R726" s="89"/>
      <c r="S726" s="90"/>
      <c r="T726" s="90"/>
      <c r="U726" s="8"/>
      <c r="V726" s="91"/>
      <c r="W726" s="91"/>
      <c r="X726" s="91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</row>
    <row r="727" spans="1:42" ht="12.75" x14ac:dyDescent="0.2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8"/>
      <c r="N727" s="88"/>
      <c r="O727" s="87"/>
      <c r="P727" s="87"/>
      <c r="Q727" s="89"/>
      <c r="R727" s="89"/>
      <c r="S727" s="90"/>
      <c r="T727" s="90"/>
      <c r="U727" s="8"/>
      <c r="V727" s="91"/>
      <c r="W727" s="91"/>
      <c r="X727" s="91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</row>
    <row r="728" spans="1:42" ht="12.75" x14ac:dyDescent="0.2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8"/>
      <c r="N728" s="88"/>
      <c r="O728" s="87"/>
      <c r="P728" s="87"/>
      <c r="Q728" s="89"/>
      <c r="R728" s="89"/>
      <c r="S728" s="90"/>
      <c r="T728" s="90"/>
      <c r="U728" s="8"/>
      <c r="V728" s="91"/>
      <c r="W728" s="91"/>
      <c r="X728" s="91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</row>
    <row r="729" spans="1:42" ht="12.75" x14ac:dyDescent="0.2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8"/>
      <c r="N729" s="88"/>
      <c r="O729" s="87"/>
      <c r="P729" s="87"/>
      <c r="Q729" s="89"/>
      <c r="R729" s="89"/>
      <c r="S729" s="90"/>
      <c r="T729" s="90"/>
      <c r="U729" s="8"/>
      <c r="V729" s="91"/>
      <c r="W729" s="91"/>
      <c r="X729" s="91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</row>
    <row r="730" spans="1:42" ht="12.75" x14ac:dyDescent="0.2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8"/>
      <c r="N730" s="88"/>
      <c r="O730" s="87"/>
      <c r="P730" s="87"/>
      <c r="Q730" s="89"/>
      <c r="R730" s="89"/>
      <c r="S730" s="90"/>
      <c r="T730" s="90"/>
      <c r="U730" s="8"/>
      <c r="V730" s="91"/>
      <c r="W730" s="91"/>
      <c r="X730" s="91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</row>
    <row r="731" spans="1:42" ht="12.75" x14ac:dyDescent="0.2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8"/>
      <c r="N731" s="88"/>
      <c r="O731" s="87"/>
      <c r="P731" s="87"/>
      <c r="Q731" s="89"/>
      <c r="R731" s="89"/>
      <c r="S731" s="90"/>
      <c r="T731" s="90"/>
      <c r="U731" s="8"/>
      <c r="V731" s="91"/>
      <c r="W731" s="91"/>
      <c r="X731" s="91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</row>
    <row r="732" spans="1:42" ht="12.75" x14ac:dyDescent="0.2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8"/>
      <c r="N732" s="88"/>
      <c r="O732" s="87"/>
      <c r="P732" s="87"/>
      <c r="Q732" s="89"/>
      <c r="R732" s="89"/>
      <c r="S732" s="90"/>
      <c r="T732" s="90"/>
      <c r="U732" s="8"/>
      <c r="V732" s="91"/>
      <c r="W732" s="91"/>
      <c r="X732" s="91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</row>
    <row r="733" spans="1:42" ht="12.75" x14ac:dyDescent="0.2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8"/>
      <c r="N733" s="88"/>
      <c r="O733" s="87"/>
      <c r="P733" s="87"/>
      <c r="Q733" s="89"/>
      <c r="R733" s="89"/>
      <c r="S733" s="90"/>
      <c r="T733" s="90"/>
      <c r="U733" s="8"/>
      <c r="V733" s="91"/>
      <c r="W733" s="91"/>
      <c r="X733" s="91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</row>
    <row r="734" spans="1:42" ht="12.75" x14ac:dyDescent="0.2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8"/>
      <c r="N734" s="88"/>
      <c r="O734" s="87"/>
      <c r="P734" s="87"/>
      <c r="Q734" s="89"/>
      <c r="R734" s="89"/>
      <c r="S734" s="90"/>
      <c r="T734" s="90"/>
      <c r="U734" s="8"/>
      <c r="V734" s="91"/>
      <c r="W734" s="91"/>
      <c r="X734" s="91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</row>
    <row r="735" spans="1:42" ht="12.75" x14ac:dyDescent="0.2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8"/>
      <c r="N735" s="88"/>
      <c r="O735" s="87"/>
      <c r="P735" s="87"/>
      <c r="Q735" s="89"/>
      <c r="R735" s="89"/>
      <c r="S735" s="90"/>
      <c r="T735" s="90"/>
      <c r="U735" s="8"/>
      <c r="V735" s="91"/>
      <c r="W735" s="91"/>
      <c r="X735" s="91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</row>
    <row r="736" spans="1:42" ht="12.75" x14ac:dyDescent="0.2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8"/>
      <c r="N736" s="88"/>
      <c r="O736" s="87"/>
      <c r="P736" s="87"/>
      <c r="Q736" s="89"/>
      <c r="R736" s="89"/>
      <c r="S736" s="90"/>
      <c r="T736" s="90"/>
      <c r="U736" s="8"/>
      <c r="V736" s="91"/>
      <c r="W736" s="91"/>
      <c r="X736" s="91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</row>
    <row r="737" spans="1:42" ht="12.75" x14ac:dyDescent="0.2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8"/>
      <c r="N737" s="88"/>
      <c r="O737" s="87"/>
      <c r="P737" s="87"/>
      <c r="Q737" s="89"/>
      <c r="R737" s="89"/>
      <c r="S737" s="90"/>
      <c r="T737" s="90"/>
      <c r="U737" s="8"/>
      <c r="V737" s="91"/>
      <c r="W737" s="91"/>
      <c r="X737" s="91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</row>
    <row r="738" spans="1:42" ht="12.75" x14ac:dyDescent="0.2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8"/>
      <c r="N738" s="88"/>
      <c r="O738" s="87"/>
      <c r="P738" s="87"/>
      <c r="Q738" s="89"/>
      <c r="R738" s="89"/>
      <c r="S738" s="90"/>
      <c r="T738" s="90"/>
      <c r="U738" s="8"/>
      <c r="V738" s="91"/>
      <c r="W738" s="91"/>
      <c r="X738" s="91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</row>
    <row r="739" spans="1:42" ht="12.75" x14ac:dyDescent="0.2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8"/>
      <c r="N739" s="88"/>
      <c r="O739" s="87"/>
      <c r="P739" s="87"/>
      <c r="Q739" s="89"/>
      <c r="R739" s="89"/>
      <c r="S739" s="90"/>
      <c r="T739" s="90"/>
      <c r="U739" s="8"/>
      <c r="V739" s="91"/>
      <c r="W739" s="91"/>
      <c r="X739" s="91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</row>
    <row r="740" spans="1:42" ht="12.75" x14ac:dyDescent="0.2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8"/>
      <c r="N740" s="88"/>
      <c r="O740" s="87"/>
      <c r="P740" s="87"/>
      <c r="Q740" s="89"/>
      <c r="R740" s="89"/>
      <c r="S740" s="90"/>
      <c r="T740" s="90"/>
      <c r="U740" s="8"/>
      <c r="V740" s="91"/>
      <c r="W740" s="91"/>
      <c r="X740" s="91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</row>
    <row r="741" spans="1:42" ht="12.75" x14ac:dyDescent="0.2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8"/>
      <c r="N741" s="88"/>
      <c r="O741" s="87"/>
      <c r="P741" s="87"/>
      <c r="Q741" s="89"/>
      <c r="R741" s="89"/>
      <c r="S741" s="90"/>
      <c r="T741" s="90"/>
      <c r="U741" s="8"/>
      <c r="V741" s="91"/>
      <c r="W741" s="91"/>
      <c r="X741" s="91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</row>
    <row r="742" spans="1:42" ht="12.75" x14ac:dyDescent="0.2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8"/>
      <c r="N742" s="88"/>
      <c r="O742" s="87"/>
      <c r="P742" s="87"/>
      <c r="Q742" s="89"/>
      <c r="R742" s="89"/>
      <c r="S742" s="90"/>
      <c r="T742" s="90"/>
      <c r="U742" s="8"/>
      <c r="V742" s="91"/>
      <c r="W742" s="91"/>
      <c r="X742" s="91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</row>
    <row r="743" spans="1:42" ht="12.75" x14ac:dyDescent="0.2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8"/>
      <c r="N743" s="88"/>
      <c r="O743" s="87"/>
      <c r="P743" s="87"/>
      <c r="Q743" s="89"/>
      <c r="R743" s="89"/>
      <c r="S743" s="90"/>
      <c r="T743" s="90"/>
      <c r="U743" s="8"/>
      <c r="V743" s="91"/>
      <c r="W743" s="91"/>
      <c r="X743" s="91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</row>
    <row r="744" spans="1:42" ht="12.75" x14ac:dyDescent="0.2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8"/>
      <c r="N744" s="88"/>
      <c r="O744" s="87"/>
      <c r="P744" s="87"/>
      <c r="Q744" s="89"/>
      <c r="R744" s="89"/>
      <c r="S744" s="90"/>
      <c r="T744" s="90"/>
      <c r="U744" s="8"/>
      <c r="V744" s="91"/>
      <c r="W744" s="91"/>
      <c r="X744" s="91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</row>
    <row r="745" spans="1:42" ht="12.75" x14ac:dyDescent="0.2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8"/>
      <c r="N745" s="88"/>
      <c r="O745" s="87"/>
      <c r="P745" s="87"/>
      <c r="Q745" s="89"/>
      <c r="R745" s="89"/>
      <c r="S745" s="90"/>
      <c r="T745" s="90"/>
      <c r="U745" s="8"/>
      <c r="V745" s="91"/>
      <c r="W745" s="91"/>
      <c r="X745" s="91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</row>
    <row r="746" spans="1:42" ht="12.75" x14ac:dyDescent="0.2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8"/>
      <c r="N746" s="88"/>
      <c r="O746" s="87"/>
      <c r="P746" s="87"/>
      <c r="Q746" s="89"/>
      <c r="R746" s="89"/>
      <c r="S746" s="90"/>
      <c r="T746" s="90"/>
      <c r="U746" s="8"/>
      <c r="V746" s="91"/>
      <c r="W746" s="91"/>
      <c r="X746" s="91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</row>
    <row r="747" spans="1:42" ht="12.75" x14ac:dyDescent="0.2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8"/>
      <c r="N747" s="88"/>
      <c r="O747" s="87"/>
      <c r="P747" s="87"/>
      <c r="Q747" s="89"/>
      <c r="R747" s="89"/>
      <c r="S747" s="90"/>
      <c r="T747" s="90"/>
      <c r="U747" s="8"/>
      <c r="V747" s="91"/>
      <c r="W747" s="91"/>
      <c r="X747" s="91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</row>
    <row r="748" spans="1:42" ht="12.75" x14ac:dyDescent="0.2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8"/>
      <c r="N748" s="88"/>
      <c r="O748" s="87"/>
      <c r="P748" s="87"/>
      <c r="Q748" s="89"/>
      <c r="R748" s="89"/>
      <c r="S748" s="90"/>
      <c r="T748" s="90"/>
      <c r="U748" s="8"/>
      <c r="V748" s="91"/>
      <c r="W748" s="91"/>
      <c r="X748" s="91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</row>
    <row r="749" spans="1:42" ht="12.75" x14ac:dyDescent="0.2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8"/>
      <c r="N749" s="88"/>
      <c r="O749" s="87"/>
      <c r="P749" s="87"/>
      <c r="Q749" s="89"/>
      <c r="R749" s="89"/>
      <c r="S749" s="90"/>
      <c r="T749" s="90"/>
      <c r="U749" s="8"/>
      <c r="V749" s="91"/>
      <c r="W749" s="91"/>
      <c r="X749" s="91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</row>
    <row r="750" spans="1:42" ht="12.75" x14ac:dyDescent="0.2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8"/>
      <c r="N750" s="88"/>
      <c r="O750" s="87"/>
      <c r="P750" s="87"/>
      <c r="Q750" s="89"/>
      <c r="R750" s="89"/>
      <c r="S750" s="90"/>
      <c r="T750" s="90"/>
      <c r="U750" s="8"/>
      <c r="V750" s="91"/>
      <c r="W750" s="91"/>
      <c r="X750" s="91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</row>
    <row r="751" spans="1:42" ht="12.75" x14ac:dyDescent="0.2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8"/>
      <c r="N751" s="88"/>
      <c r="O751" s="87"/>
      <c r="P751" s="87"/>
      <c r="Q751" s="89"/>
      <c r="R751" s="89"/>
      <c r="S751" s="90"/>
      <c r="T751" s="90"/>
      <c r="U751" s="8"/>
      <c r="V751" s="91"/>
      <c r="W751" s="91"/>
      <c r="X751" s="91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</row>
    <row r="752" spans="1:42" ht="12.75" x14ac:dyDescent="0.2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8"/>
      <c r="N752" s="88"/>
      <c r="O752" s="87"/>
      <c r="P752" s="87"/>
      <c r="Q752" s="89"/>
      <c r="R752" s="89"/>
      <c r="S752" s="90"/>
      <c r="T752" s="90"/>
      <c r="U752" s="8"/>
      <c r="V752" s="91"/>
      <c r="W752" s="91"/>
      <c r="X752" s="91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</row>
    <row r="753" spans="1:42" ht="12.75" x14ac:dyDescent="0.2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8"/>
      <c r="N753" s="88"/>
      <c r="O753" s="87"/>
      <c r="P753" s="87"/>
      <c r="Q753" s="89"/>
      <c r="R753" s="89"/>
      <c r="S753" s="90"/>
      <c r="T753" s="90"/>
      <c r="U753" s="8"/>
      <c r="V753" s="91"/>
      <c r="W753" s="91"/>
      <c r="X753" s="91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</row>
    <row r="754" spans="1:42" ht="12.75" x14ac:dyDescent="0.2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8"/>
      <c r="N754" s="88"/>
      <c r="O754" s="87"/>
      <c r="P754" s="87"/>
      <c r="Q754" s="89"/>
      <c r="R754" s="89"/>
      <c r="S754" s="90"/>
      <c r="T754" s="90"/>
      <c r="U754" s="8"/>
      <c r="V754" s="91"/>
      <c r="W754" s="91"/>
      <c r="X754" s="91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</row>
    <row r="755" spans="1:42" ht="12.75" x14ac:dyDescent="0.2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8"/>
      <c r="N755" s="88"/>
      <c r="O755" s="87"/>
      <c r="P755" s="87"/>
      <c r="Q755" s="89"/>
      <c r="R755" s="89"/>
      <c r="S755" s="90"/>
      <c r="T755" s="90"/>
      <c r="U755" s="8"/>
      <c r="V755" s="91"/>
      <c r="W755" s="91"/>
      <c r="X755" s="91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</row>
    <row r="756" spans="1:42" ht="12.75" x14ac:dyDescent="0.2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8"/>
      <c r="N756" s="88"/>
      <c r="O756" s="87"/>
      <c r="P756" s="87"/>
      <c r="Q756" s="89"/>
      <c r="R756" s="89"/>
      <c r="S756" s="90"/>
      <c r="T756" s="90"/>
      <c r="U756" s="8"/>
      <c r="V756" s="91"/>
      <c r="W756" s="91"/>
      <c r="X756" s="91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</row>
    <row r="757" spans="1:42" ht="12.75" x14ac:dyDescent="0.2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8"/>
      <c r="N757" s="88"/>
      <c r="O757" s="87"/>
      <c r="P757" s="87"/>
      <c r="Q757" s="89"/>
      <c r="R757" s="89"/>
      <c r="S757" s="90"/>
      <c r="T757" s="90"/>
      <c r="U757" s="8"/>
      <c r="V757" s="91"/>
      <c r="W757" s="91"/>
      <c r="X757" s="91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</row>
    <row r="758" spans="1:42" ht="12.75" x14ac:dyDescent="0.2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8"/>
      <c r="N758" s="88"/>
      <c r="O758" s="87"/>
      <c r="P758" s="87"/>
      <c r="Q758" s="89"/>
      <c r="R758" s="89"/>
      <c r="S758" s="90"/>
      <c r="T758" s="90"/>
      <c r="U758" s="8"/>
      <c r="V758" s="91"/>
      <c r="W758" s="91"/>
      <c r="X758" s="91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</row>
    <row r="759" spans="1:42" ht="12.75" x14ac:dyDescent="0.2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8"/>
      <c r="N759" s="88"/>
      <c r="O759" s="87"/>
      <c r="P759" s="87"/>
      <c r="Q759" s="89"/>
      <c r="R759" s="89"/>
      <c r="S759" s="90"/>
      <c r="T759" s="90"/>
      <c r="U759" s="8"/>
      <c r="V759" s="91"/>
      <c r="W759" s="91"/>
      <c r="X759" s="91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</row>
    <row r="760" spans="1:42" ht="12.75" x14ac:dyDescent="0.2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8"/>
      <c r="N760" s="88"/>
      <c r="O760" s="87"/>
      <c r="P760" s="87"/>
      <c r="Q760" s="89"/>
      <c r="R760" s="89"/>
      <c r="S760" s="90"/>
      <c r="T760" s="90"/>
      <c r="U760" s="8"/>
      <c r="V760" s="91"/>
      <c r="W760" s="91"/>
      <c r="X760" s="91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</row>
    <row r="761" spans="1:42" ht="12.75" x14ac:dyDescent="0.2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8"/>
      <c r="N761" s="88"/>
      <c r="O761" s="87"/>
      <c r="P761" s="87"/>
      <c r="Q761" s="89"/>
      <c r="R761" s="89"/>
      <c r="S761" s="90"/>
      <c r="T761" s="90"/>
      <c r="U761" s="8"/>
      <c r="V761" s="91"/>
      <c r="W761" s="91"/>
      <c r="X761" s="91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</row>
    <row r="762" spans="1:42" ht="12.75" x14ac:dyDescent="0.2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8"/>
      <c r="N762" s="88"/>
      <c r="O762" s="87"/>
      <c r="P762" s="87"/>
      <c r="Q762" s="89"/>
      <c r="R762" s="89"/>
      <c r="S762" s="90"/>
      <c r="T762" s="90"/>
      <c r="U762" s="8"/>
      <c r="V762" s="91"/>
      <c r="W762" s="91"/>
      <c r="X762" s="91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</row>
    <row r="763" spans="1:42" ht="12.75" x14ac:dyDescent="0.2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8"/>
      <c r="N763" s="88"/>
      <c r="O763" s="87"/>
      <c r="P763" s="87"/>
      <c r="Q763" s="89"/>
      <c r="R763" s="89"/>
      <c r="S763" s="90"/>
      <c r="T763" s="90"/>
      <c r="U763" s="8"/>
      <c r="V763" s="91"/>
      <c r="W763" s="91"/>
      <c r="X763" s="91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</row>
    <row r="764" spans="1:42" ht="12.75" x14ac:dyDescent="0.2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8"/>
      <c r="N764" s="88"/>
      <c r="O764" s="87"/>
      <c r="P764" s="87"/>
      <c r="Q764" s="89"/>
      <c r="R764" s="89"/>
      <c r="S764" s="90"/>
      <c r="T764" s="90"/>
      <c r="U764" s="8"/>
      <c r="V764" s="91"/>
      <c r="W764" s="91"/>
      <c r="X764" s="91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</row>
    <row r="765" spans="1:42" ht="12.75" x14ac:dyDescent="0.2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8"/>
      <c r="N765" s="88"/>
      <c r="O765" s="87"/>
      <c r="P765" s="87"/>
      <c r="Q765" s="89"/>
      <c r="R765" s="89"/>
      <c r="S765" s="90"/>
      <c r="T765" s="90"/>
      <c r="U765" s="8"/>
      <c r="V765" s="91"/>
      <c r="W765" s="91"/>
      <c r="X765" s="91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</row>
    <row r="766" spans="1:42" ht="12.75" x14ac:dyDescent="0.2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8"/>
      <c r="N766" s="88"/>
      <c r="O766" s="87"/>
      <c r="P766" s="87"/>
      <c r="Q766" s="89"/>
      <c r="R766" s="89"/>
      <c r="S766" s="90"/>
      <c r="T766" s="90"/>
      <c r="U766" s="8"/>
      <c r="V766" s="91"/>
      <c r="W766" s="91"/>
      <c r="X766" s="91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</row>
    <row r="767" spans="1:42" ht="12.75" x14ac:dyDescent="0.2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8"/>
      <c r="N767" s="88"/>
      <c r="O767" s="87"/>
      <c r="P767" s="87"/>
      <c r="Q767" s="89"/>
      <c r="R767" s="89"/>
      <c r="S767" s="90"/>
      <c r="T767" s="90"/>
      <c r="U767" s="8"/>
      <c r="V767" s="91"/>
      <c r="W767" s="91"/>
      <c r="X767" s="91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</row>
    <row r="768" spans="1:42" ht="12.75" x14ac:dyDescent="0.2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8"/>
      <c r="N768" s="88"/>
      <c r="O768" s="87"/>
      <c r="P768" s="87"/>
      <c r="Q768" s="89"/>
      <c r="R768" s="89"/>
      <c r="S768" s="90"/>
      <c r="T768" s="90"/>
      <c r="U768" s="8"/>
      <c r="V768" s="91"/>
      <c r="W768" s="91"/>
      <c r="X768" s="91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</row>
    <row r="769" spans="1:42" ht="12.75" x14ac:dyDescent="0.2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8"/>
      <c r="N769" s="88"/>
      <c r="O769" s="87"/>
      <c r="P769" s="87"/>
      <c r="Q769" s="89"/>
      <c r="R769" s="89"/>
      <c r="S769" s="90"/>
      <c r="T769" s="90"/>
      <c r="U769" s="8"/>
      <c r="V769" s="91"/>
      <c r="W769" s="91"/>
      <c r="X769" s="91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</row>
    <row r="770" spans="1:42" ht="12.75" x14ac:dyDescent="0.2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8"/>
      <c r="N770" s="88"/>
      <c r="O770" s="87"/>
      <c r="P770" s="87"/>
      <c r="Q770" s="89"/>
      <c r="R770" s="89"/>
      <c r="S770" s="90"/>
      <c r="T770" s="90"/>
      <c r="U770" s="8"/>
      <c r="V770" s="91"/>
      <c r="W770" s="91"/>
      <c r="X770" s="91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</row>
    <row r="771" spans="1:42" ht="12.75" x14ac:dyDescent="0.2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8"/>
      <c r="N771" s="88"/>
      <c r="O771" s="87"/>
      <c r="P771" s="87"/>
      <c r="Q771" s="89"/>
      <c r="R771" s="89"/>
      <c r="S771" s="90"/>
      <c r="T771" s="90"/>
      <c r="U771" s="8"/>
      <c r="V771" s="91"/>
      <c r="W771" s="91"/>
      <c r="X771" s="91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</row>
    <row r="772" spans="1:42" ht="12.75" x14ac:dyDescent="0.2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8"/>
      <c r="N772" s="88"/>
      <c r="O772" s="87"/>
      <c r="P772" s="87"/>
      <c r="Q772" s="89"/>
      <c r="R772" s="89"/>
      <c r="S772" s="90"/>
      <c r="T772" s="90"/>
      <c r="U772" s="8"/>
      <c r="V772" s="91"/>
      <c r="W772" s="91"/>
      <c r="X772" s="91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</row>
    <row r="773" spans="1:42" ht="12.75" x14ac:dyDescent="0.2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8"/>
      <c r="N773" s="88"/>
      <c r="O773" s="87"/>
      <c r="P773" s="87"/>
      <c r="Q773" s="89"/>
      <c r="R773" s="89"/>
      <c r="S773" s="90"/>
      <c r="T773" s="90"/>
      <c r="U773" s="8"/>
      <c r="V773" s="91"/>
      <c r="W773" s="91"/>
      <c r="X773" s="91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</row>
    <row r="774" spans="1:42" ht="12.75" x14ac:dyDescent="0.2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8"/>
      <c r="N774" s="88"/>
      <c r="O774" s="87"/>
      <c r="P774" s="87"/>
      <c r="Q774" s="89"/>
      <c r="R774" s="89"/>
      <c r="S774" s="90"/>
      <c r="T774" s="90"/>
      <c r="U774" s="8"/>
      <c r="V774" s="91"/>
      <c r="W774" s="91"/>
      <c r="X774" s="91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</row>
    <row r="775" spans="1:42" ht="12.75" x14ac:dyDescent="0.2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8"/>
      <c r="N775" s="88"/>
      <c r="O775" s="87"/>
      <c r="P775" s="87"/>
      <c r="Q775" s="89"/>
      <c r="R775" s="89"/>
      <c r="S775" s="90"/>
      <c r="T775" s="90"/>
      <c r="U775" s="8"/>
      <c r="V775" s="91"/>
      <c r="W775" s="91"/>
      <c r="X775" s="91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</row>
    <row r="776" spans="1:42" ht="12.75" x14ac:dyDescent="0.2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8"/>
      <c r="N776" s="88"/>
      <c r="O776" s="87"/>
      <c r="P776" s="87"/>
      <c r="Q776" s="89"/>
      <c r="R776" s="89"/>
      <c r="S776" s="90"/>
      <c r="T776" s="90"/>
      <c r="U776" s="8"/>
      <c r="V776" s="91"/>
      <c r="W776" s="91"/>
      <c r="X776" s="91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</row>
    <row r="777" spans="1:42" ht="12.75" x14ac:dyDescent="0.2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8"/>
      <c r="N777" s="88"/>
      <c r="O777" s="87"/>
      <c r="P777" s="87"/>
      <c r="Q777" s="89"/>
      <c r="R777" s="89"/>
      <c r="S777" s="90"/>
      <c r="T777" s="90"/>
      <c r="U777" s="8"/>
      <c r="V777" s="91"/>
      <c r="W777" s="91"/>
      <c r="X777" s="91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</row>
    <row r="778" spans="1:42" ht="12.75" x14ac:dyDescent="0.2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8"/>
      <c r="N778" s="88"/>
      <c r="O778" s="87"/>
      <c r="P778" s="87"/>
      <c r="Q778" s="89"/>
      <c r="R778" s="89"/>
      <c r="S778" s="90"/>
      <c r="T778" s="90"/>
      <c r="U778" s="8"/>
      <c r="V778" s="91"/>
      <c r="W778" s="91"/>
      <c r="X778" s="91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</row>
    <row r="779" spans="1:42" ht="12.75" x14ac:dyDescent="0.2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8"/>
      <c r="N779" s="88"/>
      <c r="O779" s="87"/>
      <c r="P779" s="87"/>
      <c r="Q779" s="89"/>
      <c r="R779" s="89"/>
      <c r="S779" s="90"/>
      <c r="T779" s="90"/>
      <c r="U779" s="8"/>
      <c r="V779" s="91"/>
      <c r="W779" s="91"/>
      <c r="X779" s="91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</row>
    <row r="780" spans="1:42" ht="12.75" x14ac:dyDescent="0.2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8"/>
      <c r="N780" s="88"/>
      <c r="O780" s="87"/>
      <c r="P780" s="87"/>
      <c r="Q780" s="89"/>
      <c r="R780" s="89"/>
      <c r="S780" s="90"/>
      <c r="T780" s="90"/>
      <c r="U780" s="8"/>
      <c r="V780" s="91"/>
      <c r="W780" s="91"/>
      <c r="X780" s="91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</row>
    <row r="781" spans="1:42" ht="12.75" x14ac:dyDescent="0.2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8"/>
      <c r="N781" s="88"/>
      <c r="O781" s="87"/>
      <c r="P781" s="87"/>
      <c r="Q781" s="89"/>
      <c r="R781" s="89"/>
      <c r="S781" s="90"/>
      <c r="T781" s="90"/>
      <c r="U781" s="8"/>
      <c r="V781" s="91"/>
      <c r="W781" s="91"/>
      <c r="X781" s="91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</row>
    <row r="782" spans="1:42" ht="12.75" x14ac:dyDescent="0.2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8"/>
      <c r="N782" s="88"/>
      <c r="O782" s="87"/>
      <c r="P782" s="87"/>
      <c r="Q782" s="89"/>
      <c r="R782" s="89"/>
      <c r="S782" s="90"/>
      <c r="T782" s="90"/>
      <c r="U782" s="8"/>
      <c r="V782" s="91"/>
      <c r="W782" s="91"/>
      <c r="X782" s="91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</row>
    <row r="783" spans="1:42" ht="12.75" x14ac:dyDescent="0.2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8"/>
      <c r="N783" s="88"/>
      <c r="O783" s="87"/>
      <c r="P783" s="87"/>
      <c r="Q783" s="89"/>
      <c r="R783" s="89"/>
      <c r="S783" s="90"/>
      <c r="T783" s="90"/>
      <c r="U783" s="8"/>
      <c r="V783" s="91"/>
      <c r="W783" s="91"/>
      <c r="X783" s="91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</row>
    <row r="784" spans="1:42" ht="12.75" x14ac:dyDescent="0.2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8"/>
      <c r="N784" s="88"/>
      <c r="O784" s="87"/>
      <c r="P784" s="87"/>
      <c r="Q784" s="89"/>
      <c r="R784" s="89"/>
      <c r="S784" s="90"/>
      <c r="T784" s="90"/>
      <c r="U784" s="8"/>
      <c r="V784" s="91"/>
      <c r="W784" s="91"/>
      <c r="X784" s="91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</row>
    <row r="785" spans="1:42" ht="12.75" x14ac:dyDescent="0.2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8"/>
      <c r="N785" s="88"/>
      <c r="O785" s="87"/>
      <c r="P785" s="87"/>
      <c r="Q785" s="89"/>
      <c r="R785" s="89"/>
      <c r="S785" s="90"/>
      <c r="T785" s="90"/>
      <c r="U785" s="8"/>
      <c r="V785" s="91"/>
      <c r="W785" s="91"/>
      <c r="X785" s="91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</row>
    <row r="786" spans="1:42" ht="12.75" x14ac:dyDescent="0.2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8"/>
      <c r="N786" s="88"/>
      <c r="O786" s="87"/>
      <c r="P786" s="87"/>
      <c r="Q786" s="89"/>
      <c r="R786" s="89"/>
      <c r="S786" s="90"/>
      <c r="T786" s="90"/>
      <c r="U786" s="8"/>
      <c r="V786" s="91"/>
      <c r="W786" s="91"/>
      <c r="X786" s="91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</row>
    <row r="787" spans="1:42" ht="12.75" x14ac:dyDescent="0.2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8"/>
      <c r="N787" s="88"/>
      <c r="O787" s="87"/>
      <c r="P787" s="87"/>
      <c r="Q787" s="89"/>
      <c r="R787" s="89"/>
      <c r="S787" s="90"/>
      <c r="T787" s="90"/>
      <c r="U787" s="8"/>
      <c r="V787" s="91"/>
      <c r="W787" s="91"/>
      <c r="X787" s="91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</row>
    <row r="788" spans="1:42" ht="12.75" x14ac:dyDescent="0.2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8"/>
      <c r="N788" s="88"/>
      <c r="O788" s="87"/>
      <c r="P788" s="87"/>
      <c r="Q788" s="89"/>
      <c r="R788" s="89"/>
      <c r="S788" s="90"/>
      <c r="T788" s="90"/>
      <c r="U788" s="8"/>
      <c r="V788" s="91"/>
      <c r="W788" s="91"/>
      <c r="X788" s="91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</row>
    <row r="789" spans="1:42" ht="12.75" x14ac:dyDescent="0.2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8"/>
      <c r="N789" s="88"/>
      <c r="O789" s="87"/>
      <c r="P789" s="87"/>
      <c r="Q789" s="89"/>
      <c r="R789" s="89"/>
      <c r="S789" s="90"/>
      <c r="T789" s="90"/>
      <c r="U789" s="8"/>
      <c r="V789" s="91"/>
      <c r="W789" s="91"/>
      <c r="X789" s="91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</row>
    <row r="790" spans="1:42" ht="12.75" x14ac:dyDescent="0.2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8"/>
      <c r="N790" s="88"/>
      <c r="O790" s="87"/>
      <c r="P790" s="87"/>
      <c r="Q790" s="89"/>
      <c r="R790" s="89"/>
      <c r="S790" s="90"/>
      <c r="T790" s="90"/>
      <c r="U790" s="8"/>
      <c r="V790" s="91"/>
      <c r="W790" s="91"/>
      <c r="X790" s="91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</row>
    <row r="791" spans="1:42" ht="12.75" x14ac:dyDescent="0.2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8"/>
      <c r="N791" s="88"/>
      <c r="O791" s="87"/>
      <c r="P791" s="87"/>
      <c r="Q791" s="89"/>
      <c r="R791" s="89"/>
      <c r="S791" s="90"/>
      <c r="T791" s="90"/>
      <c r="U791" s="8"/>
      <c r="V791" s="91"/>
      <c r="W791" s="91"/>
      <c r="X791" s="91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</row>
    <row r="792" spans="1:42" ht="12.75" x14ac:dyDescent="0.2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8"/>
      <c r="N792" s="88"/>
      <c r="O792" s="87"/>
      <c r="P792" s="87"/>
      <c r="Q792" s="89"/>
      <c r="R792" s="89"/>
      <c r="S792" s="90"/>
      <c r="T792" s="90"/>
      <c r="U792" s="8"/>
      <c r="V792" s="91"/>
      <c r="W792" s="91"/>
      <c r="X792" s="91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</row>
    <row r="793" spans="1:42" ht="12.75" x14ac:dyDescent="0.2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8"/>
      <c r="N793" s="88"/>
      <c r="O793" s="87"/>
      <c r="P793" s="87"/>
      <c r="Q793" s="89"/>
      <c r="R793" s="89"/>
      <c r="S793" s="90"/>
      <c r="T793" s="90"/>
      <c r="U793" s="8"/>
      <c r="V793" s="91"/>
      <c r="W793" s="91"/>
      <c r="X793" s="91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</row>
    <row r="794" spans="1:42" ht="12.75" x14ac:dyDescent="0.2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8"/>
      <c r="N794" s="88"/>
      <c r="O794" s="87"/>
      <c r="P794" s="87"/>
      <c r="Q794" s="89"/>
      <c r="R794" s="89"/>
      <c r="S794" s="90"/>
      <c r="T794" s="90"/>
      <c r="U794" s="8"/>
      <c r="V794" s="91"/>
      <c r="W794" s="91"/>
      <c r="X794" s="91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</row>
    <row r="795" spans="1:42" ht="12.75" x14ac:dyDescent="0.2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8"/>
      <c r="N795" s="88"/>
      <c r="O795" s="87"/>
      <c r="P795" s="87"/>
      <c r="Q795" s="89"/>
      <c r="R795" s="89"/>
      <c r="S795" s="90"/>
      <c r="T795" s="90"/>
      <c r="U795" s="8"/>
      <c r="V795" s="91"/>
      <c r="W795" s="91"/>
      <c r="X795" s="91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</row>
    <row r="796" spans="1:42" ht="12.75" x14ac:dyDescent="0.2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8"/>
      <c r="N796" s="88"/>
      <c r="O796" s="87"/>
      <c r="P796" s="87"/>
      <c r="Q796" s="89"/>
      <c r="R796" s="89"/>
      <c r="S796" s="90"/>
      <c r="T796" s="90"/>
      <c r="U796" s="8"/>
      <c r="V796" s="91"/>
      <c r="W796" s="91"/>
      <c r="X796" s="91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</row>
    <row r="797" spans="1:42" ht="12.75" x14ac:dyDescent="0.2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8"/>
      <c r="N797" s="88"/>
      <c r="O797" s="87"/>
      <c r="P797" s="87"/>
      <c r="Q797" s="89"/>
      <c r="R797" s="89"/>
      <c r="S797" s="90"/>
      <c r="T797" s="90"/>
      <c r="U797" s="8"/>
      <c r="V797" s="91"/>
      <c r="W797" s="91"/>
      <c r="X797" s="91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</row>
    <row r="798" spans="1:42" ht="12.75" x14ac:dyDescent="0.2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8"/>
      <c r="N798" s="88"/>
      <c r="O798" s="87"/>
      <c r="P798" s="87"/>
      <c r="Q798" s="89"/>
      <c r="R798" s="89"/>
      <c r="S798" s="90"/>
      <c r="T798" s="90"/>
      <c r="U798" s="8"/>
      <c r="V798" s="91"/>
      <c r="W798" s="91"/>
      <c r="X798" s="91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</row>
    <row r="799" spans="1:42" ht="12.75" x14ac:dyDescent="0.2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8"/>
      <c r="N799" s="88"/>
      <c r="O799" s="87"/>
      <c r="P799" s="87"/>
      <c r="Q799" s="89"/>
      <c r="R799" s="89"/>
      <c r="S799" s="90"/>
      <c r="T799" s="90"/>
      <c r="U799" s="8"/>
      <c r="V799" s="91"/>
      <c r="W799" s="91"/>
      <c r="X799" s="91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</row>
    <row r="800" spans="1:42" ht="12.75" x14ac:dyDescent="0.2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8"/>
      <c r="N800" s="88"/>
      <c r="O800" s="87"/>
      <c r="P800" s="87"/>
      <c r="Q800" s="89"/>
      <c r="R800" s="89"/>
      <c r="S800" s="90"/>
      <c r="T800" s="90"/>
      <c r="U800" s="8"/>
      <c r="V800" s="91"/>
      <c r="W800" s="91"/>
      <c r="X800" s="91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</row>
    <row r="801" spans="1:42" ht="12.75" x14ac:dyDescent="0.2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8"/>
      <c r="N801" s="88"/>
      <c r="O801" s="87"/>
      <c r="P801" s="87"/>
      <c r="Q801" s="89"/>
      <c r="R801" s="89"/>
      <c r="S801" s="90"/>
      <c r="T801" s="90"/>
      <c r="U801" s="8"/>
      <c r="V801" s="91"/>
      <c r="W801" s="91"/>
      <c r="X801" s="91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</row>
    <row r="802" spans="1:42" ht="12.75" x14ac:dyDescent="0.2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8"/>
      <c r="N802" s="88"/>
      <c r="O802" s="87"/>
      <c r="P802" s="87"/>
      <c r="Q802" s="89"/>
      <c r="R802" s="89"/>
      <c r="S802" s="90"/>
      <c r="T802" s="90"/>
      <c r="U802" s="8"/>
      <c r="V802" s="91"/>
      <c r="W802" s="91"/>
      <c r="X802" s="91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</row>
    <row r="803" spans="1:42" ht="12.75" x14ac:dyDescent="0.2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8"/>
      <c r="N803" s="88"/>
      <c r="O803" s="87"/>
      <c r="P803" s="87"/>
      <c r="Q803" s="89"/>
      <c r="R803" s="89"/>
      <c r="S803" s="90"/>
      <c r="T803" s="90"/>
      <c r="U803" s="8"/>
      <c r="V803" s="91"/>
      <c r="W803" s="91"/>
      <c r="X803" s="91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</row>
    <row r="804" spans="1:42" ht="12.75" x14ac:dyDescent="0.2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8"/>
      <c r="N804" s="88"/>
      <c r="O804" s="87"/>
      <c r="P804" s="87"/>
      <c r="Q804" s="89"/>
      <c r="R804" s="89"/>
      <c r="S804" s="90"/>
      <c r="T804" s="90"/>
      <c r="U804" s="8"/>
      <c r="V804" s="91"/>
      <c r="W804" s="91"/>
      <c r="X804" s="91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</row>
    <row r="805" spans="1:42" ht="12.75" x14ac:dyDescent="0.2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8"/>
      <c r="N805" s="88"/>
      <c r="O805" s="87"/>
      <c r="P805" s="87"/>
      <c r="Q805" s="89"/>
      <c r="R805" s="89"/>
      <c r="S805" s="90"/>
      <c r="T805" s="90"/>
      <c r="U805" s="8"/>
      <c r="V805" s="91"/>
      <c r="W805" s="91"/>
      <c r="X805" s="91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</row>
    <row r="806" spans="1:42" ht="12.75" x14ac:dyDescent="0.2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8"/>
      <c r="N806" s="88"/>
      <c r="O806" s="87"/>
      <c r="P806" s="87"/>
      <c r="Q806" s="89"/>
      <c r="R806" s="89"/>
      <c r="S806" s="90"/>
      <c r="T806" s="90"/>
      <c r="U806" s="8"/>
      <c r="V806" s="91"/>
      <c r="W806" s="91"/>
      <c r="X806" s="91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</row>
    <row r="807" spans="1:42" ht="12.75" x14ac:dyDescent="0.2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8"/>
      <c r="N807" s="88"/>
      <c r="O807" s="87"/>
      <c r="P807" s="87"/>
      <c r="Q807" s="89"/>
      <c r="R807" s="89"/>
      <c r="S807" s="90"/>
      <c r="T807" s="90"/>
      <c r="U807" s="8"/>
      <c r="V807" s="91"/>
      <c r="W807" s="91"/>
      <c r="X807" s="91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</row>
    <row r="808" spans="1:42" ht="12.75" x14ac:dyDescent="0.2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8"/>
      <c r="N808" s="88"/>
      <c r="O808" s="87"/>
      <c r="P808" s="87"/>
      <c r="Q808" s="89"/>
      <c r="R808" s="89"/>
      <c r="S808" s="90"/>
      <c r="T808" s="90"/>
      <c r="U808" s="8"/>
      <c r="V808" s="91"/>
      <c r="W808" s="91"/>
      <c r="X808" s="91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</row>
    <row r="809" spans="1:42" ht="12.75" x14ac:dyDescent="0.2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8"/>
      <c r="N809" s="88"/>
      <c r="O809" s="87"/>
      <c r="P809" s="87"/>
      <c r="Q809" s="89"/>
      <c r="R809" s="89"/>
      <c r="S809" s="90"/>
      <c r="T809" s="90"/>
      <c r="U809" s="8"/>
      <c r="V809" s="91"/>
      <c r="W809" s="91"/>
      <c r="X809" s="91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</row>
    <row r="810" spans="1:42" ht="12.75" x14ac:dyDescent="0.2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8"/>
      <c r="N810" s="88"/>
      <c r="O810" s="87"/>
      <c r="P810" s="87"/>
      <c r="Q810" s="89"/>
      <c r="R810" s="89"/>
      <c r="S810" s="90"/>
      <c r="T810" s="90"/>
      <c r="U810" s="8"/>
      <c r="V810" s="91"/>
      <c r="W810" s="91"/>
      <c r="X810" s="91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</row>
    <row r="811" spans="1:42" ht="12.75" x14ac:dyDescent="0.2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8"/>
      <c r="N811" s="88"/>
      <c r="O811" s="87"/>
      <c r="P811" s="87"/>
      <c r="Q811" s="89"/>
      <c r="R811" s="89"/>
      <c r="S811" s="90"/>
      <c r="T811" s="90"/>
      <c r="U811" s="8"/>
      <c r="V811" s="91"/>
      <c r="W811" s="91"/>
      <c r="X811" s="91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</row>
    <row r="812" spans="1:42" ht="12.75" x14ac:dyDescent="0.2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8"/>
      <c r="N812" s="88"/>
      <c r="O812" s="87"/>
      <c r="P812" s="87"/>
      <c r="Q812" s="89"/>
      <c r="R812" s="89"/>
      <c r="S812" s="90"/>
      <c r="T812" s="90"/>
      <c r="U812" s="8"/>
      <c r="V812" s="91"/>
      <c r="W812" s="91"/>
      <c r="X812" s="91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</row>
    <row r="813" spans="1:42" ht="12.75" x14ac:dyDescent="0.2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8"/>
      <c r="N813" s="88"/>
      <c r="O813" s="87"/>
      <c r="P813" s="87"/>
      <c r="Q813" s="89"/>
      <c r="R813" s="89"/>
      <c r="S813" s="90"/>
      <c r="T813" s="90"/>
      <c r="U813" s="8"/>
      <c r="V813" s="91"/>
      <c r="W813" s="91"/>
      <c r="X813" s="91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</row>
    <row r="814" spans="1:42" ht="12.75" x14ac:dyDescent="0.2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8"/>
      <c r="N814" s="88"/>
      <c r="O814" s="87"/>
      <c r="P814" s="87"/>
      <c r="Q814" s="89"/>
      <c r="R814" s="89"/>
      <c r="S814" s="90"/>
      <c r="T814" s="90"/>
      <c r="U814" s="8"/>
      <c r="V814" s="91"/>
      <c r="W814" s="91"/>
      <c r="X814" s="91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</row>
    <row r="815" spans="1:42" ht="12.75" x14ac:dyDescent="0.2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8"/>
      <c r="N815" s="88"/>
      <c r="O815" s="87"/>
      <c r="P815" s="87"/>
      <c r="Q815" s="89"/>
      <c r="R815" s="89"/>
      <c r="S815" s="90"/>
      <c r="T815" s="90"/>
      <c r="U815" s="8"/>
      <c r="V815" s="91"/>
      <c r="W815" s="91"/>
      <c r="X815" s="91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</row>
    <row r="816" spans="1:42" ht="12.75" x14ac:dyDescent="0.2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8"/>
      <c r="N816" s="88"/>
      <c r="O816" s="87"/>
      <c r="P816" s="87"/>
      <c r="Q816" s="89"/>
      <c r="R816" s="89"/>
      <c r="S816" s="90"/>
      <c r="T816" s="90"/>
      <c r="U816" s="8"/>
      <c r="V816" s="91"/>
      <c r="W816" s="91"/>
      <c r="X816" s="91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</row>
    <row r="817" spans="1:42" ht="12.75" x14ac:dyDescent="0.2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8"/>
      <c r="N817" s="88"/>
      <c r="O817" s="87"/>
      <c r="P817" s="87"/>
      <c r="Q817" s="89"/>
      <c r="R817" s="89"/>
      <c r="S817" s="90"/>
      <c r="T817" s="90"/>
      <c r="U817" s="8"/>
      <c r="V817" s="91"/>
      <c r="W817" s="91"/>
      <c r="X817" s="91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</row>
    <row r="818" spans="1:42" ht="12.75" x14ac:dyDescent="0.2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8"/>
      <c r="N818" s="88"/>
      <c r="O818" s="87"/>
      <c r="P818" s="87"/>
      <c r="Q818" s="89"/>
      <c r="R818" s="89"/>
      <c r="S818" s="90"/>
      <c r="T818" s="90"/>
      <c r="U818" s="8"/>
      <c r="V818" s="91"/>
      <c r="W818" s="91"/>
      <c r="X818" s="91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</row>
    <row r="819" spans="1:42" ht="12.75" x14ac:dyDescent="0.2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8"/>
      <c r="N819" s="88"/>
      <c r="O819" s="87"/>
      <c r="P819" s="87"/>
      <c r="Q819" s="89"/>
      <c r="R819" s="89"/>
      <c r="S819" s="90"/>
      <c r="T819" s="90"/>
      <c r="U819" s="8"/>
      <c r="V819" s="91"/>
      <c r="W819" s="91"/>
      <c r="X819" s="91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</row>
    <row r="820" spans="1:42" ht="12.75" x14ac:dyDescent="0.2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8"/>
      <c r="N820" s="88"/>
      <c r="O820" s="87"/>
      <c r="P820" s="87"/>
      <c r="Q820" s="89"/>
      <c r="R820" s="89"/>
      <c r="S820" s="90"/>
      <c r="T820" s="90"/>
      <c r="U820" s="8"/>
      <c r="V820" s="91"/>
      <c r="W820" s="91"/>
      <c r="X820" s="91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</row>
    <row r="821" spans="1:42" ht="12.75" x14ac:dyDescent="0.2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8"/>
      <c r="N821" s="88"/>
      <c r="O821" s="87"/>
      <c r="P821" s="87"/>
      <c r="Q821" s="89"/>
      <c r="R821" s="89"/>
      <c r="S821" s="90"/>
      <c r="T821" s="90"/>
      <c r="U821" s="8"/>
      <c r="V821" s="91"/>
      <c r="W821" s="91"/>
      <c r="X821" s="91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</row>
    <row r="822" spans="1:42" ht="12.75" x14ac:dyDescent="0.2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8"/>
      <c r="N822" s="88"/>
      <c r="O822" s="87"/>
      <c r="P822" s="87"/>
      <c r="Q822" s="89"/>
      <c r="R822" s="89"/>
      <c r="S822" s="90"/>
      <c r="T822" s="90"/>
      <c r="U822" s="8"/>
      <c r="V822" s="91"/>
      <c r="W822" s="91"/>
      <c r="X822" s="91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</row>
    <row r="823" spans="1:42" ht="12.75" x14ac:dyDescent="0.2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8"/>
      <c r="N823" s="88"/>
      <c r="O823" s="87"/>
      <c r="P823" s="87"/>
      <c r="Q823" s="89"/>
      <c r="R823" s="89"/>
      <c r="S823" s="90"/>
      <c r="T823" s="90"/>
      <c r="U823" s="8"/>
      <c r="V823" s="91"/>
      <c r="W823" s="91"/>
      <c r="X823" s="91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</row>
    <row r="824" spans="1:42" ht="12.75" x14ac:dyDescent="0.2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8"/>
      <c r="N824" s="88"/>
      <c r="O824" s="87"/>
      <c r="P824" s="87"/>
      <c r="Q824" s="89"/>
      <c r="R824" s="89"/>
      <c r="S824" s="90"/>
      <c r="T824" s="90"/>
      <c r="U824" s="8"/>
      <c r="V824" s="91"/>
      <c r="W824" s="91"/>
      <c r="X824" s="91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</row>
    <row r="825" spans="1:42" ht="12.75" x14ac:dyDescent="0.2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8"/>
      <c r="N825" s="88"/>
      <c r="O825" s="87"/>
      <c r="P825" s="87"/>
      <c r="Q825" s="89"/>
      <c r="R825" s="89"/>
      <c r="S825" s="90"/>
      <c r="T825" s="90"/>
      <c r="U825" s="8"/>
      <c r="V825" s="91"/>
      <c r="W825" s="91"/>
      <c r="X825" s="91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</row>
    <row r="826" spans="1:42" ht="12.75" x14ac:dyDescent="0.2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8"/>
      <c r="N826" s="88"/>
      <c r="O826" s="87"/>
      <c r="P826" s="87"/>
      <c r="Q826" s="89"/>
      <c r="R826" s="89"/>
      <c r="S826" s="90"/>
      <c r="T826" s="90"/>
      <c r="U826" s="8"/>
      <c r="V826" s="91"/>
      <c r="W826" s="91"/>
      <c r="X826" s="91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</row>
    <row r="827" spans="1:42" ht="12.75" x14ac:dyDescent="0.2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8"/>
      <c r="N827" s="88"/>
      <c r="O827" s="87"/>
      <c r="P827" s="87"/>
      <c r="Q827" s="89"/>
      <c r="R827" s="89"/>
      <c r="S827" s="90"/>
      <c r="T827" s="90"/>
      <c r="U827" s="8"/>
      <c r="V827" s="91"/>
      <c r="W827" s="91"/>
      <c r="X827" s="91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</row>
    <row r="828" spans="1:42" ht="12.75" x14ac:dyDescent="0.2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8"/>
      <c r="N828" s="88"/>
      <c r="O828" s="87"/>
      <c r="P828" s="87"/>
      <c r="Q828" s="89"/>
      <c r="R828" s="89"/>
      <c r="S828" s="90"/>
      <c r="T828" s="90"/>
      <c r="U828" s="8"/>
      <c r="V828" s="91"/>
      <c r="W828" s="91"/>
      <c r="X828" s="91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</row>
    <row r="829" spans="1:42" ht="12.75" x14ac:dyDescent="0.2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8"/>
      <c r="N829" s="88"/>
      <c r="O829" s="87"/>
      <c r="P829" s="87"/>
      <c r="Q829" s="89"/>
      <c r="R829" s="89"/>
      <c r="S829" s="90"/>
      <c r="T829" s="90"/>
      <c r="U829" s="8"/>
      <c r="V829" s="91"/>
      <c r="W829" s="91"/>
      <c r="X829" s="91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</row>
    <row r="830" spans="1:42" ht="12.75" x14ac:dyDescent="0.2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8"/>
      <c r="N830" s="88"/>
      <c r="O830" s="87"/>
      <c r="P830" s="87"/>
      <c r="Q830" s="89"/>
      <c r="R830" s="89"/>
      <c r="S830" s="90"/>
      <c r="T830" s="90"/>
      <c r="U830" s="8"/>
      <c r="V830" s="91"/>
      <c r="W830" s="91"/>
      <c r="X830" s="91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</row>
    <row r="831" spans="1:42" ht="12.75" x14ac:dyDescent="0.2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8"/>
      <c r="N831" s="88"/>
      <c r="O831" s="87"/>
      <c r="P831" s="87"/>
      <c r="Q831" s="89"/>
      <c r="R831" s="89"/>
      <c r="S831" s="90"/>
      <c r="T831" s="90"/>
      <c r="U831" s="8"/>
      <c r="V831" s="91"/>
      <c r="W831" s="91"/>
      <c r="X831" s="91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</row>
    <row r="832" spans="1:42" ht="12.75" x14ac:dyDescent="0.2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8"/>
      <c r="N832" s="88"/>
      <c r="O832" s="87"/>
      <c r="P832" s="87"/>
      <c r="Q832" s="89"/>
      <c r="R832" s="89"/>
      <c r="S832" s="90"/>
      <c r="T832" s="90"/>
      <c r="U832" s="8"/>
      <c r="V832" s="91"/>
      <c r="W832" s="91"/>
      <c r="X832" s="91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</row>
    <row r="833" spans="1:42" ht="12.75" x14ac:dyDescent="0.2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8"/>
      <c r="N833" s="88"/>
      <c r="O833" s="87"/>
      <c r="P833" s="87"/>
      <c r="Q833" s="89"/>
      <c r="R833" s="89"/>
      <c r="S833" s="90"/>
      <c r="T833" s="90"/>
      <c r="U833" s="8"/>
      <c r="V833" s="91"/>
      <c r="W833" s="91"/>
      <c r="X833" s="91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</row>
    <row r="834" spans="1:42" ht="12.75" x14ac:dyDescent="0.2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8"/>
      <c r="N834" s="88"/>
      <c r="O834" s="87"/>
      <c r="P834" s="87"/>
      <c r="Q834" s="89"/>
      <c r="R834" s="89"/>
      <c r="S834" s="90"/>
      <c r="T834" s="90"/>
      <c r="U834" s="8"/>
      <c r="V834" s="91"/>
      <c r="W834" s="91"/>
      <c r="X834" s="91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</row>
    <row r="835" spans="1:42" ht="12.75" x14ac:dyDescent="0.2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8"/>
      <c r="N835" s="88"/>
      <c r="O835" s="87"/>
      <c r="P835" s="87"/>
      <c r="Q835" s="89"/>
      <c r="R835" s="89"/>
      <c r="S835" s="90"/>
      <c r="T835" s="90"/>
      <c r="U835" s="8"/>
      <c r="V835" s="91"/>
      <c r="W835" s="91"/>
      <c r="X835" s="91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</row>
    <row r="836" spans="1:42" ht="12.75" x14ac:dyDescent="0.2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8"/>
      <c r="N836" s="88"/>
      <c r="O836" s="87"/>
      <c r="P836" s="87"/>
      <c r="Q836" s="89"/>
      <c r="R836" s="89"/>
      <c r="S836" s="90"/>
      <c r="T836" s="90"/>
      <c r="U836" s="8"/>
      <c r="V836" s="91"/>
      <c r="W836" s="91"/>
      <c r="X836" s="91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</row>
    <row r="837" spans="1:42" ht="12.75" x14ac:dyDescent="0.2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8"/>
      <c r="N837" s="88"/>
      <c r="O837" s="87"/>
      <c r="P837" s="87"/>
      <c r="Q837" s="89"/>
      <c r="R837" s="89"/>
      <c r="S837" s="90"/>
      <c r="T837" s="90"/>
      <c r="U837" s="8"/>
      <c r="V837" s="91"/>
      <c r="W837" s="91"/>
      <c r="X837" s="91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</row>
    <row r="838" spans="1:42" ht="12.75" x14ac:dyDescent="0.2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8"/>
      <c r="N838" s="88"/>
      <c r="O838" s="87"/>
      <c r="P838" s="87"/>
      <c r="Q838" s="89"/>
      <c r="R838" s="89"/>
      <c r="S838" s="90"/>
      <c r="T838" s="90"/>
      <c r="U838" s="8"/>
      <c r="V838" s="91"/>
      <c r="W838" s="91"/>
      <c r="X838" s="91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</row>
    <row r="839" spans="1:42" ht="12.75" x14ac:dyDescent="0.2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8"/>
      <c r="N839" s="88"/>
      <c r="O839" s="87"/>
      <c r="P839" s="87"/>
      <c r="Q839" s="89"/>
      <c r="R839" s="89"/>
      <c r="S839" s="90"/>
      <c r="T839" s="90"/>
      <c r="U839" s="8"/>
      <c r="V839" s="91"/>
      <c r="W839" s="91"/>
      <c r="X839" s="91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</row>
    <row r="840" spans="1:42" ht="12.75" x14ac:dyDescent="0.2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8"/>
      <c r="N840" s="88"/>
      <c r="O840" s="87"/>
      <c r="P840" s="87"/>
      <c r="Q840" s="89"/>
      <c r="R840" s="89"/>
      <c r="S840" s="90"/>
      <c r="T840" s="90"/>
      <c r="U840" s="8"/>
      <c r="V840" s="91"/>
      <c r="W840" s="91"/>
      <c r="X840" s="91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</row>
    <row r="841" spans="1:42" ht="12.75" x14ac:dyDescent="0.2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8"/>
      <c r="N841" s="88"/>
      <c r="O841" s="87"/>
      <c r="P841" s="87"/>
      <c r="Q841" s="89"/>
      <c r="R841" s="89"/>
      <c r="S841" s="90"/>
      <c r="T841" s="90"/>
      <c r="U841" s="8"/>
      <c r="V841" s="91"/>
      <c r="W841" s="91"/>
      <c r="X841" s="91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</row>
    <row r="842" spans="1:42" ht="12.75" x14ac:dyDescent="0.2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8"/>
      <c r="N842" s="88"/>
      <c r="O842" s="87"/>
      <c r="P842" s="87"/>
      <c r="Q842" s="89"/>
      <c r="R842" s="89"/>
      <c r="S842" s="90"/>
      <c r="T842" s="90"/>
      <c r="U842" s="8"/>
      <c r="V842" s="91"/>
      <c r="W842" s="91"/>
      <c r="X842" s="91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</row>
    <row r="843" spans="1:42" ht="12.75" x14ac:dyDescent="0.2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8"/>
      <c r="N843" s="88"/>
      <c r="O843" s="87"/>
      <c r="P843" s="87"/>
      <c r="Q843" s="89"/>
      <c r="R843" s="89"/>
      <c r="S843" s="90"/>
      <c r="T843" s="90"/>
      <c r="U843" s="8"/>
      <c r="V843" s="91"/>
      <c r="W843" s="91"/>
      <c r="X843" s="91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</row>
    <row r="844" spans="1:42" ht="12.75" x14ac:dyDescent="0.2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8"/>
      <c r="N844" s="88"/>
      <c r="O844" s="87"/>
      <c r="P844" s="87"/>
      <c r="Q844" s="89"/>
      <c r="R844" s="89"/>
      <c r="S844" s="90"/>
      <c r="T844" s="90"/>
      <c r="U844" s="8"/>
      <c r="V844" s="91"/>
      <c r="W844" s="91"/>
      <c r="X844" s="91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</row>
    <row r="845" spans="1:42" ht="12.75" x14ac:dyDescent="0.2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8"/>
      <c r="N845" s="88"/>
      <c r="O845" s="87"/>
      <c r="P845" s="87"/>
      <c r="Q845" s="89"/>
      <c r="R845" s="89"/>
      <c r="S845" s="90"/>
      <c r="T845" s="90"/>
      <c r="U845" s="8"/>
      <c r="V845" s="91"/>
      <c r="W845" s="91"/>
      <c r="X845" s="91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</row>
    <row r="846" spans="1:42" ht="12.75" x14ac:dyDescent="0.2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8"/>
      <c r="N846" s="88"/>
      <c r="O846" s="87"/>
      <c r="P846" s="87"/>
      <c r="Q846" s="89"/>
      <c r="R846" s="89"/>
      <c r="S846" s="90"/>
      <c r="T846" s="90"/>
      <c r="U846" s="8"/>
      <c r="V846" s="91"/>
      <c r="W846" s="91"/>
      <c r="X846" s="91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</row>
    <row r="847" spans="1:42" ht="12.75" x14ac:dyDescent="0.2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8"/>
      <c r="N847" s="88"/>
      <c r="O847" s="87"/>
      <c r="P847" s="87"/>
      <c r="Q847" s="89"/>
      <c r="R847" s="89"/>
      <c r="S847" s="90"/>
      <c r="T847" s="90"/>
      <c r="U847" s="8"/>
      <c r="V847" s="91"/>
      <c r="W847" s="91"/>
      <c r="X847" s="91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</row>
    <row r="848" spans="1:42" ht="12.75" x14ac:dyDescent="0.2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8"/>
      <c r="N848" s="88"/>
      <c r="O848" s="87"/>
      <c r="P848" s="87"/>
      <c r="Q848" s="89"/>
      <c r="R848" s="89"/>
      <c r="S848" s="90"/>
      <c r="T848" s="90"/>
      <c r="U848" s="8"/>
      <c r="V848" s="91"/>
      <c r="W848" s="91"/>
      <c r="X848" s="91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</row>
    <row r="849" spans="1:42" ht="12.75" x14ac:dyDescent="0.2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8"/>
      <c r="N849" s="88"/>
      <c r="O849" s="87"/>
      <c r="P849" s="87"/>
      <c r="Q849" s="89"/>
      <c r="R849" s="89"/>
      <c r="S849" s="90"/>
      <c r="T849" s="90"/>
      <c r="U849" s="8"/>
      <c r="V849" s="91"/>
      <c r="W849" s="91"/>
      <c r="X849" s="91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</row>
    <row r="850" spans="1:42" ht="12.75" x14ac:dyDescent="0.2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8"/>
      <c r="N850" s="88"/>
      <c r="O850" s="87"/>
      <c r="P850" s="87"/>
      <c r="Q850" s="89"/>
      <c r="R850" s="89"/>
      <c r="S850" s="90"/>
      <c r="T850" s="90"/>
      <c r="U850" s="8"/>
      <c r="V850" s="91"/>
      <c r="W850" s="91"/>
      <c r="X850" s="91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</row>
    <row r="851" spans="1:42" ht="12.75" x14ac:dyDescent="0.2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8"/>
      <c r="N851" s="88"/>
      <c r="O851" s="87"/>
      <c r="P851" s="87"/>
      <c r="Q851" s="89"/>
      <c r="R851" s="89"/>
      <c r="S851" s="90"/>
      <c r="T851" s="90"/>
      <c r="U851" s="8"/>
      <c r="V851" s="91"/>
      <c r="W851" s="91"/>
      <c r="X851" s="91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</row>
    <row r="852" spans="1:42" ht="12.75" x14ac:dyDescent="0.2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8"/>
      <c r="N852" s="88"/>
      <c r="O852" s="87"/>
      <c r="P852" s="87"/>
      <c r="Q852" s="89"/>
      <c r="R852" s="89"/>
      <c r="S852" s="90"/>
      <c r="T852" s="90"/>
      <c r="U852" s="8"/>
      <c r="V852" s="91"/>
      <c r="W852" s="91"/>
      <c r="X852" s="91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</row>
    <row r="853" spans="1:42" ht="12.75" x14ac:dyDescent="0.2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8"/>
      <c r="N853" s="88"/>
      <c r="O853" s="87"/>
      <c r="P853" s="87"/>
      <c r="Q853" s="89"/>
      <c r="R853" s="89"/>
      <c r="S853" s="90"/>
      <c r="T853" s="90"/>
      <c r="U853" s="8"/>
      <c r="V853" s="91"/>
      <c r="W853" s="91"/>
      <c r="X853" s="91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</row>
    <row r="854" spans="1:42" ht="12.75" x14ac:dyDescent="0.2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8"/>
      <c r="N854" s="88"/>
      <c r="O854" s="87"/>
      <c r="P854" s="87"/>
      <c r="Q854" s="89"/>
      <c r="R854" s="89"/>
      <c r="S854" s="90"/>
      <c r="T854" s="90"/>
      <c r="U854" s="8"/>
      <c r="V854" s="91"/>
      <c r="W854" s="91"/>
      <c r="X854" s="91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</row>
    <row r="855" spans="1:42" ht="12.75" x14ac:dyDescent="0.2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8"/>
      <c r="N855" s="88"/>
      <c r="O855" s="87"/>
      <c r="P855" s="87"/>
      <c r="Q855" s="89"/>
      <c r="R855" s="89"/>
      <c r="S855" s="90"/>
      <c r="T855" s="90"/>
      <c r="U855" s="8"/>
      <c r="V855" s="91"/>
      <c r="W855" s="91"/>
      <c r="X855" s="91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</row>
    <row r="856" spans="1:42" ht="12.75" x14ac:dyDescent="0.2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8"/>
      <c r="N856" s="88"/>
      <c r="O856" s="87"/>
      <c r="P856" s="87"/>
      <c r="Q856" s="89"/>
      <c r="R856" s="89"/>
      <c r="S856" s="90"/>
      <c r="T856" s="90"/>
      <c r="U856" s="8"/>
      <c r="V856" s="91"/>
      <c r="W856" s="91"/>
      <c r="X856" s="91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</row>
    <row r="857" spans="1:42" ht="12.75" x14ac:dyDescent="0.2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8"/>
      <c r="N857" s="88"/>
      <c r="O857" s="87"/>
      <c r="P857" s="87"/>
      <c r="Q857" s="89"/>
      <c r="R857" s="89"/>
      <c r="S857" s="90"/>
      <c r="T857" s="90"/>
      <c r="U857" s="8"/>
      <c r="V857" s="91"/>
      <c r="W857" s="91"/>
      <c r="X857" s="91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</row>
    <row r="858" spans="1:42" ht="12.75" x14ac:dyDescent="0.2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8"/>
      <c r="N858" s="88"/>
      <c r="O858" s="87"/>
      <c r="P858" s="87"/>
      <c r="Q858" s="89"/>
      <c r="R858" s="89"/>
      <c r="S858" s="90"/>
      <c r="T858" s="90"/>
      <c r="U858" s="8"/>
      <c r="V858" s="91"/>
      <c r="W858" s="91"/>
      <c r="X858" s="91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</row>
    <row r="859" spans="1:42" ht="12.75" x14ac:dyDescent="0.2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8"/>
      <c r="N859" s="88"/>
      <c r="O859" s="87"/>
      <c r="P859" s="87"/>
      <c r="Q859" s="89"/>
      <c r="R859" s="89"/>
      <c r="S859" s="90"/>
      <c r="T859" s="90"/>
      <c r="U859" s="8"/>
      <c r="V859" s="91"/>
      <c r="W859" s="91"/>
      <c r="X859" s="91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</row>
    <row r="860" spans="1:42" ht="12.75" x14ac:dyDescent="0.2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8"/>
      <c r="N860" s="88"/>
      <c r="O860" s="87"/>
      <c r="P860" s="87"/>
      <c r="Q860" s="89"/>
      <c r="R860" s="89"/>
      <c r="S860" s="90"/>
      <c r="T860" s="90"/>
      <c r="U860" s="8"/>
      <c r="V860" s="91"/>
      <c r="W860" s="91"/>
      <c r="X860" s="91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</row>
    <row r="861" spans="1:42" ht="12.75" x14ac:dyDescent="0.2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8"/>
      <c r="N861" s="88"/>
      <c r="O861" s="87"/>
      <c r="P861" s="87"/>
      <c r="Q861" s="89"/>
      <c r="R861" s="89"/>
      <c r="S861" s="90"/>
      <c r="T861" s="90"/>
      <c r="U861" s="8"/>
      <c r="V861" s="91"/>
      <c r="W861" s="91"/>
      <c r="X861" s="91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</row>
    <row r="862" spans="1:42" ht="12.75" x14ac:dyDescent="0.2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8"/>
      <c r="N862" s="88"/>
      <c r="O862" s="87"/>
      <c r="P862" s="87"/>
      <c r="Q862" s="89"/>
      <c r="R862" s="89"/>
      <c r="S862" s="90"/>
      <c r="T862" s="90"/>
      <c r="U862" s="8"/>
      <c r="V862" s="91"/>
      <c r="W862" s="91"/>
      <c r="X862" s="91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</row>
    <row r="863" spans="1:42" ht="12.75" x14ac:dyDescent="0.2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8"/>
      <c r="N863" s="88"/>
      <c r="O863" s="87"/>
      <c r="P863" s="87"/>
      <c r="Q863" s="89"/>
      <c r="R863" s="89"/>
      <c r="S863" s="90"/>
      <c r="T863" s="90"/>
      <c r="U863" s="8"/>
      <c r="V863" s="91"/>
      <c r="W863" s="91"/>
      <c r="X863" s="91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</row>
    <row r="864" spans="1:42" ht="12.75" x14ac:dyDescent="0.2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8"/>
      <c r="N864" s="88"/>
      <c r="O864" s="87"/>
      <c r="P864" s="87"/>
      <c r="Q864" s="89"/>
      <c r="R864" s="89"/>
      <c r="S864" s="90"/>
      <c r="T864" s="90"/>
      <c r="U864" s="8"/>
      <c r="V864" s="91"/>
      <c r="W864" s="91"/>
      <c r="X864" s="91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</row>
    <row r="865" spans="1:42" ht="12.75" x14ac:dyDescent="0.2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8"/>
      <c r="N865" s="88"/>
      <c r="O865" s="87"/>
      <c r="P865" s="87"/>
      <c r="Q865" s="89"/>
      <c r="R865" s="89"/>
      <c r="S865" s="90"/>
      <c r="T865" s="90"/>
      <c r="U865" s="8"/>
      <c r="V865" s="91"/>
      <c r="W865" s="91"/>
      <c r="X865" s="91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</row>
    <row r="866" spans="1:42" ht="12.75" x14ac:dyDescent="0.2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8"/>
      <c r="N866" s="88"/>
      <c r="O866" s="87"/>
      <c r="P866" s="87"/>
      <c r="Q866" s="89"/>
      <c r="R866" s="89"/>
      <c r="S866" s="90"/>
      <c r="T866" s="90"/>
      <c r="U866" s="8"/>
      <c r="V866" s="91"/>
      <c r="W866" s="91"/>
      <c r="X866" s="91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</row>
    <row r="867" spans="1:42" ht="12.75" x14ac:dyDescent="0.2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8"/>
      <c r="N867" s="88"/>
      <c r="O867" s="87"/>
      <c r="P867" s="87"/>
      <c r="Q867" s="89"/>
      <c r="R867" s="89"/>
      <c r="S867" s="90"/>
      <c r="T867" s="90"/>
      <c r="U867" s="8"/>
      <c r="V867" s="91"/>
      <c r="W867" s="91"/>
      <c r="X867" s="91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</row>
    <row r="868" spans="1:42" ht="12.75" x14ac:dyDescent="0.2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8"/>
      <c r="N868" s="88"/>
      <c r="O868" s="87"/>
      <c r="P868" s="87"/>
      <c r="Q868" s="89"/>
      <c r="R868" s="89"/>
      <c r="S868" s="90"/>
      <c r="T868" s="90"/>
      <c r="U868" s="8"/>
      <c r="V868" s="91"/>
      <c r="W868" s="91"/>
      <c r="X868" s="91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</row>
    <row r="869" spans="1:42" ht="12.75" x14ac:dyDescent="0.2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8"/>
      <c r="N869" s="88"/>
      <c r="O869" s="87"/>
      <c r="P869" s="87"/>
      <c r="Q869" s="89"/>
      <c r="R869" s="89"/>
      <c r="S869" s="90"/>
      <c r="T869" s="90"/>
      <c r="U869" s="8"/>
      <c r="V869" s="91"/>
      <c r="W869" s="91"/>
      <c r="X869" s="91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</row>
    <row r="870" spans="1:42" ht="12.75" x14ac:dyDescent="0.2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8"/>
      <c r="N870" s="88"/>
      <c r="O870" s="87"/>
      <c r="P870" s="87"/>
      <c r="Q870" s="89"/>
      <c r="R870" s="89"/>
      <c r="S870" s="90"/>
      <c r="T870" s="90"/>
      <c r="U870" s="8"/>
      <c r="V870" s="91"/>
      <c r="W870" s="91"/>
      <c r="X870" s="91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</row>
    <row r="871" spans="1:42" ht="12.75" x14ac:dyDescent="0.2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8"/>
      <c r="N871" s="88"/>
      <c r="O871" s="87"/>
      <c r="P871" s="87"/>
      <c r="Q871" s="89"/>
      <c r="R871" s="89"/>
      <c r="S871" s="90"/>
      <c r="T871" s="90"/>
      <c r="U871" s="8"/>
      <c r="V871" s="91"/>
      <c r="W871" s="91"/>
      <c r="X871" s="91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</row>
    <row r="872" spans="1:42" ht="12.75" x14ac:dyDescent="0.2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8"/>
      <c r="N872" s="88"/>
      <c r="O872" s="87"/>
      <c r="P872" s="87"/>
      <c r="Q872" s="89"/>
      <c r="R872" s="89"/>
      <c r="S872" s="90"/>
      <c r="T872" s="90"/>
      <c r="U872" s="8"/>
      <c r="V872" s="91"/>
      <c r="W872" s="91"/>
      <c r="X872" s="91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</row>
    <row r="873" spans="1:42" ht="12.75" x14ac:dyDescent="0.2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8"/>
      <c r="N873" s="88"/>
      <c r="O873" s="87"/>
      <c r="P873" s="87"/>
      <c r="Q873" s="89"/>
      <c r="R873" s="89"/>
      <c r="S873" s="90"/>
      <c r="T873" s="90"/>
      <c r="U873" s="8"/>
      <c r="V873" s="91"/>
      <c r="W873" s="91"/>
      <c r="X873" s="91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</row>
    <row r="874" spans="1:42" ht="12.75" x14ac:dyDescent="0.2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8"/>
      <c r="N874" s="88"/>
      <c r="O874" s="87"/>
      <c r="P874" s="87"/>
      <c r="Q874" s="89"/>
      <c r="R874" s="89"/>
      <c r="S874" s="90"/>
      <c r="T874" s="90"/>
      <c r="U874" s="8"/>
      <c r="V874" s="91"/>
      <c r="W874" s="91"/>
      <c r="X874" s="91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</row>
    <row r="875" spans="1:42" ht="12.75" x14ac:dyDescent="0.2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8"/>
      <c r="N875" s="88"/>
      <c r="O875" s="87"/>
      <c r="P875" s="87"/>
      <c r="Q875" s="89"/>
      <c r="R875" s="89"/>
      <c r="S875" s="90"/>
      <c r="T875" s="90"/>
      <c r="U875" s="8"/>
      <c r="V875" s="91"/>
      <c r="W875" s="91"/>
      <c r="X875" s="91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</row>
    <row r="876" spans="1:42" ht="12.75" x14ac:dyDescent="0.2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8"/>
      <c r="N876" s="88"/>
      <c r="O876" s="87"/>
      <c r="P876" s="87"/>
      <c r="Q876" s="89"/>
      <c r="R876" s="89"/>
      <c r="S876" s="90"/>
      <c r="T876" s="90"/>
      <c r="U876" s="8"/>
      <c r="V876" s="91"/>
      <c r="W876" s="91"/>
      <c r="X876" s="91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</row>
    <row r="877" spans="1:42" ht="12.75" x14ac:dyDescent="0.2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8"/>
      <c r="N877" s="88"/>
      <c r="O877" s="87"/>
      <c r="P877" s="87"/>
      <c r="Q877" s="89"/>
      <c r="R877" s="89"/>
      <c r="S877" s="90"/>
      <c r="T877" s="90"/>
      <c r="U877" s="8"/>
      <c r="V877" s="91"/>
      <c r="W877" s="91"/>
      <c r="X877" s="91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</row>
    <row r="878" spans="1:42" ht="12.75" x14ac:dyDescent="0.2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8"/>
      <c r="N878" s="88"/>
      <c r="O878" s="87"/>
      <c r="P878" s="87"/>
      <c r="Q878" s="89"/>
      <c r="R878" s="89"/>
      <c r="S878" s="90"/>
      <c r="T878" s="90"/>
      <c r="U878" s="8"/>
      <c r="V878" s="91"/>
      <c r="W878" s="91"/>
      <c r="X878" s="91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</row>
    <row r="879" spans="1:42" ht="12.75" x14ac:dyDescent="0.2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8"/>
      <c r="N879" s="88"/>
      <c r="O879" s="87"/>
      <c r="P879" s="87"/>
      <c r="Q879" s="89"/>
      <c r="R879" s="89"/>
      <c r="S879" s="90"/>
      <c r="T879" s="90"/>
      <c r="U879" s="8"/>
      <c r="V879" s="91"/>
      <c r="W879" s="91"/>
      <c r="X879" s="91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</row>
    <row r="880" spans="1:42" ht="12.75" x14ac:dyDescent="0.2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8"/>
      <c r="N880" s="88"/>
      <c r="O880" s="87"/>
      <c r="P880" s="87"/>
      <c r="Q880" s="89"/>
      <c r="R880" s="89"/>
      <c r="S880" s="90"/>
      <c r="T880" s="90"/>
      <c r="U880" s="8"/>
      <c r="V880" s="91"/>
      <c r="W880" s="91"/>
      <c r="X880" s="91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</row>
    <row r="881" spans="1:42" ht="12.75" x14ac:dyDescent="0.2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8"/>
      <c r="N881" s="88"/>
      <c r="O881" s="87"/>
      <c r="P881" s="87"/>
      <c r="Q881" s="89"/>
      <c r="R881" s="89"/>
      <c r="S881" s="90"/>
      <c r="T881" s="90"/>
      <c r="U881" s="8"/>
      <c r="V881" s="91"/>
      <c r="W881" s="91"/>
      <c r="X881" s="91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</row>
    <row r="882" spans="1:42" ht="12.75" x14ac:dyDescent="0.2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8"/>
      <c r="N882" s="88"/>
      <c r="O882" s="87"/>
      <c r="P882" s="87"/>
      <c r="Q882" s="89"/>
      <c r="R882" s="89"/>
      <c r="S882" s="90"/>
      <c r="T882" s="90"/>
      <c r="U882" s="8"/>
      <c r="V882" s="91"/>
      <c r="W882" s="91"/>
      <c r="X882" s="91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</row>
    <row r="883" spans="1:42" ht="12.75" x14ac:dyDescent="0.2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8"/>
      <c r="N883" s="88"/>
      <c r="O883" s="87"/>
      <c r="P883" s="87"/>
      <c r="Q883" s="89"/>
      <c r="R883" s="89"/>
      <c r="S883" s="90"/>
      <c r="T883" s="90"/>
      <c r="U883" s="8"/>
      <c r="V883" s="91"/>
      <c r="W883" s="91"/>
      <c r="X883" s="91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</row>
    <row r="884" spans="1:42" ht="12.75" x14ac:dyDescent="0.2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8"/>
      <c r="N884" s="88"/>
      <c r="O884" s="87"/>
      <c r="P884" s="87"/>
      <c r="Q884" s="89"/>
      <c r="R884" s="89"/>
      <c r="S884" s="90"/>
      <c r="T884" s="90"/>
      <c r="U884" s="8"/>
      <c r="V884" s="91"/>
      <c r="W884" s="91"/>
      <c r="X884" s="91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</row>
    <row r="885" spans="1:42" ht="12.75" x14ac:dyDescent="0.2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8"/>
      <c r="N885" s="88"/>
      <c r="O885" s="87"/>
      <c r="P885" s="87"/>
      <c r="Q885" s="89"/>
      <c r="R885" s="89"/>
      <c r="S885" s="90"/>
      <c r="T885" s="90"/>
      <c r="U885" s="8"/>
      <c r="V885" s="91"/>
      <c r="W885" s="91"/>
      <c r="X885" s="91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</row>
    <row r="886" spans="1:42" ht="12.75" x14ac:dyDescent="0.2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8"/>
      <c r="N886" s="88"/>
      <c r="O886" s="87"/>
      <c r="P886" s="87"/>
      <c r="Q886" s="89"/>
      <c r="R886" s="89"/>
      <c r="S886" s="90"/>
      <c r="T886" s="90"/>
      <c r="U886" s="8"/>
      <c r="V886" s="91"/>
      <c r="W886" s="91"/>
      <c r="X886" s="91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</row>
    <row r="887" spans="1:42" ht="12.75" x14ac:dyDescent="0.2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8"/>
      <c r="N887" s="88"/>
      <c r="O887" s="87"/>
      <c r="P887" s="87"/>
      <c r="Q887" s="89"/>
      <c r="R887" s="89"/>
      <c r="S887" s="90"/>
      <c r="T887" s="90"/>
      <c r="U887" s="8"/>
      <c r="V887" s="91"/>
      <c r="W887" s="91"/>
      <c r="X887" s="91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</row>
    <row r="888" spans="1:42" ht="12.75" x14ac:dyDescent="0.2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8"/>
      <c r="N888" s="88"/>
      <c r="O888" s="87"/>
      <c r="P888" s="87"/>
      <c r="Q888" s="89"/>
      <c r="R888" s="89"/>
      <c r="S888" s="90"/>
      <c r="T888" s="90"/>
      <c r="U888" s="8"/>
      <c r="V888" s="91"/>
      <c r="W888" s="91"/>
      <c r="X888" s="91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</row>
    <row r="889" spans="1:42" ht="12.75" x14ac:dyDescent="0.2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8"/>
      <c r="N889" s="88"/>
      <c r="O889" s="87"/>
      <c r="P889" s="87"/>
      <c r="Q889" s="89"/>
      <c r="R889" s="89"/>
      <c r="S889" s="90"/>
      <c r="T889" s="90"/>
      <c r="U889" s="8"/>
      <c r="V889" s="91"/>
      <c r="W889" s="91"/>
      <c r="X889" s="91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</row>
    <row r="890" spans="1:42" ht="12.75" x14ac:dyDescent="0.2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8"/>
      <c r="N890" s="88"/>
      <c r="O890" s="87"/>
      <c r="P890" s="87"/>
      <c r="Q890" s="89"/>
      <c r="R890" s="89"/>
      <c r="S890" s="90"/>
      <c r="T890" s="90"/>
      <c r="U890" s="8"/>
      <c r="V890" s="91"/>
      <c r="W890" s="91"/>
      <c r="X890" s="91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</row>
    <row r="891" spans="1:42" ht="12.75" x14ac:dyDescent="0.2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8"/>
      <c r="N891" s="88"/>
      <c r="O891" s="87"/>
      <c r="P891" s="87"/>
      <c r="Q891" s="89"/>
      <c r="R891" s="89"/>
      <c r="S891" s="90"/>
      <c r="T891" s="90"/>
      <c r="U891" s="8"/>
      <c r="V891" s="91"/>
      <c r="W891" s="91"/>
      <c r="X891" s="91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</row>
    <row r="892" spans="1:42" ht="12.75" x14ac:dyDescent="0.2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8"/>
      <c r="N892" s="88"/>
      <c r="O892" s="87"/>
      <c r="P892" s="87"/>
      <c r="Q892" s="89"/>
      <c r="R892" s="89"/>
      <c r="S892" s="90"/>
      <c r="T892" s="90"/>
      <c r="U892" s="8"/>
      <c r="V892" s="91"/>
      <c r="W892" s="91"/>
      <c r="X892" s="91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</row>
    <row r="893" spans="1:42" ht="12.75" x14ac:dyDescent="0.2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8"/>
      <c r="N893" s="88"/>
      <c r="O893" s="87"/>
      <c r="P893" s="87"/>
      <c r="Q893" s="89"/>
      <c r="R893" s="89"/>
      <c r="S893" s="90"/>
      <c r="T893" s="90"/>
      <c r="U893" s="8"/>
      <c r="V893" s="91"/>
      <c r="W893" s="91"/>
      <c r="X893" s="91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</row>
    <row r="894" spans="1:42" ht="12.75" x14ac:dyDescent="0.2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8"/>
      <c r="N894" s="88"/>
      <c r="O894" s="87"/>
      <c r="P894" s="87"/>
      <c r="Q894" s="89"/>
      <c r="R894" s="89"/>
      <c r="S894" s="90"/>
      <c r="T894" s="90"/>
      <c r="U894" s="8"/>
      <c r="V894" s="91"/>
      <c r="W894" s="91"/>
      <c r="X894" s="91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</row>
    <row r="895" spans="1:42" ht="12.75" x14ac:dyDescent="0.2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8"/>
      <c r="N895" s="88"/>
      <c r="O895" s="87"/>
      <c r="P895" s="87"/>
      <c r="Q895" s="89"/>
      <c r="R895" s="89"/>
      <c r="S895" s="90"/>
      <c r="T895" s="90"/>
      <c r="U895" s="8"/>
      <c r="V895" s="91"/>
      <c r="W895" s="91"/>
      <c r="X895" s="91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</row>
    <row r="896" spans="1:42" ht="12.75" x14ac:dyDescent="0.2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8"/>
      <c r="N896" s="88"/>
      <c r="O896" s="87"/>
      <c r="P896" s="87"/>
      <c r="Q896" s="89"/>
      <c r="R896" s="89"/>
      <c r="S896" s="90"/>
      <c r="T896" s="90"/>
      <c r="U896" s="8"/>
      <c r="V896" s="91"/>
      <c r="W896" s="91"/>
      <c r="X896" s="91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</row>
    <row r="897" spans="1:42" ht="12.75" x14ac:dyDescent="0.2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8"/>
      <c r="N897" s="88"/>
      <c r="O897" s="87"/>
      <c r="P897" s="87"/>
      <c r="Q897" s="89"/>
      <c r="R897" s="89"/>
      <c r="S897" s="90"/>
      <c r="T897" s="90"/>
      <c r="U897" s="8"/>
      <c r="V897" s="91"/>
      <c r="W897" s="91"/>
      <c r="X897" s="91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</row>
    <row r="898" spans="1:42" ht="12.75" x14ac:dyDescent="0.2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8"/>
      <c r="N898" s="88"/>
      <c r="O898" s="87"/>
      <c r="P898" s="87"/>
      <c r="Q898" s="89"/>
      <c r="R898" s="89"/>
      <c r="S898" s="90"/>
      <c r="T898" s="90"/>
      <c r="U898" s="8"/>
      <c r="V898" s="91"/>
      <c r="W898" s="91"/>
      <c r="X898" s="91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</row>
    <row r="899" spans="1:42" ht="12.75" x14ac:dyDescent="0.2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8"/>
      <c r="N899" s="88"/>
      <c r="O899" s="87"/>
      <c r="P899" s="87"/>
      <c r="Q899" s="89"/>
      <c r="R899" s="89"/>
      <c r="S899" s="90"/>
      <c r="T899" s="90"/>
      <c r="U899" s="8"/>
      <c r="V899" s="91"/>
      <c r="W899" s="91"/>
      <c r="X899" s="91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</row>
    <row r="900" spans="1:42" ht="12.75" x14ac:dyDescent="0.2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8"/>
      <c r="N900" s="88"/>
      <c r="O900" s="87"/>
      <c r="P900" s="87"/>
      <c r="Q900" s="89"/>
      <c r="R900" s="89"/>
      <c r="S900" s="90"/>
      <c r="T900" s="90"/>
      <c r="U900" s="8"/>
      <c r="V900" s="91"/>
      <c r="W900" s="91"/>
      <c r="X900" s="91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</row>
    <row r="901" spans="1:42" ht="12.75" x14ac:dyDescent="0.2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8"/>
      <c r="N901" s="88"/>
      <c r="O901" s="87"/>
      <c r="P901" s="87"/>
      <c r="Q901" s="89"/>
      <c r="R901" s="89"/>
      <c r="S901" s="90"/>
      <c r="T901" s="90"/>
      <c r="U901" s="8"/>
      <c r="V901" s="91"/>
      <c r="W901" s="91"/>
      <c r="X901" s="91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</row>
    <row r="902" spans="1:42" ht="12.75" x14ac:dyDescent="0.2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8"/>
      <c r="N902" s="88"/>
      <c r="O902" s="87"/>
      <c r="P902" s="87"/>
      <c r="Q902" s="89"/>
      <c r="R902" s="89"/>
      <c r="S902" s="90"/>
      <c r="T902" s="90"/>
      <c r="U902" s="8"/>
      <c r="V902" s="91"/>
      <c r="W902" s="91"/>
      <c r="X902" s="91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</row>
    <row r="903" spans="1:42" ht="12.75" x14ac:dyDescent="0.2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8"/>
      <c r="N903" s="88"/>
      <c r="O903" s="87"/>
      <c r="P903" s="87"/>
      <c r="Q903" s="89"/>
      <c r="R903" s="89"/>
      <c r="S903" s="90"/>
      <c r="T903" s="90"/>
      <c r="U903" s="8"/>
      <c r="V903" s="91"/>
      <c r="W903" s="91"/>
      <c r="X903" s="91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</row>
    <row r="904" spans="1:42" ht="12.75" x14ac:dyDescent="0.2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8"/>
      <c r="N904" s="88"/>
      <c r="O904" s="87"/>
      <c r="P904" s="87"/>
      <c r="Q904" s="89"/>
      <c r="R904" s="89"/>
      <c r="S904" s="90"/>
      <c r="T904" s="90"/>
      <c r="U904" s="8"/>
      <c r="V904" s="91"/>
      <c r="W904" s="91"/>
      <c r="X904" s="91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</row>
    <row r="905" spans="1:42" ht="12.75" x14ac:dyDescent="0.2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8"/>
      <c r="N905" s="88"/>
      <c r="O905" s="87"/>
      <c r="P905" s="87"/>
      <c r="Q905" s="89"/>
      <c r="R905" s="89"/>
      <c r="S905" s="90"/>
      <c r="T905" s="90"/>
      <c r="U905" s="8"/>
      <c r="V905" s="91"/>
      <c r="W905" s="91"/>
      <c r="X905" s="91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</row>
    <row r="906" spans="1:42" ht="12.75" x14ac:dyDescent="0.2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8"/>
      <c r="N906" s="88"/>
      <c r="O906" s="87"/>
      <c r="P906" s="87"/>
      <c r="Q906" s="89"/>
      <c r="R906" s="89"/>
      <c r="S906" s="90"/>
      <c r="T906" s="90"/>
      <c r="U906" s="8"/>
      <c r="V906" s="91"/>
      <c r="W906" s="91"/>
      <c r="X906" s="91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</row>
    <row r="907" spans="1:42" ht="12.75" x14ac:dyDescent="0.2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8"/>
      <c r="N907" s="88"/>
      <c r="O907" s="87"/>
      <c r="P907" s="87"/>
      <c r="Q907" s="89"/>
      <c r="R907" s="89"/>
      <c r="S907" s="90"/>
      <c r="T907" s="90"/>
      <c r="U907" s="8"/>
      <c r="V907" s="91"/>
      <c r="W907" s="91"/>
      <c r="X907" s="91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</row>
    <row r="908" spans="1:42" ht="12.75" x14ac:dyDescent="0.2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8"/>
      <c r="N908" s="88"/>
      <c r="O908" s="87"/>
      <c r="P908" s="87"/>
      <c r="Q908" s="89"/>
      <c r="R908" s="89"/>
      <c r="S908" s="90"/>
      <c r="T908" s="90"/>
      <c r="U908" s="8"/>
      <c r="V908" s="91"/>
      <c r="W908" s="91"/>
      <c r="X908" s="91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</row>
    <row r="909" spans="1:42" ht="12.75" x14ac:dyDescent="0.2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8"/>
      <c r="N909" s="88"/>
      <c r="O909" s="87"/>
      <c r="P909" s="87"/>
      <c r="Q909" s="89"/>
      <c r="R909" s="89"/>
      <c r="S909" s="90"/>
      <c r="T909" s="90"/>
      <c r="U909" s="8"/>
      <c r="V909" s="91"/>
      <c r="W909" s="91"/>
      <c r="X909" s="91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</row>
    <row r="910" spans="1:42" ht="12.75" x14ac:dyDescent="0.2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8"/>
      <c r="N910" s="88"/>
      <c r="O910" s="87"/>
      <c r="P910" s="87"/>
      <c r="Q910" s="89"/>
      <c r="R910" s="89"/>
      <c r="S910" s="90"/>
      <c r="T910" s="90"/>
      <c r="U910" s="8"/>
      <c r="V910" s="91"/>
      <c r="W910" s="91"/>
      <c r="X910" s="91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</row>
    <row r="911" spans="1:42" ht="12.75" x14ac:dyDescent="0.2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8"/>
      <c r="N911" s="88"/>
      <c r="O911" s="87"/>
      <c r="P911" s="87"/>
      <c r="Q911" s="89"/>
      <c r="R911" s="89"/>
      <c r="S911" s="90"/>
      <c r="T911" s="90"/>
      <c r="U911" s="8"/>
      <c r="V911" s="91"/>
      <c r="W911" s="91"/>
      <c r="X911" s="91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</row>
    <row r="912" spans="1:42" ht="12.75" x14ac:dyDescent="0.2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8"/>
      <c r="N912" s="88"/>
      <c r="O912" s="87"/>
      <c r="P912" s="87"/>
      <c r="Q912" s="89"/>
      <c r="R912" s="89"/>
      <c r="S912" s="90"/>
      <c r="T912" s="90"/>
      <c r="U912" s="8"/>
      <c r="V912" s="91"/>
      <c r="W912" s="91"/>
      <c r="X912" s="91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</row>
    <row r="913" spans="1:42" ht="12.75" x14ac:dyDescent="0.2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8"/>
      <c r="N913" s="88"/>
      <c r="O913" s="87"/>
      <c r="P913" s="87"/>
      <c r="Q913" s="89"/>
      <c r="R913" s="89"/>
      <c r="S913" s="90"/>
      <c r="T913" s="90"/>
      <c r="U913" s="8"/>
      <c r="V913" s="91"/>
      <c r="W913" s="91"/>
      <c r="X913" s="91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</row>
    <row r="914" spans="1:42" ht="12.75" x14ac:dyDescent="0.2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8"/>
      <c r="N914" s="88"/>
      <c r="O914" s="87"/>
      <c r="P914" s="87"/>
      <c r="Q914" s="89"/>
      <c r="R914" s="89"/>
      <c r="S914" s="90"/>
      <c r="T914" s="90"/>
      <c r="U914" s="8"/>
      <c r="V914" s="91"/>
      <c r="W914" s="91"/>
      <c r="X914" s="91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</row>
    <row r="915" spans="1:42" ht="12.75" x14ac:dyDescent="0.2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8"/>
      <c r="N915" s="88"/>
      <c r="O915" s="87"/>
      <c r="P915" s="87"/>
      <c r="Q915" s="89"/>
      <c r="R915" s="89"/>
      <c r="S915" s="90"/>
      <c r="T915" s="90"/>
      <c r="U915" s="8"/>
      <c r="V915" s="91"/>
      <c r="W915" s="91"/>
      <c r="X915" s="91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</row>
    <row r="916" spans="1:42" ht="12.75" x14ac:dyDescent="0.2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8"/>
      <c r="N916" s="88"/>
      <c r="O916" s="87"/>
      <c r="P916" s="87"/>
      <c r="Q916" s="89"/>
      <c r="R916" s="89"/>
      <c r="S916" s="90"/>
      <c r="T916" s="90"/>
      <c r="U916" s="8"/>
      <c r="V916" s="91"/>
      <c r="W916" s="91"/>
      <c r="X916" s="91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</row>
    <row r="917" spans="1:42" ht="12.75" x14ac:dyDescent="0.2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8"/>
      <c r="N917" s="88"/>
      <c r="O917" s="87"/>
      <c r="P917" s="87"/>
      <c r="Q917" s="89"/>
      <c r="R917" s="89"/>
      <c r="S917" s="90"/>
      <c r="T917" s="90"/>
      <c r="U917" s="8"/>
      <c r="V917" s="91"/>
      <c r="W917" s="91"/>
      <c r="X917" s="91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</row>
    <row r="918" spans="1:42" ht="12.75" x14ac:dyDescent="0.2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8"/>
      <c r="N918" s="88"/>
      <c r="O918" s="87"/>
      <c r="P918" s="87"/>
      <c r="Q918" s="89"/>
      <c r="R918" s="89"/>
      <c r="S918" s="90"/>
      <c r="T918" s="90"/>
      <c r="U918" s="8"/>
      <c r="V918" s="91"/>
      <c r="W918" s="91"/>
      <c r="X918" s="91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</row>
    <row r="919" spans="1:42" ht="12.75" x14ac:dyDescent="0.2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8"/>
      <c r="N919" s="88"/>
      <c r="O919" s="87"/>
      <c r="P919" s="87"/>
      <c r="Q919" s="89"/>
      <c r="R919" s="89"/>
      <c r="S919" s="90"/>
      <c r="T919" s="90"/>
      <c r="U919" s="8"/>
      <c r="V919" s="91"/>
      <c r="W919" s="91"/>
      <c r="X919" s="91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</row>
    <row r="920" spans="1:42" ht="12.75" x14ac:dyDescent="0.2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8"/>
      <c r="N920" s="88"/>
      <c r="O920" s="87"/>
      <c r="P920" s="87"/>
      <c r="Q920" s="89"/>
      <c r="R920" s="89"/>
      <c r="S920" s="90"/>
      <c r="T920" s="90"/>
      <c r="U920" s="8"/>
      <c r="V920" s="91"/>
      <c r="W920" s="91"/>
      <c r="X920" s="91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</row>
    <row r="921" spans="1:42" ht="12.75" x14ac:dyDescent="0.2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8"/>
      <c r="N921" s="88"/>
      <c r="O921" s="87"/>
      <c r="P921" s="87"/>
      <c r="Q921" s="89"/>
      <c r="R921" s="89"/>
      <c r="S921" s="90"/>
      <c r="T921" s="90"/>
      <c r="U921" s="8"/>
      <c r="V921" s="91"/>
      <c r="W921" s="91"/>
      <c r="X921" s="91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</row>
    <row r="922" spans="1:42" ht="12.75" x14ac:dyDescent="0.2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8"/>
      <c r="N922" s="88"/>
      <c r="O922" s="87"/>
      <c r="P922" s="87"/>
      <c r="Q922" s="89"/>
      <c r="R922" s="89"/>
      <c r="S922" s="90"/>
      <c r="T922" s="90"/>
      <c r="U922" s="8"/>
      <c r="V922" s="91"/>
      <c r="W922" s="91"/>
      <c r="X922" s="91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</row>
    <row r="923" spans="1:42" ht="12.75" x14ac:dyDescent="0.2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8"/>
      <c r="N923" s="88"/>
      <c r="O923" s="87"/>
      <c r="P923" s="87"/>
      <c r="Q923" s="89"/>
      <c r="R923" s="89"/>
      <c r="S923" s="90"/>
      <c r="T923" s="90"/>
      <c r="U923" s="8"/>
      <c r="V923" s="91"/>
      <c r="W923" s="91"/>
      <c r="X923" s="91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</row>
    <row r="924" spans="1:42" ht="12.75" x14ac:dyDescent="0.2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8"/>
      <c r="N924" s="88"/>
      <c r="O924" s="87"/>
      <c r="P924" s="87"/>
      <c r="Q924" s="89"/>
      <c r="R924" s="89"/>
      <c r="S924" s="90"/>
      <c r="T924" s="90"/>
      <c r="U924" s="8"/>
      <c r="V924" s="91"/>
      <c r="W924" s="91"/>
      <c r="X924" s="91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</row>
    <row r="925" spans="1:42" ht="12.75" x14ac:dyDescent="0.2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8"/>
      <c r="N925" s="88"/>
      <c r="O925" s="87"/>
      <c r="P925" s="87"/>
      <c r="Q925" s="89"/>
      <c r="R925" s="89"/>
      <c r="S925" s="90"/>
      <c r="T925" s="90"/>
      <c r="U925" s="8"/>
      <c r="V925" s="91"/>
      <c r="W925" s="91"/>
      <c r="X925" s="91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</row>
    <row r="926" spans="1:42" ht="12.75" x14ac:dyDescent="0.2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8"/>
      <c r="N926" s="88"/>
      <c r="O926" s="87"/>
      <c r="P926" s="87"/>
      <c r="Q926" s="89"/>
      <c r="R926" s="89"/>
      <c r="S926" s="90"/>
      <c r="T926" s="90"/>
      <c r="U926" s="8"/>
      <c r="V926" s="91"/>
      <c r="W926" s="91"/>
      <c r="X926" s="91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</row>
    <row r="927" spans="1:42" ht="12.75" x14ac:dyDescent="0.2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8"/>
      <c r="N927" s="88"/>
      <c r="O927" s="87"/>
      <c r="P927" s="87"/>
      <c r="Q927" s="89"/>
      <c r="R927" s="89"/>
      <c r="S927" s="90"/>
      <c r="T927" s="90"/>
      <c r="U927" s="8"/>
      <c r="V927" s="91"/>
      <c r="W927" s="91"/>
      <c r="X927" s="91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</row>
    <row r="928" spans="1:42" ht="12.75" x14ac:dyDescent="0.2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8"/>
      <c r="N928" s="88"/>
      <c r="O928" s="87"/>
      <c r="P928" s="87"/>
      <c r="Q928" s="89"/>
      <c r="R928" s="89"/>
      <c r="S928" s="90"/>
      <c r="T928" s="90"/>
      <c r="U928" s="8"/>
      <c r="V928" s="91"/>
      <c r="W928" s="91"/>
      <c r="X928" s="91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</row>
    <row r="929" spans="1:42" ht="12.75" x14ac:dyDescent="0.2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8"/>
      <c r="N929" s="88"/>
      <c r="O929" s="87"/>
      <c r="P929" s="87"/>
      <c r="Q929" s="89"/>
      <c r="R929" s="89"/>
      <c r="S929" s="90"/>
      <c r="T929" s="90"/>
      <c r="U929" s="8"/>
      <c r="V929" s="91"/>
      <c r="W929" s="91"/>
      <c r="X929" s="91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</row>
    <row r="930" spans="1:42" ht="12.75" x14ac:dyDescent="0.2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8"/>
      <c r="N930" s="88"/>
      <c r="O930" s="87"/>
      <c r="P930" s="87"/>
      <c r="Q930" s="89"/>
      <c r="R930" s="89"/>
      <c r="S930" s="90"/>
      <c r="T930" s="90"/>
      <c r="U930" s="8"/>
      <c r="V930" s="91"/>
      <c r="W930" s="91"/>
      <c r="X930" s="91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</row>
    <row r="931" spans="1:42" ht="12.75" x14ac:dyDescent="0.2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8"/>
      <c r="N931" s="88"/>
      <c r="O931" s="87"/>
      <c r="P931" s="87"/>
      <c r="Q931" s="89"/>
      <c r="R931" s="89"/>
      <c r="S931" s="90"/>
      <c r="T931" s="90"/>
      <c r="U931" s="8"/>
      <c r="V931" s="91"/>
      <c r="W931" s="91"/>
      <c r="X931" s="91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</row>
    <row r="932" spans="1:42" ht="12.75" x14ac:dyDescent="0.2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8"/>
      <c r="N932" s="88"/>
      <c r="O932" s="87"/>
      <c r="P932" s="87"/>
      <c r="Q932" s="89"/>
      <c r="R932" s="89"/>
      <c r="S932" s="90"/>
      <c r="T932" s="90"/>
      <c r="U932" s="8"/>
      <c r="V932" s="91"/>
      <c r="W932" s="91"/>
      <c r="X932" s="91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</row>
    <row r="933" spans="1:42" ht="12.75" x14ac:dyDescent="0.2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8"/>
      <c r="N933" s="88"/>
      <c r="O933" s="87"/>
      <c r="P933" s="87"/>
      <c r="Q933" s="89"/>
      <c r="R933" s="89"/>
      <c r="S933" s="90"/>
      <c r="T933" s="90"/>
      <c r="U933" s="8"/>
      <c r="V933" s="91"/>
      <c r="W933" s="91"/>
      <c r="X933" s="91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</row>
    <row r="934" spans="1:42" ht="12.75" x14ac:dyDescent="0.2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8"/>
      <c r="N934" s="88"/>
      <c r="O934" s="87"/>
      <c r="P934" s="87"/>
      <c r="Q934" s="89"/>
      <c r="R934" s="89"/>
      <c r="S934" s="90"/>
      <c r="T934" s="90"/>
      <c r="U934" s="8"/>
      <c r="V934" s="91"/>
      <c r="W934" s="91"/>
      <c r="X934" s="91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</row>
    <row r="935" spans="1:42" ht="12.75" x14ac:dyDescent="0.2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8"/>
      <c r="N935" s="88"/>
      <c r="O935" s="87"/>
      <c r="P935" s="87"/>
      <c r="Q935" s="89"/>
      <c r="R935" s="89"/>
      <c r="S935" s="90"/>
      <c r="T935" s="90"/>
      <c r="U935" s="8"/>
      <c r="V935" s="91"/>
      <c r="W935" s="91"/>
      <c r="X935" s="91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</row>
    <row r="936" spans="1:42" ht="12.75" x14ac:dyDescent="0.2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8"/>
      <c r="N936" s="88"/>
      <c r="O936" s="87"/>
      <c r="P936" s="87"/>
      <c r="Q936" s="89"/>
      <c r="R936" s="89"/>
      <c r="S936" s="90"/>
      <c r="T936" s="90"/>
      <c r="U936" s="8"/>
      <c r="V936" s="91"/>
      <c r="W936" s="91"/>
      <c r="X936" s="91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</row>
    <row r="937" spans="1:42" ht="12.75" x14ac:dyDescent="0.2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8"/>
      <c r="N937" s="88"/>
      <c r="O937" s="87"/>
      <c r="P937" s="87"/>
      <c r="Q937" s="89"/>
      <c r="R937" s="89"/>
      <c r="S937" s="90"/>
      <c r="T937" s="90"/>
      <c r="U937" s="8"/>
      <c r="V937" s="91"/>
      <c r="W937" s="91"/>
      <c r="X937" s="91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</row>
    <row r="938" spans="1:42" ht="12.75" x14ac:dyDescent="0.2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8"/>
      <c r="N938" s="88"/>
      <c r="O938" s="87"/>
      <c r="P938" s="87"/>
      <c r="Q938" s="89"/>
      <c r="R938" s="89"/>
      <c r="S938" s="90"/>
      <c r="T938" s="90"/>
      <c r="U938" s="8"/>
      <c r="V938" s="91"/>
      <c r="W938" s="91"/>
      <c r="X938" s="91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</row>
    <row r="939" spans="1:42" ht="12.75" x14ac:dyDescent="0.2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8"/>
      <c r="N939" s="88"/>
      <c r="O939" s="87"/>
      <c r="P939" s="87"/>
      <c r="Q939" s="89"/>
      <c r="R939" s="89"/>
      <c r="S939" s="90"/>
      <c r="T939" s="90"/>
      <c r="U939" s="8"/>
      <c r="V939" s="91"/>
      <c r="W939" s="91"/>
      <c r="X939" s="91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</row>
    <row r="940" spans="1:42" ht="12.75" x14ac:dyDescent="0.2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8"/>
      <c r="N940" s="88"/>
      <c r="O940" s="87"/>
      <c r="P940" s="87"/>
      <c r="Q940" s="89"/>
      <c r="R940" s="89"/>
      <c r="S940" s="90"/>
      <c r="T940" s="90"/>
      <c r="U940" s="8"/>
      <c r="V940" s="91"/>
      <c r="W940" s="91"/>
      <c r="X940" s="91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</row>
    <row r="941" spans="1:42" ht="12.75" x14ac:dyDescent="0.2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8"/>
      <c r="N941" s="88"/>
      <c r="O941" s="87"/>
      <c r="P941" s="87"/>
      <c r="Q941" s="89"/>
      <c r="R941" s="89"/>
      <c r="S941" s="90"/>
      <c r="T941" s="90"/>
      <c r="U941" s="8"/>
      <c r="V941" s="91"/>
      <c r="W941" s="91"/>
      <c r="X941" s="91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</row>
    <row r="942" spans="1:42" ht="12.75" x14ac:dyDescent="0.2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8"/>
      <c r="N942" s="88"/>
      <c r="O942" s="87"/>
      <c r="P942" s="87"/>
      <c r="Q942" s="89"/>
      <c r="R942" s="89"/>
      <c r="S942" s="90"/>
      <c r="T942" s="90"/>
      <c r="U942" s="8"/>
      <c r="V942" s="91"/>
      <c r="W942" s="91"/>
      <c r="X942" s="91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</row>
    <row r="943" spans="1:42" ht="12.75" x14ac:dyDescent="0.2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8"/>
      <c r="N943" s="88"/>
      <c r="O943" s="87"/>
      <c r="P943" s="87"/>
      <c r="Q943" s="89"/>
      <c r="R943" s="89"/>
      <c r="S943" s="90"/>
      <c r="T943" s="90"/>
      <c r="U943" s="8"/>
      <c r="V943" s="91"/>
      <c r="W943" s="91"/>
      <c r="X943" s="91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</row>
    <row r="944" spans="1:42" ht="12.75" x14ac:dyDescent="0.2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8"/>
      <c r="N944" s="88"/>
      <c r="O944" s="87"/>
      <c r="P944" s="87"/>
      <c r="Q944" s="89"/>
      <c r="R944" s="89"/>
      <c r="S944" s="90"/>
      <c r="T944" s="90"/>
      <c r="U944" s="8"/>
      <c r="V944" s="91"/>
      <c r="W944" s="91"/>
      <c r="X944" s="91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</row>
    <row r="945" spans="1:42" ht="12.75" x14ac:dyDescent="0.2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8"/>
      <c r="N945" s="88"/>
      <c r="O945" s="87"/>
      <c r="P945" s="87"/>
      <c r="Q945" s="89"/>
      <c r="R945" s="89"/>
      <c r="S945" s="90"/>
      <c r="T945" s="90"/>
      <c r="U945" s="8"/>
      <c r="V945" s="91"/>
      <c r="W945" s="91"/>
      <c r="X945" s="91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</row>
    <row r="946" spans="1:42" ht="12.75" x14ac:dyDescent="0.2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8"/>
      <c r="N946" s="88"/>
      <c r="O946" s="87"/>
      <c r="P946" s="87"/>
      <c r="Q946" s="89"/>
      <c r="R946" s="89"/>
      <c r="S946" s="90"/>
      <c r="T946" s="90"/>
      <c r="U946" s="8"/>
      <c r="V946" s="91"/>
      <c r="W946" s="91"/>
      <c r="X946" s="91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</row>
    <row r="947" spans="1:42" ht="12.75" x14ac:dyDescent="0.2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8"/>
      <c r="N947" s="88"/>
      <c r="O947" s="87"/>
      <c r="P947" s="87"/>
      <c r="Q947" s="89"/>
      <c r="R947" s="89"/>
      <c r="S947" s="90"/>
      <c r="T947" s="90"/>
      <c r="U947" s="8"/>
      <c r="V947" s="91"/>
      <c r="W947" s="91"/>
      <c r="X947" s="91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</row>
    <row r="948" spans="1:42" ht="12.75" x14ac:dyDescent="0.2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8"/>
      <c r="N948" s="88"/>
      <c r="O948" s="87"/>
      <c r="P948" s="87"/>
      <c r="Q948" s="89"/>
      <c r="R948" s="89"/>
      <c r="S948" s="90"/>
      <c r="T948" s="90"/>
      <c r="U948" s="8"/>
      <c r="V948" s="91"/>
      <c r="W948" s="91"/>
      <c r="X948" s="91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</row>
    <row r="949" spans="1:42" ht="12.75" x14ac:dyDescent="0.2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8"/>
      <c r="N949" s="88"/>
      <c r="O949" s="87"/>
      <c r="P949" s="87"/>
      <c r="Q949" s="89"/>
      <c r="R949" s="89"/>
      <c r="S949" s="90"/>
      <c r="T949" s="90"/>
      <c r="U949" s="8"/>
      <c r="V949" s="91"/>
      <c r="W949" s="91"/>
      <c r="X949" s="91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</row>
    <row r="950" spans="1:42" ht="12.75" x14ac:dyDescent="0.2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8"/>
      <c r="N950" s="88"/>
      <c r="O950" s="87"/>
      <c r="P950" s="87"/>
      <c r="Q950" s="89"/>
      <c r="R950" s="89"/>
      <c r="S950" s="90"/>
      <c r="T950" s="90"/>
      <c r="U950" s="8"/>
      <c r="V950" s="91"/>
      <c r="W950" s="91"/>
      <c r="X950" s="91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</row>
    <row r="951" spans="1:42" ht="12.75" x14ac:dyDescent="0.2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8"/>
      <c r="N951" s="88"/>
      <c r="O951" s="87"/>
      <c r="P951" s="87"/>
      <c r="Q951" s="89"/>
      <c r="R951" s="89"/>
      <c r="S951" s="90"/>
      <c r="T951" s="90"/>
      <c r="U951" s="8"/>
      <c r="V951" s="91"/>
      <c r="W951" s="91"/>
      <c r="X951" s="91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</row>
    <row r="952" spans="1:42" ht="12.75" x14ac:dyDescent="0.2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8"/>
      <c r="N952" s="88"/>
      <c r="O952" s="87"/>
      <c r="P952" s="87"/>
      <c r="Q952" s="89"/>
      <c r="R952" s="89"/>
      <c r="S952" s="90"/>
      <c r="T952" s="90"/>
      <c r="U952" s="8"/>
      <c r="V952" s="91"/>
      <c r="W952" s="91"/>
      <c r="X952" s="91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</row>
    <row r="953" spans="1:42" ht="12.75" x14ac:dyDescent="0.2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8"/>
      <c r="N953" s="88"/>
      <c r="O953" s="87"/>
      <c r="P953" s="87"/>
      <c r="Q953" s="89"/>
      <c r="R953" s="89"/>
      <c r="S953" s="90"/>
      <c r="T953" s="90"/>
      <c r="U953" s="8"/>
      <c r="V953" s="91"/>
      <c r="W953" s="91"/>
      <c r="X953" s="91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</row>
    <row r="954" spans="1:42" ht="12.75" x14ac:dyDescent="0.2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8"/>
      <c r="N954" s="88"/>
      <c r="O954" s="87"/>
      <c r="P954" s="87"/>
      <c r="Q954" s="89"/>
      <c r="R954" s="89"/>
      <c r="S954" s="90"/>
      <c r="T954" s="90"/>
      <c r="U954" s="8"/>
      <c r="V954" s="91"/>
      <c r="W954" s="91"/>
      <c r="X954" s="91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</row>
    <row r="955" spans="1:42" ht="12.75" x14ac:dyDescent="0.2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8"/>
      <c r="N955" s="88"/>
      <c r="O955" s="87"/>
      <c r="P955" s="87"/>
      <c r="Q955" s="89"/>
      <c r="R955" s="89"/>
      <c r="S955" s="90"/>
      <c r="T955" s="90"/>
      <c r="U955" s="8"/>
      <c r="V955" s="91"/>
      <c r="W955" s="91"/>
      <c r="X955" s="91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</row>
    <row r="956" spans="1:42" ht="12.75" x14ac:dyDescent="0.2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8"/>
      <c r="N956" s="88"/>
      <c r="O956" s="87"/>
      <c r="P956" s="87"/>
      <c r="Q956" s="89"/>
      <c r="R956" s="89"/>
      <c r="S956" s="90"/>
      <c r="T956" s="90"/>
      <c r="U956" s="8"/>
      <c r="V956" s="91"/>
      <c r="W956" s="91"/>
      <c r="X956" s="91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</row>
    <row r="957" spans="1:42" ht="12.75" x14ac:dyDescent="0.2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8"/>
      <c r="N957" s="88"/>
      <c r="O957" s="87"/>
      <c r="P957" s="87"/>
      <c r="Q957" s="89"/>
      <c r="R957" s="89"/>
      <c r="S957" s="90"/>
      <c r="T957" s="90"/>
      <c r="U957" s="8"/>
      <c r="V957" s="91"/>
      <c r="W957" s="91"/>
      <c r="X957" s="91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</row>
    <row r="958" spans="1:42" ht="12.75" x14ac:dyDescent="0.2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8"/>
      <c r="N958" s="88"/>
      <c r="O958" s="87"/>
      <c r="P958" s="87"/>
      <c r="Q958" s="89"/>
      <c r="R958" s="89"/>
      <c r="S958" s="90"/>
      <c r="T958" s="90"/>
      <c r="U958" s="8"/>
      <c r="V958" s="91"/>
      <c r="W958" s="91"/>
      <c r="X958" s="91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</row>
    <row r="959" spans="1:42" ht="12.75" x14ac:dyDescent="0.2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8"/>
      <c r="N959" s="88"/>
      <c r="O959" s="87"/>
      <c r="P959" s="87"/>
      <c r="Q959" s="89"/>
      <c r="R959" s="89"/>
      <c r="S959" s="90"/>
      <c r="T959" s="90"/>
      <c r="U959" s="8"/>
      <c r="V959" s="91"/>
      <c r="W959" s="91"/>
      <c r="X959" s="91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</row>
    <row r="960" spans="1:42" ht="12.75" x14ac:dyDescent="0.2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8"/>
      <c r="N960" s="88"/>
      <c r="O960" s="87"/>
      <c r="P960" s="87"/>
      <c r="Q960" s="89"/>
      <c r="R960" s="89"/>
      <c r="S960" s="90"/>
      <c r="T960" s="90"/>
      <c r="U960" s="8"/>
      <c r="V960" s="91"/>
      <c r="W960" s="91"/>
      <c r="X960" s="91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</row>
    <row r="961" spans="1:42" ht="12.75" x14ac:dyDescent="0.2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8"/>
      <c r="N961" s="88"/>
      <c r="O961" s="87"/>
      <c r="P961" s="87"/>
      <c r="Q961" s="89"/>
      <c r="R961" s="89"/>
      <c r="S961" s="90"/>
      <c r="T961" s="90"/>
      <c r="U961" s="8"/>
      <c r="V961" s="91"/>
      <c r="W961" s="91"/>
      <c r="X961" s="91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</row>
    <row r="962" spans="1:42" ht="12.75" x14ac:dyDescent="0.2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8"/>
      <c r="N962" s="88"/>
      <c r="O962" s="87"/>
      <c r="P962" s="87"/>
      <c r="Q962" s="89"/>
      <c r="R962" s="89"/>
      <c r="S962" s="90"/>
      <c r="T962" s="90"/>
      <c r="U962" s="8"/>
      <c r="V962" s="91"/>
      <c r="W962" s="91"/>
      <c r="X962" s="91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</row>
    <row r="963" spans="1:42" ht="12.75" x14ac:dyDescent="0.2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8"/>
      <c r="N963" s="88"/>
      <c r="O963" s="87"/>
      <c r="P963" s="87"/>
      <c r="Q963" s="89"/>
      <c r="R963" s="89"/>
      <c r="S963" s="90"/>
      <c r="T963" s="90"/>
      <c r="U963" s="8"/>
      <c r="V963" s="91"/>
      <c r="W963" s="91"/>
      <c r="X963" s="91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</row>
    <row r="964" spans="1:42" ht="12.75" x14ac:dyDescent="0.2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8"/>
      <c r="N964" s="88"/>
      <c r="O964" s="87"/>
      <c r="P964" s="87"/>
      <c r="Q964" s="89"/>
      <c r="R964" s="89"/>
      <c r="S964" s="90"/>
      <c r="T964" s="90"/>
      <c r="U964" s="8"/>
      <c r="V964" s="91"/>
      <c r="W964" s="91"/>
      <c r="X964" s="91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</row>
    <row r="965" spans="1:42" ht="12.75" x14ac:dyDescent="0.2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8"/>
      <c r="N965" s="88"/>
      <c r="O965" s="87"/>
      <c r="P965" s="87"/>
      <c r="Q965" s="89"/>
      <c r="R965" s="89"/>
      <c r="S965" s="90"/>
      <c r="T965" s="90"/>
      <c r="U965" s="8"/>
      <c r="V965" s="91"/>
      <c r="W965" s="91"/>
      <c r="X965" s="91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</row>
    <row r="966" spans="1:42" ht="12.75" x14ac:dyDescent="0.2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8"/>
      <c r="N966" s="88"/>
      <c r="O966" s="87"/>
      <c r="P966" s="87"/>
      <c r="Q966" s="89"/>
      <c r="R966" s="89"/>
      <c r="S966" s="90"/>
      <c r="T966" s="90"/>
      <c r="U966" s="8"/>
      <c r="V966" s="91"/>
      <c r="W966" s="91"/>
      <c r="X966" s="91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</row>
    <row r="967" spans="1:42" ht="12.75" x14ac:dyDescent="0.2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8"/>
      <c r="N967" s="88"/>
      <c r="O967" s="87"/>
      <c r="P967" s="87"/>
      <c r="Q967" s="89"/>
      <c r="R967" s="89"/>
      <c r="S967" s="90"/>
      <c r="T967" s="90"/>
      <c r="U967" s="8"/>
      <c r="V967" s="91"/>
      <c r="W967" s="91"/>
      <c r="X967" s="91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</row>
    <row r="968" spans="1:42" ht="12.75" x14ac:dyDescent="0.2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8"/>
      <c r="N968" s="88"/>
      <c r="O968" s="87"/>
      <c r="P968" s="87"/>
      <c r="Q968" s="89"/>
      <c r="R968" s="89"/>
      <c r="S968" s="90"/>
      <c r="T968" s="90"/>
      <c r="U968" s="8"/>
      <c r="V968" s="91"/>
      <c r="W968" s="91"/>
      <c r="X968" s="91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</row>
    <row r="969" spans="1:42" ht="12.75" x14ac:dyDescent="0.2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8"/>
      <c r="N969" s="88"/>
      <c r="O969" s="87"/>
      <c r="P969" s="87"/>
      <c r="Q969" s="89"/>
      <c r="R969" s="89"/>
      <c r="S969" s="90"/>
      <c r="T969" s="90"/>
      <c r="U969" s="8"/>
      <c r="V969" s="91"/>
      <c r="W969" s="91"/>
      <c r="X969" s="91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</row>
    <row r="970" spans="1:42" ht="12.75" x14ac:dyDescent="0.2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8"/>
      <c r="N970" s="88"/>
      <c r="O970" s="87"/>
      <c r="P970" s="87"/>
      <c r="Q970" s="89"/>
      <c r="R970" s="89"/>
      <c r="S970" s="90"/>
      <c r="T970" s="90"/>
      <c r="U970" s="8"/>
      <c r="V970" s="91"/>
      <c r="W970" s="91"/>
      <c r="X970" s="91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</row>
    <row r="971" spans="1:42" ht="12.75" x14ac:dyDescent="0.2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8"/>
      <c r="N971" s="88"/>
      <c r="O971" s="87"/>
      <c r="P971" s="87"/>
      <c r="Q971" s="89"/>
      <c r="R971" s="89"/>
      <c r="S971" s="90"/>
      <c r="T971" s="90"/>
      <c r="U971" s="8"/>
      <c r="V971" s="91"/>
      <c r="W971" s="91"/>
      <c r="X971" s="91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</row>
    <row r="972" spans="1:42" ht="12.75" x14ac:dyDescent="0.2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8"/>
      <c r="N972" s="88"/>
      <c r="O972" s="87"/>
      <c r="P972" s="87"/>
      <c r="Q972" s="89"/>
      <c r="R972" s="89"/>
      <c r="S972" s="90"/>
      <c r="T972" s="90"/>
      <c r="U972" s="8"/>
      <c r="V972" s="91"/>
      <c r="W972" s="91"/>
      <c r="X972" s="91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</row>
    <row r="973" spans="1:42" ht="12.75" x14ac:dyDescent="0.2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8"/>
      <c r="N973" s="88"/>
      <c r="O973" s="87"/>
      <c r="P973" s="87"/>
      <c r="Q973" s="89"/>
      <c r="R973" s="89"/>
      <c r="S973" s="90"/>
      <c r="T973" s="90"/>
      <c r="U973" s="8"/>
      <c r="V973" s="91"/>
      <c r="W973" s="91"/>
      <c r="X973" s="91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</row>
    <row r="974" spans="1:42" ht="12.75" x14ac:dyDescent="0.2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8"/>
      <c r="N974" s="88"/>
      <c r="O974" s="87"/>
      <c r="P974" s="87"/>
      <c r="Q974" s="89"/>
      <c r="R974" s="89"/>
      <c r="S974" s="90"/>
      <c r="T974" s="90"/>
      <c r="U974" s="8"/>
      <c r="V974" s="91"/>
      <c r="W974" s="91"/>
      <c r="X974" s="91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</row>
    <row r="975" spans="1:42" ht="12.75" x14ac:dyDescent="0.2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8"/>
      <c r="N975" s="88"/>
      <c r="O975" s="87"/>
      <c r="P975" s="87"/>
      <c r="Q975" s="89"/>
      <c r="R975" s="89"/>
      <c r="S975" s="90"/>
      <c r="T975" s="90"/>
      <c r="U975" s="8"/>
      <c r="V975" s="91"/>
      <c r="W975" s="91"/>
      <c r="X975" s="91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</row>
    <row r="976" spans="1:42" ht="12.75" x14ac:dyDescent="0.2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8"/>
      <c r="N976" s="88"/>
      <c r="O976" s="87"/>
      <c r="P976" s="87"/>
      <c r="Q976" s="89"/>
      <c r="R976" s="89"/>
      <c r="S976" s="90"/>
      <c r="T976" s="90"/>
      <c r="U976" s="8"/>
      <c r="V976" s="91"/>
      <c r="W976" s="91"/>
      <c r="X976" s="91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</row>
    <row r="977" spans="1:42" ht="12.75" x14ac:dyDescent="0.2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8"/>
      <c r="N977" s="88"/>
      <c r="O977" s="87"/>
      <c r="P977" s="87"/>
      <c r="Q977" s="89"/>
      <c r="R977" s="89"/>
      <c r="S977" s="90"/>
      <c r="T977" s="90"/>
      <c r="U977" s="8"/>
      <c r="V977" s="91"/>
      <c r="W977" s="91"/>
      <c r="X977" s="91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</row>
    <row r="978" spans="1:42" ht="12.75" x14ac:dyDescent="0.2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8"/>
      <c r="N978" s="88"/>
      <c r="O978" s="87"/>
      <c r="P978" s="87"/>
      <c r="Q978" s="89"/>
      <c r="R978" s="89"/>
      <c r="S978" s="90"/>
      <c r="T978" s="90"/>
      <c r="U978" s="8"/>
      <c r="V978" s="91"/>
      <c r="W978" s="91"/>
      <c r="X978" s="91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</row>
    <row r="979" spans="1:42" ht="12.75" x14ac:dyDescent="0.2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8"/>
      <c r="N979" s="88"/>
      <c r="O979" s="87"/>
      <c r="P979" s="87"/>
      <c r="Q979" s="89"/>
      <c r="R979" s="89"/>
      <c r="S979" s="90"/>
      <c r="T979" s="90"/>
      <c r="U979" s="8"/>
      <c r="V979" s="91"/>
      <c r="W979" s="91"/>
      <c r="X979" s="91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</row>
    <row r="980" spans="1:42" ht="12.75" x14ac:dyDescent="0.2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8"/>
      <c r="N980" s="88"/>
      <c r="O980" s="87"/>
      <c r="P980" s="87"/>
      <c r="Q980" s="89"/>
      <c r="R980" s="89"/>
      <c r="S980" s="90"/>
      <c r="T980" s="90"/>
      <c r="U980" s="8"/>
      <c r="V980" s="91"/>
      <c r="W980" s="91"/>
      <c r="X980" s="91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</row>
    <row r="981" spans="1:42" ht="12.75" x14ac:dyDescent="0.2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8"/>
      <c r="N981" s="88"/>
      <c r="O981" s="87"/>
      <c r="P981" s="87"/>
      <c r="Q981" s="89"/>
      <c r="R981" s="89"/>
      <c r="S981" s="90"/>
      <c r="T981" s="90"/>
      <c r="U981" s="8"/>
      <c r="V981" s="91"/>
      <c r="W981" s="91"/>
      <c r="X981" s="91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</row>
    <row r="982" spans="1:42" ht="12.75" x14ac:dyDescent="0.2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8"/>
      <c r="N982" s="88"/>
      <c r="O982" s="87"/>
      <c r="P982" s="87"/>
      <c r="Q982" s="89"/>
      <c r="R982" s="89"/>
      <c r="S982" s="90"/>
      <c r="T982" s="90"/>
      <c r="U982" s="8"/>
      <c r="V982" s="91"/>
      <c r="W982" s="91"/>
      <c r="X982" s="91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</row>
    <row r="983" spans="1:42" ht="12.75" x14ac:dyDescent="0.2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8"/>
      <c r="N983" s="88"/>
      <c r="O983" s="87"/>
      <c r="P983" s="87"/>
      <c r="Q983" s="89"/>
      <c r="R983" s="89"/>
      <c r="S983" s="90"/>
      <c r="T983" s="90"/>
      <c r="U983" s="8"/>
      <c r="V983" s="91"/>
      <c r="W983" s="91"/>
      <c r="X983" s="91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</row>
    <row r="984" spans="1:42" ht="12.75" x14ac:dyDescent="0.2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8"/>
      <c r="N984" s="88"/>
      <c r="O984" s="87"/>
      <c r="P984" s="87"/>
      <c r="Q984" s="89"/>
      <c r="R984" s="89"/>
      <c r="S984" s="90"/>
      <c r="T984" s="90"/>
      <c r="U984" s="8"/>
      <c r="V984" s="91"/>
      <c r="W984" s="91"/>
      <c r="X984" s="91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</row>
    <row r="985" spans="1:42" ht="12.75" x14ac:dyDescent="0.2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8"/>
      <c r="N985" s="88"/>
      <c r="O985" s="87"/>
      <c r="P985" s="87"/>
      <c r="Q985" s="89"/>
      <c r="R985" s="89"/>
      <c r="S985" s="90"/>
      <c r="T985" s="90"/>
      <c r="U985" s="8"/>
      <c r="V985" s="91"/>
      <c r="W985" s="91"/>
      <c r="X985" s="91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</row>
    <row r="986" spans="1:42" ht="12.75" x14ac:dyDescent="0.2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8"/>
      <c r="N986" s="88"/>
      <c r="O986" s="87"/>
      <c r="P986" s="87"/>
      <c r="Q986" s="89"/>
      <c r="R986" s="89"/>
      <c r="S986" s="90"/>
      <c r="T986" s="90"/>
      <c r="U986" s="8"/>
      <c r="V986" s="91"/>
      <c r="W986" s="91"/>
      <c r="X986" s="91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</row>
    <row r="987" spans="1:42" ht="12.75" x14ac:dyDescent="0.2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8"/>
      <c r="N987" s="88"/>
      <c r="O987" s="87"/>
      <c r="P987" s="87"/>
      <c r="Q987" s="89"/>
      <c r="R987" s="89"/>
      <c r="S987" s="90"/>
      <c r="T987" s="90"/>
      <c r="U987" s="8"/>
      <c r="V987" s="91"/>
      <c r="W987" s="91"/>
      <c r="X987" s="91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</row>
    <row r="988" spans="1:42" ht="12.75" x14ac:dyDescent="0.2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8"/>
      <c r="N988" s="88"/>
      <c r="O988" s="87"/>
      <c r="P988" s="87"/>
      <c r="Q988" s="89"/>
      <c r="R988" s="89"/>
      <c r="S988" s="90"/>
      <c r="T988" s="90"/>
      <c r="U988" s="8"/>
      <c r="V988" s="91"/>
      <c r="W988" s="91"/>
      <c r="X988" s="91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</row>
    <row r="989" spans="1:42" ht="12.75" x14ac:dyDescent="0.2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8"/>
      <c r="N989" s="88"/>
      <c r="O989" s="87"/>
      <c r="P989" s="87"/>
      <c r="Q989" s="89"/>
      <c r="R989" s="89"/>
      <c r="S989" s="90"/>
      <c r="T989" s="90"/>
      <c r="U989" s="8"/>
      <c r="V989" s="91"/>
      <c r="W989" s="91"/>
      <c r="X989" s="91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</row>
    <row r="990" spans="1:42" ht="12.75" x14ac:dyDescent="0.2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8"/>
      <c r="N990" s="88"/>
      <c r="O990" s="87"/>
      <c r="P990" s="87"/>
      <c r="Q990" s="89"/>
      <c r="R990" s="89"/>
      <c r="S990" s="90"/>
      <c r="T990" s="90"/>
      <c r="U990" s="8"/>
      <c r="V990" s="91"/>
      <c r="W990" s="91"/>
      <c r="X990" s="91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</row>
    <row r="991" spans="1:42" ht="12.75" x14ac:dyDescent="0.2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8"/>
      <c r="N991" s="88"/>
      <c r="O991" s="87"/>
      <c r="P991" s="87"/>
      <c r="Q991" s="89"/>
      <c r="R991" s="89"/>
      <c r="S991" s="90"/>
      <c r="T991" s="90"/>
      <c r="U991" s="8"/>
      <c r="V991" s="91"/>
      <c r="W991" s="91"/>
      <c r="X991" s="91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</row>
    <row r="992" spans="1:42" ht="12.75" x14ac:dyDescent="0.2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8"/>
      <c r="N992" s="88"/>
      <c r="O992" s="87"/>
      <c r="P992" s="87"/>
      <c r="Q992" s="89"/>
      <c r="R992" s="89"/>
      <c r="S992" s="90"/>
      <c r="T992" s="90"/>
      <c r="U992" s="8"/>
      <c r="V992" s="91"/>
      <c r="W992" s="91"/>
      <c r="X992" s="91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</row>
    <row r="993" spans="1:42" ht="12.75" x14ac:dyDescent="0.2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8"/>
      <c r="N993" s="88"/>
      <c r="O993" s="87"/>
      <c r="P993" s="87"/>
      <c r="Q993" s="89"/>
      <c r="R993" s="89"/>
      <c r="S993" s="90"/>
      <c r="T993" s="90"/>
      <c r="U993" s="8"/>
      <c r="V993" s="91"/>
      <c r="W993" s="91"/>
      <c r="X993" s="91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</row>
    <row r="994" spans="1:42" ht="12.75" x14ac:dyDescent="0.2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8"/>
      <c r="N994" s="88"/>
      <c r="O994" s="87"/>
      <c r="P994" s="87"/>
      <c r="Q994" s="89"/>
      <c r="R994" s="89"/>
      <c r="S994" s="90"/>
      <c r="T994" s="90"/>
      <c r="U994" s="8"/>
      <c r="V994" s="91"/>
      <c r="W994" s="91"/>
      <c r="X994" s="91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</row>
    <row r="995" spans="1:42" ht="12.75" x14ac:dyDescent="0.2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8"/>
      <c r="N995" s="88"/>
      <c r="O995" s="87"/>
      <c r="P995" s="87"/>
      <c r="Q995" s="89"/>
      <c r="R995" s="89"/>
      <c r="S995" s="90"/>
      <c r="T995" s="90"/>
      <c r="U995" s="8"/>
      <c r="V995" s="91"/>
      <c r="W995" s="91"/>
      <c r="X995" s="91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</row>
    <row r="996" spans="1:42" ht="12.75" x14ac:dyDescent="0.2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8"/>
      <c r="N996" s="88"/>
      <c r="O996" s="87"/>
      <c r="P996" s="87"/>
      <c r="Q996" s="89"/>
      <c r="R996" s="89"/>
      <c r="S996" s="90"/>
      <c r="T996" s="90"/>
      <c r="U996" s="8"/>
      <c r="V996" s="91"/>
      <c r="W996" s="91"/>
      <c r="X996" s="91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</row>
    <row r="997" spans="1:42" ht="12.75" x14ac:dyDescent="0.2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8"/>
      <c r="N997" s="88"/>
      <c r="O997" s="87"/>
      <c r="P997" s="87"/>
      <c r="Q997" s="89"/>
      <c r="R997" s="89"/>
      <c r="S997" s="90"/>
      <c r="T997" s="90"/>
      <c r="U997" s="8"/>
      <c r="V997" s="91"/>
      <c r="W997" s="91"/>
      <c r="X997" s="91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</row>
    <row r="998" spans="1:42" ht="12.75" x14ac:dyDescent="0.2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8"/>
      <c r="N998" s="88"/>
      <c r="O998" s="87"/>
      <c r="P998" s="87"/>
      <c r="Q998" s="89"/>
      <c r="R998" s="89"/>
      <c r="S998" s="90"/>
      <c r="T998" s="90"/>
      <c r="U998" s="8"/>
      <c r="V998" s="91"/>
      <c r="W998" s="91"/>
      <c r="X998" s="91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</row>
    <row r="999" spans="1:42" ht="12.75" x14ac:dyDescent="0.2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8"/>
      <c r="N999" s="88"/>
      <c r="O999" s="87"/>
      <c r="P999" s="87"/>
      <c r="Q999" s="89"/>
      <c r="R999" s="89"/>
      <c r="S999" s="90"/>
      <c r="T999" s="90"/>
      <c r="U999" s="8"/>
      <c r="V999" s="91"/>
      <c r="W999" s="91"/>
      <c r="X999" s="91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</row>
    <row r="1000" spans="1:42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</row>
  </sheetData>
  <mergeCells count="32">
    <mergeCell ref="AH3:AM4"/>
    <mergeCell ref="AN3:AP4"/>
    <mergeCell ref="Z5:AA5"/>
    <mergeCell ref="AB5:AC5"/>
    <mergeCell ref="AD5:AG5"/>
    <mergeCell ref="AH5:AI5"/>
    <mergeCell ref="AJ5:AM5"/>
    <mergeCell ref="AO5:AP5"/>
    <mergeCell ref="Y3:AA4"/>
    <mergeCell ref="AB3:AG4"/>
    <mergeCell ref="H5:I5"/>
    <mergeCell ref="J5:L5"/>
    <mergeCell ref="Q5:R5"/>
    <mergeCell ref="S5:T5"/>
    <mergeCell ref="U5:X5"/>
    <mergeCell ref="A31:B31"/>
    <mergeCell ref="A52:B52"/>
    <mergeCell ref="A74:B74"/>
    <mergeCell ref="A89:B89"/>
    <mergeCell ref="A104:B104"/>
    <mergeCell ref="A7:B7"/>
    <mergeCell ref="A13:B13"/>
    <mergeCell ref="A2:B6"/>
    <mergeCell ref="C4:E4"/>
    <mergeCell ref="C5:C6"/>
    <mergeCell ref="D5:D6"/>
    <mergeCell ref="E5:E6"/>
    <mergeCell ref="D2:AC2"/>
    <mergeCell ref="D3:R3"/>
    <mergeCell ref="S3:X4"/>
    <mergeCell ref="F4:G4"/>
    <mergeCell ref="H4:R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5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1" manualBreakCount="1">
    <brk id="1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G1000"/>
  <sheetViews>
    <sheetView view="pageBreakPreview" zoomScale="60" zoomScaleNormal="55" workbookViewId="0">
      <pane xSplit="2" ySplit="7" topLeftCell="C8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22.5703125" bestFit="1" customWidth="1"/>
    <col min="4" max="4" width="24" bestFit="1" customWidth="1"/>
    <col min="5" max="5" width="13.42578125" bestFit="1" customWidth="1"/>
    <col min="6" max="6" width="20.140625" bestFit="1" customWidth="1"/>
    <col min="7" max="7" width="13.7109375" bestFit="1" customWidth="1"/>
    <col min="8" max="8" width="18.7109375" bestFit="1" customWidth="1"/>
    <col min="9" max="9" width="11.5703125" bestFit="1" customWidth="1"/>
    <col min="10" max="10" width="18" bestFit="1" customWidth="1"/>
    <col min="11" max="11" width="11.5703125" bestFit="1" customWidth="1"/>
    <col min="12" max="12" width="12" bestFit="1" customWidth="1"/>
    <col min="13" max="13" width="16.5703125" bestFit="1" customWidth="1"/>
    <col min="14" max="14" width="18.85546875" bestFit="1" customWidth="1"/>
    <col min="15" max="15" width="19" bestFit="1" customWidth="1"/>
    <col min="16" max="16" width="16.85546875" bestFit="1" customWidth="1"/>
    <col min="17" max="17" width="8.42578125" bestFit="1" customWidth="1"/>
    <col min="18" max="18" width="10.85546875" bestFit="1" customWidth="1"/>
    <col min="19" max="19" width="13.42578125" bestFit="1" customWidth="1"/>
    <col min="20" max="20" width="7.42578125" bestFit="1" customWidth="1"/>
    <col min="21" max="21" width="10.140625" bestFit="1" customWidth="1"/>
    <col min="22" max="22" width="13.42578125" bestFit="1" customWidth="1"/>
    <col min="23" max="23" width="10.85546875" bestFit="1" customWidth="1"/>
    <col min="24" max="24" width="12.28515625" bestFit="1" customWidth="1"/>
    <col min="25" max="25" width="13.42578125" bestFit="1" customWidth="1"/>
    <col min="26" max="26" width="10.85546875" bestFit="1" customWidth="1"/>
    <col min="27" max="27" width="12.28515625" bestFit="1" customWidth="1"/>
    <col min="28" max="30" width="10.85546875" bestFit="1" customWidth="1"/>
    <col min="31" max="31" width="12.28515625" bestFit="1" customWidth="1"/>
    <col min="32" max="32" width="10.85546875" bestFit="1" customWidth="1"/>
    <col min="33" max="33" width="12.28515625" bestFit="1" customWidth="1"/>
  </cols>
  <sheetData>
    <row r="1" spans="1:33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</row>
    <row r="2" spans="1:33" ht="24" customHeight="1" x14ac:dyDescent="0.2">
      <c r="A2" s="179" t="s">
        <v>1</v>
      </c>
      <c r="B2" s="180"/>
      <c r="C2" s="193" t="s">
        <v>138</v>
      </c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3"/>
    </row>
    <row r="3" spans="1:33" ht="30" customHeight="1" x14ac:dyDescent="0.2">
      <c r="A3" s="181"/>
      <c r="B3" s="180"/>
      <c r="C3" s="10"/>
      <c r="D3" s="194" t="s">
        <v>3</v>
      </c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90" t="s">
        <v>139</v>
      </c>
      <c r="T3" s="191"/>
      <c r="U3" s="180"/>
      <c r="V3" s="190" t="s">
        <v>140</v>
      </c>
      <c r="W3" s="191"/>
      <c r="X3" s="180"/>
      <c r="Y3" s="190" t="s">
        <v>141</v>
      </c>
      <c r="Z3" s="191"/>
      <c r="AA3" s="180"/>
      <c r="AB3" s="190" t="s">
        <v>142</v>
      </c>
      <c r="AC3" s="191"/>
      <c r="AD3" s="191"/>
      <c r="AE3" s="191"/>
      <c r="AF3" s="191"/>
      <c r="AG3" s="180"/>
    </row>
    <row r="4" spans="1:33" ht="30" customHeight="1" x14ac:dyDescent="0.3">
      <c r="A4" s="181"/>
      <c r="B4" s="180"/>
      <c r="C4" s="184" t="s">
        <v>8</v>
      </c>
      <c r="D4" s="185"/>
      <c r="E4" s="183"/>
      <c r="F4" s="195" t="s">
        <v>9</v>
      </c>
      <c r="G4" s="183"/>
      <c r="H4" s="196" t="s">
        <v>10</v>
      </c>
      <c r="I4" s="185"/>
      <c r="J4" s="185"/>
      <c r="K4" s="185"/>
      <c r="L4" s="185"/>
      <c r="M4" s="185"/>
      <c r="N4" s="185"/>
      <c r="O4" s="185"/>
      <c r="P4" s="185"/>
      <c r="Q4" s="185"/>
      <c r="R4" s="183"/>
      <c r="S4" s="185"/>
      <c r="T4" s="185"/>
      <c r="U4" s="183"/>
      <c r="V4" s="185"/>
      <c r="W4" s="185"/>
      <c r="X4" s="183"/>
      <c r="Y4" s="185"/>
      <c r="Z4" s="185"/>
      <c r="AA4" s="183"/>
      <c r="AB4" s="185"/>
      <c r="AC4" s="185"/>
      <c r="AD4" s="185"/>
      <c r="AE4" s="185"/>
      <c r="AF4" s="185"/>
      <c r="AG4" s="183"/>
    </row>
    <row r="5" spans="1:33" ht="37.5" customHeight="1" x14ac:dyDescent="0.3">
      <c r="A5" s="181"/>
      <c r="B5" s="180"/>
      <c r="C5" s="242" t="s">
        <v>11</v>
      </c>
      <c r="D5" s="243" t="s">
        <v>12</v>
      </c>
      <c r="E5" s="244" t="s">
        <v>13</v>
      </c>
      <c r="F5" s="92" t="s">
        <v>14</v>
      </c>
      <c r="G5" s="92" t="s">
        <v>15</v>
      </c>
      <c r="H5" s="246" t="s">
        <v>16</v>
      </c>
      <c r="I5" s="245"/>
      <c r="J5" s="254" t="s">
        <v>17</v>
      </c>
      <c r="K5" s="248"/>
      <c r="L5" s="245"/>
      <c r="M5" s="249" t="s">
        <v>18</v>
      </c>
      <c r="N5" s="249" t="s">
        <v>19</v>
      </c>
      <c r="O5" s="249" t="s">
        <v>20</v>
      </c>
      <c r="P5" s="249" t="s">
        <v>21</v>
      </c>
      <c r="Q5" s="250" t="s">
        <v>15</v>
      </c>
      <c r="R5" s="245"/>
      <c r="S5" s="12" t="s">
        <v>22</v>
      </c>
      <c r="T5" s="189" t="s">
        <v>23</v>
      </c>
      <c r="U5" s="183"/>
      <c r="V5" s="12" t="s">
        <v>22</v>
      </c>
      <c r="W5" s="189" t="s">
        <v>23</v>
      </c>
      <c r="X5" s="183"/>
      <c r="Y5" s="12" t="s">
        <v>22</v>
      </c>
      <c r="Z5" s="192" t="s">
        <v>23</v>
      </c>
      <c r="AA5" s="183"/>
      <c r="AB5" s="188" t="s">
        <v>22</v>
      </c>
      <c r="AC5" s="183"/>
      <c r="AD5" s="192" t="s">
        <v>23</v>
      </c>
      <c r="AE5" s="185"/>
      <c r="AF5" s="185"/>
      <c r="AG5" s="183"/>
    </row>
    <row r="6" spans="1:33" ht="40.5" customHeight="1" x14ac:dyDescent="0.3">
      <c r="A6" s="182"/>
      <c r="B6" s="183"/>
      <c r="C6" s="245"/>
      <c r="D6" s="245"/>
      <c r="E6" s="245"/>
      <c r="F6" s="13"/>
      <c r="G6" s="13"/>
      <c r="H6" s="14" t="s">
        <v>24</v>
      </c>
      <c r="I6" s="256" t="s">
        <v>25</v>
      </c>
      <c r="J6" s="93" t="s">
        <v>24</v>
      </c>
      <c r="K6" s="255" t="s">
        <v>25</v>
      </c>
      <c r="L6" s="255" t="s">
        <v>26</v>
      </c>
      <c r="M6" s="17" t="s">
        <v>24</v>
      </c>
      <c r="N6" s="17" t="s">
        <v>24</v>
      </c>
      <c r="O6" s="17" t="s">
        <v>24</v>
      </c>
      <c r="P6" s="17" t="s">
        <v>24</v>
      </c>
      <c r="Q6" s="18" t="s">
        <v>24</v>
      </c>
      <c r="R6" s="19" t="s">
        <v>27</v>
      </c>
      <c r="S6" s="20" t="s">
        <v>28</v>
      </c>
      <c r="T6" s="21" t="s">
        <v>28</v>
      </c>
      <c r="U6" s="22" t="s">
        <v>27</v>
      </c>
      <c r="V6" s="20" t="s">
        <v>28</v>
      </c>
      <c r="W6" s="21" t="s">
        <v>28</v>
      </c>
      <c r="X6" s="22" t="s">
        <v>27</v>
      </c>
      <c r="Y6" s="20" t="s">
        <v>143</v>
      </c>
      <c r="Z6" s="21" t="s">
        <v>143</v>
      </c>
      <c r="AA6" s="22" t="s">
        <v>27</v>
      </c>
      <c r="AB6" s="20" t="s">
        <v>143</v>
      </c>
      <c r="AC6" s="20" t="s">
        <v>28</v>
      </c>
      <c r="AD6" s="21" t="s">
        <v>143</v>
      </c>
      <c r="AE6" s="22" t="s">
        <v>27</v>
      </c>
      <c r="AF6" s="21" t="s">
        <v>28</v>
      </c>
      <c r="AG6" s="22" t="s">
        <v>27</v>
      </c>
    </row>
    <row r="7" spans="1:33" ht="24" customHeight="1" x14ac:dyDescent="0.3">
      <c r="A7" s="175" t="s">
        <v>252</v>
      </c>
      <c r="B7" s="176"/>
      <c r="C7" s="23">
        <f t="shared" ref="C7:H7" ca="1" si="0">C8+C9</f>
        <v>22445100</v>
      </c>
      <c r="D7" s="24">
        <f t="shared" ca="1" si="0"/>
        <v>22445100</v>
      </c>
      <c r="E7" s="25">
        <f t="shared" ca="1" si="0"/>
        <v>0</v>
      </c>
      <c r="F7" s="25">
        <f t="shared" ca="1" si="0"/>
        <v>22445100</v>
      </c>
      <c r="G7" s="25">
        <f t="shared" ca="1" si="0"/>
        <v>0</v>
      </c>
      <c r="H7" s="26">
        <f t="shared" ca="1" si="0"/>
        <v>10981445.810000001</v>
      </c>
      <c r="I7" s="27">
        <f t="shared" ref="I7:I116" ca="1" si="1">IF(D7&gt;0,H7*100/D7,0)</f>
        <v>48.925804785899821</v>
      </c>
      <c r="J7" s="26">
        <f ca="1">J8+J9</f>
        <v>10981445.810000001</v>
      </c>
      <c r="K7" s="27">
        <f t="shared" ref="K7:K10" ca="1" si="2">IF(D7&gt;0,J7*100/D7,0)</f>
        <v>48.925804785899821</v>
      </c>
      <c r="L7" s="27">
        <f t="shared" ref="L7:L10" ca="1" si="3">IF(F7&gt;0,J7*100/F7,0)</f>
        <v>48.925804785899821</v>
      </c>
      <c r="M7" s="26">
        <f t="shared" ref="M7:R7" ca="1" si="4">M8+M9</f>
        <v>3508375.6</v>
      </c>
      <c r="N7" s="26">
        <f t="shared" ca="1" si="4"/>
        <v>3586941</v>
      </c>
      <c r="O7" s="26">
        <f t="shared" ca="1" si="4"/>
        <v>2469102.4899999998</v>
      </c>
      <c r="P7" s="26">
        <f t="shared" ca="1" si="4"/>
        <v>1417026.72</v>
      </c>
      <c r="Q7" s="28">
        <f t="shared" ca="1" si="4"/>
        <v>0</v>
      </c>
      <c r="R7" s="28">
        <f t="shared" ca="1" si="4"/>
        <v>0</v>
      </c>
      <c r="S7" s="29">
        <f t="shared" ref="S7:T7" ca="1" si="5">S8</f>
        <v>0</v>
      </c>
      <c r="T7" s="30">
        <f t="shared" ca="1" si="5"/>
        <v>0</v>
      </c>
      <c r="U7" s="31">
        <f t="shared" ref="U7:U8" ca="1" si="6">IF(S7&gt;0,T7*100/S7,0)</f>
        <v>0</v>
      </c>
      <c r="V7" s="29">
        <f t="shared" ref="V7:W7" ca="1" si="7">V8</f>
        <v>2800</v>
      </c>
      <c r="W7" s="30">
        <f t="shared" ca="1" si="7"/>
        <v>2765</v>
      </c>
      <c r="X7" s="31">
        <f t="shared" ref="X7:X8" ca="1" si="8">IF(V7&gt;0,W7*100/V7,0)</f>
        <v>98.75</v>
      </c>
      <c r="Y7" s="29">
        <f t="shared" ref="Y7:Z7" ca="1" si="9">Y8</f>
        <v>8480</v>
      </c>
      <c r="Z7" s="30">
        <f t="shared" ca="1" si="9"/>
        <v>8255</v>
      </c>
      <c r="AA7" s="31">
        <f t="shared" ref="AA7:AA8" ca="1" si="10">IF(Y7&gt;0,Z7*100/Y7,0)</f>
        <v>97.346698113207552</v>
      </c>
      <c r="AB7" s="29">
        <f t="shared" ref="AB7:AD7" ca="1" si="11">AB8</f>
        <v>8480</v>
      </c>
      <c r="AC7" s="29">
        <f t="shared" ca="1" si="11"/>
        <v>2800</v>
      </c>
      <c r="AD7" s="30">
        <f t="shared" ca="1" si="11"/>
        <v>3805</v>
      </c>
      <c r="AE7" s="31">
        <f t="shared" ref="AE7:AE8" ca="1" si="12">IF(AB7&gt;0,AD7*100/AB7,0)</f>
        <v>44.870283018867923</v>
      </c>
      <c r="AF7" s="30">
        <f ca="1">AF8</f>
        <v>1240</v>
      </c>
      <c r="AG7" s="31">
        <f t="shared" ref="AG7:AG88" ca="1" si="13">IF(AC7&gt;0,AF7*100/AC7,0)</f>
        <v>44.285714285714285</v>
      </c>
    </row>
    <row r="8" spans="1:33" ht="28.5" customHeight="1" x14ac:dyDescent="0.3">
      <c r="A8" s="32" t="s">
        <v>30</v>
      </c>
      <c r="B8" s="33"/>
      <c r="C8" s="34">
        <f t="shared" ref="C8:H8" ca="1" si="14">+C13+C31+C52+C74</f>
        <v>19991880</v>
      </c>
      <c r="D8" s="34">
        <f t="shared" ca="1" si="14"/>
        <v>19991880</v>
      </c>
      <c r="E8" s="34">
        <f t="shared" ca="1" si="14"/>
        <v>0</v>
      </c>
      <c r="F8" s="34">
        <f t="shared" ca="1" si="14"/>
        <v>19958628</v>
      </c>
      <c r="G8" s="34">
        <f t="shared" ca="1" si="14"/>
        <v>0</v>
      </c>
      <c r="H8" s="34">
        <f t="shared" ca="1" si="14"/>
        <v>10644725.65</v>
      </c>
      <c r="I8" s="35">
        <f t="shared" ca="1" si="1"/>
        <v>53.24524581980284</v>
      </c>
      <c r="J8" s="34">
        <f ca="1">+J13+J31+J52+J74</f>
        <v>10644725.65</v>
      </c>
      <c r="K8" s="35">
        <f t="shared" ca="1" si="2"/>
        <v>53.24524581980284</v>
      </c>
      <c r="L8" s="35">
        <f t="shared" ca="1" si="3"/>
        <v>53.333954869042103</v>
      </c>
      <c r="M8" s="34">
        <f t="shared" ref="M8:Q8" ca="1" si="15">+M13+M31+M52+M74</f>
        <v>3508375.6</v>
      </c>
      <c r="N8" s="34">
        <f t="shared" ca="1" si="15"/>
        <v>3586941</v>
      </c>
      <c r="O8" s="34">
        <f t="shared" ca="1" si="15"/>
        <v>2469102.4899999998</v>
      </c>
      <c r="P8" s="34">
        <f t="shared" ca="1" si="15"/>
        <v>1080306.56</v>
      </c>
      <c r="Q8" s="36">
        <f t="shared" ca="1" si="15"/>
        <v>0</v>
      </c>
      <c r="R8" s="36">
        <f t="shared" ref="R8:R11" ca="1" si="16">IF(E8&gt;0,Q8*100/E8,0)</f>
        <v>0</v>
      </c>
      <c r="S8" s="34">
        <f t="shared" ref="S8:T8" ca="1" si="17">+S13+S31+S52+S74</f>
        <v>0</v>
      </c>
      <c r="T8" s="34">
        <f t="shared" ca="1" si="17"/>
        <v>0</v>
      </c>
      <c r="U8" s="37">
        <f t="shared" ca="1" si="6"/>
        <v>0</v>
      </c>
      <c r="V8" s="34">
        <f t="shared" ref="V8:W8" ca="1" si="18">+V13+V31+V52+V74</f>
        <v>2800</v>
      </c>
      <c r="W8" s="34">
        <f t="shared" ca="1" si="18"/>
        <v>2765</v>
      </c>
      <c r="X8" s="37">
        <f t="shared" ca="1" si="8"/>
        <v>98.75</v>
      </c>
      <c r="Y8" s="34">
        <f t="shared" ref="Y8:Z8" ca="1" si="19">+Y13+Y31+Y52+Y74</f>
        <v>8480</v>
      </c>
      <c r="Z8" s="34">
        <f t="shared" ca="1" si="19"/>
        <v>8255</v>
      </c>
      <c r="AA8" s="37">
        <f t="shared" ca="1" si="10"/>
        <v>97.346698113207552</v>
      </c>
      <c r="AB8" s="34">
        <f t="shared" ref="AB8:AD8" ca="1" si="20">+AB13+AB31+AB52+AB74</f>
        <v>8480</v>
      </c>
      <c r="AC8" s="34">
        <f t="shared" ca="1" si="20"/>
        <v>2800</v>
      </c>
      <c r="AD8" s="34">
        <f t="shared" ca="1" si="20"/>
        <v>3805</v>
      </c>
      <c r="AE8" s="37">
        <f t="shared" ca="1" si="12"/>
        <v>44.870283018867923</v>
      </c>
      <c r="AF8" s="34">
        <f ca="1">+AF13+AF31+AF52+AF74</f>
        <v>1240</v>
      </c>
      <c r="AG8" s="37">
        <f t="shared" ca="1" si="13"/>
        <v>44.285714285714285</v>
      </c>
    </row>
    <row r="9" spans="1:33" ht="28.5" customHeight="1" x14ac:dyDescent="0.3">
      <c r="A9" s="38" t="s">
        <v>253</v>
      </c>
      <c r="B9" s="39"/>
      <c r="C9" s="40">
        <f t="shared" ref="C9:H9" ca="1" si="21">+C10+C11</f>
        <v>2453220</v>
      </c>
      <c r="D9" s="40">
        <f t="shared" ca="1" si="21"/>
        <v>2453220</v>
      </c>
      <c r="E9" s="40">
        <f t="shared" si="21"/>
        <v>0</v>
      </c>
      <c r="F9" s="40">
        <f t="shared" ca="1" si="21"/>
        <v>2486472</v>
      </c>
      <c r="G9" s="40">
        <f t="shared" si="21"/>
        <v>0</v>
      </c>
      <c r="H9" s="40">
        <f t="shared" ca="1" si="21"/>
        <v>336720.16</v>
      </c>
      <c r="I9" s="41">
        <f t="shared" ca="1" si="1"/>
        <v>13.725640586657535</v>
      </c>
      <c r="J9" s="94">
        <f ca="1">+J10+J11</f>
        <v>336720.16</v>
      </c>
      <c r="K9" s="95">
        <f t="shared" ca="1" si="2"/>
        <v>13.725640586657535</v>
      </c>
      <c r="L9" s="95">
        <f t="shared" ca="1" si="3"/>
        <v>13.542085332149327</v>
      </c>
      <c r="M9" s="94">
        <f t="shared" ref="M9:Q9" si="22">+M10+M11</f>
        <v>0</v>
      </c>
      <c r="N9" s="94">
        <f t="shared" si="22"/>
        <v>0</v>
      </c>
      <c r="O9" s="94">
        <f t="shared" si="22"/>
        <v>0</v>
      </c>
      <c r="P9" s="94">
        <f t="shared" ca="1" si="22"/>
        <v>336720.16</v>
      </c>
      <c r="Q9" s="96">
        <f t="shared" si="22"/>
        <v>0</v>
      </c>
      <c r="R9" s="96">
        <f t="shared" si="16"/>
        <v>0</v>
      </c>
      <c r="S9" s="43"/>
      <c r="T9" s="43"/>
      <c r="U9" s="44"/>
      <c r="V9" s="43"/>
      <c r="W9" s="43"/>
      <c r="X9" s="44"/>
      <c r="Y9" s="43"/>
      <c r="Z9" s="43"/>
      <c r="AA9" s="44"/>
      <c r="AB9" s="43"/>
      <c r="AC9" s="43"/>
      <c r="AD9" s="43"/>
      <c r="AE9" s="44"/>
      <c r="AF9" s="43"/>
      <c r="AG9" s="44">
        <f t="shared" si="13"/>
        <v>0</v>
      </c>
    </row>
    <row r="10" spans="1:33" ht="28.5" hidden="1" customHeight="1" x14ac:dyDescent="0.3">
      <c r="A10" s="38" t="s">
        <v>31</v>
      </c>
      <c r="B10" s="45"/>
      <c r="C10" s="40">
        <f ca="1">D10+E10</f>
        <v>2453220</v>
      </c>
      <c r="D10" s="40">
        <f ca="1">IFERROR(__xludf.DUMMYFUNCTION("IMPORTRANGE(""https://docs.google.com/spreadsheets/d/1QqKyyYR6Q21VydFLVH3TRQUabQu_ym0Zz7PgGX0-kHA/edit?usp=sharing"",""แผน!FI11"")"),2453220)</f>
        <v>2453220</v>
      </c>
      <c r="E10" s="40">
        <v>0</v>
      </c>
      <c r="F10" s="40">
        <f ca="1">IFERROR(__xludf.DUMMYFUNCTION("IMPORTRANGE(""https://docs.google.com/spreadsheets/d/1vlyYR5_sXdhqA0JyobsBDu7xVmIqJT30I2qHLqWgZQ4/edit?usp=sharing"",""ทั้งประเทศ!M448"")"),2486472)</f>
        <v>2486472</v>
      </c>
      <c r="G10" s="40">
        <v>0</v>
      </c>
      <c r="H10" s="40">
        <f t="shared" ref="H10:H116" ca="1" si="23">J10+Q10</f>
        <v>336720.16</v>
      </c>
      <c r="I10" s="41">
        <f t="shared" ca="1" si="1"/>
        <v>13.725640586657535</v>
      </c>
      <c r="J10" s="94">
        <f ca="1">M10+N10+O10+P10</f>
        <v>336720.16</v>
      </c>
      <c r="K10" s="95">
        <f t="shared" ca="1" si="2"/>
        <v>13.725640586657535</v>
      </c>
      <c r="L10" s="95">
        <f t="shared" ca="1" si="3"/>
        <v>13.542085332149327</v>
      </c>
      <c r="M10" s="94">
        <v>0</v>
      </c>
      <c r="N10" s="94">
        <v>0</v>
      </c>
      <c r="O10" s="94">
        <v>0</v>
      </c>
      <c r="P10" s="94">
        <f ca="1">IFERROR(__xludf.DUMMYFUNCTION("IMPORTRANGE(""https://docs.google.com/spreadsheets/d/1WhzDrMlrZfqSjGYJh0xYjRtGVhp5LiCqlO7EaAHfOOk/edit?usp=sharing"",""sheet1!P6"")"),336720.16)</f>
        <v>336720.16</v>
      </c>
      <c r="Q10" s="96">
        <v>0</v>
      </c>
      <c r="R10" s="96">
        <f t="shared" si="16"/>
        <v>0</v>
      </c>
      <c r="S10" s="43"/>
      <c r="T10" s="43"/>
      <c r="U10" s="44"/>
      <c r="V10" s="43"/>
      <c r="W10" s="43"/>
      <c r="X10" s="44"/>
      <c r="Y10" s="43"/>
      <c r="Z10" s="43"/>
      <c r="AA10" s="44"/>
      <c r="AB10" s="43"/>
      <c r="AC10" s="43"/>
      <c r="AD10" s="43"/>
      <c r="AE10" s="44"/>
      <c r="AF10" s="43"/>
      <c r="AG10" s="44">
        <f t="shared" si="13"/>
        <v>0</v>
      </c>
    </row>
    <row r="11" spans="1:33" ht="28.5" hidden="1" customHeight="1" x14ac:dyDescent="0.3">
      <c r="A11" s="46" t="s">
        <v>32</v>
      </c>
      <c r="B11" s="45"/>
      <c r="C11" s="40">
        <f>+C104</f>
        <v>0</v>
      </c>
      <c r="D11" s="40">
        <v>0</v>
      </c>
      <c r="E11" s="40">
        <v>0</v>
      </c>
      <c r="F11" s="40">
        <v>0</v>
      </c>
      <c r="G11" s="40">
        <v>0</v>
      </c>
      <c r="H11" s="40">
        <f t="shared" si="23"/>
        <v>0</v>
      </c>
      <c r="I11" s="41">
        <f t="shared" si="1"/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P11" s="94">
        <v>0</v>
      </c>
      <c r="Q11" s="96">
        <v>0</v>
      </c>
      <c r="R11" s="96">
        <f t="shared" si="16"/>
        <v>0</v>
      </c>
      <c r="S11" s="43"/>
      <c r="T11" s="43"/>
      <c r="U11" s="44"/>
      <c r="V11" s="43"/>
      <c r="W11" s="43"/>
      <c r="X11" s="44"/>
      <c r="Y11" s="43"/>
      <c r="Z11" s="43"/>
      <c r="AA11" s="44"/>
      <c r="AB11" s="43"/>
      <c r="AC11" s="43"/>
      <c r="AD11" s="43"/>
      <c r="AE11" s="44"/>
      <c r="AF11" s="43"/>
      <c r="AG11" s="44">
        <f t="shared" si="13"/>
        <v>0</v>
      </c>
    </row>
    <row r="12" spans="1:33" ht="28.5" hidden="1" customHeight="1" x14ac:dyDescent="0.3">
      <c r="A12" s="47" t="s">
        <v>33</v>
      </c>
      <c r="B12" s="48"/>
      <c r="C12" s="49">
        <v>0</v>
      </c>
      <c r="D12" s="49">
        <v>0</v>
      </c>
      <c r="E12" s="49">
        <v>0</v>
      </c>
      <c r="F12" s="50"/>
      <c r="G12" s="50"/>
      <c r="H12" s="49">
        <f t="shared" si="23"/>
        <v>0</v>
      </c>
      <c r="I12" s="51">
        <f t="shared" si="1"/>
        <v>0</v>
      </c>
      <c r="J12" s="49">
        <v>0</v>
      </c>
      <c r="K12" s="97"/>
      <c r="L12" s="97"/>
      <c r="M12" s="49">
        <v>0</v>
      </c>
      <c r="N12" s="49">
        <v>0</v>
      </c>
      <c r="O12" s="49">
        <v>0</v>
      </c>
      <c r="P12" s="49">
        <v>0</v>
      </c>
      <c r="Q12" s="52">
        <v>0</v>
      </c>
      <c r="R12" s="52"/>
      <c r="S12" s="49">
        <v>0</v>
      </c>
      <c r="T12" s="49">
        <v>0</v>
      </c>
      <c r="U12" s="53">
        <f t="shared" ref="U12:U88" si="24">IF(S12&gt;0,T12*100/S12,0)</f>
        <v>0</v>
      </c>
      <c r="V12" s="49">
        <v>0</v>
      </c>
      <c r="W12" s="49">
        <v>0</v>
      </c>
      <c r="X12" s="53">
        <f t="shared" ref="X12:X88" si="25">IF(V12&gt;0,W12*100/V12,0)</f>
        <v>0</v>
      </c>
      <c r="Y12" s="49">
        <v>0</v>
      </c>
      <c r="Z12" s="49">
        <v>0</v>
      </c>
      <c r="AA12" s="53">
        <f t="shared" ref="AA12:AA88" si="26">IF(Y12&gt;0,Z12*100/Y12,0)</f>
        <v>0</v>
      </c>
      <c r="AB12" s="49">
        <v>0</v>
      </c>
      <c r="AC12" s="49">
        <v>0</v>
      </c>
      <c r="AD12" s="49">
        <v>0</v>
      </c>
      <c r="AE12" s="53">
        <f t="shared" ref="AE12:AE88" si="27">IF(AB12&gt;0,AD12*100/AB12,0)</f>
        <v>0</v>
      </c>
      <c r="AF12" s="49">
        <v>0</v>
      </c>
      <c r="AG12" s="53">
        <f t="shared" si="13"/>
        <v>0</v>
      </c>
    </row>
    <row r="13" spans="1:33" ht="28.5" customHeight="1" x14ac:dyDescent="0.3">
      <c r="A13" s="177" t="s">
        <v>34</v>
      </c>
      <c r="B13" s="178"/>
      <c r="C13" s="34">
        <f t="shared" ref="C13:G13" ca="1" si="28">SUM(C14:C30)</f>
        <v>5863196</v>
      </c>
      <c r="D13" s="34">
        <f t="shared" ca="1" si="28"/>
        <v>5863196</v>
      </c>
      <c r="E13" s="34">
        <f t="shared" ca="1" si="28"/>
        <v>0</v>
      </c>
      <c r="F13" s="34">
        <f t="shared" ca="1" si="28"/>
        <v>5856242</v>
      </c>
      <c r="G13" s="34">
        <f t="shared" ca="1" si="28"/>
        <v>0</v>
      </c>
      <c r="H13" s="34">
        <f t="shared" ca="1" si="23"/>
        <v>2556264.77</v>
      </c>
      <c r="I13" s="35">
        <f t="shared" ca="1" si="1"/>
        <v>43.598487411984863</v>
      </c>
      <c r="J13" s="34">
        <f ca="1">SUM(J14:J30)</f>
        <v>2556264.77</v>
      </c>
      <c r="K13" s="35">
        <f t="shared" ref="K13:K88" ca="1" si="29">IF(D13&gt;0,J13*100/D13,0)</f>
        <v>43.598487411984863</v>
      </c>
      <c r="L13" s="35">
        <f t="shared" ref="L13:L88" ca="1" si="30">IF(F13&gt;0,J13*100/F13,0)</f>
        <v>43.650258476340291</v>
      </c>
      <c r="M13" s="34">
        <f t="shared" ref="M13:Q13" ca="1" si="31">SUM(M14:M30)</f>
        <v>1071799</v>
      </c>
      <c r="N13" s="34">
        <f t="shared" ca="1" si="31"/>
        <v>423800</v>
      </c>
      <c r="O13" s="34">
        <f t="shared" ca="1" si="31"/>
        <v>783793.57000000007</v>
      </c>
      <c r="P13" s="34">
        <f t="shared" ca="1" si="31"/>
        <v>276872.2</v>
      </c>
      <c r="Q13" s="36">
        <f t="shared" ca="1" si="31"/>
        <v>0</v>
      </c>
      <c r="R13" s="36">
        <f t="shared" ref="R13:R116" ca="1" si="32">IF(E13&gt;0,Q13*100/E13,0)</f>
        <v>0</v>
      </c>
      <c r="S13" s="34">
        <f t="shared" ref="S13:T13" ca="1" si="33">SUM(S14:S30)</f>
        <v>0</v>
      </c>
      <c r="T13" s="34">
        <f t="shared" ca="1" si="33"/>
        <v>0</v>
      </c>
      <c r="U13" s="37">
        <f t="shared" ca="1" si="24"/>
        <v>0</v>
      </c>
      <c r="V13" s="34">
        <f t="shared" ref="V13:W13" ca="1" si="34">SUM(V14:V30)</f>
        <v>860</v>
      </c>
      <c r="W13" s="34">
        <f t="shared" ca="1" si="34"/>
        <v>860</v>
      </c>
      <c r="X13" s="37">
        <f t="shared" ca="1" si="25"/>
        <v>100</v>
      </c>
      <c r="Y13" s="34">
        <f t="shared" ref="Y13:Z13" ca="1" si="35">SUM(Y14:Y30)</f>
        <v>2205</v>
      </c>
      <c r="Z13" s="34">
        <f t="shared" ca="1" si="35"/>
        <v>2205</v>
      </c>
      <c r="AA13" s="37">
        <f t="shared" ca="1" si="26"/>
        <v>100</v>
      </c>
      <c r="AB13" s="34">
        <f t="shared" ref="AB13:AD13" ca="1" si="36">SUM(AB14:AB30)</f>
        <v>2205</v>
      </c>
      <c r="AC13" s="34">
        <f t="shared" ca="1" si="36"/>
        <v>860</v>
      </c>
      <c r="AD13" s="34">
        <f t="shared" ca="1" si="36"/>
        <v>530</v>
      </c>
      <c r="AE13" s="37">
        <f t="shared" ca="1" si="27"/>
        <v>24.036281179138321</v>
      </c>
      <c r="AF13" s="34">
        <f ca="1">SUM(AF14:AF30)</f>
        <v>285</v>
      </c>
      <c r="AG13" s="37">
        <f t="shared" ca="1" si="13"/>
        <v>33.139534883720927</v>
      </c>
    </row>
    <row r="14" spans="1:33" ht="24" customHeight="1" x14ac:dyDescent="0.3">
      <c r="A14" s="54">
        <v>1</v>
      </c>
      <c r="B14" s="55" t="s">
        <v>35</v>
      </c>
      <c r="C14" s="56">
        <f t="shared" ref="C14:C30" ca="1" si="37">D14+E14</f>
        <v>0</v>
      </c>
      <c r="D14" s="57">
        <f ca="1">IFERROR(__xludf.DUMMYFUNCTION("IMPORTRANGE(""https://docs.google.com/spreadsheets/d/1KxicF4apzSqm0-jIpmueT4kyZtE-Cwn5zskl7GD4loQ/edit?usp=sharing"",""กำแพงเพชร!L449"")"),0)</f>
        <v>0</v>
      </c>
      <c r="E14" s="57">
        <f ca="1">IFERROR(__xludf.DUMMYFUNCTION("IMPORTRANGE(""https://docs.google.com/spreadsheets/d/1KxicF4apzSqm0-jIpmueT4kyZtE-Cwn5zskl7GD4loQ/edit?usp=sharing"",""กำแพงเพชร!L456"")"),0)</f>
        <v>0</v>
      </c>
      <c r="F14" s="57">
        <f ca="1">IFERROR(__xludf.DUMMYFUNCTION("IMPORTRANGE(""https://docs.google.com/spreadsheets/d/1KxicF4apzSqm0-jIpmueT4kyZtE-Cwn5zskl7GD4loQ/edit?usp=sharing"",""กำแพงเพชร!M449"")"),0)</f>
        <v>0</v>
      </c>
      <c r="G14" s="57">
        <f ca="1">IFERROR(__xludf.DUMMYFUNCTION("IMPORTRANGE(""https://docs.google.com/spreadsheets/d/1KxicF4apzSqm0-jIpmueT4kyZtE-Cwn5zskl7GD4loQ/edit?usp=sharing"",""กำแพงเพชร!M431"")"),0)</f>
        <v>0</v>
      </c>
      <c r="H14" s="58">
        <f t="shared" ca="1" si="23"/>
        <v>0</v>
      </c>
      <c r="I14" s="59">
        <f t="shared" ca="1" si="1"/>
        <v>0</v>
      </c>
      <c r="J14" s="60">
        <f t="shared" ref="J14:J30" ca="1" si="38">M14+N14+O14+P14</f>
        <v>0</v>
      </c>
      <c r="K14" s="61">
        <f t="shared" ca="1" si="29"/>
        <v>0</v>
      </c>
      <c r="L14" s="61">
        <f t="shared" ca="1" si="30"/>
        <v>0</v>
      </c>
      <c r="M14" s="57">
        <f ca="1">IFERROR(__xludf.DUMMYFUNCTION("IMPORTRANGE(""https://docs.google.com/spreadsheets/d/1KxicF4apzSqm0-jIpmueT4kyZtE-Cwn5zskl7GD4loQ/edit?usp=sharing"",""กำแพงเพชร!N450"")"),0)</f>
        <v>0</v>
      </c>
      <c r="N14" s="57">
        <f ca="1">IFERROR(__xludf.DUMMYFUNCTION("IMPORTRANGE(""https://docs.google.com/spreadsheets/d/1KxicF4apzSqm0-jIpmueT4kyZtE-Cwn5zskl7GD4loQ/edit?usp=sharing"",""กำแพงเพชร!N451"")"),0)</f>
        <v>0</v>
      </c>
      <c r="O14" s="57">
        <f ca="1">IFERROR(__xludf.DUMMYFUNCTION("IMPORTRANGE(""https://docs.google.com/spreadsheets/d/1KxicF4apzSqm0-jIpmueT4kyZtE-Cwn5zskl7GD4loQ/edit?usp=sharing"",""กำแพงเพชร!N452"")"),0)</f>
        <v>0</v>
      </c>
      <c r="P14" s="57">
        <f ca="1">IFERROR(__xludf.DUMMYFUNCTION("IMPORTRANGE(""https://docs.google.com/spreadsheets/d/1KxicF4apzSqm0-jIpmueT4kyZtE-Cwn5zskl7GD4loQ/edit?usp=sharing"",""กำแพงเพชร!N453"")"),0)</f>
        <v>0</v>
      </c>
      <c r="Q14" s="62">
        <f ca="1">IFERROR(__xludf.DUMMYFUNCTION("IMPORTRANGE(""https://docs.google.com/spreadsheets/d/1KxicF4apzSqm0-jIpmueT4kyZtE-Cwn5zskl7GD4loQ/edit?usp=sharing"",""กำแพงเพชร!N456"")"),0)</f>
        <v>0</v>
      </c>
      <c r="R14" s="62">
        <f t="shared" ca="1" si="32"/>
        <v>0</v>
      </c>
      <c r="S14" s="57">
        <f ca="1">IFERROR(__xludf.DUMMYFUNCTION("IMPORTRANGE(""https://docs.google.com/spreadsheets/d/1KxicF4apzSqm0-jIpmueT4kyZtE-Cwn5zskl7GD4loQ/edit?usp=sharing"",""กำแพงเพชร!I458"")"),0)</f>
        <v>0</v>
      </c>
      <c r="T14" s="57">
        <f ca="1">IFERROR(__xludf.DUMMYFUNCTION("IMPORTRANGE(""https://docs.google.com/spreadsheets/d/1KxicF4apzSqm0-jIpmueT4kyZtE-Cwn5zskl7GD4loQ/edit?usp=sharing"",""กำแพงเพชร!J458"")"),0)</f>
        <v>0</v>
      </c>
      <c r="U14" s="63">
        <f t="shared" ca="1" si="24"/>
        <v>0</v>
      </c>
      <c r="V14" s="57">
        <f ca="1">IFERROR(__xludf.DUMMYFUNCTION("IMPORTRANGE(""https://docs.google.com/spreadsheets/d/1KxicF4apzSqm0-jIpmueT4kyZtE-Cwn5zskl7GD4loQ/edit?usp=sharing"",""กำแพงเพชร!I460"")"),0)</f>
        <v>0</v>
      </c>
      <c r="W14" s="57">
        <f ca="1">IFERROR(__xludf.DUMMYFUNCTION("IMPORTRANGE(""https://docs.google.com/spreadsheets/d/1KxicF4apzSqm0-jIpmueT4kyZtE-Cwn5zskl7GD4loQ/edit?usp=sharing"",""กำแพงเพชร!J460"")"),0)</f>
        <v>0</v>
      </c>
      <c r="X14" s="63">
        <f t="shared" ca="1" si="25"/>
        <v>0</v>
      </c>
      <c r="Y14" s="57">
        <f ca="1">IFERROR(__xludf.DUMMYFUNCTION("IMPORTRANGE(""https://docs.google.com/spreadsheets/d/1KxicF4apzSqm0-jIpmueT4kyZtE-Cwn5zskl7GD4loQ/edit?usp=sharing"",""กำแพงเพชร!I462"")"),0)</f>
        <v>0</v>
      </c>
      <c r="Z14" s="57">
        <f ca="1">IFERROR(__xludf.DUMMYFUNCTION("IMPORTRANGE(""https://docs.google.com/spreadsheets/d/1KxicF4apzSqm0-jIpmueT4kyZtE-Cwn5zskl7GD4loQ/edit?usp=sharing"",""กำแพงเพชร!J462"")"),0)</f>
        <v>0</v>
      </c>
      <c r="AA14" s="63">
        <f t="shared" ca="1" si="26"/>
        <v>0</v>
      </c>
      <c r="AB14" s="57">
        <f ca="1">IFERROR(__xludf.DUMMYFUNCTION("IMPORTRANGE(""https://docs.google.com/spreadsheets/d/1KxicF4apzSqm0-jIpmueT4kyZtE-Cwn5zskl7GD4loQ/edit?usp=sharing"",""กำแพงเพชร!I463"")"),0)</f>
        <v>0</v>
      </c>
      <c r="AC14" s="57">
        <f ca="1">IFERROR(__xludf.DUMMYFUNCTION("IMPORTRANGE(""https://docs.google.com/spreadsheets/d/1KxicF4apzSqm0-jIpmueT4kyZtE-Cwn5zskl7GD4loQ/edit?usp=sharing"",""กำแพงเพชร!I464"")"),0)</f>
        <v>0</v>
      </c>
      <c r="AD14" s="57">
        <f ca="1">IFERROR(__xludf.DUMMYFUNCTION("IMPORTRANGE(""https://docs.google.com/spreadsheets/d/1KxicF4apzSqm0-jIpmueT4kyZtE-Cwn5zskl7GD4loQ/edit?usp=sharing"",""กำแพงเพชร!J463"")"),0)</f>
        <v>0</v>
      </c>
      <c r="AE14" s="63">
        <f t="shared" ca="1" si="27"/>
        <v>0</v>
      </c>
      <c r="AF14" s="57">
        <f ca="1">IFERROR(__xludf.DUMMYFUNCTION("IMPORTRANGE(""https://docs.google.com/spreadsheets/d/1KxicF4apzSqm0-jIpmueT4kyZtE-Cwn5zskl7GD4loQ/edit?usp=sharing"",""กำแพงเพชร!J464"")"),0)</f>
        <v>0</v>
      </c>
      <c r="AG14" s="63">
        <f t="shared" ca="1" si="13"/>
        <v>0</v>
      </c>
    </row>
    <row r="15" spans="1:33" ht="24" customHeight="1" x14ac:dyDescent="0.3">
      <c r="A15" s="54">
        <v>2</v>
      </c>
      <c r="B15" s="55" t="s">
        <v>36</v>
      </c>
      <c r="C15" s="56">
        <f t="shared" ca="1" si="37"/>
        <v>714280</v>
      </c>
      <c r="D15" s="57">
        <f ca="1">IFERROR(__xludf.DUMMYFUNCTION("IMPORTRANGE(""https://docs.google.com/spreadsheets/d/1ZNYWeiFoFA1K1U4xKWqRX29MBvEyRHXORjo734Gnq_c/edit?usp=sharing"",""เชียงราย!L449"")"),714280)</f>
        <v>714280</v>
      </c>
      <c r="E15" s="64">
        <f ca="1">IFERROR(__xludf.DUMMYFUNCTION("IMPORTRANGE(""https://docs.google.com/spreadsheets/d/1ZNYWeiFoFA1K1U4xKWqRX29MBvEyRHXORjo734Gnq_c/edit?usp=sharing"",""เชียงราย!L456"")"),0)</f>
        <v>0</v>
      </c>
      <c r="F15" s="64">
        <f ca="1">IFERROR(__xludf.DUMMYFUNCTION("IMPORTRANGE(""https://docs.google.com/spreadsheets/d/1ZNYWeiFoFA1K1U4xKWqRX29MBvEyRHXORjo734Gnq_c/edit?usp=sharing"",""เชียงราย!M449"")"),714280)</f>
        <v>714280</v>
      </c>
      <c r="G15" s="64">
        <f ca="1">IFERROR(__xludf.DUMMYFUNCTION("IMPORTRANGE(""https://docs.google.com/spreadsheets/d/1ZNYWeiFoFA1K1U4xKWqRX29MBvEyRHXORjo734Gnq_c/edit?usp=sharing"",""เชียงราย!M431"")"),0)</f>
        <v>0</v>
      </c>
      <c r="H15" s="58">
        <f t="shared" ca="1" si="23"/>
        <v>260158.66999999998</v>
      </c>
      <c r="I15" s="59">
        <f t="shared" ca="1" si="1"/>
        <v>36.422505180041441</v>
      </c>
      <c r="J15" s="60">
        <f t="shared" ca="1" si="38"/>
        <v>260158.66999999998</v>
      </c>
      <c r="K15" s="61">
        <f t="shared" ca="1" si="29"/>
        <v>36.422505180041441</v>
      </c>
      <c r="L15" s="61">
        <f t="shared" ca="1" si="30"/>
        <v>36.422505180041441</v>
      </c>
      <c r="M15" s="64">
        <f ca="1">IFERROR(__xludf.DUMMYFUNCTION("IMPORTRANGE(""https://docs.google.com/spreadsheets/d/1ZNYWeiFoFA1K1U4xKWqRX29MBvEyRHXORjo734Gnq_c/edit?usp=sharing"",""เชียงราย!N450"")"),149415)</f>
        <v>149415</v>
      </c>
      <c r="N15" s="64">
        <f ca="1">IFERROR(__xludf.DUMMYFUNCTION("IMPORTRANGE(""https://docs.google.com/spreadsheets/d/1ZNYWeiFoFA1K1U4xKWqRX29MBvEyRHXORjo734Gnq_c/edit?usp=sharing"",""เชียงราย!N451"")"),0)</f>
        <v>0</v>
      </c>
      <c r="O15" s="64">
        <f ca="1">IFERROR(__xludf.DUMMYFUNCTION("IMPORTRANGE(""https://docs.google.com/spreadsheets/d/1ZNYWeiFoFA1K1U4xKWqRX29MBvEyRHXORjo734Gnq_c/edit?usp=sharing"",""เชียงราย!N452"")"),64566.67)</f>
        <v>64566.67</v>
      </c>
      <c r="P15" s="64">
        <f ca="1">IFERROR(__xludf.DUMMYFUNCTION("IMPORTRANGE(""https://docs.google.com/spreadsheets/d/1ZNYWeiFoFA1K1U4xKWqRX29MBvEyRHXORjo734Gnq_c/edit?usp=sharing"",""เชียงราย!N453"")"),46177)</f>
        <v>46177</v>
      </c>
      <c r="Q15" s="62">
        <f ca="1">IFERROR(__xludf.DUMMYFUNCTION("IMPORTRANGE(""https://docs.google.com/spreadsheets/d/1ZNYWeiFoFA1K1U4xKWqRX29MBvEyRHXORjo734Gnq_c/edit?usp=sharing"",""เชียงราย!N456"")"),0)</f>
        <v>0</v>
      </c>
      <c r="R15" s="62">
        <f t="shared" ca="1" si="32"/>
        <v>0</v>
      </c>
      <c r="S15" s="57">
        <f ca="1">IFERROR(__xludf.DUMMYFUNCTION("IMPORTRANGE(""https://docs.google.com/spreadsheets/d/1ZNYWeiFoFA1K1U4xKWqRX29MBvEyRHXORjo734Gnq_c/edit?usp=sharing"",""เชียงราย!I458"")"),0)</f>
        <v>0</v>
      </c>
      <c r="T15" s="57">
        <f ca="1">IFERROR(__xludf.DUMMYFUNCTION("IMPORTRANGE(""https://docs.google.com/spreadsheets/d/1ZNYWeiFoFA1K1U4xKWqRX29MBvEyRHXORjo734Gnq_c/edit?usp=sharing"",""เชียงราย!J458"")"),0)</f>
        <v>0</v>
      </c>
      <c r="U15" s="63">
        <f t="shared" ca="1" si="24"/>
        <v>0</v>
      </c>
      <c r="V15" s="57">
        <f ca="1">IFERROR(__xludf.DUMMYFUNCTION("IMPORTRANGE(""https://docs.google.com/spreadsheets/d/1ZNYWeiFoFA1K1U4xKWqRX29MBvEyRHXORjo734Gnq_c/edit?usp=sharing"",""เชียงราย!I460"")"),150)</f>
        <v>150</v>
      </c>
      <c r="W15" s="57">
        <f ca="1">IFERROR(__xludf.DUMMYFUNCTION("IMPORTRANGE(""https://docs.google.com/spreadsheets/d/1ZNYWeiFoFA1K1U4xKWqRX29MBvEyRHXORjo734Gnq_c/edit?usp=sharing"",""เชียงราย!J460"")"),150)</f>
        <v>150</v>
      </c>
      <c r="X15" s="63">
        <f t="shared" ca="1" si="25"/>
        <v>100</v>
      </c>
      <c r="Y15" s="57">
        <f ca="1">IFERROR(__xludf.DUMMYFUNCTION("IMPORTRANGE(""https://docs.google.com/spreadsheets/d/1ZNYWeiFoFA1K1U4xKWqRX29MBvEyRHXORjo734Gnq_c/edit?usp=sharing"",""เชียงราย!I462"")"),300)</f>
        <v>300</v>
      </c>
      <c r="Z15" s="57">
        <f ca="1">IFERROR(__xludf.DUMMYFUNCTION("IMPORTRANGE(""https://docs.google.com/spreadsheets/d/1ZNYWeiFoFA1K1U4xKWqRX29MBvEyRHXORjo734Gnq_c/edit?usp=sharing"",""เชียงราย!J462"")"),300)</f>
        <v>300</v>
      </c>
      <c r="AA15" s="63">
        <f t="shared" ca="1" si="26"/>
        <v>100</v>
      </c>
      <c r="AB15" s="57">
        <f ca="1">IFERROR(__xludf.DUMMYFUNCTION("IMPORTRANGE(""https://docs.google.com/spreadsheets/d/1ZNYWeiFoFA1K1U4xKWqRX29MBvEyRHXORjo734Gnq_c/edit?usp=sharing"",""เชียงราย!I463"")"),300)</f>
        <v>300</v>
      </c>
      <c r="AC15" s="57">
        <f ca="1">IFERROR(__xludf.DUMMYFUNCTION("IMPORTRANGE(""https://docs.google.com/spreadsheets/d/1ZNYWeiFoFA1K1U4xKWqRX29MBvEyRHXORjo734Gnq_c/edit?usp=sharing"",""เชียงราย!I464"")"),150)</f>
        <v>150</v>
      </c>
      <c r="AD15" s="57">
        <f ca="1">IFERROR(__xludf.DUMMYFUNCTION("IMPORTRANGE(""https://docs.google.com/spreadsheets/d/1ZNYWeiFoFA1K1U4xKWqRX29MBvEyRHXORjo734Gnq_c/edit?usp=sharing"",""เชียงราย!J463"")"),0)</f>
        <v>0</v>
      </c>
      <c r="AE15" s="63">
        <f t="shared" ca="1" si="27"/>
        <v>0</v>
      </c>
      <c r="AF15" s="57">
        <f ca="1">IFERROR(__xludf.DUMMYFUNCTION("IMPORTRANGE(""https://docs.google.com/spreadsheets/d/1ZNYWeiFoFA1K1U4xKWqRX29MBvEyRHXORjo734Gnq_c/edit?usp=sharing"",""เชียงราย!J464"")"),0)</f>
        <v>0</v>
      </c>
      <c r="AG15" s="63">
        <f t="shared" ca="1" si="13"/>
        <v>0</v>
      </c>
    </row>
    <row r="16" spans="1:33" ht="24" customHeight="1" x14ac:dyDescent="0.3">
      <c r="A16" s="54">
        <v>3</v>
      </c>
      <c r="B16" s="55" t="s">
        <v>37</v>
      </c>
      <c r="C16" s="56">
        <f t="shared" ca="1" si="37"/>
        <v>319880</v>
      </c>
      <c r="D16" s="57">
        <f ca="1">IFERROR(__xludf.DUMMYFUNCTION("IMPORTRANGE(""https://docs.google.com/spreadsheets/d/1Jgv0Y7YlHDtsiDawwp-uvifEJ8HVaSn0k2aGHG8-hwM/edit?usp=sharing"",""เชียงใหม่!L449"")"),319880)</f>
        <v>319880</v>
      </c>
      <c r="E16" s="64">
        <f ca="1">IFERROR(__xludf.DUMMYFUNCTION("IMPORTRANGE(""https://docs.google.com/spreadsheets/d/1Jgv0Y7YlHDtsiDawwp-uvifEJ8HVaSn0k2aGHG8-hwM/edit?usp=sharing"",""เชียงใหม่!L456"")"),0)</f>
        <v>0</v>
      </c>
      <c r="F16" s="64">
        <f ca="1">IFERROR(__xludf.DUMMYFUNCTION("IMPORTRANGE(""https://docs.google.com/spreadsheets/d/1Jgv0Y7YlHDtsiDawwp-uvifEJ8HVaSn0k2aGHG8-hwM/edit?usp=sharing"",""เชียงใหม่!M449"")"),319880)</f>
        <v>319880</v>
      </c>
      <c r="G16" s="64">
        <f ca="1">IFERROR(__xludf.DUMMYFUNCTION("IMPORTRANGE(""https://docs.google.com/spreadsheets/d/1Jgv0Y7YlHDtsiDawwp-uvifEJ8HVaSn0k2aGHG8-hwM/edit?usp=sharing"",""เชียงใหม่!M431"")"),0)</f>
        <v>0</v>
      </c>
      <c r="H16" s="58">
        <f t="shared" ca="1" si="23"/>
        <v>228153.24</v>
      </c>
      <c r="I16" s="59">
        <f t="shared" ca="1" si="1"/>
        <v>71.324634237839192</v>
      </c>
      <c r="J16" s="60">
        <f t="shared" ca="1" si="38"/>
        <v>228153.24</v>
      </c>
      <c r="K16" s="61">
        <f t="shared" ca="1" si="29"/>
        <v>71.324634237839192</v>
      </c>
      <c r="L16" s="61">
        <f t="shared" ca="1" si="30"/>
        <v>71.324634237839192</v>
      </c>
      <c r="M16" s="64">
        <f ca="1">IFERROR(__xludf.DUMMYFUNCTION("IMPORTRANGE(""https://docs.google.com/spreadsheets/d/1Jgv0Y7YlHDtsiDawwp-uvifEJ8HVaSn0k2aGHG8-hwM/edit?usp=sharing"",""เชียงใหม่!N450"")"),54400)</f>
        <v>54400</v>
      </c>
      <c r="N16" s="64">
        <f ca="1">IFERROR(__xludf.DUMMYFUNCTION("IMPORTRANGE(""https://docs.google.com/spreadsheets/d/1Jgv0Y7YlHDtsiDawwp-uvifEJ8HVaSn0k2aGHG8-hwM/edit?usp=sharing"",""เชียงใหม่!N451"")"),83000)</f>
        <v>83000</v>
      </c>
      <c r="O16" s="64">
        <f ca="1">IFERROR(__xludf.DUMMYFUNCTION("IMPORTRANGE(""https://docs.google.com/spreadsheets/d/1Jgv0Y7YlHDtsiDawwp-uvifEJ8HVaSn0k2aGHG8-hwM/edit?usp=sharing"",""เชียงใหม่!N452"")"),77133.24)</f>
        <v>77133.240000000005</v>
      </c>
      <c r="P16" s="64">
        <f ca="1">IFERROR(__xludf.DUMMYFUNCTION("IMPORTRANGE(""https://docs.google.com/spreadsheets/d/1Jgv0Y7YlHDtsiDawwp-uvifEJ8HVaSn0k2aGHG8-hwM/edit?usp=sharing"",""เชียงใหม่!N453"")"),13620)</f>
        <v>13620</v>
      </c>
      <c r="Q16" s="62">
        <f ca="1">IFERROR(__xludf.DUMMYFUNCTION("IMPORTRANGE(""https://docs.google.com/spreadsheets/d/1Jgv0Y7YlHDtsiDawwp-uvifEJ8HVaSn0k2aGHG8-hwM/edit?usp=sharing"",""เชียงใหม่!N456"")"),0)</f>
        <v>0</v>
      </c>
      <c r="R16" s="62">
        <f t="shared" ca="1" si="32"/>
        <v>0</v>
      </c>
      <c r="S16" s="57">
        <f ca="1">IFERROR(__xludf.DUMMYFUNCTION("IMPORTRANGE(""https://docs.google.com/spreadsheets/d/1Jgv0Y7YlHDtsiDawwp-uvifEJ8HVaSn0k2aGHG8-hwM/edit?usp=sharing"",""เชียงใหม่!I458"")"),0)</f>
        <v>0</v>
      </c>
      <c r="T16" s="57">
        <f ca="1">IFERROR(__xludf.DUMMYFUNCTION("IMPORTRANGE(""https://docs.google.com/spreadsheets/d/1Jgv0Y7YlHDtsiDawwp-uvifEJ8HVaSn0k2aGHG8-hwM/edit?usp=sharing"",""เชียงใหม่!J458"")"),0)</f>
        <v>0</v>
      </c>
      <c r="U16" s="63">
        <f t="shared" ca="1" si="24"/>
        <v>0</v>
      </c>
      <c r="V16" s="57">
        <f ca="1">IFERROR(__xludf.DUMMYFUNCTION("IMPORTRANGE(""https://docs.google.com/spreadsheets/d/1Jgv0Y7YlHDtsiDawwp-uvifEJ8HVaSn0k2aGHG8-hwM/edit?usp=sharing"",""เชียงใหม่!I460"")"),40)</f>
        <v>40</v>
      </c>
      <c r="W16" s="57">
        <f ca="1">IFERROR(__xludf.DUMMYFUNCTION("IMPORTRANGE(""https://docs.google.com/spreadsheets/d/1Jgv0Y7YlHDtsiDawwp-uvifEJ8HVaSn0k2aGHG8-hwM/edit?usp=sharing"",""เชียงใหม่!J460"")"),40)</f>
        <v>40</v>
      </c>
      <c r="X16" s="63">
        <f t="shared" ca="1" si="25"/>
        <v>100</v>
      </c>
      <c r="Y16" s="57">
        <f ca="1">IFERROR(__xludf.DUMMYFUNCTION("IMPORTRANGE(""https://docs.google.com/spreadsheets/d/1Jgv0Y7YlHDtsiDawwp-uvifEJ8HVaSn0k2aGHG8-hwM/edit?usp=sharing"",""เชียงใหม่!I462"")"),80)</f>
        <v>80</v>
      </c>
      <c r="Z16" s="57">
        <f ca="1">IFERROR(__xludf.DUMMYFUNCTION("IMPORTRANGE(""https://docs.google.com/spreadsheets/d/1Jgv0Y7YlHDtsiDawwp-uvifEJ8HVaSn0k2aGHG8-hwM/edit?usp=sharing"",""เชียงใหม่!J462"")"),80)</f>
        <v>80</v>
      </c>
      <c r="AA16" s="63">
        <f t="shared" ca="1" si="26"/>
        <v>100</v>
      </c>
      <c r="AB16" s="57">
        <f ca="1">IFERROR(__xludf.DUMMYFUNCTION("IMPORTRANGE(""https://docs.google.com/spreadsheets/d/1Jgv0Y7YlHDtsiDawwp-uvifEJ8HVaSn0k2aGHG8-hwM/edit?usp=sharing"",""เชียงใหม่!I463"")"),80)</f>
        <v>80</v>
      </c>
      <c r="AC16" s="57">
        <f ca="1">IFERROR(__xludf.DUMMYFUNCTION("IMPORTRANGE(""https://docs.google.com/spreadsheets/d/1Jgv0Y7YlHDtsiDawwp-uvifEJ8HVaSn0k2aGHG8-hwM/edit?usp=sharing"",""เชียงใหม่!I464"")"),40)</f>
        <v>40</v>
      </c>
      <c r="AD16" s="57">
        <f ca="1">IFERROR(__xludf.DUMMYFUNCTION("IMPORTRANGE(""https://docs.google.com/spreadsheets/d/1Jgv0Y7YlHDtsiDawwp-uvifEJ8HVaSn0k2aGHG8-hwM/edit?usp=sharing"",""เชียงใหม่!J463"")"),80)</f>
        <v>80</v>
      </c>
      <c r="AE16" s="63">
        <f t="shared" ca="1" si="27"/>
        <v>100</v>
      </c>
      <c r="AF16" s="57">
        <f ca="1">IFERROR(__xludf.DUMMYFUNCTION("IMPORTRANGE(""https://docs.google.com/spreadsheets/d/1Jgv0Y7YlHDtsiDawwp-uvifEJ8HVaSn0k2aGHG8-hwM/edit?usp=sharing"",""เชียงใหม่!J464"")"),40)</f>
        <v>40</v>
      </c>
      <c r="AG16" s="63">
        <f t="shared" ca="1" si="13"/>
        <v>100</v>
      </c>
    </row>
    <row r="17" spans="1:33" ht="24" customHeight="1" x14ac:dyDescent="0.3">
      <c r="A17" s="54">
        <v>4</v>
      </c>
      <c r="B17" s="55" t="s">
        <v>38</v>
      </c>
      <c r="C17" s="56">
        <f t="shared" ca="1" si="37"/>
        <v>0</v>
      </c>
      <c r="D17" s="57">
        <f ca="1">IFERROR(__xludf.DUMMYFUNCTION("IMPORTRANGE(""https://docs.google.com/spreadsheets/d/1JWG2rZePOz9pe-f-ObA-yDr0VoOX2kSb0qIix2mTUo8/edit?usp=sharing"",""ตาก!L449"")"),0)</f>
        <v>0</v>
      </c>
      <c r="E17" s="64">
        <f ca="1">IFERROR(__xludf.DUMMYFUNCTION("IMPORTRANGE(""https://docs.google.com/spreadsheets/d/1JWG2rZePOz9pe-f-ObA-yDr0VoOX2kSb0qIix2mTUo8/edit?usp=sharing"",""ตาก!L456"")"),0)</f>
        <v>0</v>
      </c>
      <c r="F17" s="64">
        <f ca="1">IFERROR(__xludf.DUMMYFUNCTION("IMPORTRANGE(""https://docs.google.com/spreadsheets/d/1JWG2rZePOz9pe-f-ObA-yDr0VoOX2kSb0qIix2mTUo8/edit?usp=sharing"",""ตาก!M449"")"),0)</f>
        <v>0</v>
      </c>
      <c r="G17" s="64">
        <f ca="1">IFERROR(__xludf.DUMMYFUNCTION("IMPORTRANGE(""https://docs.google.com/spreadsheets/d/1JWG2rZePOz9pe-f-ObA-yDr0VoOX2kSb0qIix2mTUo8/edit?usp=sharing"",""ตาก!M431"")"),0)</f>
        <v>0</v>
      </c>
      <c r="H17" s="58">
        <f t="shared" ca="1" si="23"/>
        <v>0</v>
      </c>
      <c r="I17" s="59">
        <f t="shared" ca="1" si="1"/>
        <v>0</v>
      </c>
      <c r="J17" s="60">
        <f t="shared" ca="1" si="38"/>
        <v>0</v>
      </c>
      <c r="K17" s="61">
        <f t="shared" ca="1" si="29"/>
        <v>0</v>
      </c>
      <c r="L17" s="61">
        <f t="shared" ca="1" si="30"/>
        <v>0</v>
      </c>
      <c r="M17" s="64">
        <f ca="1">IFERROR(__xludf.DUMMYFUNCTION("IMPORTRANGE(""https://docs.google.com/spreadsheets/d/1JWG2rZePOz9pe-f-ObA-yDr0VoOX2kSb0qIix2mTUo8/edit?usp=sharing"",""ตาก!N450"")"),0)</f>
        <v>0</v>
      </c>
      <c r="N17" s="64">
        <f ca="1">IFERROR(__xludf.DUMMYFUNCTION("IMPORTRANGE(""https://docs.google.com/spreadsheets/d/1JWG2rZePOz9pe-f-ObA-yDr0VoOX2kSb0qIix2mTUo8/edit?usp=sharing"",""ตาก!N451"")"),0)</f>
        <v>0</v>
      </c>
      <c r="O17" s="64">
        <f ca="1">IFERROR(__xludf.DUMMYFUNCTION("IMPORTRANGE(""https://docs.google.com/spreadsheets/d/1JWG2rZePOz9pe-f-ObA-yDr0VoOX2kSb0qIix2mTUo8/edit?usp=sharing"",""ตาก!N452"")"),0)</f>
        <v>0</v>
      </c>
      <c r="P17" s="64">
        <f ca="1">IFERROR(__xludf.DUMMYFUNCTION("IMPORTRANGE(""https://docs.google.com/spreadsheets/d/1JWG2rZePOz9pe-f-ObA-yDr0VoOX2kSb0qIix2mTUo8/edit?usp=sharing"",""ตาก!N453"")"),0)</f>
        <v>0</v>
      </c>
      <c r="Q17" s="62">
        <f ca="1">IFERROR(__xludf.DUMMYFUNCTION("IMPORTRANGE(""https://docs.google.com/spreadsheets/d/1JWG2rZePOz9pe-f-ObA-yDr0VoOX2kSb0qIix2mTUo8/edit?usp=sharing"",""ตาก!N456"")"),0)</f>
        <v>0</v>
      </c>
      <c r="R17" s="62">
        <f t="shared" ca="1" si="32"/>
        <v>0</v>
      </c>
      <c r="S17" s="57">
        <f ca="1">IFERROR(__xludf.DUMMYFUNCTION("IMPORTRANGE(""https://docs.google.com/spreadsheets/d/1JWG2rZePOz9pe-f-ObA-yDr0VoOX2kSb0qIix2mTUo8/edit?usp=sharing"",""ตาก!I458"")"),0)</f>
        <v>0</v>
      </c>
      <c r="T17" s="57">
        <f ca="1">IFERROR(__xludf.DUMMYFUNCTION("IMPORTRANGE(""https://docs.google.com/spreadsheets/d/1JWG2rZePOz9pe-f-ObA-yDr0VoOX2kSb0qIix2mTUo8/edit?usp=sharing"",""ตาก!J458"")"),0)</f>
        <v>0</v>
      </c>
      <c r="U17" s="63">
        <f t="shared" ca="1" si="24"/>
        <v>0</v>
      </c>
      <c r="V17" s="57">
        <f ca="1">IFERROR(__xludf.DUMMYFUNCTION("IMPORTRANGE(""https://docs.google.com/spreadsheets/d/1JWG2rZePOz9pe-f-ObA-yDr0VoOX2kSb0qIix2mTUo8/edit?usp=sharing"",""ตาก!I460"")"),0)</f>
        <v>0</v>
      </c>
      <c r="W17" s="57">
        <f ca="1">IFERROR(__xludf.DUMMYFUNCTION("IMPORTRANGE(""https://docs.google.com/spreadsheets/d/1JWG2rZePOz9pe-f-ObA-yDr0VoOX2kSb0qIix2mTUo8/edit?usp=sharing"",""ตาก!J460"")"),0)</f>
        <v>0</v>
      </c>
      <c r="X17" s="63">
        <f t="shared" ca="1" si="25"/>
        <v>0</v>
      </c>
      <c r="Y17" s="57">
        <f ca="1">IFERROR(__xludf.DUMMYFUNCTION("IMPORTRANGE(""https://docs.google.com/spreadsheets/d/1JWG2rZePOz9pe-f-ObA-yDr0VoOX2kSb0qIix2mTUo8/edit?usp=sharing"",""ตาก!I462"")"),0)</f>
        <v>0</v>
      </c>
      <c r="Z17" s="57">
        <f ca="1">IFERROR(__xludf.DUMMYFUNCTION("IMPORTRANGE(""https://docs.google.com/spreadsheets/d/1JWG2rZePOz9pe-f-ObA-yDr0VoOX2kSb0qIix2mTUo8/edit?usp=sharing"",""ตาก!J462"")"),0)</f>
        <v>0</v>
      </c>
      <c r="AA17" s="63">
        <f t="shared" ca="1" si="26"/>
        <v>0</v>
      </c>
      <c r="AB17" s="57">
        <f ca="1">IFERROR(__xludf.DUMMYFUNCTION("IMPORTRANGE(""https://docs.google.com/spreadsheets/d/1JWG2rZePOz9pe-f-ObA-yDr0VoOX2kSb0qIix2mTUo8/edit?usp=sharing"",""ตาก!I463"")"),0)</f>
        <v>0</v>
      </c>
      <c r="AC17" s="57">
        <f ca="1">IFERROR(__xludf.DUMMYFUNCTION("IMPORTRANGE(""https://docs.google.com/spreadsheets/d/1JWG2rZePOz9pe-f-ObA-yDr0VoOX2kSb0qIix2mTUo8/edit?usp=sharing"",""ตาก!I464"")"),0)</f>
        <v>0</v>
      </c>
      <c r="AD17" s="57">
        <f ca="1">IFERROR(__xludf.DUMMYFUNCTION("IMPORTRANGE(""https://docs.google.com/spreadsheets/d/1JWG2rZePOz9pe-f-ObA-yDr0VoOX2kSb0qIix2mTUo8/edit?usp=sharing"",""ตาก!J463"")"),0)</f>
        <v>0</v>
      </c>
      <c r="AE17" s="63">
        <f t="shared" ca="1" si="27"/>
        <v>0</v>
      </c>
      <c r="AF17" s="57">
        <f ca="1">IFERROR(__xludf.DUMMYFUNCTION("IMPORTRANGE(""https://docs.google.com/spreadsheets/d/1JWG2rZePOz9pe-f-ObA-yDr0VoOX2kSb0qIix2mTUo8/edit?usp=sharing"",""ตาก!J464"")"),0)</f>
        <v>0</v>
      </c>
      <c r="AG17" s="63">
        <f t="shared" ca="1" si="13"/>
        <v>0</v>
      </c>
    </row>
    <row r="18" spans="1:33" ht="24" customHeight="1" x14ac:dyDescent="0.3">
      <c r="A18" s="54">
        <v>5</v>
      </c>
      <c r="B18" s="55" t="s">
        <v>39</v>
      </c>
      <c r="C18" s="56">
        <f t="shared" ca="1" si="37"/>
        <v>355492</v>
      </c>
      <c r="D18" s="57">
        <f ca="1">IFERROR(__xludf.DUMMYFUNCTION("IMPORTRANGE(""https://docs.google.com/spreadsheets/d/10nSRjK08hx8Y6HgSOQKNw81lyY46Zc7U_Cj72hBMp9U/edit?usp=sharing"",""นครสวรรค์!L449"")"),355492)</f>
        <v>355492</v>
      </c>
      <c r="E18" s="64">
        <f ca="1">IFERROR(__xludf.DUMMYFUNCTION("IMPORTRANGE(""https://docs.google.com/spreadsheets/d/10nSRjK08hx8Y6HgSOQKNw81lyY46Zc7U_Cj72hBMp9U/edit?usp=sharing"",""นครสวรรค์!L456"")"),0)</f>
        <v>0</v>
      </c>
      <c r="F18" s="64">
        <f ca="1">IFERROR(__xludf.DUMMYFUNCTION("IMPORTRANGE(""https://docs.google.com/spreadsheets/d/10nSRjK08hx8Y6HgSOQKNw81lyY46Zc7U_Cj72hBMp9U/edit?usp=sharing"",""นครสวรรค์!M449"")"),355492)</f>
        <v>355492</v>
      </c>
      <c r="G18" s="64">
        <f ca="1">IFERROR(__xludf.DUMMYFUNCTION("IMPORTRANGE(""https://docs.google.com/spreadsheets/d/10nSRjK08hx8Y6HgSOQKNw81lyY46Zc7U_Cj72hBMp9U/edit?usp=sharing"",""นครสวรรค์!M431"")"),0)</f>
        <v>0</v>
      </c>
      <c r="H18" s="58">
        <f t="shared" ca="1" si="23"/>
        <v>112780</v>
      </c>
      <c r="I18" s="59">
        <f t="shared" ca="1" si="1"/>
        <v>31.725045851946035</v>
      </c>
      <c r="J18" s="60">
        <f t="shared" ca="1" si="38"/>
        <v>112780</v>
      </c>
      <c r="K18" s="61">
        <f t="shared" ca="1" si="29"/>
        <v>31.725045851946035</v>
      </c>
      <c r="L18" s="61">
        <f t="shared" ca="1" si="30"/>
        <v>31.725045851946035</v>
      </c>
      <c r="M18" s="64">
        <f ca="1">IFERROR(__xludf.DUMMYFUNCTION("IMPORTRANGE(""https://docs.google.com/spreadsheets/d/10nSRjK08hx8Y6HgSOQKNw81lyY46Zc7U_Cj72hBMp9U/edit?usp=sharing"",""นครสวรรค์!N450"")"),45620)</f>
        <v>45620</v>
      </c>
      <c r="N18" s="64">
        <f ca="1">IFERROR(__xludf.DUMMYFUNCTION("IMPORTRANGE(""https://docs.google.com/spreadsheets/d/10nSRjK08hx8Y6HgSOQKNw81lyY46Zc7U_Cj72hBMp9U/edit?usp=sharing"",""นครสวรรค์!N451"")"),0)</f>
        <v>0</v>
      </c>
      <c r="O18" s="64">
        <f ca="1">IFERROR(__xludf.DUMMYFUNCTION("IMPORTRANGE(""https://docs.google.com/spreadsheets/d/10nSRjK08hx8Y6HgSOQKNw81lyY46Zc7U_Cj72hBMp9U/edit?usp=sharing"",""นครสวรรค์!N452"")"),52000)</f>
        <v>52000</v>
      </c>
      <c r="P18" s="64">
        <f ca="1">IFERROR(__xludf.DUMMYFUNCTION("IMPORTRANGE(""https://docs.google.com/spreadsheets/d/10nSRjK08hx8Y6HgSOQKNw81lyY46Zc7U_Cj72hBMp9U/edit?usp=sharing"",""นครสวรรค์!N453"")"),15160)</f>
        <v>15160</v>
      </c>
      <c r="Q18" s="62">
        <f ca="1">IFERROR(__xludf.DUMMYFUNCTION("IMPORTRANGE(""https://docs.google.com/spreadsheets/d/10nSRjK08hx8Y6HgSOQKNw81lyY46Zc7U_Cj72hBMp9U/edit?usp=sharing"",""นครสวรรค์!N456"")"),0)</f>
        <v>0</v>
      </c>
      <c r="R18" s="62">
        <f t="shared" ca="1" si="32"/>
        <v>0</v>
      </c>
      <c r="S18" s="57">
        <f ca="1">IFERROR(__xludf.DUMMYFUNCTION("IMPORTRANGE(""https://docs.google.com/spreadsheets/d/10nSRjK08hx8Y6HgSOQKNw81lyY46Zc7U_Cj72hBMp9U/edit?usp=sharing"",""นครสวรรค์!I458"")"),0)</f>
        <v>0</v>
      </c>
      <c r="T18" s="57">
        <f ca="1">IFERROR(__xludf.DUMMYFUNCTION("IMPORTRANGE(""https://docs.google.com/spreadsheets/d/10nSRjK08hx8Y6HgSOQKNw81lyY46Zc7U_Cj72hBMp9U/edit?usp=sharing"",""นครสวรรค์!J458"")"),0)</f>
        <v>0</v>
      </c>
      <c r="U18" s="63">
        <f t="shared" ca="1" si="24"/>
        <v>0</v>
      </c>
      <c r="V18" s="57">
        <f ca="1">IFERROR(__xludf.DUMMYFUNCTION("IMPORTRANGE(""https://docs.google.com/spreadsheets/d/10nSRjK08hx8Y6HgSOQKNw81lyY46Zc7U_Cj72hBMp9U/edit?usp=sharing"",""นครสวรรค์!I460"")"),40)</f>
        <v>40</v>
      </c>
      <c r="W18" s="57">
        <f ca="1">IFERROR(__xludf.DUMMYFUNCTION("IMPORTRANGE(""https://docs.google.com/spreadsheets/d/10nSRjK08hx8Y6HgSOQKNw81lyY46Zc7U_Cj72hBMp9U/edit?usp=sharing"",""นครสวรรค์!J460"")"),40)</f>
        <v>40</v>
      </c>
      <c r="X18" s="63">
        <f t="shared" ca="1" si="25"/>
        <v>100</v>
      </c>
      <c r="Y18" s="57">
        <f ca="1">IFERROR(__xludf.DUMMYFUNCTION("IMPORTRANGE(""https://docs.google.com/spreadsheets/d/10nSRjK08hx8Y6HgSOQKNw81lyY46Zc7U_Cj72hBMp9U/edit?usp=sharing"",""นครสวรรค์!I462"")"),80)</f>
        <v>80</v>
      </c>
      <c r="Z18" s="57">
        <f ca="1">IFERROR(__xludf.DUMMYFUNCTION("IMPORTRANGE(""https://docs.google.com/spreadsheets/d/10nSRjK08hx8Y6HgSOQKNw81lyY46Zc7U_Cj72hBMp9U/edit?usp=sharing"",""นครสวรรค์!J462"")"),80)</f>
        <v>80</v>
      </c>
      <c r="AA18" s="63">
        <f t="shared" ca="1" si="26"/>
        <v>100</v>
      </c>
      <c r="AB18" s="57">
        <f ca="1">IFERROR(__xludf.DUMMYFUNCTION("IMPORTRANGE(""https://docs.google.com/spreadsheets/d/10nSRjK08hx8Y6HgSOQKNw81lyY46Zc7U_Cj72hBMp9U/edit?usp=sharing"",""นครสวรรค์!I463"")"),80)</f>
        <v>80</v>
      </c>
      <c r="AC18" s="57">
        <f ca="1">IFERROR(__xludf.DUMMYFUNCTION("IMPORTRANGE(""https://docs.google.com/spreadsheets/d/10nSRjK08hx8Y6HgSOQKNw81lyY46Zc7U_Cj72hBMp9U/edit?usp=sharing"",""นครสวรรค์!I464"")"),40)</f>
        <v>40</v>
      </c>
      <c r="AD18" s="57">
        <f ca="1">IFERROR(__xludf.DUMMYFUNCTION("IMPORTRANGE(""https://docs.google.com/spreadsheets/d/10nSRjK08hx8Y6HgSOQKNw81lyY46Zc7U_Cj72hBMp9U/edit?usp=sharing"",""นครสวรรค์!J463"")"),80)</f>
        <v>80</v>
      </c>
      <c r="AE18" s="63">
        <f t="shared" ca="1" si="27"/>
        <v>100</v>
      </c>
      <c r="AF18" s="57">
        <f ca="1">IFERROR(__xludf.DUMMYFUNCTION("IMPORTRANGE(""https://docs.google.com/spreadsheets/d/10nSRjK08hx8Y6HgSOQKNw81lyY46Zc7U_Cj72hBMp9U/edit?usp=sharing"",""นครสวรรค์!J464"")"),40)</f>
        <v>40</v>
      </c>
      <c r="AG18" s="63">
        <f t="shared" ca="1" si="13"/>
        <v>100</v>
      </c>
    </row>
    <row r="19" spans="1:33" ht="24" customHeight="1" x14ac:dyDescent="0.3">
      <c r="A19" s="54">
        <v>6</v>
      </c>
      <c r="B19" s="55" t="s">
        <v>40</v>
      </c>
      <c r="C19" s="56">
        <f t="shared" ca="1" si="37"/>
        <v>358780</v>
      </c>
      <c r="D19" s="57">
        <f ca="1">IFERROR(__xludf.DUMMYFUNCTION("IMPORTRANGE(""https://docs.google.com/spreadsheets/d/1gFVb7qd7amutrIxAAoM7lcy35hllxznovot8lyOfvDo/edit?usp=sharing"",""น่าน!L449"")"),358780)</f>
        <v>358780</v>
      </c>
      <c r="E19" s="64">
        <f ca="1">IFERROR(__xludf.DUMMYFUNCTION("IMPORTRANGE(""https://docs.google.com/spreadsheets/d/1gFVb7qd7amutrIxAAoM7lcy35hllxznovot8lyOfvDo/edit?usp=sharing"",""น่าน!L456"")"),0)</f>
        <v>0</v>
      </c>
      <c r="F19" s="64">
        <f ca="1">IFERROR(__xludf.DUMMYFUNCTION("IMPORTRANGE(""https://docs.google.com/spreadsheets/d/1gFVb7qd7amutrIxAAoM7lcy35hllxznovot8lyOfvDo/edit?usp=sharing"",""น่าน!M449"")"),358780)</f>
        <v>358780</v>
      </c>
      <c r="G19" s="64">
        <f ca="1">IFERROR(__xludf.DUMMYFUNCTION("IMPORTRANGE(""https://docs.google.com/spreadsheets/d/1gFVb7qd7amutrIxAAoM7lcy35hllxznovot8lyOfvDo/edit?usp=sharing"",""น่าน!M431"")"),0)</f>
        <v>0</v>
      </c>
      <c r="H19" s="58">
        <f t="shared" ca="1" si="23"/>
        <v>147030</v>
      </c>
      <c r="I19" s="59">
        <f t="shared" ca="1" si="1"/>
        <v>40.980545180890793</v>
      </c>
      <c r="J19" s="60">
        <f t="shared" ca="1" si="38"/>
        <v>147030</v>
      </c>
      <c r="K19" s="61">
        <f t="shared" ca="1" si="29"/>
        <v>40.980545180890793</v>
      </c>
      <c r="L19" s="61">
        <f t="shared" ca="1" si="30"/>
        <v>40.980545180890793</v>
      </c>
      <c r="M19" s="64">
        <f ca="1">IFERROR(__xludf.DUMMYFUNCTION("IMPORTRANGE(""https://docs.google.com/spreadsheets/d/1gFVb7qd7amutrIxAAoM7lcy35hllxznovot8lyOfvDo/edit?usp=sharing"",""น่าน!N450"")"),65426)</f>
        <v>65426</v>
      </c>
      <c r="N19" s="64">
        <f ca="1">IFERROR(__xludf.DUMMYFUNCTION("IMPORTRANGE(""https://docs.google.com/spreadsheets/d/1gFVb7qd7amutrIxAAoM7lcy35hllxznovot8lyOfvDo/edit?usp=sharing"",""น่าน!N451"")"),0)</f>
        <v>0</v>
      </c>
      <c r="O19" s="64">
        <f ca="1">IFERROR(__xludf.DUMMYFUNCTION("IMPORTRANGE(""https://docs.google.com/spreadsheets/d/1gFVb7qd7amutrIxAAoM7lcy35hllxznovot8lyOfvDo/edit?usp=sharing"",""น่าน!N452"")"),77124)</f>
        <v>77124</v>
      </c>
      <c r="P19" s="64">
        <f ca="1">IFERROR(__xludf.DUMMYFUNCTION("IMPORTRANGE(""https://docs.google.com/spreadsheets/d/1gFVb7qd7amutrIxAAoM7lcy35hllxznovot8lyOfvDo/edit?usp=sharing"",""น่าน!N453"")"),4480)</f>
        <v>4480</v>
      </c>
      <c r="Q19" s="62">
        <f ca="1">IFERROR(__xludf.DUMMYFUNCTION("IMPORTRANGE(""https://docs.google.com/spreadsheets/d/1gFVb7qd7amutrIxAAoM7lcy35hllxznovot8lyOfvDo/edit?usp=sharing"",""น่าน!N456"")"),0)</f>
        <v>0</v>
      </c>
      <c r="R19" s="62">
        <f t="shared" ca="1" si="32"/>
        <v>0</v>
      </c>
      <c r="S19" s="57">
        <f ca="1">IFERROR(__xludf.DUMMYFUNCTION("IMPORTRANGE(""https://docs.google.com/spreadsheets/d/1gFVb7qd7amutrIxAAoM7lcy35hllxznovot8lyOfvDo/edit?usp=sharing"",""น่าน!I458"")"),0)</f>
        <v>0</v>
      </c>
      <c r="T19" s="57">
        <f ca="1">IFERROR(__xludf.DUMMYFUNCTION("IMPORTRANGE(""https://docs.google.com/spreadsheets/d/1gFVb7qd7amutrIxAAoM7lcy35hllxznovot8lyOfvDo/edit?usp=sharing"",""น่าน!J458"")"),0)</f>
        <v>0</v>
      </c>
      <c r="U19" s="63">
        <f t="shared" ca="1" si="24"/>
        <v>0</v>
      </c>
      <c r="V19" s="57">
        <f ca="1">IFERROR(__xludf.DUMMYFUNCTION("IMPORTRANGE(""https://docs.google.com/spreadsheets/d/1gFVb7qd7amutrIxAAoM7lcy35hllxznovot8lyOfvDo/edit?usp=sharing"",""น่าน!I460"")"),45)</f>
        <v>45</v>
      </c>
      <c r="W19" s="57">
        <f ca="1">IFERROR(__xludf.DUMMYFUNCTION("IMPORTRANGE(""https://docs.google.com/spreadsheets/d/1gFVb7qd7amutrIxAAoM7lcy35hllxznovot8lyOfvDo/edit?usp=sharing"",""น่าน!J460"")"),45)</f>
        <v>45</v>
      </c>
      <c r="X19" s="63">
        <f t="shared" ca="1" si="25"/>
        <v>100</v>
      </c>
      <c r="Y19" s="57">
        <f ca="1">IFERROR(__xludf.DUMMYFUNCTION("IMPORTRANGE(""https://docs.google.com/spreadsheets/d/1gFVb7qd7amutrIxAAoM7lcy35hllxznovot8lyOfvDo/edit?usp=sharing"",""น่าน!I462"")"),110)</f>
        <v>110</v>
      </c>
      <c r="Z19" s="57">
        <f ca="1">IFERROR(__xludf.DUMMYFUNCTION("IMPORTRANGE(""https://docs.google.com/spreadsheets/d/1gFVb7qd7amutrIxAAoM7lcy35hllxznovot8lyOfvDo/edit?usp=sharing"",""น่าน!J462"")"),110)</f>
        <v>110</v>
      </c>
      <c r="AA19" s="63">
        <f t="shared" ca="1" si="26"/>
        <v>100</v>
      </c>
      <c r="AB19" s="57">
        <f ca="1">IFERROR(__xludf.DUMMYFUNCTION("IMPORTRANGE(""https://docs.google.com/spreadsheets/d/1gFVb7qd7amutrIxAAoM7lcy35hllxznovot8lyOfvDo/edit?usp=sharing"",""น่าน!I463"")"),110)</f>
        <v>110</v>
      </c>
      <c r="AC19" s="57">
        <f ca="1">IFERROR(__xludf.DUMMYFUNCTION("IMPORTRANGE(""https://docs.google.com/spreadsheets/d/1gFVb7qd7amutrIxAAoM7lcy35hllxznovot8lyOfvDo/edit?usp=sharing"",""น่าน!I464"")"),45)</f>
        <v>45</v>
      </c>
      <c r="AD19" s="57">
        <f ca="1">IFERROR(__xludf.DUMMYFUNCTION("IMPORTRANGE(""https://docs.google.com/spreadsheets/d/1gFVb7qd7amutrIxAAoM7lcy35hllxznovot8lyOfvDo/edit?usp=sharing"",""น่าน!J463"")"),0)</f>
        <v>0</v>
      </c>
      <c r="AE19" s="63">
        <f t="shared" ca="1" si="27"/>
        <v>0</v>
      </c>
      <c r="AF19" s="57">
        <f ca="1">IFERROR(__xludf.DUMMYFUNCTION("IMPORTRANGE(""https://docs.google.com/spreadsheets/d/1gFVb7qd7amutrIxAAoM7lcy35hllxznovot8lyOfvDo/edit?usp=sharing"",""น่าน!J464"")"),0)</f>
        <v>0</v>
      </c>
      <c r="AG19" s="63">
        <f t="shared" ca="1" si="13"/>
        <v>0</v>
      </c>
    </row>
    <row r="20" spans="1:33" ht="24" customHeight="1" x14ac:dyDescent="0.3">
      <c r="A20" s="54">
        <v>7</v>
      </c>
      <c r="B20" s="55" t="s">
        <v>41</v>
      </c>
      <c r="C20" s="56">
        <f t="shared" ca="1" si="37"/>
        <v>379600</v>
      </c>
      <c r="D20" s="57">
        <f ca="1">IFERROR(__xludf.DUMMYFUNCTION("IMPORTRANGE(""https://docs.google.com/spreadsheets/d/1K0Aa9s-6EuHE5M0FG1F9aHLXRCOV917xvycTdLdct0w/edit?usp=sharing"",""พะเยา!L449"")"),379600)</f>
        <v>379600</v>
      </c>
      <c r="E20" s="64">
        <f ca="1">IFERROR(__xludf.DUMMYFUNCTION("IMPORTRANGE(""https://docs.google.com/spreadsheets/d/1K0Aa9s-6EuHE5M0FG1F9aHLXRCOV917xvycTdLdct0w/edit?usp=sharing"",""พะเยา!L456"")"),0)</f>
        <v>0</v>
      </c>
      <c r="F20" s="64">
        <f ca="1">IFERROR(__xludf.DUMMYFUNCTION("IMPORTRANGE(""https://docs.google.com/spreadsheets/d/1K0Aa9s-6EuHE5M0FG1F9aHLXRCOV917xvycTdLdct0w/edit?usp=sharing"",""พะเยา!M449"")"),379600)</f>
        <v>379600</v>
      </c>
      <c r="G20" s="64">
        <f ca="1">IFERROR(__xludf.DUMMYFUNCTION("IMPORTRANGE(""https://docs.google.com/spreadsheets/d/1K0Aa9s-6EuHE5M0FG1F9aHLXRCOV917xvycTdLdct0w/edit?usp=sharing"",""พะเยา!M431"")"),0)</f>
        <v>0</v>
      </c>
      <c r="H20" s="58">
        <f t="shared" ca="1" si="23"/>
        <v>154352</v>
      </c>
      <c r="I20" s="59">
        <f t="shared" ca="1" si="1"/>
        <v>40.661749209694413</v>
      </c>
      <c r="J20" s="60">
        <f t="shared" ca="1" si="38"/>
        <v>154352</v>
      </c>
      <c r="K20" s="61">
        <f t="shared" ca="1" si="29"/>
        <v>40.661749209694413</v>
      </c>
      <c r="L20" s="61">
        <f t="shared" ca="1" si="30"/>
        <v>40.661749209694413</v>
      </c>
      <c r="M20" s="64">
        <f ca="1">IFERROR(__xludf.DUMMYFUNCTION("IMPORTRANGE(""https://docs.google.com/spreadsheets/d/1K0Aa9s-6EuHE5M0FG1F9aHLXRCOV917xvycTdLdct0w/edit?usp=sharing"",""พะเยา!N450"")"),73580)</f>
        <v>73580</v>
      </c>
      <c r="N20" s="64">
        <f ca="1">IFERROR(__xludf.DUMMYFUNCTION("IMPORTRANGE(""https://docs.google.com/spreadsheets/d/1K0Aa9s-6EuHE5M0FG1F9aHLXRCOV917xvycTdLdct0w/edit?usp=sharing"",""พะเยา!N451"")"),0)</f>
        <v>0</v>
      </c>
      <c r="O20" s="64">
        <f ca="1">IFERROR(__xludf.DUMMYFUNCTION("IMPORTRANGE(""https://docs.google.com/spreadsheets/d/1K0Aa9s-6EuHE5M0FG1F9aHLXRCOV917xvycTdLdct0w/edit?usp=sharing"",""พะเยา!N452"")"),77132)</f>
        <v>77132</v>
      </c>
      <c r="P20" s="64">
        <f ca="1">IFERROR(__xludf.DUMMYFUNCTION("IMPORTRANGE(""https://docs.google.com/spreadsheets/d/1K0Aa9s-6EuHE5M0FG1F9aHLXRCOV917xvycTdLdct0w/edit?usp=sharing"",""พะเยา!N453"")"),3640)</f>
        <v>3640</v>
      </c>
      <c r="Q20" s="62">
        <f ca="1">IFERROR(__xludf.DUMMYFUNCTION("IMPORTRANGE(""https://docs.google.com/spreadsheets/d/1K0Aa9s-6EuHE5M0FG1F9aHLXRCOV917xvycTdLdct0w/edit?usp=sharing"",""พะเยา!N456"")"),0)</f>
        <v>0</v>
      </c>
      <c r="R20" s="62">
        <f t="shared" ca="1" si="32"/>
        <v>0</v>
      </c>
      <c r="S20" s="57">
        <f ca="1">IFERROR(__xludf.DUMMYFUNCTION("IMPORTRANGE(""https://docs.google.com/spreadsheets/d/1K0Aa9s-6EuHE5M0FG1F9aHLXRCOV917xvycTdLdct0w/edit?usp=sharing"",""พะเยา!I458"")"),0)</f>
        <v>0</v>
      </c>
      <c r="T20" s="57">
        <f ca="1">IFERROR(__xludf.DUMMYFUNCTION("IMPORTRANGE(""https://docs.google.com/spreadsheets/d/1K0Aa9s-6EuHE5M0FG1F9aHLXRCOV917xvycTdLdct0w/edit?usp=sharing"",""พะเยา!J458"")"),0)</f>
        <v>0</v>
      </c>
      <c r="U20" s="63">
        <f t="shared" ca="1" si="24"/>
        <v>0</v>
      </c>
      <c r="V20" s="57">
        <f ca="1">IFERROR(__xludf.DUMMYFUNCTION("IMPORTRANGE(""https://docs.google.com/spreadsheets/d/1K0Aa9s-6EuHE5M0FG1F9aHLXRCOV917xvycTdLdct0w/edit?usp=sharing"",""พะเยา!I460"")"),60)</f>
        <v>60</v>
      </c>
      <c r="W20" s="57">
        <f ca="1">IFERROR(__xludf.DUMMYFUNCTION("IMPORTRANGE(""https://docs.google.com/spreadsheets/d/1K0Aa9s-6EuHE5M0FG1F9aHLXRCOV917xvycTdLdct0w/edit?usp=sharing"",""พะเยา!J460"")"),60)</f>
        <v>60</v>
      </c>
      <c r="X20" s="63">
        <f t="shared" ca="1" si="25"/>
        <v>100</v>
      </c>
      <c r="Y20" s="57">
        <f ca="1">IFERROR(__xludf.DUMMYFUNCTION("IMPORTRANGE(""https://docs.google.com/spreadsheets/d/1K0Aa9s-6EuHE5M0FG1F9aHLXRCOV917xvycTdLdct0w/edit?usp=sharing"",""พะเยา!I462"")"),100)</f>
        <v>100</v>
      </c>
      <c r="Z20" s="57">
        <f ca="1">IFERROR(__xludf.DUMMYFUNCTION("IMPORTRANGE(""https://docs.google.com/spreadsheets/d/1K0Aa9s-6EuHE5M0FG1F9aHLXRCOV917xvycTdLdct0w/edit?usp=sharing"",""พะเยา!J462"")"),100)</f>
        <v>100</v>
      </c>
      <c r="AA20" s="63">
        <f t="shared" ca="1" si="26"/>
        <v>100</v>
      </c>
      <c r="AB20" s="57">
        <f ca="1">IFERROR(__xludf.DUMMYFUNCTION("IMPORTRANGE(""https://docs.google.com/spreadsheets/d/1K0Aa9s-6EuHE5M0FG1F9aHLXRCOV917xvycTdLdct0w/edit?usp=sharing"",""พะเยา!I463"")"),100)</f>
        <v>100</v>
      </c>
      <c r="AC20" s="57">
        <f ca="1">IFERROR(__xludf.DUMMYFUNCTION("IMPORTRANGE(""https://docs.google.com/spreadsheets/d/1K0Aa9s-6EuHE5M0FG1F9aHLXRCOV917xvycTdLdct0w/edit?usp=sharing"",""พะเยา!I464"")"),60)</f>
        <v>60</v>
      </c>
      <c r="AD20" s="57">
        <f ca="1">IFERROR(__xludf.DUMMYFUNCTION("IMPORTRANGE(""https://docs.google.com/spreadsheets/d/1K0Aa9s-6EuHE5M0FG1F9aHLXRCOV917xvycTdLdct0w/edit?usp=sharing"",""พะเยา!J463"")"),0)</f>
        <v>0</v>
      </c>
      <c r="AE20" s="63">
        <f t="shared" ca="1" si="27"/>
        <v>0</v>
      </c>
      <c r="AF20" s="57">
        <f ca="1">IFERROR(__xludf.DUMMYFUNCTION("IMPORTRANGE(""https://docs.google.com/spreadsheets/d/1K0Aa9s-6EuHE5M0FG1F9aHLXRCOV917xvycTdLdct0w/edit?usp=sharing"",""พะเยา!J464"")"),0)</f>
        <v>0</v>
      </c>
      <c r="AG20" s="63">
        <f t="shared" ca="1" si="13"/>
        <v>0</v>
      </c>
    </row>
    <row r="21" spans="1:33" ht="24" customHeight="1" x14ac:dyDescent="0.3">
      <c r="A21" s="54">
        <v>8</v>
      </c>
      <c r="B21" s="55" t="s">
        <v>42</v>
      </c>
      <c r="C21" s="56">
        <f t="shared" ca="1" si="37"/>
        <v>382500</v>
      </c>
      <c r="D21" s="57">
        <f ca="1">IFERROR(__xludf.DUMMYFUNCTION("IMPORTRANGE(""https://docs.google.com/spreadsheets/d/1Y9LPKx95PyL5OKy09d-KbKJSuuEZCFdkhYjwC0XQjBA/edit?usp=sharing"",""พิจิตร!L449"")"),382500)</f>
        <v>382500</v>
      </c>
      <c r="E21" s="64">
        <f ca="1">IFERROR(__xludf.DUMMYFUNCTION("IMPORTRANGE(""https://docs.google.com/spreadsheets/d/1Y9LPKx95PyL5OKy09d-KbKJSuuEZCFdkhYjwC0XQjBA/edit?usp=sharing"",""พิจิตร!L456"")"),0)</f>
        <v>0</v>
      </c>
      <c r="F21" s="64">
        <f ca="1">IFERROR(__xludf.DUMMYFUNCTION("IMPORTRANGE(""https://docs.google.com/spreadsheets/d/1Y9LPKx95PyL5OKy09d-KbKJSuuEZCFdkhYjwC0XQjBA/edit?usp=sharing"",""พิจิตร!M449"")"),382500)</f>
        <v>382500</v>
      </c>
      <c r="G21" s="64">
        <f ca="1">IFERROR(__xludf.DUMMYFUNCTION("IMPORTRANGE(""https://docs.google.com/spreadsheets/d/1Y9LPKx95PyL5OKy09d-KbKJSuuEZCFdkhYjwC0XQjBA/edit?usp=sharing"",""พิจิตร!M431"")"),0)</f>
        <v>0</v>
      </c>
      <c r="H21" s="58">
        <f t="shared" ca="1" si="23"/>
        <v>143526.01999999999</v>
      </c>
      <c r="I21" s="59">
        <f t="shared" ca="1" si="1"/>
        <v>37.523142483660124</v>
      </c>
      <c r="J21" s="60">
        <f t="shared" ca="1" si="38"/>
        <v>143526.01999999999</v>
      </c>
      <c r="K21" s="61">
        <f t="shared" ca="1" si="29"/>
        <v>37.523142483660124</v>
      </c>
      <c r="L21" s="61">
        <f t="shared" ca="1" si="30"/>
        <v>37.523142483660124</v>
      </c>
      <c r="M21" s="64">
        <f ca="1">IFERROR(__xludf.DUMMYFUNCTION("IMPORTRANGE(""https://docs.google.com/spreadsheets/d/1Y9LPKx95PyL5OKy09d-KbKJSuuEZCFdkhYjwC0XQjBA/edit?usp=sharing"",""พิจิตร!N450"")"),64326)</f>
        <v>64326</v>
      </c>
      <c r="N21" s="64">
        <f ca="1">IFERROR(__xludf.DUMMYFUNCTION("IMPORTRANGE(""https://docs.google.com/spreadsheets/d/1Y9LPKx95PyL5OKy09d-KbKJSuuEZCFdkhYjwC0XQjBA/edit?usp=sharing"",""พิจิตร!N451"")"),0)</f>
        <v>0</v>
      </c>
      <c r="O21" s="64">
        <f ca="1">IFERROR(__xludf.DUMMYFUNCTION("IMPORTRANGE(""https://docs.google.com/spreadsheets/d/1Y9LPKx95PyL5OKy09d-KbKJSuuEZCFdkhYjwC0XQjBA/edit?usp=sharing"",""พิจิตร!N452"")"),62400.02)</f>
        <v>62400.02</v>
      </c>
      <c r="P21" s="64">
        <f ca="1">IFERROR(__xludf.DUMMYFUNCTION("IMPORTRANGE(""https://docs.google.com/spreadsheets/d/1Y9LPKx95PyL5OKy09d-KbKJSuuEZCFdkhYjwC0XQjBA/edit?usp=sharing"",""พิจิตร!N453"")"),16800)</f>
        <v>16800</v>
      </c>
      <c r="Q21" s="62">
        <f ca="1">IFERROR(__xludf.DUMMYFUNCTION("IMPORTRANGE(""https://docs.google.com/spreadsheets/d/1Y9LPKx95PyL5OKy09d-KbKJSuuEZCFdkhYjwC0XQjBA/edit?usp=sharing"",""พิจิตร!N456"")"),0)</f>
        <v>0</v>
      </c>
      <c r="R21" s="62">
        <f t="shared" ca="1" si="32"/>
        <v>0</v>
      </c>
      <c r="S21" s="57">
        <f ca="1">IFERROR(__xludf.DUMMYFUNCTION("IMPORTRANGE(""https://docs.google.com/spreadsheets/d/1Y9LPKx95PyL5OKy09d-KbKJSuuEZCFdkhYjwC0XQjBA/edit?usp=sharing"",""พิจิตร!I458"")"),0)</f>
        <v>0</v>
      </c>
      <c r="T21" s="57">
        <f ca="1">IFERROR(__xludf.DUMMYFUNCTION("IMPORTRANGE(""https://docs.google.com/spreadsheets/d/1Y9LPKx95PyL5OKy09d-KbKJSuuEZCFdkhYjwC0XQjBA/edit?usp=sharing"",""พิจิตร!J458"")"),0)</f>
        <v>0</v>
      </c>
      <c r="U21" s="63">
        <f t="shared" ca="1" si="24"/>
        <v>0</v>
      </c>
      <c r="V21" s="57">
        <f ca="1">IFERROR(__xludf.DUMMYFUNCTION("IMPORTRANGE(""https://docs.google.com/spreadsheets/d/1Y9LPKx95PyL5OKy09d-KbKJSuuEZCFdkhYjwC0XQjBA/edit?usp=sharing"",""พิจิตร!I460"")"),55)</f>
        <v>55</v>
      </c>
      <c r="W21" s="57">
        <f ca="1">IFERROR(__xludf.DUMMYFUNCTION("IMPORTRANGE(""https://docs.google.com/spreadsheets/d/1Y9LPKx95PyL5OKy09d-KbKJSuuEZCFdkhYjwC0XQjBA/edit?usp=sharing"",""พิจิตร!J460"")"),55)</f>
        <v>55</v>
      </c>
      <c r="X21" s="63">
        <f t="shared" ca="1" si="25"/>
        <v>100</v>
      </c>
      <c r="Y21" s="57">
        <f ca="1">IFERROR(__xludf.DUMMYFUNCTION("IMPORTRANGE(""https://docs.google.com/spreadsheets/d/1Y9LPKx95PyL5OKy09d-KbKJSuuEZCFdkhYjwC0XQjBA/edit?usp=sharing"",""พิจิตร!I462"")"),110)</f>
        <v>110</v>
      </c>
      <c r="Z21" s="57">
        <f ca="1">IFERROR(__xludf.DUMMYFUNCTION("IMPORTRANGE(""https://docs.google.com/spreadsheets/d/1Y9LPKx95PyL5OKy09d-KbKJSuuEZCFdkhYjwC0XQjBA/edit?usp=sharing"",""พิจิตร!J462"")"),110)</f>
        <v>110</v>
      </c>
      <c r="AA21" s="63">
        <f t="shared" ca="1" si="26"/>
        <v>100</v>
      </c>
      <c r="AB21" s="57">
        <f ca="1">IFERROR(__xludf.DUMMYFUNCTION("IMPORTRANGE(""https://docs.google.com/spreadsheets/d/1Y9LPKx95PyL5OKy09d-KbKJSuuEZCFdkhYjwC0XQjBA/edit?usp=sharing"",""พิจิตร!I463"")"),110)</f>
        <v>110</v>
      </c>
      <c r="AC21" s="57">
        <f ca="1">IFERROR(__xludf.DUMMYFUNCTION("IMPORTRANGE(""https://docs.google.com/spreadsheets/d/1Y9LPKx95PyL5OKy09d-KbKJSuuEZCFdkhYjwC0XQjBA/edit?usp=sharing"",""พิจิตร!I464"")"),55)</f>
        <v>55</v>
      </c>
      <c r="AD21" s="57">
        <f ca="1">IFERROR(__xludf.DUMMYFUNCTION("IMPORTRANGE(""https://docs.google.com/spreadsheets/d/1Y9LPKx95PyL5OKy09d-KbKJSuuEZCFdkhYjwC0XQjBA/edit?usp=sharing"",""พิจิตร!J463"")"),0)</f>
        <v>0</v>
      </c>
      <c r="AE21" s="63">
        <f t="shared" ca="1" si="27"/>
        <v>0</v>
      </c>
      <c r="AF21" s="57">
        <f ca="1">IFERROR(__xludf.DUMMYFUNCTION("IMPORTRANGE(""https://docs.google.com/spreadsheets/d/1Y9LPKx95PyL5OKy09d-KbKJSuuEZCFdkhYjwC0XQjBA/edit?usp=sharing"",""พิจิตร!J464"")"),0)</f>
        <v>0</v>
      </c>
      <c r="AG21" s="63">
        <f t="shared" ca="1" si="13"/>
        <v>0</v>
      </c>
    </row>
    <row r="22" spans="1:33" ht="24" customHeight="1" x14ac:dyDescent="0.3">
      <c r="A22" s="54">
        <v>9</v>
      </c>
      <c r="B22" s="55" t="s">
        <v>43</v>
      </c>
      <c r="C22" s="56">
        <f t="shared" ca="1" si="37"/>
        <v>0</v>
      </c>
      <c r="D22" s="57">
        <f ca="1">IFERROR(__xludf.DUMMYFUNCTION("IMPORTRANGE(""https://docs.google.com/spreadsheets/d/16OMuOwy2eVqZcYWOouQtTpa8X1L23h4660uVHc0C8os/edit?usp=sharing"",""พิษณุโลก!L449"")"),0)</f>
        <v>0</v>
      </c>
      <c r="E22" s="64">
        <f ca="1">IFERROR(__xludf.DUMMYFUNCTION("IMPORTRANGE(""https://docs.google.com/spreadsheets/d/16OMuOwy2eVqZcYWOouQtTpa8X1L23h4660uVHc0C8os/edit?usp=sharing"",""พิษณุโลก!L456"")"),0)</f>
        <v>0</v>
      </c>
      <c r="F22" s="64">
        <f ca="1">IFERROR(__xludf.DUMMYFUNCTION("IMPORTRANGE(""https://docs.google.com/spreadsheets/d/16OMuOwy2eVqZcYWOouQtTpa8X1L23h4660uVHc0C8os/edit?usp=sharing"",""พิษณุโลก!M449"")"),0)</f>
        <v>0</v>
      </c>
      <c r="G22" s="64">
        <f ca="1">IFERROR(__xludf.DUMMYFUNCTION("IMPORTRANGE(""https://docs.google.com/spreadsheets/d/16OMuOwy2eVqZcYWOouQtTpa8X1L23h4660uVHc0C8os/edit?usp=sharing"",""พิษณุโลก!M431"")"),0)</f>
        <v>0</v>
      </c>
      <c r="H22" s="58">
        <f t="shared" ca="1" si="23"/>
        <v>0</v>
      </c>
      <c r="I22" s="59">
        <f t="shared" ca="1" si="1"/>
        <v>0</v>
      </c>
      <c r="J22" s="60">
        <f t="shared" ca="1" si="38"/>
        <v>0</v>
      </c>
      <c r="K22" s="61">
        <f t="shared" ca="1" si="29"/>
        <v>0</v>
      </c>
      <c r="L22" s="61">
        <f t="shared" ca="1" si="30"/>
        <v>0</v>
      </c>
      <c r="M22" s="64">
        <f ca="1">IFERROR(__xludf.DUMMYFUNCTION("IMPORTRANGE(""https://docs.google.com/spreadsheets/d/16OMuOwy2eVqZcYWOouQtTpa8X1L23h4660uVHc0C8os/edit?usp=sharing"",""พิษณุโลก!N450"")"),0)</f>
        <v>0</v>
      </c>
      <c r="N22" s="64">
        <f ca="1">IFERROR(__xludf.DUMMYFUNCTION("IMPORTRANGE(""https://docs.google.com/spreadsheets/d/16OMuOwy2eVqZcYWOouQtTpa8X1L23h4660uVHc0C8os/edit?usp=sharing"",""พิษณุโลก!N451"")"),0)</f>
        <v>0</v>
      </c>
      <c r="O22" s="64">
        <f ca="1">IFERROR(__xludf.DUMMYFUNCTION("IMPORTRANGE(""https://docs.google.com/spreadsheets/d/16OMuOwy2eVqZcYWOouQtTpa8X1L23h4660uVHc0C8os/edit?usp=sharing"",""พิษณุโลก!N452"")"),0)</f>
        <v>0</v>
      </c>
      <c r="P22" s="64">
        <f ca="1">IFERROR(__xludf.DUMMYFUNCTION("IMPORTRANGE(""https://docs.google.com/spreadsheets/d/16OMuOwy2eVqZcYWOouQtTpa8X1L23h4660uVHc0C8os/edit?usp=sharing"",""พิษณุโลก!N453"")"),0)</f>
        <v>0</v>
      </c>
      <c r="Q22" s="62">
        <f ca="1">IFERROR(__xludf.DUMMYFUNCTION("IMPORTRANGE(""https://docs.google.com/spreadsheets/d/16OMuOwy2eVqZcYWOouQtTpa8X1L23h4660uVHc0C8os/edit?usp=sharing"",""พิษณุโลก!N456"")"),0)</f>
        <v>0</v>
      </c>
      <c r="R22" s="62">
        <f t="shared" ca="1" si="32"/>
        <v>0</v>
      </c>
      <c r="S22" s="57">
        <f ca="1">IFERROR(__xludf.DUMMYFUNCTION("IMPORTRANGE(""https://docs.google.com/spreadsheets/d/16OMuOwy2eVqZcYWOouQtTpa8X1L23h4660uVHc0C8os/edit?usp=sharing"",""พิษณุโลก!I458"")"),0)</f>
        <v>0</v>
      </c>
      <c r="T22" s="57">
        <f ca="1">IFERROR(__xludf.DUMMYFUNCTION("IMPORTRANGE(""https://docs.google.com/spreadsheets/d/16OMuOwy2eVqZcYWOouQtTpa8X1L23h4660uVHc0C8os/edit?usp=sharing"",""พิษณุโลก!J458"")"),0)</f>
        <v>0</v>
      </c>
      <c r="U22" s="63">
        <f t="shared" ca="1" si="24"/>
        <v>0</v>
      </c>
      <c r="V22" s="57">
        <f ca="1">IFERROR(__xludf.DUMMYFUNCTION("IMPORTRANGE(""https://docs.google.com/spreadsheets/d/16OMuOwy2eVqZcYWOouQtTpa8X1L23h4660uVHc0C8os/edit?usp=sharing"",""พิษณุโลก!I460"")"),0)</f>
        <v>0</v>
      </c>
      <c r="W22" s="57">
        <f ca="1">IFERROR(__xludf.DUMMYFUNCTION("IMPORTRANGE(""https://docs.google.com/spreadsheets/d/16OMuOwy2eVqZcYWOouQtTpa8X1L23h4660uVHc0C8os/edit?usp=sharing"",""พิษณุโลก!J460"")"),0)</f>
        <v>0</v>
      </c>
      <c r="X22" s="63">
        <f t="shared" ca="1" si="25"/>
        <v>0</v>
      </c>
      <c r="Y22" s="57">
        <f ca="1">IFERROR(__xludf.DUMMYFUNCTION("IMPORTRANGE(""https://docs.google.com/spreadsheets/d/16OMuOwy2eVqZcYWOouQtTpa8X1L23h4660uVHc0C8os/edit?usp=sharing"",""พิษณุโลก!I462"")"),0)</f>
        <v>0</v>
      </c>
      <c r="Z22" s="57">
        <f ca="1">IFERROR(__xludf.DUMMYFUNCTION("IMPORTRANGE(""https://docs.google.com/spreadsheets/d/16OMuOwy2eVqZcYWOouQtTpa8X1L23h4660uVHc0C8os/edit?usp=sharing"",""พิษณุโลก!J462"")"),0)</f>
        <v>0</v>
      </c>
      <c r="AA22" s="63">
        <f t="shared" ca="1" si="26"/>
        <v>0</v>
      </c>
      <c r="AB22" s="57">
        <f ca="1">IFERROR(__xludf.DUMMYFUNCTION("IMPORTRANGE(""https://docs.google.com/spreadsheets/d/16OMuOwy2eVqZcYWOouQtTpa8X1L23h4660uVHc0C8os/edit?usp=sharing"",""พิษณุโลก!I463"")"),0)</f>
        <v>0</v>
      </c>
      <c r="AC22" s="57">
        <f ca="1">IFERROR(__xludf.DUMMYFUNCTION("IMPORTRANGE(""https://docs.google.com/spreadsheets/d/16OMuOwy2eVqZcYWOouQtTpa8X1L23h4660uVHc0C8os/edit?usp=sharing"",""พิษณุโลก!I464"")"),0)</f>
        <v>0</v>
      </c>
      <c r="AD22" s="57">
        <f ca="1">IFERROR(__xludf.DUMMYFUNCTION("IMPORTRANGE(""https://docs.google.com/spreadsheets/d/16OMuOwy2eVqZcYWOouQtTpa8X1L23h4660uVHc0C8os/edit?usp=sharing"",""พิษณุโลก!J463"")"),0)</f>
        <v>0</v>
      </c>
      <c r="AE22" s="63">
        <f t="shared" ca="1" si="27"/>
        <v>0</v>
      </c>
      <c r="AF22" s="57">
        <f ca="1">IFERROR(__xludf.DUMMYFUNCTION("IMPORTRANGE(""https://docs.google.com/spreadsheets/d/16OMuOwy2eVqZcYWOouQtTpa8X1L23h4660uVHc0C8os/edit?usp=sharing"",""พิษณุโลก!J464"")"),0)</f>
        <v>0</v>
      </c>
      <c r="AG22" s="63">
        <f t="shared" ca="1" si="13"/>
        <v>0</v>
      </c>
    </row>
    <row r="23" spans="1:33" ht="24" customHeight="1" x14ac:dyDescent="0.3">
      <c r="A23" s="54">
        <v>10</v>
      </c>
      <c r="B23" s="55" t="s">
        <v>44</v>
      </c>
      <c r="C23" s="56">
        <f t="shared" ca="1" si="37"/>
        <v>840780</v>
      </c>
      <c r="D23" s="57">
        <f ca="1">IFERROR(__xludf.DUMMYFUNCTION("IMPORTRANGE(""https://docs.google.com/spreadsheets/d/1GfgTldLG6k77HXaMQzaafODklYuucJZQNs_GAPEfZyY/edit?usp=sharing"",""เพชรบูรณ์!L449"")"),840780)</f>
        <v>840780</v>
      </c>
      <c r="E23" s="64">
        <f ca="1">IFERROR(__xludf.DUMMYFUNCTION("IMPORTRANGE(""https://docs.google.com/spreadsheets/d/1GfgTldLG6k77HXaMQzaafODklYuucJZQNs_GAPEfZyY/edit?usp=sharing"",""เพชรบูรณ์!L456"")"),0)</f>
        <v>0</v>
      </c>
      <c r="F23" s="64">
        <f ca="1">IFERROR(__xludf.DUMMYFUNCTION("IMPORTRANGE(""https://docs.google.com/spreadsheets/d/1GfgTldLG6k77HXaMQzaafODklYuucJZQNs_GAPEfZyY/edit?usp=sharing"",""เพชรบูรณ์!M449"")"),840780)</f>
        <v>840780</v>
      </c>
      <c r="G23" s="64">
        <f ca="1">IFERROR(__xludf.DUMMYFUNCTION("IMPORTRANGE(""https://docs.google.com/spreadsheets/d/1GfgTldLG6k77HXaMQzaafODklYuucJZQNs_GAPEfZyY/edit?usp=sharing"",""เพชรบูรณ์!M431"")"),0)</f>
        <v>0</v>
      </c>
      <c r="H23" s="58">
        <f t="shared" ca="1" si="23"/>
        <v>230200</v>
      </c>
      <c r="I23" s="59">
        <f t="shared" ca="1" si="1"/>
        <v>27.379338233545042</v>
      </c>
      <c r="J23" s="60">
        <f t="shared" ca="1" si="38"/>
        <v>230200</v>
      </c>
      <c r="K23" s="61">
        <f t="shared" ca="1" si="29"/>
        <v>27.379338233545042</v>
      </c>
      <c r="L23" s="61">
        <f t="shared" ca="1" si="30"/>
        <v>27.379338233545042</v>
      </c>
      <c r="M23" s="64">
        <f ca="1">IFERROR(__xludf.DUMMYFUNCTION("IMPORTRANGE(""https://docs.google.com/spreadsheets/d/1GfgTldLG6k77HXaMQzaafODklYuucJZQNs_GAPEfZyY/edit?usp=sharing"",""เพชรบูรณ์!N450"")"),143960)</f>
        <v>143960</v>
      </c>
      <c r="N23" s="64">
        <f ca="1">IFERROR(__xludf.DUMMYFUNCTION("IMPORTRANGE(""https://docs.google.com/spreadsheets/d/1GfgTldLG6k77HXaMQzaafODklYuucJZQNs_GAPEfZyY/edit?usp=sharing"",""เพชรบูรณ์!N451"")"),0)</f>
        <v>0</v>
      </c>
      <c r="O23" s="64">
        <f ca="1">IFERROR(__xludf.DUMMYFUNCTION("IMPORTRANGE(""https://docs.google.com/spreadsheets/d/1GfgTldLG6k77HXaMQzaafODklYuucJZQNs_GAPEfZyY/edit?usp=sharing"",""เพชรบูรณ์!N452"")"),78000)</f>
        <v>78000</v>
      </c>
      <c r="P23" s="64">
        <f ca="1">IFERROR(__xludf.DUMMYFUNCTION("IMPORTRANGE(""https://docs.google.com/spreadsheets/d/1GfgTldLG6k77HXaMQzaafODklYuucJZQNs_GAPEfZyY/edit?usp=sharing"",""เพชรบูรณ์!N453"")"),8240)</f>
        <v>8240</v>
      </c>
      <c r="Q23" s="62">
        <f ca="1">IFERROR(__xludf.DUMMYFUNCTION("IMPORTRANGE(""https://docs.google.com/spreadsheets/d/1GfgTldLG6k77HXaMQzaafODklYuucJZQNs_GAPEfZyY/edit?usp=sharing"",""เพชรบูรณ์!N456"")"),0)</f>
        <v>0</v>
      </c>
      <c r="R23" s="62">
        <f t="shared" ca="1" si="32"/>
        <v>0</v>
      </c>
      <c r="S23" s="57">
        <f ca="1">IFERROR(__xludf.DUMMYFUNCTION("IMPORTRANGE(""https://docs.google.com/spreadsheets/d/1GfgTldLG6k77HXaMQzaafODklYuucJZQNs_GAPEfZyY/edit?usp=sharing"",""เพชรบูรณ์!I458"")"),0)</f>
        <v>0</v>
      </c>
      <c r="T23" s="57">
        <f ca="1">IFERROR(__xludf.DUMMYFUNCTION("IMPORTRANGE(""https://docs.google.com/spreadsheets/d/1GfgTldLG6k77HXaMQzaafODklYuucJZQNs_GAPEfZyY/edit?usp=sharing"",""เพชรบูรณ์!J458"")"),0)</f>
        <v>0</v>
      </c>
      <c r="U23" s="63">
        <f t="shared" ca="1" si="24"/>
        <v>0</v>
      </c>
      <c r="V23" s="57">
        <f ca="1">IFERROR(__xludf.DUMMYFUNCTION("IMPORTRANGE(""https://docs.google.com/spreadsheets/d/1GfgTldLG6k77HXaMQzaafODklYuucJZQNs_GAPEfZyY/edit?usp=sharing"",""เพชรบูรณ์!I460"")"),100)</f>
        <v>100</v>
      </c>
      <c r="W23" s="57">
        <f ca="1">IFERROR(__xludf.DUMMYFUNCTION("IMPORTRANGE(""https://docs.google.com/spreadsheets/d/1GfgTldLG6k77HXaMQzaafODklYuucJZQNs_GAPEfZyY/edit?usp=sharing"",""เพชรบูรณ์!J460"")"),100)</f>
        <v>100</v>
      </c>
      <c r="X23" s="63">
        <f t="shared" ca="1" si="25"/>
        <v>100</v>
      </c>
      <c r="Y23" s="57">
        <f ca="1">IFERROR(__xludf.DUMMYFUNCTION("IMPORTRANGE(""https://docs.google.com/spreadsheets/d/1GfgTldLG6k77HXaMQzaafODklYuucJZQNs_GAPEfZyY/edit?usp=sharing"",""เพชรบูรณ์!I462"")"),475)</f>
        <v>475</v>
      </c>
      <c r="Z23" s="57">
        <f ca="1">IFERROR(__xludf.DUMMYFUNCTION("IMPORTRANGE(""https://docs.google.com/spreadsheets/d/1GfgTldLG6k77HXaMQzaafODklYuucJZQNs_GAPEfZyY/edit?usp=sharing"",""เพชรบูรณ์!J462"")"),475)</f>
        <v>475</v>
      </c>
      <c r="AA23" s="63">
        <f t="shared" ca="1" si="26"/>
        <v>100</v>
      </c>
      <c r="AB23" s="57">
        <f ca="1">IFERROR(__xludf.DUMMYFUNCTION("IMPORTRANGE(""https://docs.google.com/spreadsheets/d/1GfgTldLG6k77HXaMQzaafODklYuucJZQNs_GAPEfZyY/edit?usp=sharing"",""เพชรบูรณ์!I463"")"),475)</f>
        <v>475</v>
      </c>
      <c r="AC23" s="57">
        <f ca="1">IFERROR(__xludf.DUMMYFUNCTION("IMPORTRANGE(""https://docs.google.com/spreadsheets/d/1GfgTldLG6k77HXaMQzaafODklYuucJZQNs_GAPEfZyY/edit?usp=sharing"",""เพชรบูรณ์!I464"")"),100)</f>
        <v>100</v>
      </c>
      <c r="AD23" s="57">
        <f ca="1">IFERROR(__xludf.DUMMYFUNCTION("IMPORTRANGE(""https://docs.google.com/spreadsheets/d/1GfgTldLG6k77HXaMQzaafODklYuucJZQNs_GAPEfZyY/edit?usp=sharing"",""เพชรบูรณ์!J463"")"),0)</f>
        <v>0</v>
      </c>
      <c r="AE23" s="63">
        <f t="shared" ca="1" si="27"/>
        <v>0</v>
      </c>
      <c r="AF23" s="57">
        <f ca="1">IFERROR(__xludf.DUMMYFUNCTION("IMPORTRANGE(""https://docs.google.com/spreadsheets/d/1GfgTldLG6k77HXaMQzaafODklYuucJZQNs_GAPEfZyY/edit?usp=sharing"",""เพชรบูรณ์!J464"")"),0)</f>
        <v>0</v>
      </c>
      <c r="AG23" s="63">
        <f t="shared" ca="1" si="13"/>
        <v>0</v>
      </c>
    </row>
    <row r="24" spans="1:33" ht="24" customHeight="1" x14ac:dyDescent="0.3">
      <c r="A24" s="54">
        <v>11</v>
      </c>
      <c r="B24" s="55" t="s">
        <v>45</v>
      </c>
      <c r="C24" s="56">
        <f t="shared" ca="1" si="37"/>
        <v>365500</v>
      </c>
      <c r="D24" s="57">
        <f ca="1">IFERROR(__xludf.DUMMYFUNCTION("IMPORTRANGE(""https://docs.google.com/spreadsheets/d/1gvTMYAnm7v1yG1BKWFtr0DnaTsq59oW9dwWvFgq6hs0/edit?usp=sharing"",""แพร่!L449"")"),365500)</f>
        <v>365500</v>
      </c>
      <c r="E24" s="64">
        <f ca="1">IFERROR(__xludf.DUMMYFUNCTION("IMPORTRANGE(""https://docs.google.com/spreadsheets/d/1gvTMYAnm7v1yG1BKWFtr0DnaTsq59oW9dwWvFgq6hs0/edit?usp=sharing"",""แพร่!L456"")"),0)</f>
        <v>0</v>
      </c>
      <c r="F24" s="64">
        <f ca="1">IFERROR(__xludf.DUMMYFUNCTION("IMPORTRANGE(""https://docs.google.com/spreadsheets/d/1gvTMYAnm7v1yG1BKWFtr0DnaTsq59oW9dwWvFgq6hs0/edit?usp=sharing"",""แพร่!M449"")"),365500)</f>
        <v>365500</v>
      </c>
      <c r="G24" s="64">
        <f ca="1">IFERROR(__xludf.DUMMYFUNCTION("IMPORTRANGE(""https://docs.google.com/spreadsheets/d/1gvTMYAnm7v1yG1BKWFtr0DnaTsq59oW9dwWvFgq6hs0/edit?usp=sharing"",""แพร่!M431"")"),0)</f>
        <v>0</v>
      </c>
      <c r="H24" s="58">
        <f t="shared" ca="1" si="23"/>
        <v>242465</v>
      </c>
      <c r="I24" s="59">
        <f t="shared" ca="1" si="1"/>
        <v>66.337893296853622</v>
      </c>
      <c r="J24" s="60">
        <f t="shared" ca="1" si="38"/>
        <v>242465</v>
      </c>
      <c r="K24" s="61">
        <f t="shared" ca="1" si="29"/>
        <v>66.337893296853622</v>
      </c>
      <c r="L24" s="61">
        <f t="shared" ca="1" si="30"/>
        <v>66.337893296853622</v>
      </c>
      <c r="M24" s="64">
        <f ca="1">IFERROR(__xludf.DUMMYFUNCTION("IMPORTRANGE(""https://docs.google.com/spreadsheets/d/1gvTMYAnm7v1yG1BKWFtr0DnaTsq59oW9dwWvFgq6hs0/edit?usp=sharing"",""แพร่!N450"")"),81930)</f>
        <v>81930</v>
      </c>
      <c r="N24" s="64">
        <f ca="1">IFERROR(__xludf.DUMMYFUNCTION("IMPORTRANGE(""https://docs.google.com/spreadsheets/d/1gvTMYAnm7v1yG1BKWFtr0DnaTsq59oW9dwWvFgq6hs0/edit?usp=sharing"",""แพร่!N451"")"),92800)</f>
        <v>92800</v>
      </c>
      <c r="O24" s="64">
        <f ca="1">IFERROR(__xludf.DUMMYFUNCTION("IMPORTRANGE(""https://docs.google.com/spreadsheets/d/1gvTMYAnm7v1yG1BKWFtr0DnaTsq59oW9dwWvFgq6hs0/edit?usp=sharing"",""แพร่!N452"")"),65000)</f>
        <v>65000</v>
      </c>
      <c r="P24" s="64">
        <f ca="1">IFERROR(__xludf.DUMMYFUNCTION("IMPORTRANGE(""https://docs.google.com/spreadsheets/d/1gvTMYAnm7v1yG1BKWFtr0DnaTsq59oW9dwWvFgq6hs0/edit?usp=sharing"",""แพร่!N453"")"),2735)</f>
        <v>2735</v>
      </c>
      <c r="Q24" s="62">
        <f ca="1">IFERROR(__xludf.DUMMYFUNCTION("IMPORTRANGE(""https://docs.google.com/spreadsheets/d/1gvTMYAnm7v1yG1BKWFtr0DnaTsq59oW9dwWvFgq6hs0/edit?usp=sharing"",""แพร่!N456"")"),0)</f>
        <v>0</v>
      </c>
      <c r="R24" s="62">
        <f t="shared" ca="1" si="32"/>
        <v>0</v>
      </c>
      <c r="S24" s="57">
        <f ca="1">IFERROR(__xludf.DUMMYFUNCTION("IMPORTRANGE(""https://docs.google.com/spreadsheets/d/1gvTMYAnm7v1yG1BKWFtr0DnaTsq59oW9dwWvFgq6hs0/edit?usp=sharing"",""แพร่!I458"")"),0)</f>
        <v>0</v>
      </c>
      <c r="T24" s="57">
        <f ca="1">IFERROR(__xludf.DUMMYFUNCTION("IMPORTRANGE(""https://docs.google.com/spreadsheets/d/1gvTMYAnm7v1yG1BKWFtr0DnaTsq59oW9dwWvFgq6hs0/edit?usp=sharing"",""แพร่!J458"")"),0)</f>
        <v>0</v>
      </c>
      <c r="U24" s="63">
        <f t="shared" ca="1" si="24"/>
        <v>0</v>
      </c>
      <c r="V24" s="57">
        <f ca="1">IFERROR(__xludf.DUMMYFUNCTION("IMPORTRANGE(""https://docs.google.com/spreadsheets/d/1gvTMYAnm7v1yG1BKWFtr0DnaTsq59oW9dwWvFgq6hs0/edit?usp=sharing"",""แพร่!I460"")"),55)</f>
        <v>55</v>
      </c>
      <c r="W24" s="57">
        <f ca="1">IFERROR(__xludf.DUMMYFUNCTION("IMPORTRANGE(""https://docs.google.com/spreadsheets/d/1gvTMYAnm7v1yG1BKWFtr0DnaTsq59oW9dwWvFgq6hs0/edit?usp=sharing"",""แพร่!J460"")"),55)</f>
        <v>55</v>
      </c>
      <c r="X24" s="63">
        <f t="shared" ca="1" si="25"/>
        <v>100</v>
      </c>
      <c r="Y24" s="57">
        <f ca="1">IFERROR(__xludf.DUMMYFUNCTION("IMPORTRANGE(""https://docs.google.com/spreadsheets/d/1gvTMYAnm7v1yG1BKWFtr0DnaTsq59oW9dwWvFgq6hs0/edit?usp=sharing"",""แพร่!I462"")"),110)</f>
        <v>110</v>
      </c>
      <c r="Z24" s="57">
        <f ca="1">IFERROR(__xludf.DUMMYFUNCTION("IMPORTRANGE(""https://docs.google.com/spreadsheets/d/1gvTMYAnm7v1yG1BKWFtr0DnaTsq59oW9dwWvFgq6hs0/edit?usp=sharing"",""แพร่!J462"")"),110)</f>
        <v>110</v>
      </c>
      <c r="AA24" s="63">
        <f t="shared" ca="1" si="26"/>
        <v>100</v>
      </c>
      <c r="AB24" s="57">
        <f ca="1">IFERROR(__xludf.DUMMYFUNCTION("IMPORTRANGE(""https://docs.google.com/spreadsheets/d/1gvTMYAnm7v1yG1BKWFtr0DnaTsq59oW9dwWvFgq6hs0/edit?usp=sharing"",""แพร่!I463"")"),110)</f>
        <v>110</v>
      </c>
      <c r="AC24" s="57">
        <f ca="1">IFERROR(__xludf.DUMMYFUNCTION("IMPORTRANGE(""https://docs.google.com/spreadsheets/d/1gvTMYAnm7v1yG1BKWFtr0DnaTsq59oW9dwWvFgq6hs0/edit?usp=sharing"",""แพร่!I464"")"),55)</f>
        <v>55</v>
      </c>
      <c r="AD24" s="57">
        <f ca="1">IFERROR(__xludf.DUMMYFUNCTION("IMPORTRANGE(""https://docs.google.com/spreadsheets/d/1gvTMYAnm7v1yG1BKWFtr0DnaTsq59oW9dwWvFgq6hs0/edit?usp=sharing"",""แพร่!J463"")"),110)</f>
        <v>110</v>
      </c>
      <c r="AE24" s="63">
        <f t="shared" ca="1" si="27"/>
        <v>100</v>
      </c>
      <c r="AF24" s="57">
        <f ca="1">IFERROR(__xludf.DUMMYFUNCTION("IMPORTRANGE(""https://docs.google.com/spreadsheets/d/1gvTMYAnm7v1yG1BKWFtr0DnaTsq59oW9dwWvFgq6hs0/edit?usp=sharing"",""แพร่!J464"")"),55)</f>
        <v>55</v>
      </c>
      <c r="AG24" s="63">
        <f t="shared" ca="1" si="13"/>
        <v>100</v>
      </c>
    </row>
    <row r="25" spans="1:33" ht="24" customHeight="1" x14ac:dyDescent="0.3">
      <c r="A25" s="54">
        <v>12</v>
      </c>
      <c r="B25" s="55" t="s">
        <v>46</v>
      </c>
      <c r="C25" s="56">
        <f t="shared" ca="1" si="37"/>
        <v>354800</v>
      </c>
      <c r="D25" s="57">
        <f ca="1">IFERROR(__xludf.DUMMYFUNCTION("IMPORTRANGE(""https://docs.google.com/spreadsheets/d/1Wbcosgy-Xa1xXUArJSOenub6EfZHUSzc_bpJFWwQUf0/edit?usp=sharing"",""แม่ฮ่องสอน!L449"")"),354800)</f>
        <v>354800</v>
      </c>
      <c r="E25" s="64">
        <f ca="1">IFERROR(__xludf.DUMMYFUNCTION("IMPORTRANGE(""https://docs.google.com/spreadsheets/d/1Wbcosgy-Xa1xXUArJSOenub6EfZHUSzc_bpJFWwQUf0/edit?usp=sharing"",""แม่ฮ่องสอน!L456"")"),0)</f>
        <v>0</v>
      </c>
      <c r="F25" s="64">
        <f ca="1">IFERROR(__xludf.DUMMYFUNCTION("IMPORTRANGE(""https://docs.google.com/spreadsheets/d/1Wbcosgy-Xa1xXUArJSOenub6EfZHUSzc_bpJFWwQUf0/edit?usp=sharing"",""แม่ฮ่องสอน!M449"")"),354800)</f>
        <v>354800</v>
      </c>
      <c r="G25" s="64">
        <f ca="1">IFERROR(__xludf.DUMMYFUNCTION("IMPORTRANGE(""https://docs.google.com/spreadsheets/d/1Wbcosgy-Xa1xXUArJSOenub6EfZHUSzc_bpJFWwQUf0/edit?usp=sharing"",""แม่ฮ่องสอน!M431"")"),0)</f>
        <v>0</v>
      </c>
      <c r="H25" s="58">
        <f t="shared" ca="1" si="23"/>
        <v>245417</v>
      </c>
      <c r="I25" s="59">
        <f t="shared" ca="1" si="1"/>
        <v>69.170518602029318</v>
      </c>
      <c r="J25" s="60">
        <f t="shared" ca="1" si="38"/>
        <v>245417</v>
      </c>
      <c r="K25" s="61">
        <f t="shared" ca="1" si="29"/>
        <v>69.170518602029318</v>
      </c>
      <c r="L25" s="61">
        <f t="shared" ca="1" si="30"/>
        <v>69.170518602029318</v>
      </c>
      <c r="M25" s="64">
        <f ca="1">IFERROR(__xludf.DUMMYFUNCTION("IMPORTRANGE(""https://docs.google.com/spreadsheets/d/1Wbcosgy-Xa1xXUArJSOenub6EfZHUSzc_bpJFWwQUf0/edit?usp=sharing"",""แม่ฮ่องสอน!N450"")"),66800)</f>
        <v>66800</v>
      </c>
      <c r="N25" s="64">
        <f ca="1">IFERROR(__xludf.DUMMYFUNCTION("IMPORTRANGE(""https://docs.google.com/spreadsheets/d/1Wbcosgy-Xa1xXUArJSOenub6EfZHUSzc_bpJFWwQUf0/edit?usp=sharing"",""แม่ฮ่องสอน!N451"")"),98000)</f>
        <v>98000</v>
      </c>
      <c r="O25" s="64">
        <f ca="1">IFERROR(__xludf.DUMMYFUNCTION("IMPORTRANGE(""https://docs.google.com/spreadsheets/d/1Wbcosgy-Xa1xXUArJSOenub6EfZHUSzc_bpJFWwQUf0/edit?usp=sharing"",""แม่ฮ่องสอน!N452"")"),48857)</f>
        <v>48857</v>
      </c>
      <c r="P25" s="64">
        <f ca="1">IFERROR(__xludf.DUMMYFUNCTION("IMPORTRANGE(""https://docs.google.com/spreadsheets/d/1Wbcosgy-Xa1xXUArJSOenub6EfZHUSzc_bpJFWwQUf0/edit?usp=sharing"",""แม่ฮ่องสอน!N453"")"),31760)</f>
        <v>31760</v>
      </c>
      <c r="Q25" s="62">
        <f ca="1">IFERROR(__xludf.DUMMYFUNCTION("IMPORTRANGE(""https://docs.google.com/spreadsheets/d/1Wbcosgy-Xa1xXUArJSOenub6EfZHUSzc_bpJFWwQUf0/edit?usp=sharing"",""แม่ฮ่องสอน!N456"")"),0)</f>
        <v>0</v>
      </c>
      <c r="R25" s="62">
        <f t="shared" ca="1" si="32"/>
        <v>0</v>
      </c>
      <c r="S25" s="57">
        <f ca="1">IFERROR(__xludf.DUMMYFUNCTION("IMPORTRANGE(""https://docs.google.com/spreadsheets/d/1Wbcosgy-Xa1xXUArJSOenub6EfZHUSzc_bpJFWwQUf0/edit?usp=sharing"",""แม่ฮ่องสอน!I458"")"),0)</f>
        <v>0</v>
      </c>
      <c r="T25" s="57">
        <f ca="1">IFERROR(__xludf.DUMMYFUNCTION("IMPORTRANGE(""https://docs.google.com/spreadsheets/d/1Wbcosgy-Xa1xXUArJSOenub6EfZHUSzc_bpJFWwQUf0/edit?usp=sharing"",""แม่ฮ่องสอน!J458"")"),0)</f>
        <v>0</v>
      </c>
      <c r="U25" s="63">
        <f t="shared" ca="1" si="24"/>
        <v>0</v>
      </c>
      <c r="V25" s="57">
        <f ca="1">IFERROR(__xludf.DUMMYFUNCTION("IMPORTRANGE(""https://docs.google.com/spreadsheets/d/1Wbcosgy-Xa1xXUArJSOenub6EfZHUSzc_bpJFWwQUf0/edit?usp=sharing"",""แม่ฮ่องสอน!I460"")"),50)</f>
        <v>50</v>
      </c>
      <c r="W25" s="57">
        <f ca="1">IFERROR(__xludf.DUMMYFUNCTION("IMPORTRANGE(""https://docs.google.com/spreadsheets/d/1Wbcosgy-Xa1xXUArJSOenub6EfZHUSzc_bpJFWwQUf0/edit?usp=sharing"",""แม่ฮ่องสอน!J460"")"),50)</f>
        <v>50</v>
      </c>
      <c r="X25" s="63">
        <f t="shared" ca="1" si="25"/>
        <v>100</v>
      </c>
      <c r="Y25" s="57">
        <f ca="1">IFERROR(__xludf.DUMMYFUNCTION("IMPORTRANGE(""https://docs.google.com/spreadsheets/d/1Wbcosgy-Xa1xXUArJSOenub6EfZHUSzc_bpJFWwQUf0/edit?usp=sharing"",""แม่ฮ่องสอน!I462"")"),110)</f>
        <v>110</v>
      </c>
      <c r="Z25" s="57">
        <f ca="1">IFERROR(__xludf.DUMMYFUNCTION("IMPORTRANGE(""https://docs.google.com/spreadsheets/d/1Wbcosgy-Xa1xXUArJSOenub6EfZHUSzc_bpJFWwQUf0/edit?usp=sharing"",""แม่ฮ่องสอน!J462"")"),110)</f>
        <v>110</v>
      </c>
      <c r="AA25" s="63">
        <f t="shared" ca="1" si="26"/>
        <v>100</v>
      </c>
      <c r="AB25" s="57">
        <f ca="1">IFERROR(__xludf.DUMMYFUNCTION("IMPORTRANGE(""https://docs.google.com/spreadsheets/d/1Wbcosgy-Xa1xXUArJSOenub6EfZHUSzc_bpJFWwQUf0/edit?usp=sharing"",""แม่ฮ่องสอน!I463"")"),110)</f>
        <v>110</v>
      </c>
      <c r="AC25" s="57">
        <f ca="1">IFERROR(__xludf.DUMMYFUNCTION("IMPORTRANGE(""https://docs.google.com/spreadsheets/d/1Wbcosgy-Xa1xXUArJSOenub6EfZHUSzc_bpJFWwQUf0/edit?usp=sharing"",""แม่ฮ่องสอน!I464"")"),50)</f>
        <v>50</v>
      </c>
      <c r="AD25" s="57">
        <f ca="1">IFERROR(__xludf.DUMMYFUNCTION("IMPORTRANGE(""https://docs.google.com/spreadsheets/d/1Wbcosgy-Xa1xXUArJSOenub6EfZHUSzc_bpJFWwQUf0/edit?usp=sharing"",""แม่ฮ่องสอน!J463"")"),110)</f>
        <v>110</v>
      </c>
      <c r="AE25" s="63">
        <f t="shared" ca="1" si="27"/>
        <v>100</v>
      </c>
      <c r="AF25" s="57">
        <f ca="1">IFERROR(__xludf.DUMMYFUNCTION("IMPORTRANGE(""https://docs.google.com/spreadsheets/d/1Wbcosgy-Xa1xXUArJSOenub6EfZHUSzc_bpJFWwQUf0/edit?usp=sharing"",""แม่ฮ่องสอน!J464"")"),50)</f>
        <v>50</v>
      </c>
      <c r="AG25" s="63">
        <f t="shared" ca="1" si="13"/>
        <v>100</v>
      </c>
    </row>
    <row r="26" spans="1:33" ht="24" customHeight="1" x14ac:dyDescent="0.3">
      <c r="A26" s="54">
        <v>13</v>
      </c>
      <c r="B26" s="55" t="s">
        <v>47</v>
      </c>
      <c r="C26" s="56">
        <f t="shared" ca="1" si="37"/>
        <v>128460</v>
      </c>
      <c r="D26" s="57">
        <f ca="1">IFERROR(__xludf.DUMMYFUNCTION("IMPORTRANGE(""https://docs.google.com/spreadsheets/d/1p7ERhsr0qZeSn-KSOdeHS9r0heI-lHtkcn2OH7hP0jQ/edit?usp=sharing"",""ลำปาง!L449"")"),128460)</f>
        <v>128460</v>
      </c>
      <c r="E26" s="64">
        <f ca="1">IFERROR(__xludf.DUMMYFUNCTION("IMPORTRANGE(""https://docs.google.com/spreadsheets/d/1p7ERhsr0qZeSn-KSOdeHS9r0heI-lHtkcn2OH7hP0jQ/edit?usp=sharing"",""ลำปาง!L456"")"),0)</f>
        <v>0</v>
      </c>
      <c r="F26" s="64">
        <f ca="1">IFERROR(__xludf.DUMMYFUNCTION("IMPORTRANGE(""https://docs.google.com/spreadsheets/d/1p7ERhsr0qZeSn-KSOdeHS9r0heI-lHtkcn2OH7hP0jQ/edit?usp=sharing"",""ลำปาง!M449"")"),128460)</f>
        <v>128460</v>
      </c>
      <c r="G26" s="64">
        <f ca="1">IFERROR(__xludf.DUMMYFUNCTION("IMPORTRANGE(""https://docs.google.com/spreadsheets/d/1p7ERhsr0qZeSn-KSOdeHS9r0heI-lHtkcn2OH7hP0jQ/edit?usp=sharing"",""ลำปาง!M431"")"),0)</f>
        <v>0</v>
      </c>
      <c r="H26" s="58">
        <f t="shared" ca="1" si="23"/>
        <v>34672</v>
      </c>
      <c r="I26" s="59">
        <f t="shared" ca="1" si="1"/>
        <v>26.990502880274015</v>
      </c>
      <c r="J26" s="60">
        <f t="shared" ca="1" si="38"/>
        <v>34672</v>
      </c>
      <c r="K26" s="61">
        <f t="shared" ca="1" si="29"/>
        <v>26.990502880274015</v>
      </c>
      <c r="L26" s="61">
        <f t="shared" ca="1" si="30"/>
        <v>26.990502880274015</v>
      </c>
      <c r="M26" s="64">
        <f ca="1">IFERROR(__xludf.DUMMYFUNCTION("IMPORTRANGE(""https://docs.google.com/spreadsheets/d/1p7ERhsr0qZeSn-KSOdeHS9r0heI-lHtkcn2OH7hP0jQ/edit?usp=sharing"",""ลำปาง!N450"")"),27532)</f>
        <v>27532</v>
      </c>
      <c r="N26" s="64">
        <f ca="1">IFERROR(__xludf.DUMMYFUNCTION("IMPORTRANGE(""https://docs.google.com/spreadsheets/d/1p7ERhsr0qZeSn-KSOdeHS9r0heI-lHtkcn2OH7hP0jQ/edit?usp=sharing"",""ลำปาง!N451"")"),0)</f>
        <v>0</v>
      </c>
      <c r="O26" s="64">
        <f ca="1">IFERROR(__xludf.DUMMYFUNCTION("IMPORTRANGE(""https://docs.google.com/spreadsheets/d/1p7ERhsr0qZeSn-KSOdeHS9r0heI-lHtkcn2OH7hP0jQ/edit?usp=sharing"",""ลำปาง!N452"")"),0)</f>
        <v>0</v>
      </c>
      <c r="P26" s="64">
        <f ca="1">IFERROR(__xludf.DUMMYFUNCTION("IMPORTRANGE(""https://docs.google.com/spreadsheets/d/1p7ERhsr0qZeSn-KSOdeHS9r0heI-lHtkcn2OH7hP0jQ/edit?usp=sharing"",""ลำปาง!N453"")"),7140)</f>
        <v>7140</v>
      </c>
      <c r="Q26" s="62">
        <f ca="1">IFERROR(__xludf.DUMMYFUNCTION("IMPORTRANGE(""https://docs.google.com/spreadsheets/d/1p7ERhsr0qZeSn-KSOdeHS9r0heI-lHtkcn2OH7hP0jQ/edit?usp=sharing"",""ลำปาง!N456"")"),0)</f>
        <v>0</v>
      </c>
      <c r="R26" s="62">
        <f t="shared" ca="1" si="32"/>
        <v>0</v>
      </c>
      <c r="S26" s="57">
        <f ca="1">IFERROR(__xludf.DUMMYFUNCTION("IMPORTRANGE(""https://docs.google.com/spreadsheets/d/1p7ERhsr0qZeSn-KSOdeHS9r0heI-lHtkcn2OH7hP0jQ/edit?usp=sharing"",""ลำปาง!I458"")"),0)</f>
        <v>0</v>
      </c>
      <c r="T26" s="57">
        <f ca="1">IFERROR(__xludf.DUMMYFUNCTION("IMPORTRANGE(""https://docs.google.com/spreadsheets/d/1p7ERhsr0qZeSn-KSOdeHS9r0heI-lHtkcn2OH7hP0jQ/edit?usp=sharing"",""ลำปาง!J458"")"),0)</f>
        <v>0</v>
      </c>
      <c r="U26" s="63">
        <f t="shared" ca="1" si="24"/>
        <v>0</v>
      </c>
      <c r="V26" s="57">
        <f ca="1">IFERROR(__xludf.DUMMYFUNCTION("IMPORTRANGE(""https://docs.google.com/spreadsheets/d/1p7ERhsr0qZeSn-KSOdeHS9r0heI-lHtkcn2OH7hP0jQ/edit?usp=sharing"",""ลำปาง!I460"")"),20)</f>
        <v>20</v>
      </c>
      <c r="W26" s="57">
        <f ca="1">IFERROR(__xludf.DUMMYFUNCTION("IMPORTRANGE(""https://docs.google.com/spreadsheets/d/1p7ERhsr0qZeSn-KSOdeHS9r0heI-lHtkcn2OH7hP0jQ/edit?usp=sharing"",""ลำปาง!J460"")"),20)</f>
        <v>20</v>
      </c>
      <c r="X26" s="63">
        <f t="shared" ca="1" si="25"/>
        <v>100</v>
      </c>
      <c r="Y26" s="57">
        <f ca="1">IFERROR(__xludf.DUMMYFUNCTION("IMPORTRANGE(""https://docs.google.com/spreadsheets/d/1p7ERhsr0qZeSn-KSOdeHS9r0heI-lHtkcn2OH7hP0jQ/edit?usp=sharing"",""ลำปาง!I462"")"),70)</f>
        <v>70</v>
      </c>
      <c r="Z26" s="57">
        <f ca="1">IFERROR(__xludf.DUMMYFUNCTION("IMPORTRANGE(""https://docs.google.com/spreadsheets/d/1p7ERhsr0qZeSn-KSOdeHS9r0heI-lHtkcn2OH7hP0jQ/edit?usp=sharing"",""ลำปาง!J462"")"),70)</f>
        <v>70</v>
      </c>
      <c r="AA26" s="63">
        <f t="shared" ca="1" si="26"/>
        <v>100</v>
      </c>
      <c r="AB26" s="57">
        <f ca="1">IFERROR(__xludf.DUMMYFUNCTION("IMPORTRANGE(""https://docs.google.com/spreadsheets/d/1p7ERhsr0qZeSn-KSOdeHS9r0heI-lHtkcn2OH7hP0jQ/edit?usp=sharing"",""ลำปาง!I463"")"),70)</f>
        <v>70</v>
      </c>
      <c r="AC26" s="57">
        <f ca="1">IFERROR(__xludf.DUMMYFUNCTION("IMPORTRANGE(""https://docs.google.com/spreadsheets/d/1p7ERhsr0qZeSn-KSOdeHS9r0heI-lHtkcn2OH7hP0jQ/edit?usp=sharing"",""ลำปาง!I464"")"),20)</f>
        <v>20</v>
      </c>
      <c r="AD26" s="57">
        <f ca="1">IFERROR(__xludf.DUMMYFUNCTION("IMPORTRANGE(""https://docs.google.com/spreadsheets/d/1p7ERhsr0qZeSn-KSOdeHS9r0heI-lHtkcn2OH7hP0jQ/edit?usp=sharing"",""ลำปาง!J463"")"),0)</f>
        <v>0</v>
      </c>
      <c r="AE26" s="63">
        <f t="shared" ca="1" si="27"/>
        <v>0</v>
      </c>
      <c r="AF26" s="57">
        <f ca="1">IFERROR(__xludf.DUMMYFUNCTION("IMPORTRANGE(""https://docs.google.com/spreadsheets/d/1p7ERhsr0qZeSn-KSOdeHS9r0heI-lHtkcn2OH7hP0jQ/edit?usp=sharing"",""ลำปาง!J464"")"),0)</f>
        <v>0</v>
      </c>
      <c r="AG26" s="63">
        <f t="shared" ca="1" si="13"/>
        <v>0</v>
      </c>
    </row>
    <row r="27" spans="1:33" ht="24" customHeight="1" x14ac:dyDescent="0.3">
      <c r="A27" s="54">
        <v>14</v>
      </c>
      <c r="B27" s="55" t="s">
        <v>48</v>
      </c>
      <c r="C27" s="56">
        <f t="shared" ca="1" si="37"/>
        <v>398000</v>
      </c>
      <c r="D27" s="57">
        <f ca="1">IFERROR(__xludf.DUMMYFUNCTION("IMPORTRANGE(""https://docs.google.com/spreadsheets/d/1-uUXvimVhiU2U0bMN-xi2te0tS4X7DI2GLPnMjzl8cA/edit?usp=sharing"",""ลำพูน!L449"")"),398000)</f>
        <v>398000</v>
      </c>
      <c r="E27" s="64">
        <f ca="1">IFERROR(__xludf.DUMMYFUNCTION("IMPORTRANGE(""https://docs.google.com/spreadsheets/d/1-uUXvimVhiU2U0bMN-xi2te0tS4X7DI2GLPnMjzl8cA/edit?usp=sharing"",""ลำพูน!L456"")"),0)</f>
        <v>0</v>
      </c>
      <c r="F27" s="64">
        <f ca="1">IFERROR(__xludf.DUMMYFUNCTION("IMPORTRANGE(""https://docs.google.com/spreadsheets/d/1-uUXvimVhiU2U0bMN-xi2te0tS4X7DI2GLPnMjzl8cA/edit?usp=sharing"",""ลำพูน!M449"")"),398000)</f>
        <v>398000</v>
      </c>
      <c r="G27" s="64">
        <f ca="1">IFERROR(__xludf.DUMMYFUNCTION("IMPORTRANGE(""https://docs.google.com/spreadsheets/d/1-uUXvimVhiU2U0bMN-xi2te0tS4X7DI2GLPnMjzl8cA/edit?usp=sharing"",""ลำพูน!M431"")"),0)</f>
        <v>0</v>
      </c>
      <c r="H27" s="58">
        <f t="shared" ca="1" si="23"/>
        <v>296700</v>
      </c>
      <c r="I27" s="59">
        <f t="shared" ca="1" si="1"/>
        <v>74.547738693467338</v>
      </c>
      <c r="J27" s="60">
        <f t="shared" ca="1" si="38"/>
        <v>296700</v>
      </c>
      <c r="K27" s="61">
        <f t="shared" ca="1" si="29"/>
        <v>74.547738693467338</v>
      </c>
      <c r="L27" s="61">
        <f t="shared" ca="1" si="30"/>
        <v>74.547738693467338</v>
      </c>
      <c r="M27" s="64">
        <f ca="1">IFERROR(__xludf.DUMMYFUNCTION("IMPORTRANGE(""https://docs.google.com/spreadsheets/d/1-uUXvimVhiU2U0bMN-xi2te0tS4X7DI2GLPnMjzl8cA/edit?usp=sharing"",""ลำพูน!N450"")"),54400)</f>
        <v>54400</v>
      </c>
      <c r="N27" s="64">
        <f ca="1">IFERROR(__xludf.DUMMYFUNCTION("IMPORTRANGE(""https://docs.google.com/spreadsheets/d/1-uUXvimVhiU2U0bMN-xi2te0tS4X7DI2GLPnMjzl8cA/edit?usp=sharing"",""ลำพูน!N451"")"),150000)</f>
        <v>150000</v>
      </c>
      <c r="O27" s="64">
        <f ca="1">IFERROR(__xludf.DUMMYFUNCTION("IMPORTRANGE(""https://docs.google.com/spreadsheets/d/1-uUXvimVhiU2U0bMN-xi2te0tS4X7DI2GLPnMjzl8cA/edit?usp=sharing"",""ลำพูน!N452"")"),65000)</f>
        <v>65000</v>
      </c>
      <c r="P27" s="64">
        <f ca="1">IFERROR(__xludf.DUMMYFUNCTION("IMPORTRANGE(""https://docs.google.com/spreadsheets/d/1-uUXvimVhiU2U0bMN-xi2te0tS4X7DI2GLPnMjzl8cA/edit?usp=sharing"",""ลำพูน!N453"")"),27300)</f>
        <v>27300</v>
      </c>
      <c r="Q27" s="62">
        <f ca="1">IFERROR(__xludf.DUMMYFUNCTION("IMPORTRANGE(""https://docs.google.com/spreadsheets/d/1-uUXvimVhiU2U0bMN-xi2te0tS4X7DI2GLPnMjzl8cA/edit?usp=sharing"",""ลำพูน!N456"")"),0)</f>
        <v>0</v>
      </c>
      <c r="R27" s="62">
        <f t="shared" ca="1" si="32"/>
        <v>0</v>
      </c>
      <c r="S27" s="57">
        <f ca="1">IFERROR(__xludf.DUMMYFUNCTION("IMPORTRANGE(""https://docs.google.com/spreadsheets/d/1-uUXvimVhiU2U0bMN-xi2te0tS4X7DI2GLPnMjzl8cA/edit?usp=sharing"",""ลำพูน!I458"")"),0)</f>
        <v>0</v>
      </c>
      <c r="T27" s="57">
        <f ca="1">IFERROR(__xludf.DUMMYFUNCTION("IMPORTRANGE(""https://docs.google.com/spreadsheets/d/1-uUXvimVhiU2U0bMN-xi2te0tS4X7DI2GLPnMjzl8cA/edit?usp=sharing"",""ลำพูน!J458"")"),0)</f>
        <v>0</v>
      </c>
      <c r="U27" s="63">
        <f t="shared" ca="1" si="24"/>
        <v>0</v>
      </c>
      <c r="V27" s="57">
        <f ca="1">IFERROR(__xludf.DUMMYFUNCTION("IMPORTRANGE(""https://docs.google.com/spreadsheets/d/1-uUXvimVhiU2U0bMN-xi2te0tS4X7DI2GLPnMjzl8cA/edit?usp=sharing"",""ลำพูน!I460"")"),40)</f>
        <v>40</v>
      </c>
      <c r="W27" s="57">
        <f ca="1">IFERROR(__xludf.DUMMYFUNCTION("IMPORTRANGE(""https://docs.google.com/spreadsheets/d/1-uUXvimVhiU2U0bMN-xi2te0tS4X7DI2GLPnMjzl8cA/edit?usp=sharing"",""ลำพูน!J460"")"),40)</f>
        <v>40</v>
      </c>
      <c r="X27" s="63">
        <f t="shared" ca="1" si="25"/>
        <v>100</v>
      </c>
      <c r="Y27" s="57">
        <f ca="1">IFERROR(__xludf.DUMMYFUNCTION("IMPORTRANGE(""https://docs.google.com/spreadsheets/d/1-uUXvimVhiU2U0bMN-xi2te0tS4X7DI2GLPnMjzl8cA/edit?usp=sharing"",""ลำพูน!I462"")"),150)</f>
        <v>150</v>
      </c>
      <c r="Z27" s="57">
        <f ca="1">IFERROR(__xludf.DUMMYFUNCTION("IMPORTRANGE(""https://docs.google.com/spreadsheets/d/1-uUXvimVhiU2U0bMN-xi2te0tS4X7DI2GLPnMjzl8cA/edit?usp=sharing"",""ลำพูน!J462"")"),150)</f>
        <v>150</v>
      </c>
      <c r="AA27" s="63">
        <f t="shared" ca="1" si="26"/>
        <v>100</v>
      </c>
      <c r="AB27" s="57">
        <f ca="1">IFERROR(__xludf.DUMMYFUNCTION("IMPORTRANGE(""https://docs.google.com/spreadsheets/d/1-uUXvimVhiU2U0bMN-xi2te0tS4X7DI2GLPnMjzl8cA/edit?usp=sharing"",""ลำพูน!I463"")"),150)</f>
        <v>150</v>
      </c>
      <c r="AC27" s="57">
        <f ca="1">IFERROR(__xludf.DUMMYFUNCTION("IMPORTRANGE(""https://docs.google.com/spreadsheets/d/1-uUXvimVhiU2U0bMN-xi2te0tS4X7DI2GLPnMjzl8cA/edit?usp=sharing"",""ลำพูน!I464"")"),40)</f>
        <v>40</v>
      </c>
      <c r="AD27" s="57">
        <f ca="1">IFERROR(__xludf.DUMMYFUNCTION("IMPORTRANGE(""https://docs.google.com/spreadsheets/d/1-uUXvimVhiU2U0bMN-xi2te0tS4X7DI2GLPnMjzl8cA/edit?usp=sharing"",""ลำพูน!J463"")"),150)</f>
        <v>150</v>
      </c>
      <c r="AE27" s="63">
        <f t="shared" ca="1" si="27"/>
        <v>100</v>
      </c>
      <c r="AF27" s="57">
        <f ca="1">IFERROR(__xludf.DUMMYFUNCTION("IMPORTRANGE(""https://docs.google.com/spreadsheets/d/1-uUXvimVhiU2U0bMN-xi2te0tS4X7DI2GLPnMjzl8cA/edit?usp=sharing"",""ลำพูน!J464"")"),40)</f>
        <v>40</v>
      </c>
      <c r="AG27" s="63">
        <f t="shared" ca="1" si="13"/>
        <v>100</v>
      </c>
    </row>
    <row r="28" spans="1:33" ht="24" customHeight="1" x14ac:dyDescent="0.3">
      <c r="A28" s="54">
        <v>15</v>
      </c>
      <c r="B28" s="55" t="s">
        <v>49</v>
      </c>
      <c r="C28" s="56">
        <f t="shared" ca="1" si="37"/>
        <v>757044</v>
      </c>
      <c r="D28" s="57">
        <f ca="1">IFERROR(__xludf.DUMMYFUNCTION("IMPORTRANGE(""https://docs.google.com/spreadsheets/d/17HrOaa5pBUI1onckFfumXB8xlg35qb2uBAFfF1D-Myo/edit?usp=sharing"",""สุโขทัย!L449"")"),757044)</f>
        <v>757044</v>
      </c>
      <c r="E28" s="64">
        <f ca="1">IFERROR(__xludf.DUMMYFUNCTION("IMPORTRANGE(""https://docs.google.com/spreadsheets/d/17HrOaa5pBUI1onckFfumXB8xlg35qb2uBAFfF1D-Myo/edit?usp=sharing"",""สุโขทัย!L456"")"),0)</f>
        <v>0</v>
      </c>
      <c r="F28" s="64">
        <f ca="1">IFERROR(__xludf.DUMMYFUNCTION("IMPORTRANGE(""https://docs.google.com/spreadsheets/d/17HrOaa5pBUI1onckFfumXB8xlg35qb2uBAFfF1D-Myo/edit?usp=sharing"",""สุโขทัย!M449"")"),750090)</f>
        <v>750090</v>
      </c>
      <c r="G28" s="64">
        <f ca="1">IFERROR(__xludf.DUMMYFUNCTION("IMPORTRANGE(""https://docs.google.com/spreadsheets/d/17HrOaa5pBUI1onckFfumXB8xlg35qb2uBAFfF1D-Myo/edit?usp=sharing"",""สุโขทัย!M431"")"),0)</f>
        <v>0</v>
      </c>
      <c r="H28" s="58">
        <f t="shared" ca="1" si="23"/>
        <v>255089.64</v>
      </c>
      <c r="I28" s="59">
        <f t="shared" ca="1" si="1"/>
        <v>33.695484014139204</v>
      </c>
      <c r="J28" s="60">
        <f t="shared" ca="1" si="38"/>
        <v>255089.64</v>
      </c>
      <c r="K28" s="61">
        <f t="shared" ca="1" si="29"/>
        <v>33.695484014139204</v>
      </c>
      <c r="L28" s="61">
        <f t="shared" ca="1" si="30"/>
        <v>34.007871055473345</v>
      </c>
      <c r="M28" s="64">
        <f ca="1">IFERROR(__xludf.DUMMYFUNCTION("IMPORTRANGE(""https://docs.google.com/spreadsheets/d/17HrOaa5pBUI1onckFfumXB8xlg35qb2uBAFfF1D-Myo/edit?usp=sharing"",""สุโขทัย!N450"")"),146775)</f>
        <v>146775</v>
      </c>
      <c r="N28" s="64">
        <f ca="1">IFERROR(__xludf.DUMMYFUNCTION("IMPORTRANGE(""https://docs.google.com/spreadsheets/d/17HrOaa5pBUI1onckFfumXB8xlg35qb2uBAFfF1D-Myo/edit?usp=sharing"",""สุโขทัย!N451"")"),0)</f>
        <v>0</v>
      </c>
      <c r="O28" s="64">
        <f ca="1">IFERROR(__xludf.DUMMYFUNCTION("IMPORTRANGE(""https://docs.google.com/spreadsheets/d/17HrOaa5pBUI1onckFfumXB8xlg35qb2uBAFfF1D-Myo/edit?usp=sharing"",""สุโขทัย!N452"")"),51580.64)</f>
        <v>51580.639999999999</v>
      </c>
      <c r="P28" s="64">
        <f ca="1">IFERROR(__xludf.DUMMYFUNCTION("IMPORTRANGE(""https://docs.google.com/spreadsheets/d/17HrOaa5pBUI1onckFfumXB8xlg35qb2uBAFfF1D-Myo/edit?usp=sharing"",""สุโขทัย!N453"")"),56734)</f>
        <v>56734</v>
      </c>
      <c r="Q28" s="62">
        <f ca="1">IFERROR(__xludf.DUMMYFUNCTION("IMPORTRANGE(""https://docs.google.com/spreadsheets/d/17HrOaa5pBUI1onckFfumXB8xlg35qb2uBAFfF1D-Myo/edit?usp=sharing"",""สุโขทัย!N456"")"),0)</f>
        <v>0</v>
      </c>
      <c r="R28" s="62">
        <f t="shared" ca="1" si="32"/>
        <v>0</v>
      </c>
      <c r="S28" s="57">
        <f ca="1">IFERROR(__xludf.DUMMYFUNCTION("IMPORTRANGE(""https://docs.google.com/spreadsheets/d/17HrOaa5pBUI1onckFfumXB8xlg35qb2uBAFfF1D-Myo/edit?usp=sharing"",""สุโขทัย!I458"")"),0)</f>
        <v>0</v>
      </c>
      <c r="T28" s="57">
        <f ca="1">IFERROR(__xludf.DUMMYFUNCTION("IMPORTRANGE(""https://docs.google.com/spreadsheets/d/17HrOaa5pBUI1onckFfumXB8xlg35qb2uBAFfF1D-Myo/edit?usp=sharing"",""สุโขทัย!J458"")"),0)</f>
        <v>0</v>
      </c>
      <c r="U28" s="63">
        <f t="shared" ca="1" si="24"/>
        <v>0</v>
      </c>
      <c r="V28" s="57">
        <f ca="1">IFERROR(__xludf.DUMMYFUNCTION("IMPORTRANGE(""https://docs.google.com/spreadsheets/d/17HrOaa5pBUI1onckFfumXB8xlg35qb2uBAFfF1D-Myo/edit?usp=sharing"",""สุโขทัย!I460"")"),115)</f>
        <v>115</v>
      </c>
      <c r="W28" s="57">
        <f ca="1">IFERROR(__xludf.DUMMYFUNCTION("IMPORTRANGE(""https://docs.google.com/spreadsheets/d/17HrOaa5pBUI1onckFfumXB8xlg35qb2uBAFfF1D-Myo/edit?usp=sharing"",""สุโขทัย!J460"")"),115)</f>
        <v>115</v>
      </c>
      <c r="X28" s="63">
        <f t="shared" ca="1" si="25"/>
        <v>100</v>
      </c>
      <c r="Y28" s="57">
        <f ca="1">IFERROR(__xludf.DUMMYFUNCTION("IMPORTRANGE(""https://docs.google.com/spreadsheets/d/17HrOaa5pBUI1onckFfumXB8xlg35qb2uBAFfF1D-Myo/edit?usp=sharing"",""สุโขทัย!I462"")"),360)</f>
        <v>360</v>
      </c>
      <c r="Z28" s="57">
        <f ca="1">IFERROR(__xludf.DUMMYFUNCTION("IMPORTRANGE(""https://docs.google.com/spreadsheets/d/17HrOaa5pBUI1onckFfumXB8xlg35qb2uBAFfF1D-Myo/edit?usp=sharing"",""สุโขทัย!J462"")"),360)</f>
        <v>360</v>
      </c>
      <c r="AA28" s="63">
        <f t="shared" ca="1" si="26"/>
        <v>100</v>
      </c>
      <c r="AB28" s="57">
        <f ca="1">IFERROR(__xludf.DUMMYFUNCTION("IMPORTRANGE(""https://docs.google.com/spreadsheets/d/17HrOaa5pBUI1onckFfumXB8xlg35qb2uBAFfF1D-Myo/edit?usp=sharing"",""สุโขทัย!I463"")"),360)</f>
        <v>360</v>
      </c>
      <c r="AC28" s="57">
        <f ca="1">IFERROR(__xludf.DUMMYFUNCTION("IMPORTRANGE(""https://docs.google.com/spreadsheets/d/17HrOaa5pBUI1onckFfumXB8xlg35qb2uBAFfF1D-Myo/edit?usp=sharing"",""สุโขทัย!I464"")"),115)</f>
        <v>115</v>
      </c>
      <c r="AD28" s="57">
        <f ca="1">IFERROR(__xludf.DUMMYFUNCTION("IMPORTRANGE(""https://docs.google.com/spreadsheets/d/17HrOaa5pBUI1onckFfumXB8xlg35qb2uBAFfF1D-Myo/edit?usp=sharing"",""สุโขทัย!J463"")"),0)</f>
        <v>0</v>
      </c>
      <c r="AE28" s="63">
        <f t="shared" ca="1" si="27"/>
        <v>0</v>
      </c>
      <c r="AF28" s="57">
        <f ca="1">IFERROR(__xludf.DUMMYFUNCTION("IMPORTRANGE(""https://docs.google.com/spreadsheets/d/17HrOaa5pBUI1onckFfumXB8xlg35qb2uBAFfF1D-Myo/edit?usp=sharing"",""สุโขทัย!J464"")"),0)</f>
        <v>0</v>
      </c>
      <c r="AG28" s="63">
        <f t="shared" ca="1" si="13"/>
        <v>0</v>
      </c>
    </row>
    <row r="29" spans="1:33" ht="24" customHeight="1" x14ac:dyDescent="0.3">
      <c r="A29" s="54">
        <v>16</v>
      </c>
      <c r="B29" s="55" t="s">
        <v>50</v>
      </c>
      <c r="C29" s="56">
        <f t="shared" ca="1" si="37"/>
        <v>137480</v>
      </c>
      <c r="D29" s="57">
        <f ca="1">IFERROR(__xludf.DUMMYFUNCTION("IMPORTRANGE(""https://docs.google.com/spreadsheets/d/1ubs5cl16eYL9gHbdHTJtmtYb9MGzHBs7CAphn8kNCgM/edit?usp=sharing"",""อุตรดิตถ์!L449"")"),137480)</f>
        <v>137480</v>
      </c>
      <c r="E29" s="64">
        <f ca="1">IFERROR(__xludf.DUMMYFUNCTION("IMPORTRANGE(""https://docs.google.com/spreadsheets/d/1ubs5cl16eYL9gHbdHTJtmtYb9MGzHBs7CAphn8kNCgM/edit?usp=sharing"",""อุตรดิตถ์!L456"")"),0)</f>
        <v>0</v>
      </c>
      <c r="F29" s="64">
        <f ca="1">IFERROR(__xludf.DUMMYFUNCTION("IMPORTRANGE(""https://docs.google.com/spreadsheets/d/1ubs5cl16eYL9gHbdHTJtmtYb9MGzHBs7CAphn8kNCgM/edit?usp=sharing"",""อุตรดิตถ์!M449"")"),137480)</f>
        <v>137480</v>
      </c>
      <c r="G29" s="64">
        <f ca="1">IFERROR(__xludf.DUMMYFUNCTION("IMPORTRANGE(""https://docs.google.com/spreadsheets/d/1ubs5cl16eYL9gHbdHTJtmtYb9MGzHBs7CAphn8kNCgM/edit?usp=sharing"",""อุตรดิตถ์!M431"")"),0)</f>
        <v>0</v>
      </c>
      <c r="H29" s="58">
        <f t="shared" ca="1" si="23"/>
        <v>62526.2</v>
      </c>
      <c r="I29" s="59">
        <f t="shared" ca="1" si="1"/>
        <v>45.480215304044222</v>
      </c>
      <c r="J29" s="60">
        <f t="shared" ca="1" si="38"/>
        <v>62526.2</v>
      </c>
      <c r="K29" s="61">
        <f t="shared" ca="1" si="29"/>
        <v>45.480215304044222</v>
      </c>
      <c r="L29" s="61">
        <f t="shared" ca="1" si="30"/>
        <v>45.480215304044222</v>
      </c>
      <c r="M29" s="64">
        <f ca="1">IFERROR(__xludf.DUMMYFUNCTION("IMPORTRANGE(""https://docs.google.com/spreadsheets/d/1ubs5cl16eYL9gHbdHTJtmtYb9MGzHBs7CAphn8kNCgM/edit?usp=sharing"",""อุตรดิตถ์!N450"")"),41540)</f>
        <v>41540</v>
      </c>
      <c r="N29" s="64">
        <f ca="1">IFERROR(__xludf.DUMMYFUNCTION("IMPORTRANGE(""https://docs.google.com/spreadsheets/d/1ubs5cl16eYL9gHbdHTJtmtYb9MGzHBs7CAphn8kNCgM/edit?usp=sharing"",""อุตรดิตถ์!N451"")"),0)</f>
        <v>0</v>
      </c>
      <c r="O29" s="64">
        <f ca="1">IFERROR(__xludf.DUMMYFUNCTION("IMPORTRANGE(""https://docs.google.com/spreadsheets/d/1ubs5cl16eYL9gHbdHTJtmtYb9MGzHBs7CAphn8kNCgM/edit?usp=sharing"",""อุตรดิตถ์!N452"")"),0)</f>
        <v>0</v>
      </c>
      <c r="P29" s="64">
        <f ca="1">IFERROR(__xludf.DUMMYFUNCTION("IMPORTRANGE(""https://docs.google.com/spreadsheets/d/1ubs5cl16eYL9gHbdHTJtmtYb9MGzHBs7CAphn8kNCgM/edit?usp=sharing"",""อุตรดิตถ์!N453"")"),20986.2)</f>
        <v>20986.2</v>
      </c>
      <c r="Q29" s="62">
        <f ca="1">IFERROR(__xludf.DUMMYFUNCTION("IMPORTRANGE(""https://docs.google.com/spreadsheets/d/1ubs5cl16eYL9gHbdHTJtmtYb9MGzHBs7CAphn8kNCgM/edit?usp=sharing"",""อุตรดิตถ์!N456"")"),0)</f>
        <v>0</v>
      </c>
      <c r="R29" s="62">
        <f t="shared" ca="1" si="32"/>
        <v>0</v>
      </c>
      <c r="S29" s="57">
        <f ca="1">IFERROR(__xludf.DUMMYFUNCTION("IMPORTRANGE(""https://docs.google.com/spreadsheets/d/1ubs5cl16eYL9gHbdHTJtmtYb9MGzHBs7CAphn8kNCgM/edit?usp=sharing"",""อุตรดิตถ์!I458"")"),0)</f>
        <v>0</v>
      </c>
      <c r="T29" s="57">
        <f ca="1">IFERROR(__xludf.DUMMYFUNCTION("IMPORTRANGE(""https://docs.google.com/spreadsheets/d/1ubs5cl16eYL9gHbdHTJtmtYb9MGzHBs7CAphn8kNCgM/edit?usp=sharing"",""อุตรดิตถ์!J458"")"),0)</f>
        <v>0</v>
      </c>
      <c r="U29" s="63">
        <f t="shared" ca="1" si="24"/>
        <v>0</v>
      </c>
      <c r="V29" s="57">
        <f ca="1">IFERROR(__xludf.DUMMYFUNCTION("IMPORTRANGE(""https://docs.google.com/spreadsheets/d/1ubs5cl16eYL9gHbdHTJtmtYb9MGzHBs7CAphn8kNCgM/edit?usp=sharing"",""อุตรดิตถ์!I460"")"),30)</f>
        <v>30</v>
      </c>
      <c r="W29" s="57">
        <f ca="1">IFERROR(__xludf.DUMMYFUNCTION("IMPORTRANGE(""https://docs.google.com/spreadsheets/d/1ubs5cl16eYL9gHbdHTJtmtYb9MGzHBs7CAphn8kNCgM/edit?usp=sharing"",""อุตรดิตถ์!J460"")"),30)</f>
        <v>30</v>
      </c>
      <c r="X29" s="63">
        <f t="shared" ca="1" si="25"/>
        <v>100</v>
      </c>
      <c r="Y29" s="57">
        <f ca="1">IFERROR(__xludf.DUMMYFUNCTION("IMPORTRANGE(""https://docs.google.com/spreadsheets/d/1ubs5cl16eYL9gHbdHTJtmtYb9MGzHBs7CAphn8kNCgM/edit?usp=sharing"",""อุตรดิตถ์!I462"")"),50)</f>
        <v>50</v>
      </c>
      <c r="Z29" s="57">
        <f ca="1">IFERROR(__xludf.DUMMYFUNCTION("IMPORTRANGE(""https://docs.google.com/spreadsheets/d/1ubs5cl16eYL9gHbdHTJtmtYb9MGzHBs7CAphn8kNCgM/edit?usp=sharing"",""อุตรดิตถ์!J462"")"),50)</f>
        <v>50</v>
      </c>
      <c r="AA29" s="63">
        <f t="shared" ca="1" si="26"/>
        <v>100</v>
      </c>
      <c r="AB29" s="57">
        <f ca="1">IFERROR(__xludf.DUMMYFUNCTION("IMPORTRANGE(""https://docs.google.com/spreadsheets/d/1ubs5cl16eYL9gHbdHTJtmtYb9MGzHBs7CAphn8kNCgM/edit?usp=sharing"",""อุตรดิตถ์!I463"")"),50)</f>
        <v>50</v>
      </c>
      <c r="AC29" s="57">
        <f ca="1">IFERROR(__xludf.DUMMYFUNCTION("IMPORTRANGE(""https://docs.google.com/spreadsheets/d/1ubs5cl16eYL9gHbdHTJtmtYb9MGzHBs7CAphn8kNCgM/edit?usp=sharing"",""อุตรดิตถ์!I464"")"),30)</f>
        <v>30</v>
      </c>
      <c r="AD29" s="57">
        <f ca="1">IFERROR(__xludf.DUMMYFUNCTION("IMPORTRANGE(""https://docs.google.com/spreadsheets/d/1ubs5cl16eYL9gHbdHTJtmtYb9MGzHBs7CAphn8kNCgM/edit?usp=sharing"",""อุตรดิตถ์!J463"")"),0)</f>
        <v>0</v>
      </c>
      <c r="AE29" s="63">
        <f t="shared" ca="1" si="27"/>
        <v>0</v>
      </c>
      <c r="AF29" s="57">
        <f ca="1">IFERROR(__xludf.DUMMYFUNCTION("IMPORTRANGE(""https://docs.google.com/spreadsheets/d/1ubs5cl16eYL9gHbdHTJtmtYb9MGzHBs7CAphn8kNCgM/edit?usp=sharing"",""อุตรดิตถ์!J464"")"),0)</f>
        <v>0</v>
      </c>
      <c r="AG29" s="63">
        <f t="shared" ca="1" si="13"/>
        <v>0</v>
      </c>
    </row>
    <row r="30" spans="1:33" ht="24" customHeight="1" x14ac:dyDescent="0.3">
      <c r="A30" s="65">
        <v>17</v>
      </c>
      <c r="B30" s="66" t="s">
        <v>51</v>
      </c>
      <c r="C30" s="67">
        <f t="shared" ca="1" si="37"/>
        <v>370600</v>
      </c>
      <c r="D30" s="68">
        <f ca="1">IFERROR(__xludf.DUMMYFUNCTION("IMPORTRANGE(""https://docs.google.com/spreadsheets/d/1kII0BjS6CtVrBvI8IrytgPdxDrlyQDyigzMsohRtDMs/edit?usp=sharing"",""อุทัยธานี!L449"")"),370600)</f>
        <v>370600</v>
      </c>
      <c r="E30" s="69">
        <f ca="1">IFERROR(__xludf.DUMMYFUNCTION("IMPORTRANGE(""https://docs.google.com/spreadsheets/d/1kII0BjS6CtVrBvI8IrytgPdxDrlyQDyigzMsohRtDMs/edit?usp=sharing"",""อุทัยธานี!L456"")"),0)</f>
        <v>0</v>
      </c>
      <c r="F30" s="69">
        <f ca="1">IFERROR(__xludf.DUMMYFUNCTION("IMPORTRANGE(""https://docs.google.com/spreadsheets/d/1kII0BjS6CtVrBvI8IrytgPdxDrlyQDyigzMsohRtDMs/edit?usp=sharing"",""อุทัยธานี!M449"")"),370600)</f>
        <v>370600</v>
      </c>
      <c r="G30" s="69">
        <f ca="1">IFERROR(__xludf.DUMMYFUNCTION("IMPORTRANGE(""https://docs.google.com/spreadsheets/d/1kII0BjS6CtVrBvI8IrytgPdxDrlyQDyigzMsohRtDMs/edit?usp=sharing"",""อุทัยธานี!M431"")"),0)</f>
        <v>0</v>
      </c>
      <c r="H30" s="70">
        <f t="shared" ca="1" si="23"/>
        <v>143195</v>
      </c>
      <c r="I30" s="71">
        <f t="shared" ca="1" si="1"/>
        <v>38.63869400971398</v>
      </c>
      <c r="J30" s="72">
        <f t="shared" ca="1" si="38"/>
        <v>143195</v>
      </c>
      <c r="K30" s="73">
        <f t="shared" ca="1" si="29"/>
        <v>38.63869400971398</v>
      </c>
      <c r="L30" s="73">
        <f t="shared" ca="1" si="30"/>
        <v>38.63869400971398</v>
      </c>
      <c r="M30" s="69">
        <f ca="1">IFERROR(__xludf.DUMMYFUNCTION("IMPORTRANGE(""https://docs.google.com/spreadsheets/d/1kII0BjS6CtVrBvI8IrytgPdxDrlyQDyigzMsohRtDMs/edit?usp=sharing"",""อุทัยธานี!N450"")"),56095)</f>
        <v>56095</v>
      </c>
      <c r="N30" s="69">
        <f ca="1">IFERROR(__xludf.DUMMYFUNCTION("IMPORTRANGE(""https://docs.google.com/spreadsheets/d/1kII0BjS6CtVrBvI8IrytgPdxDrlyQDyigzMsohRtDMs/edit?usp=sharing"",""อุทัยธานี!N451"")"),0)</f>
        <v>0</v>
      </c>
      <c r="O30" s="69">
        <f ca="1">IFERROR(__xludf.DUMMYFUNCTION("IMPORTRANGE(""https://docs.google.com/spreadsheets/d/1kII0BjS6CtVrBvI8IrytgPdxDrlyQDyigzMsohRtDMs/edit?usp=sharing"",""อุทัยธานี!N452"")"),65000)</f>
        <v>65000</v>
      </c>
      <c r="P30" s="69">
        <f ca="1">IFERROR(__xludf.DUMMYFUNCTION("IMPORTRANGE(""https://docs.google.com/spreadsheets/d/1kII0BjS6CtVrBvI8IrytgPdxDrlyQDyigzMsohRtDMs/edit?usp=sharing"",""อุทัยธานี!N453"")"),22100)</f>
        <v>22100</v>
      </c>
      <c r="Q30" s="74">
        <f ca="1">IFERROR(__xludf.DUMMYFUNCTION("IMPORTRANGE(""https://docs.google.com/spreadsheets/d/1kII0BjS6CtVrBvI8IrytgPdxDrlyQDyigzMsohRtDMs/edit?usp=sharing"",""อุทัยธานี!N456"")"),0)</f>
        <v>0</v>
      </c>
      <c r="R30" s="74">
        <f t="shared" ca="1" si="32"/>
        <v>0</v>
      </c>
      <c r="S30" s="68">
        <f ca="1">IFERROR(__xludf.DUMMYFUNCTION("IMPORTRANGE(""https://docs.google.com/spreadsheets/d/1kII0BjS6CtVrBvI8IrytgPdxDrlyQDyigzMsohRtDMs/edit?usp=sharing"",""อุทัยธานี!I458"")"),0)</f>
        <v>0</v>
      </c>
      <c r="T30" s="68">
        <f ca="1">IFERROR(__xludf.DUMMYFUNCTION("IMPORTRANGE(""https://docs.google.com/spreadsheets/d/1kII0BjS6CtVrBvI8IrytgPdxDrlyQDyigzMsohRtDMs/edit?usp=sharing"",""อุทัยธานี!J458"")"),0)</f>
        <v>0</v>
      </c>
      <c r="U30" s="75">
        <f t="shared" ca="1" si="24"/>
        <v>0</v>
      </c>
      <c r="V30" s="68">
        <f ca="1">IFERROR(__xludf.DUMMYFUNCTION("IMPORTRANGE(""https://docs.google.com/spreadsheets/d/1kII0BjS6CtVrBvI8IrytgPdxDrlyQDyigzMsohRtDMs/edit?usp=sharing"",""อุทัยธานี!I460"")"),60)</f>
        <v>60</v>
      </c>
      <c r="W30" s="68">
        <f ca="1">IFERROR(__xludf.DUMMYFUNCTION("IMPORTRANGE(""https://docs.google.com/spreadsheets/d/1kII0BjS6CtVrBvI8IrytgPdxDrlyQDyigzMsohRtDMs/edit?usp=sharing"",""อุทัยธานี!J460"")"),60)</f>
        <v>60</v>
      </c>
      <c r="X30" s="75">
        <f t="shared" ca="1" si="25"/>
        <v>100</v>
      </c>
      <c r="Y30" s="68">
        <f ca="1">IFERROR(__xludf.DUMMYFUNCTION("IMPORTRANGE(""https://docs.google.com/spreadsheets/d/1kII0BjS6CtVrBvI8IrytgPdxDrlyQDyigzMsohRtDMs/edit?usp=sharing"",""อุทัยธานี!I462"")"),100)</f>
        <v>100</v>
      </c>
      <c r="Z30" s="68">
        <f ca="1">IFERROR(__xludf.DUMMYFUNCTION("IMPORTRANGE(""https://docs.google.com/spreadsheets/d/1kII0BjS6CtVrBvI8IrytgPdxDrlyQDyigzMsohRtDMs/edit?usp=sharing"",""อุทัยธานี!J462"")"),100)</f>
        <v>100</v>
      </c>
      <c r="AA30" s="75">
        <f t="shared" ca="1" si="26"/>
        <v>100</v>
      </c>
      <c r="AB30" s="68">
        <f ca="1">IFERROR(__xludf.DUMMYFUNCTION("IMPORTRANGE(""https://docs.google.com/spreadsheets/d/1kII0BjS6CtVrBvI8IrytgPdxDrlyQDyigzMsohRtDMs/edit?usp=sharing"",""อุทัยธานี!I463"")"),100)</f>
        <v>100</v>
      </c>
      <c r="AC30" s="68">
        <f ca="1">IFERROR(__xludf.DUMMYFUNCTION("IMPORTRANGE(""https://docs.google.com/spreadsheets/d/1kII0BjS6CtVrBvI8IrytgPdxDrlyQDyigzMsohRtDMs/edit?usp=sharing"",""อุทัยธานี!I464"")"),60)</f>
        <v>60</v>
      </c>
      <c r="AD30" s="68">
        <f ca="1">IFERROR(__xludf.DUMMYFUNCTION("IMPORTRANGE(""https://docs.google.com/spreadsheets/d/1kII0BjS6CtVrBvI8IrytgPdxDrlyQDyigzMsohRtDMs/edit?usp=sharing"",""อุทัยธานี!J463"")"),0)</f>
        <v>0</v>
      </c>
      <c r="AE30" s="75">
        <f t="shared" ca="1" si="27"/>
        <v>0</v>
      </c>
      <c r="AF30" s="68">
        <f ca="1">IFERROR(__xludf.DUMMYFUNCTION("IMPORTRANGE(""https://docs.google.com/spreadsheets/d/1kII0BjS6CtVrBvI8IrytgPdxDrlyQDyigzMsohRtDMs/edit?usp=sharing"",""อุทัยธานี!J464"")"),60)</f>
        <v>60</v>
      </c>
      <c r="AG30" s="75">
        <f t="shared" ca="1" si="13"/>
        <v>100</v>
      </c>
    </row>
    <row r="31" spans="1:33" ht="21" customHeight="1" x14ac:dyDescent="0.3">
      <c r="A31" s="177" t="s">
        <v>52</v>
      </c>
      <c r="B31" s="178"/>
      <c r="C31" s="76">
        <f t="shared" ref="C31:G31" ca="1" si="39">SUM(C32:C51)</f>
        <v>9846828</v>
      </c>
      <c r="D31" s="34">
        <f t="shared" ca="1" si="39"/>
        <v>9846828</v>
      </c>
      <c r="E31" s="34">
        <f t="shared" ca="1" si="39"/>
        <v>0</v>
      </c>
      <c r="F31" s="34">
        <f t="shared" ca="1" si="39"/>
        <v>9830666</v>
      </c>
      <c r="G31" s="34">
        <f t="shared" ca="1" si="39"/>
        <v>0</v>
      </c>
      <c r="H31" s="34">
        <f t="shared" ca="1" si="23"/>
        <v>5782848.4000000004</v>
      </c>
      <c r="I31" s="35">
        <f t="shared" ca="1" si="1"/>
        <v>58.72803302748865</v>
      </c>
      <c r="J31" s="34">
        <f ca="1">SUM(J32:J51)</f>
        <v>5782848.4000000004</v>
      </c>
      <c r="K31" s="35">
        <f t="shared" ca="1" si="29"/>
        <v>58.72803302748865</v>
      </c>
      <c r="L31" s="35">
        <f t="shared" ca="1" si="30"/>
        <v>58.824584214335019</v>
      </c>
      <c r="M31" s="34">
        <f t="shared" ref="M31:Q31" ca="1" si="40">SUM(M32:M51)</f>
        <v>1580133</v>
      </c>
      <c r="N31" s="34">
        <f t="shared" ca="1" si="40"/>
        <v>2468288</v>
      </c>
      <c r="O31" s="34">
        <f t="shared" ca="1" si="40"/>
        <v>1131048.3999999999</v>
      </c>
      <c r="P31" s="34">
        <f t="shared" ca="1" si="40"/>
        <v>603379</v>
      </c>
      <c r="Q31" s="36">
        <f t="shared" ca="1" si="40"/>
        <v>0</v>
      </c>
      <c r="R31" s="36">
        <f t="shared" ca="1" si="32"/>
        <v>0</v>
      </c>
      <c r="S31" s="34">
        <f t="shared" ref="S31:T31" ca="1" si="41">SUM(S32:S51)</f>
        <v>0</v>
      </c>
      <c r="T31" s="34">
        <f t="shared" ca="1" si="41"/>
        <v>0</v>
      </c>
      <c r="U31" s="37">
        <f t="shared" ca="1" si="24"/>
        <v>0</v>
      </c>
      <c r="V31" s="34">
        <f t="shared" ref="V31:W31" ca="1" si="42">SUM(V32:V51)</f>
        <v>1355</v>
      </c>
      <c r="W31" s="34">
        <f t="shared" ca="1" si="42"/>
        <v>1320</v>
      </c>
      <c r="X31" s="37">
        <f t="shared" ca="1" si="25"/>
        <v>97.416974169741692</v>
      </c>
      <c r="Y31" s="34">
        <f t="shared" ref="Y31:Z31" ca="1" si="43">SUM(Y32:Y51)</f>
        <v>4780</v>
      </c>
      <c r="Z31" s="34">
        <f t="shared" ca="1" si="43"/>
        <v>4665</v>
      </c>
      <c r="AA31" s="37">
        <f t="shared" ca="1" si="26"/>
        <v>97.594142259414227</v>
      </c>
      <c r="AB31" s="34">
        <f t="shared" ref="AB31:AD31" ca="1" si="44">SUM(AB32:AB51)</f>
        <v>4780</v>
      </c>
      <c r="AC31" s="34">
        <f t="shared" ca="1" si="44"/>
        <v>1355</v>
      </c>
      <c r="AD31" s="34">
        <f t="shared" ca="1" si="44"/>
        <v>2750</v>
      </c>
      <c r="AE31" s="37">
        <f t="shared" ca="1" si="27"/>
        <v>57.531380753138073</v>
      </c>
      <c r="AF31" s="34">
        <f ca="1">SUM(AF32:AF51)</f>
        <v>670</v>
      </c>
      <c r="AG31" s="37">
        <f t="shared" ca="1" si="13"/>
        <v>49.446494464944649</v>
      </c>
    </row>
    <row r="32" spans="1:33" ht="21" customHeight="1" x14ac:dyDescent="0.3">
      <c r="A32" s="54">
        <v>1</v>
      </c>
      <c r="B32" s="55" t="s">
        <v>53</v>
      </c>
      <c r="C32" s="56">
        <f t="shared" ref="C32:C51" ca="1" si="45">D32+E32</f>
        <v>524600</v>
      </c>
      <c r="D32" s="57">
        <f ca="1">IFERROR(__xludf.DUMMYFUNCTION("IMPORTRANGE(""https://docs.google.com/spreadsheets/d/1fb2B9NLcpJgjIieIJvenUTNPn0TimZDUi0OtYeiSQ_s/edit?usp=sharing"",""กาฬสินธุ์!L449"")"),524600)</f>
        <v>524600</v>
      </c>
      <c r="E32" s="57">
        <f ca="1">IFERROR(__xludf.DUMMYFUNCTION("IMPORTRANGE(""https://docs.google.com/spreadsheets/d/1fb2B9NLcpJgjIieIJvenUTNPn0TimZDUi0OtYeiSQ_s/edit?usp=sharing"",""กาฬสินธุ์!L456"")"),0)</f>
        <v>0</v>
      </c>
      <c r="F32" s="57">
        <f ca="1">IFERROR(__xludf.DUMMYFUNCTION("IMPORTRANGE(""https://docs.google.com/spreadsheets/d/1fb2B9NLcpJgjIieIJvenUTNPn0TimZDUi0OtYeiSQ_s/edit?usp=sharing"",""กาฬสินธุ์!M449"")"),524600)</f>
        <v>524600</v>
      </c>
      <c r="G32" s="57">
        <f ca="1">IFERROR(__xludf.DUMMYFUNCTION("IMPORTRANGE(""https://docs.google.com/spreadsheets/d/1fb2B9NLcpJgjIieIJvenUTNPn0TimZDUi0OtYeiSQ_s/edit?usp=sharing"",""กาฬสินธุ์!M431"")"),0)</f>
        <v>0</v>
      </c>
      <c r="H32" s="58">
        <f t="shared" ca="1" si="23"/>
        <v>129485</v>
      </c>
      <c r="I32" s="59">
        <f t="shared" ca="1" si="1"/>
        <v>24.682615325962637</v>
      </c>
      <c r="J32" s="60">
        <f t="shared" ref="J32:J51" ca="1" si="46">M32+N32+O32+P32</f>
        <v>129485</v>
      </c>
      <c r="K32" s="61">
        <f t="shared" ca="1" si="29"/>
        <v>24.682615325962637</v>
      </c>
      <c r="L32" s="61">
        <f t="shared" ca="1" si="30"/>
        <v>24.682615325962637</v>
      </c>
      <c r="M32" s="57">
        <f ca="1">IFERROR(__xludf.DUMMYFUNCTION("IMPORTRANGE(""https://docs.google.com/spreadsheets/d/1fb2B9NLcpJgjIieIJvenUTNPn0TimZDUi0OtYeiSQ_s/edit?usp=sharing"",""กาฬสินธุ์!N450"")"),57165)</f>
        <v>57165</v>
      </c>
      <c r="N32" s="57">
        <f ca="1">IFERROR(__xludf.DUMMYFUNCTION("IMPORTRANGE(""https://docs.google.com/spreadsheets/d/1fb2B9NLcpJgjIieIJvenUTNPn0TimZDUi0OtYeiSQ_s/edit?usp=sharing"",""กาฬสินธุ์!N451"")"),0)</f>
        <v>0</v>
      </c>
      <c r="O32" s="57">
        <f ca="1">IFERROR(__xludf.DUMMYFUNCTION("IMPORTRANGE(""https://docs.google.com/spreadsheets/d/1fb2B9NLcpJgjIieIJvenUTNPn0TimZDUi0OtYeiSQ_s/edit?usp=sharing"",""กาฬสินธุ์!N452"")"),52000)</f>
        <v>52000</v>
      </c>
      <c r="P32" s="57">
        <f ca="1">IFERROR(__xludf.DUMMYFUNCTION("IMPORTRANGE(""https://docs.google.com/spreadsheets/d/1fb2B9NLcpJgjIieIJvenUTNPn0TimZDUi0OtYeiSQ_s/edit?usp=sharing"",""กาฬสินธุ์!N453"")"),20320)</f>
        <v>20320</v>
      </c>
      <c r="Q32" s="62">
        <f ca="1">IFERROR(__xludf.DUMMYFUNCTION("IMPORTRANGE(""https://docs.google.com/spreadsheets/d/1fb2B9NLcpJgjIieIJvenUTNPn0TimZDUi0OtYeiSQ_s/edit?usp=sharing"",""กาฬสินธุ์!N456"")"),0)</f>
        <v>0</v>
      </c>
      <c r="R32" s="62">
        <f t="shared" ca="1" si="32"/>
        <v>0</v>
      </c>
      <c r="S32" s="57">
        <f ca="1">IFERROR(__xludf.DUMMYFUNCTION("IMPORTRANGE(""https://docs.google.com/spreadsheets/d/1fb2B9NLcpJgjIieIJvenUTNPn0TimZDUi0OtYeiSQ_s/edit?usp=sharing"",""กาฬสินธุ์!I458"")"),0)</f>
        <v>0</v>
      </c>
      <c r="T32" s="57">
        <f ca="1">IFERROR(__xludf.DUMMYFUNCTION("IMPORTRANGE(""https://docs.google.com/spreadsheets/d/1fb2B9NLcpJgjIieIJvenUTNPn0TimZDUi0OtYeiSQ_s/edit?usp=sharing"",""กาฬสินธุ์!J458"")"),0)</f>
        <v>0</v>
      </c>
      <c r="U32" s="63">
        <f t="shared" ca="1" si="24"/>
        <v>0</v>
      </c>
      <c r="V32" s="57">
        <f ca="1">IFERROR(__xludf.DUMMYFUNCTION("IMPORTRANGE(""https://docs.google.com/spreadsheets/d/1fb2B9NLcpJgjIieIJvenUTNPn0TimZDUi0OtYeiSQ_s/edit?usp=sharing"",""กาฬสินธุ์!I460"")"),60)</f>
        <v>60</v>
      </c>
      <c r="W32" s="57">
        <f ca="1">IFERROR(__xludf.DUMMYFUNCTION("IMPORTRANGE(""https://docs.google.com/spreadsheets/d/1fb2B9NLcpJgjIieIJvenUTNPn0TimZDUi0OtYeiSQ_s/edit?usp=sharing"",""กาฬสินธุ์!J460"")"),60)</f>
        <v>60</v>
      </c>
      <c r="X32" s="63">
        <f t="shared" ca="1" si="25"/>
        <v>100</v>
      </c>
      <c r="Y32" s="57">
        <f ca="1">IFERROR(__xludf.DUMMYFUNCTION("IMPORTRANGE(""https://docs.google.com/spreadsheets/d/1fb2B9NLcpJgjIieIJvenUTNPn0TimZDUi0OtYeiSQ_s/edit?usp=sharing"",""กาฬสินธุ์!I462"")"),300)</f>
        <v>300</v>
      </c>
      <c r="Z32" s="57">
        <f ca="1">IFERROR(__xludf.DUMMYFUNCTION("IMPORTRANGE(""https://docs.google.com/spreadsheets/d/1fb2B9NLcpJgjIieIJvenUTNPn0TimZDUi0OtYeiSQ_s/edit?usp=sharing"",""กาฬสินธุ์!J462"")"),300)</f>
        <v>300</v>
      </c>
      <c r="AA32" s="63">
        <f t="shared" ca="1" si="26"/>
        <v>100</v>
      </c>
      <c r="AB32" s="57">
        <f ca="1">IFERROR(__xludf.DUMMYFUNCTION("IMPORTRANGE(""https://docs.google.com/spreadsheets/d/1fb2B9NLcpJgjIieIJvenUTNPn0TimZDUi0OtYeiSQ_s/edit?usp=sharing"",""กาฬสินธุ์!I463"")"),300)</f>
        <v>300</v>
      </c>
      <c r="AC32" s="57">
        <f ca="1">IFERROR(__xludf.DUMMYFUNCTION("IMPORTRANGE(""https://docs.google.com/spreadsheets/d/1fb2B9NLcpJgjIieIJvenUTNPn0TimZDUi0OtYeiSQ_s/edit?usp=sharing"",""กาฬสินธุ์!I464"")"),60)</f>
        <v>60</v>
      </c>
      <c r="AD32" s="57">
        <f ca="1">IFERROR(__xludf.DUMMYFUNCTION("IMPORTRANGE(""https://docs.google.com/spreadsheets/d/1fb2B9NLcpJgjIieIJvenUTNPn0TimZDUi0OtYeiSQ_s/edit?usp=sharing"",""กาฬสินธุ์!J463"")"),0)</f>
        <v>0</v>
      </c>
      <c r="AE32" s="63">
        <f t="shared" ca="1" si="27"/>
        <v>0</v>
      </c>
      <c r="AF32" s="57">
        <f ca="1">IFERROR(__xludf.DUMMYFUNCTION("IMPORTRANGE(""https://docs.google.com/spreadsheets/d/1fb2B9NLcpJgjIieIJvenUTNPn0TimZDUi0OtYeiSQ_s/edit?usp=sharing"",""กาฬสินธุ์!J464"")"),0)</f>
        <v>0</v>
      </c>
      <c r="AG32" s="63">
        <f t="shared" ca="1" si="13"/>
        <v>0</v>
      </c>
    </row>
    <row r="33" spans="1:33" ht="21" customHeight="1" x14ac:dyDescent="0.3">
      <c r="A33" s="54">
        <v>2</v>
      </c>
      <c r="B33" s="55" t="s">
        <v>54</v>
      </c>
      <c r="C33" s="56">
        <f t="shared" ca="1" si="45"/>
        <v>374350</v>
      </c>
      <c r="D33" s="57">
        <f ca="1">IFERROR(__xludf.DUMMYFUNCTION("IMPORTRANGE(""https://docs.google.com/spreadsheets/d/1SaMnqrwRGmFYNR0MhpWmHuL5niYUd5E7vDq8X7whAlI/edit?usp=sharing"",""ขอนแก่น!L449"")"),374350)</f>
        <v>374350</v>
      </c>
      <c r="E33" s="64">
        <f ca="1">IFERROR(__xludf.DUMMYFUNCTION("IMPORTRANGE(""https://docs.google.com/spreadsheets/d/1SaMnqrwRGmFYNR0MhpWmHuL5niYUd5E7vDq8X7whAlI/edit?usp=sharing"",""ขอนแก่น!L456"")"),0)</f>
        <v>0</v>
      </c>
      <c r="F33" s="64">
        <f ca="1">IFERROR(__xludf.DUMMYFUNCTION("IMPORTRANGE(""https://docs.google.com/spreadsheets/d/1SaMnqrwRGmFYNR0MhpWmHuL5niYUd5E7vDq8X7whAlI/edit?usp=sharing"",""ขอนแก่น!M449"")"),374350)</f>
        <v>374350</v>
      </c>
      <c r="G33" s="64">
        <f ca="1">IFERROR(__xludf.DUMMYFUNCTION("IMPORTRANGE(""https://docs.google.com/spreadsheets/d/1SaMnqrwRGmFYNR0MhpWmHuL5niYUd5E7vDq8X7whAlI/edit?usp=sharing"",""ขอนแก่น!M431"")"),0)</f>
        <v>0</v>
      </c>
      <c r="H33" s="58">
        <f t="shared" ca="1" si="23"/>
        <v>131437.49</v>
      </c>
      <c r="I33" s="59">
        <f t="shared" ca="1" si="1"/>
        <v>35.110856150661149</v>
      </c>
      <c r="J33" s="60">
        <f t="shared" ca="1" si="46"/>
        <v>131437.49</v>
      </c>
      <c r="K33" s="61">
        <f t="shared" ca="1" si="29"/>
        <v>35.110856150661149</v>
      </c>
      <c r="L33" s="61">
        <f t="shared" ca="1" si="30"/>
        <v>35.110856150661149</v>
      </c>
      <c r="M33" s="64">
        <f ca="1">IFERROR(__xludf.DUMMYFUNCTION("IMPORTRANGE(""https://docs.google.com/spreadsheets/d/1SaMnqrwRGmFYNR0MhpWmHuL5niYUd5E7vDq8X7whAlI/edit?usp=sharing"",""ขอนแก่น!N450"")"),30450)</f>
        <v>30450</v>
      </c>
      <c r="N33" s="64">
        <f ca="1">IFERROR(__xludf.DUMMYFUNCTION("IMPORTRANGE(""https://docs.google.com/spreadsheets/d/1SaMnqrwRGmFYNR0MhpWmHuL5niYUd5E7vDq8X7whAlI/edit?usp=sharing"",""ขอนแก่น!N451"")"),0)</f>
        <v>0</v>
      </c>
      <c r="O33" s="64">
        <f ca="1">IFERROR(__xludf.DUMMYFUNCTION("IMPORTRANGE(""https://docs.google.com/spreadsheets/d/1SaMnqrwRGmFYNR0MhpWmHuL5niYUd5E7vDq8X7whAlI/edit?usp=sharing"",""ขอนแก่น!N452"")"),61437.49)</f>
        <v>61437.49</v>
      </c>
      <c r="P33" s="64">
        <f ca="1">IFERROR(__xludf.DUMMYFUNCTION("IMPORTRANGE(""https://docs.google.com/spreadsheets/d/1SaMnqrwRGmFYNR0MhpWmHuL5niYUd5E7vDq8X7whAlI/edit?usp=sharing"",""ขอนแก่น!N453"")"),39550)</f>
        <v>39550</v>
      </c>
      <c r="Q33" s="62">
        <f ca="1">IFERROR(__xludf.DUMMYFUNCTION("IMPORTRANGE(""https://docs.google.com/spreadsheets/d/1SaMnqrwRGmFYNR0MhpWmHuL5niYUd5E7vDq8X7whAlI/edit?usp=sharing"",""ขอนแก่น!N456"")"),0)</f>
        <v>0</v>
      </c>
      <c r="R33" s="62">
        <f t="shared" ca="1" si="32"/>
        <v>0</v>
      </c>
      <c r="S33" s="57">
        <f ca="1">IFERROR(__xludf.DUMMYFUNCTION("IMPORTRANGE(""https://docs.google.com/spreadsheets/d/1SaMnqrwRGmFYNR0MhpWmHuL5niYUd5E7vDq8X7whAlI/edit?usp=sharing"",""ขอนแก่น!I458"")"),0)</f>
        <v>0</v>
      </c>
      <c r="T33" s="57">
        <f ca="1">IFERROR(__xludf.DUMMYFUNCTION("IMPORTRANGE(""https://docs.google.com/spreadsheets/d/1SaMnqrwRGmFYNR0MhpWmHuL5niYUd5E7vDq8X7whAlI/edit?usp=sharing"",""ขอนแก่น!J458"")"),0)</f>
        <v>0</v>
      </c>
      <c r="U33" s="63">
        <f t="shared" ca="1" si="24"/>
        <v>0</v>
      </c>
      <c r="V33" s="57">
        <f ca="1">IFERROR(__xludf.DUMMYFUNCTION("IMPORTRANGE(""https://docs.google.com/spreadsheets/d/1SaMnqrwRGmFYNR0MhpWmHuL5niYUd5E7vDq8X7whAlI/edit?usp=sharing"",""ขอนแก่น!I460"")"),55)</f>
        <v>55</v>
      </c>
      <c r="W33" s="57">
        <f ca="1">IFERROR(__xludf.DUMMYFUNCTION("IMPORTRANGE(""https://docs.google.com/spreadsheets/d/1SaMnqrwRGmFYNR0MhpWmHuL5niYUd5E7vDq8X7whAlI/edit?usp=sharing"",""ขอนแก่น!J460"")"),55)</f>
        <v>55</v>
      </c>
      <c r="X33" s="63">
        <f t="shared" ca="1" si="25"/>
        <v>100</v>
      </c>
      <c r="Y33" s="57">
        <f ca="1">IFERROR(__xludf.DUMMYFUNCTION("IMPORTRANGE(""https://docs.google.com/spreadsheets/d/1SaMnqrwRGmFYNR0MhpWmHuL5niYUd5E7vDq8X7whAlI/edit?usp=sharing"",""ขอนแก่น!I462"")"),95)</f>
        <v>95</v>
      </c>
      <c r="Z33" s="57">
        <f ca="1">IFERROR(__xludf.DUMMYFUNCTION("IMPORTRANGE(""https://docs.google.com/spreadsheets/d/1SaMnqrwRGmFYNR0MhpWmHuL5niYUd5E7vDq8X7whAlI/edit?usp=sharing"",""ขอนแก่น!J462"")"),95)</f>
        <v>95</v>
      </c>
      <c r="AA33" s="63">
        <f t="shared" ca="1" si="26"/>
        <v>100</v>
      </c>
      <c r="AB33" s="57">
        <f ca="1">IFERROR(__xludf.DUMMYFUNCTION("IMPORTRANGE(""https://docs.google.com/spreadsheets/d/1SaMnqrwRGmFYNR0MhpWmHuL5niYUd5E7vDq8X7whAlI/edit?usp=sharing"",""ขอนแก่น!I463"")"),95)</f>
        <v>95</v>
      </c>
      <c r="AC33" s="57">
        <f ca="1">IFERROR(__xludf.DUMMYFUNCTION("IMPORTRANGE(""https://docs.google.com/spreadsheets/d/1SaMnqrwRGmFYNR0MhpWmHuL5niYUd5E7vDq8X7whAlI/edit?usp=sharing"",""ขอนแก่น!I464"")"),55)</f>
        <v>55</v>
      </c>
      <c r="AD33" s="57">
        <f ca="1">IFERROR(__xludf.DUMMYFUNCTION("IMPORTRANGE(""https://docs.google.com/spreadsheets/d/1SaMnqrwRGmFYNR0MhpWmHuL5niYUd5E7vDq8X7whAlI/edit?usp=sharing"",""ขอนแก่น!J463"")"),0)</f>
        <v>0</v>
      </c>
      <c r="AE33" s="63">
        <f t="shared" ca="1" si="27"/>
        <v>0</v>
      </c>
      <c r="AF33" s="57">
        <f ca="1">IFERROR(__xludf.DUMMYFUNCTION("IMPORTRANGE(""https://docs.google.com/spreadsheets/d/1SaMnqrwRGmFYNR0MhpWmHuL5niYUd5E7vDq8X7whAlI/edit?usp=sharing"",""ขอนแก่น!J464"")"),0)</f>
        <v>0</v>
      </c>
      <c r="AG33" s="63">
        <f t="shared" ca="1" si="13"/>
        <v>0</v>
      </c>
    </row>
    <row r="34" spans="1:33" ht="21" customHeight="1" x14ac:dyDescent="0.3">
      <c r="A34" s="54">
        <v>3</v>
      </c>
      <c r="B34" s="55" t="s">
        <v>55</v>
      </c>
      <c r="C34" s="56">
        <f t="shared" ca="1" si="45"/>
        <v>0</v>
      </c>
      <c r="D34" s="57">
        <f ca="1">IFERROR(__xludf.DUMMYFUNCTION("IMPORTRANGE(""https://docs.google.com/spreadsheets/d/1xQzEtGHhTTgxHh6YUkKY1P4dRyjVhS74dGswLfAASA4/edit?usp=sharing"",""ชัยภูมิ!L449"")"),0)</f>
        <v>0</v>
      </c>
      <c r="E34" s="64">
        <f ca="1">IFERROR(__xludf.DUMMYFUNCTION("IMPORTRANGE(""https://docs.google.com/spreadsheets/d/1xQzEtGHhTTgxHh6YUkKY1P4dRyjVhS74dGswLfAASA4/edit?usp=sharing"",""ชัยภูมิ!L456"")"),0)</f>
        <v>0</v>
      </c>
      <c r="F34" s="64">
        <f ca="1">IFERROR(__xludf.DUMMYFUNCTION("IMPORTRANGE(""https://docs.google.com/spreadsheets/d/1xQzEtGHhTTgxHh6YUkKY1P4dRyjVhS74dGswLfAASA4/edit?usp=sharing"",""ชัยภูมิ!M449"")"),0)</f>
        <v>0</v>
      </c>
      <c r="G34" s="64">
        <f ca="1">IFERROR(__xludf.DUMMYFUNCTION("IMPORTRANGE(""https://docs.google.com/spreadsheets/d/1xQzEtGHhTTgxHh6YUkKY1P4dRyjVhS74dGswLfAASA4/edit?usp=sharing"",""ชัยภูมิ!M431"")"),0)</f>
        <v>0</v>
      </c>
      <c r="H34" s="58">
        <f t="shared" ca="1" si="23"/>
        <v>0</v>
      </c>
      <c r="I34" s="59">
        <f t="shared" ca="1" si="1"/>
        <v>0</v>
      </c>
      <c r="J34" s="60">
        <f t="shared" ca="1" si="46"/>
        <v>0</v>
      </c>
      <c r="K34" s="61">
        <f t="shared" ca="1" si="29"/>
        <v>0</v>
      </c>
      <c r="L34" s="61">
        <f t="shared" ca="1" si="30"/>
        <v>0</v>
      </c>
      <c r="M34" s="64">
        <f ca="1">IFERROR(__xludf.DUMMYFUNCTION("IMPORTRANGE(""https://docs.google.com/spreadsheets/d/1xQzEtGHhTTgxHh6YUkKY1P4dRyjVhS74dGswLfAASA4/edit?usp=sharing"",""ชัยภูมิ!N450"")"),0)</f>
        <v>0</v>
      </c>
      <c r="N34" s="64">
        <f ca="1">IFERROR(__xludf.DUMMYFUNCTION("IMPORTRANGE(""https://docs.google.com/spreadsheets/d/1xQzEtGHhTTgxHh6YUkKY1P4dRyjVhS74dGswLfAASA4/edit?usp=sharing"",""ชัยภูมิ!N451"")"),0)</f>
        <v>0</v>
      </c>
      <c r="O34" s="64">
        <f ca="1">IFERROR(__xludf.DUMMYFUNCTION("IMPORTRANGE(""https://docs.google.com/spreadsheets/d/1xQzEtGHhTTgxHh6YUkKY1P4dRyjVhS74dGswLfAASA4/edit?usp=sharing"",""ชัยภูมิ!N452"")"),0)</f>
        <v>0</v>
      </c>
      <c r="P34" s="64">
        <f ca="1">IFERROR(__xludf.DUMMYFUNCTION("IMPORTRANGE(""https://docs.google.com/spreadsheets/d/1xQzEtGHhTTgxHh6YUkKY1P4dRyjVhS74dGswLfAASA4/edit?usp=sharing"",""ชัยภูมิ!N453"")"),0)</f>
        <v>0</v>
      </c>
      <c r="Q34" s="62">
        <f ca="1">IFERROR(__xludf.DUMMYFUNCTION("IMPORTRANGE(""https://docs.google.com/spreadsheets/d/1xQzEtGHhTTgxHh6YUkKY1P4dRyjVhS74dGswLfAASA4/edit?usp=sharing"",""ชัยภูมิ!N456"")"),0)</f>
        <v>0</v>
      </c>
      <c r="R34" s="62">
        <f t="shared" ca="1" si="32"/>
        <v>0</v>
      </c>
      <c r="S34" s="57">
        <f ca="1">IFERROR(__xludf.DUMMYFUNCTION("IMPORTRANGE(""https://docs.google.com/spreadsheets/d/1xQzEtGHhTTgxHh6YUkKY1P4dRyjVhS74dGswLfAASA4/edit?usp=sharing"",""ชัยภูมิ!I458"")"),0)</f>
        <v>0</v>
      </c>
      <c r="T34" s="57">
        <f ca="1">IFERROR(__xludf.DUMMYFUNCTION("IMPORTRANGE(""https://docs.google.com/spreadsheets/d/1xQzEtGHhTTgxHh6YUkKY1P4dRyjVhS74dGswLfAASA4/edit?usp=sharing"",""ชัยภูมิ!J458"")"),0)</f>
        <v>0</v>
      </c>
      <c r="U34" s="63">
        <f t="shared" ca="1" si="24"/>
        <v>0</v>
      </c>
      <c r="V34" s="57">
        <f ca="1">IFERROR(__xludf.DUMMYFUNCTION("IMPORTRANGE(""https://docs.google.com/spreadsheets/d/1xQzEtGHhTTgxHh6YUkKY1P4dRyjVhS74dGswLfAASA4/edit?usp=sharing"",""ชัยภูมิ!I460"")"),0)</f>
        <v>0</v>
      </c>
      <c r="W34" s="57">
        <f ca="1">IFERROR(__xludf.DUMMYFUNCTION("IMPORTRANGE(""https://docs.google.com/spreadsheets/d/1xQzEtGHhTTgxHh6YUkKY1P4dRyjVhS74dGswLfAASA4/edit?usp=sharing"",""ชัยภูมิ!J460"")"),0)</f>
        <v>0</v>
      </c>
      <c r="X34" s="63">
        <f t="shared" ca="1" si="25"/>
        <v>0</v>
      </c>
      <c r="Y34" s="57">
        <f ca="1">IFERROR(__xludf.DUMMYFUNCTION("IMPORTRANGE(""https://docs.google.com/spreadsheets/d/1xQzEtGHhTTgxHh6YUkKY1P4dRyjVhS74dGswLfAASA4/edit?usp=sharing"",""ชัยภูมิ!I462"")"),0)</f>
        <v>0</v>
      </c>
      <c r="Z34" s="57">
        <f ca="1">IFERROR(__xludf.DUMMYFUNCTION("IMPORTRANGE(""https://docs.google.com/spreadsheets/d/1xQzEtGHhTTgxHh6YUkKY1P4dRyjVhS74dGswLfAASA4/edit?usp=sharing"",""ชัยภูมิ!J462"")"),0)</f>
        <v>0</v>
      </c>
      <c r="AA34" s="63">
        <f t="shared" ca="1" si="26"/>
        <v>0</v>
      </c>
      <c r="AB34" s="57">
        <f ca="1">IFERROR(__xludf.DUMMYFUNCTION("IMPORTRANGE(""https://docs.google.com/spreadsheets/d/1xQzEtGHhTTgxHh6YUkKY1P4dRyjVhS74dGswLfAASA4/edit?usp=sharing"",""ชัยภูมิ!I463"")"),0)</f>
        <v>0</v>
      </c>
      <c r="AC34" s="57">
        <f ca="1">IFERROR(__xludf.DUMMYFUNCTION("IMPORTRANGE(""https://docs.google.com/spreadsheets/d/1xQzEtGHhTTgxHh6YUkKY1P4dRyjVhS74dGswLfAASA4/edit?usp=sharing"",""ชัยภูมิ!I464"")"),0)</f>
        <v>0</v>
      </c>
      <c r="AD34" s="57">
        <f ca="1">IFERROR(__xludf.DUMMYFUNCTION("IMPORTRANGE(""https://docs.google.com/spreadsheets/d/1xQzEtGHhTTgxHh6YUkKY1P4dRyjVhS74dGswLfAASA4/edit?usp=sharing"",""ชัยภูมิ!J463"")"),0)</f>
        <v>0</v>
      </c>
      <c r="AE34" s="63">
        <f t="shared" ca="1" si="27"/>
        <v>0</v>
      </c>
      <c r="AF34" s="57">
        <f ca="1">IFERROR(__xludf.DUMMYFUNCTION("IMPORTRANGE(""https://docs.google.com/spreadsheets/d/1xQzEtGHhTTgxHh6YUkKY1P4dRyjVhS74dGswLfAASA4/edit?usp=sharing"",""ชัยภูมิ!J464"")"),0)</f>
        <v>0</v>
      </c>
      <c r="AG34" s="63">
        <f t="shared" ca="1" si="13"/>
        <v>0</v>
      </c>
    </row>
    <row r="35" spans="1:33" ht="21" customHeight="1" x14ac:dyDescent="0.3">
      <c r="A35" s="54">
        <v>4</v>
      </c>
      <c r="B35" s="55" t="s">
        <v>56</v>
      </c>
      <c r="C35" s="56">
        <f t="shared" ca="1" si="45"/>
        <v>312680</v>
      </c>
      <c r="D35" s="57">
        <f ca="1">IFERROR(__xludf.DUMMYFUNCTION("IMPORTRANGE(""https://docs.google.com/spreadsheets/d/1EXMBoBxU3OFbjT2TRpneM33qFjqDzrKmn9ydcflfI0o/edit?usp=sharing"",""นครพนม!L449"")"),312680)</f>
        <v>312680</v>
      </c>
      <c r="E35" s="64">
        <f ca="1">IFERROR(__xludf.DUMMYFUNCTION("IMPORTRANGE(""https://docs.google.com/spreadsheets/d/1EXMBoBxU3OFbjT2TRpneM33qFjqDzrKmn9ydcflfI0o/edit?usp=sharing"",""นครพนม!L456"")"),0)</f>
        <v>0</v>
      </c>
      <c r="F35" s="64">
        <f ca="1">IFERROR(__xludf.DUMMYFUNCTION("IMPORTRANGE(""https://docs.google.com/spreadsheets/d/1EXMBoBxU3OFbjT2TRpneM33qFjqDzrKmn9ydcflfI0o/edit?usp=sharing"",""นครพนม!M449"")"),312680)</f>
        <v>312680</v>
      </c>
      <c r="G35" s="64">
        <f ca="1">IFERROR(__xludf.DUMMYFUNCTION("IMPORTRANGE(""https://docs.google.com/spreadsheets/d/1EXMBoBxU3OFbjT2TRpneM33qFjqDzrKmn9ydcflfI0o/edit?usp=sharing"",""นครพนม!M431"")"),0)</f>
        <v>0</v>
      </c>
      <c r="H35" s="58">
        <f t="shared" ca="1" si="23"/>
        <v>121690.65</v>
      </c>
      <c r="I35" s="59">
        <f t="shared" ca="1" si="1"/>
        <v>38.91859089164641</v>
      </c>
      <c r="J35" s="60">
        <f t="shared" ca="1" si="46"/>
        <v>121690.65</v>
      </c>
      <c r="K35" s="61">
        <f t="shared" ca="1" si="29"/>
        <v>38.91859089164641</v>
      </c>
      <c r="L35" s="61">
        <f t="shared" ca="1" si="30"/>
        <v>38.91859089164641</v>
      </c>
      <c r="M35" s="64">
        <f ca="1">IFERROR(__xludf.DUMMYFUNCTION("IMPORTRANGE(""https://docs.google.com/spreadsheets/d/1EXMBoBxU3OFbjT2TRpneM33qFjqDzrKmn9ydcflfI0o/edit?usp=sharing"",""นครพนม!N450"")"),20010)</f>
        <v>20010</v>
      </c>
      <c r="N35" s="64">
        <f ca="1">IFERROR(__xludf.DUMMYFUNCTION("IMPORTRANGE(""https://docs.google.com/spreadsheets/d/1EXMBoBxU3OFbjT2TRpneM33qFjqDzrKmn9ydcflfI0o/edit?usp=sharing"",""นครพนม!N451"")"),24100)</f>
        <v>24100</v>
      </c>
      <c r="O35" s="64">
        <f ca="1">IFERROR(__xludf.DUMMYFUNCTION("IMPORTRANGE(""https://docs.google.com/spreadsheets/d/1EXMBoBxU3OFbjT2TRpneM33qFjqDzrKmn9ydcflfI0o/edit?usp=sharing"",""นครพนม!N452"")"),77580.65)</f>
        <v>77580.649999999994</v>
      </c>
      <c r="P35" s="64">
        <f ca="1">IFERROR(__xludf.DUMMYFUNCTION("IMPORTRANGE(""https://docs.google.com/spreadsheets/d/1EXMBoBxU3OFbjT2TRpneM33qFjqDzrKmn9ydcflfI0o/edit?usp=sharing"",""นครพนม!N453"")"),0)</f>
        <v>0</v>
      </c>
      <c r="Q35" s="62">
        <f ca="1">IFERROR(__xludf.DUMMYFUNCTION("IMPORTRANGE(""https://docs.google.com/spreadsheets/d/1EXMBoBxU3OFbjT2TRpneM33qFjqDzrKmn9ydcflfI0o/edit?usp=sharing"",""นครพนม!N456"")"),0)</f>
        <v>0</v>
      </c>
      <c r="R35" s="62">
        <f t="shared" ca="1" si="32"/>
        <v>0</v>
      </c>
      <c r="S35" s="57">
        <f ca="1">IFERROR(__xludf.DUMMYFUNCTION("IMPORTRANGE(""https://docs.google.com/spreadsheets/d/1EXMBoBxU3OFbjT2TRpneM33qFjqDzrKmn9ydcflfI0o/edit?usp=sharing"",""นครพนม!I458"")"),0)</f>
        <v>0</v>
      </c>
      <c r="T35" s="57">
        <f ca="1">IFERROR(__xludf.DUMMYFUNCTION("IMPORTRANGE(""https://docs.google.com/spreadsheets/d/1EXMBoBxU3OFbjT2TRpneM33qFjqDzrKmn9ydcflfI0o/edit?usp=sharing"",""นครพนม!J458"")"),0)</f>
        <v>0</v>
      </c>
      <c r="U35" s="63">
        <f t="shared" ca="1" si="24"/>
        <v>0</v>
      </c>
      <c r="V35" s="57">
        <f ca="1">IFERROR(__xludf.DUMMYFUNCTION("IMPORTRANGE(""https://docs.google.com/spreadsheets/d/1EXMBoBxU3OFbjT2TRpneM33qFjqDzrKmn9ydcflfI0o/edit?usp=sharing"",""นครพนม!I460"")"),40)</f>
        <v>40</v>
      </c>
      <c r="W35" s="57">
        <f ca="1">IFERROR(__xludf.DUMMYFUNCTION("IMPORTRANGE(""https://docs.google.com/spreadsheets/d/1EXMBoBxU3OFbjT2TRpneM33qFjqDzrKmn9ydcflfI0o/edit?usp=sharing"",""นครพนม!J460"")"),40)</f>
        <v>40</v>
      </c>
      <c r="X35" s="63">
        <f t="shared" ca="1" si="25"/>
        <v>100</v>
      </c>
      <c r="Y35" s="57">
        <f ca="1">IFERROR(__xludf.DUMMYFUNCTION("IMPORTRANGE(""https://docs.google.com/spreadsheets/d/1EXMBoBxU3OFbjT2TRpneM33qFjqDzrKmn9ydcflfI0o/edit?usp=sharing"",""นครพนม!I462"")"),80)</f>
        <v>80</v>
      </c>
      <c r="Z35" s="57">
        <f ca="1">IFERROR(__xludf.DUMMYFUNCTION("IMPORTRANGE(""https://docs.google.com/spreadsheets/d/1EXMBoBxU3OFbjT2TRpneM33qFjqDzrKmn9ydcflfI0o/edit?usp=sharing"",""นครพนม!J462"")"),80)</f>
        <v>80</v>
      </c>
      <c r="AA35" s="63">
        <f t="shared" ca="1" si="26"/>
        <v>100</v>
      </c>
      <c r="AB35" s="57">
        <f ca="1">IFERROR(__xludf.DUMMYFUNCTION("IMPORTRANGE(""https://docs.google.com/spreadsheets/d/1EXMBoBxU3OFbjT2TRpneM33qFjqDzrKmn9ydcflfI0o/edit?usp=sharing"",""นครพนม!I463"")"),80)</f>
        <v>80</v>
      </c>
      <c r="AC35" s="57">
        <f ca="1">IFERROR(__xludf.DUMMYFUNCTION("IMPORTRANGE(""https://docs.google.com/spreadsheets/d/1EXMBoBxU3OFbjT2TRpneM33qFjqDzrKmn9ydcflfI0o/edit?usp=sharing"",""นครพนม!I464"")"),40)</f>
        <v>40</v>
      </c>
      <c r="AD35" s="57">
        <f ca="1">IFERROR(__xludf.DUMMYFUNCTION("IMPORTRANGE(""https://docs.google.com/spreadsheets/d/1EXMBoBxU3OFbjT2TRpneM33qFjqDzrKmn9ydcflfI0o/edit?usp=sharing"",""นครพนม!J463"")"),0)</f>
        <v>0</v>
      </c>
      <c r="AE35" s="63">
        <f t="shared" ca="1" si="27"/>
        <v>0</v>
      </c>
      <c r="AF35" s="57">
        <f ca="1">IFERROR(__xludf.DUMMYFUNCTION("IMPORTRANGE(""https://docs.google.com/spreadsheets/d/1EXMBoBxU3OFbjT2TRpneM33qFjqDzrKmn9ydcflfI0o/edit?usp=sharing"",""นครพนม!J464"")"),0)</f>
        <v>0</v>
      </c>
      <c r="AG35" s="63">
        <f t="shared" ca="1" si="13"/>
        <v>0</v>
      </c>
    </row>
    <row r="36" spans="1:33" ht="21" customHeight="1" x14ac:dyDescent="0.3">
      <c r="A36" s="54">
        <v>5</v>
      </c>
      <c r="B36" s="55" t="s">
        <v>57</v>
      </c>
      <c r="C36" s="56">
        <f t="shared" ca="1" si="45"/>
        <v>444200</v>
      </c>
      <c r="D36" s="57">
        <f ca="1">IFERROR(__xludf.DUMMYFUNCTION("IMPORTRANGE(""https://docs.google.com/spreadsheets/d/1bDQrolntRWtHumK8W-x-HXKntwxB9S3sF5aDeRS66Ko/edit?usp=sharing"",""นครราชสีมา!L449"")"),444200)</f>
        <v>444200</v>
      </c>
      <c r="E36" s="64">
        <f ca="1">IFERROR(__xludf.DUMMYFUNCTION("IMPORTRANGE(""https://docs.google.com/spreadsheets/d/1bDQrolntRWtHumK8W-x-HXKntwxB9S3sF5aDeRS66Ko/edit?usp=sharing"",""นครราชสีมา!L456"")"),0)</f>
        <v>0</v>
      </c>
      <c r="F36" s="64">
        <f ca="1">IFERROR(__xludf.DUMMYFUNCTION("IMPORTRANGE(""https://docs.google.com/spreadsheets/d/1bDQrolntRWtHumK8W-x-HXKntwxB9S3sF5aDeRS66Ko/edit?usp=sharing"",""นครราชสีมา!M449"")"),444200)</f>
        <v>444200</v>
      </c>
      <c r="G36" s="64">
        <f ca="1">IFERROR(__xludf.DUMMYFUNCTION("IMPORTRANGE(""https://docs.google.com/spreadsheets/d/1bDQrolntRWtHumK8W-x-HXKntwxB9S3sF5aDeRS66Ko/edit?usp=sharing"",""นครราชสีมา!M431"")"),0)</f>
        <v>0</v>
      </c>
      <c r="H36" s="58">
        <f t="shared" ca="1" si="23"/>
        <v>360545.01</v>
      </c>
      <c r="I36" s="59">
        <f t="shared" ca="1" si="1"/>
        <v>81.167269248086441</v>
      </c>
      <c r="J36" s="60">
        <f t="shared" ca="1" si="46"/>
        <v>360545.01</v>
      </c>
      <c r="K36" s="61">
        <f t="shared" ca="1" si="29"/>
        <v>81.167269248086441</v>
      </c>
      <c r="L36" s="61">
        <f t="shared" ca="1" si="30"/>
        <v>81.167269248086441</v>
      </c>
      <c r="M36" s="64">
        <f ca="1">IFERROR(__xludf.DUMMYFUNCTION("IMPORTRANGE(""https://docs.google.com/spreadsheets/d/1bDQrolntRWtHumK8W-x-HXKntwxB9S3sF5aDeRS66Ko/edit?usp=sharing"",""นครราชสีมา!N450"")"),129625)</f>
        <v>129625</v>
      </c>
      <c r="N36" s="64">
        <f ca="1">IFERROR(__xludf.DUMMYFUNCTION("IMPORTRANGE(""https://docs.google.com/spreadsheets/d/1bDQrolntRWtHumK8W-x-HXKntwxB9S3sF5aDeRS66Ko/edit?usp=sharing"",""นครราชสีมา!N451"")"),159000)</f>
        <v>159000</v>
      </c>
      <c r="O36" s="64">
        <f ca="1">IFERROR(__xludf.DUMMYFUNCTION("IMPORTRANGE(""https://docs.google.com/spreadsheets/d/1bDQrolntRWtHumK8W-x-HXKntwxB9S3sF5aDeRS66Ko/edit?usp=sharing"",""นครราชสีมา!N452"")"),63700.01)</f>
        <v>63700.01</v>
      </c>
      <c r="P36" s="64">
        <f ca="1">IFERROR(__xludf.DUMMYFUNCTION("IMPORTRANGE(""https://docs.google.com/spreadsheets/d/1bDQrolntRWtHumK8W-x-HXKntwxB9S3sF5aDeRS66Ko/edit?usp=sharing"",""นครราชสีมา!N453"")"),8220)</f>
        <v>8220</v>
      </c>
      <c r="Q36" s="62">
        <f ca="1">IFERROR(__xludf.DUMMYFUNCTION("IMPORTRANGE(""https://docs.google.com/spreadsheets/d/1bDQrolntRWtHumK8W-x-HXKntwxB9S3sF5aDeRS66Ko/edit?usp=sharing"",""นครราชสีมา!N456"")"),0)</f>
        <v>0</v>
      </c>
      <c r="R36" s="62">
        <f t="shared" ca="1" si="32"/>
        <v>0</v>
      </c>
      <c r="S36" s="57">
        <f ca="1">IFERROR(__xludf.DUMMYFUNCTION("IMPORTRANGE(""https://docs.google.com/spreadsheets/d/1bDQrolntRWtHumK8W-x-HXKntwxB9S3sF5aDeRS66Ko/edit?usp=sharing"",""นครราชสีมา!I458"")"),0)</f>
        <v>0</v>
      </c>
      <c r="T36" s="57">
        <f ca="1">IFERROR(__xludf.DUMMYFUNCTION("IMPORTRANGE(""https://docs.google.com/spreadsheets/d/1bDQrolntRWtHumK8W-x-HXKntwxB9S3sF5aDeRS66Ko/edit?usp=sharing"",""นครราชสีมา!J458"")"),0)</f>
        <v>0</v>
      </c>
      <c r="U36" s="63">
        <f t="shared" ca="1" si="24"/>
        <v>0</v>
      </c>
      <c r="V36" s="57">
        <f ca="1">IFERROR(__xludf.DUMMYFUNCTION("IMPORTRANGE(""https://docs.google.com/spreadsheets/d/1bDQrolntRWtHumK8W-x-HXKntwxB9S3sF5aDeRS66Ko/edit?usp=sharing"",""นครราชสีมา!I460"")"),70)</f>
        <v>70</v>
      </c>
      <c r="W36" s="57">
        <f ca="1">IFERROR(__xludf.DUMMYFUNCTION("IMPORTRANGE(""https://docs.google.com/spreadsheets/d/1bDQrolntRWtHumK8W-x-HXKntwxB9S3sF5aDeRS66Ko/edit?usp=sharing"",""นครราชสีมา!J460"")"),70)</f>
        <v>70</v>
      </c>
      <c r="X36" s="63">
        <f t="shared" ca="1" si="25"/>
        <v>100</v>
      </c>
      <c r="Y36" s="57">
        <f ca="1">IFERROR(__xludf.DUMMYFUNCTION("IMPORTRANGE(""https://docs.google.com/spreadsheets/d/1bDQrolntRWtHumK8W-x-HXKntwxB9S3sF5aDeRS66Ko/edit?usp=sharing"",""นครราชสีมา!I462"")"),140)</f>
        <v>140</v>
      </c>
      <c r="Z36" s="57">
        <f ca="1">IFERROR(__xludf.DUMMYFUNCTION("IMPORTRANGE(""https://docs.google.com/spreadsheets/d/1bDQrolntRWtHumK8W-x-HXKntwxB9S3sF5aDeRS66Ko/edit?usp=sharing"",""นครราชสีมา!J462"")"),140)</f>
        <v>140</v>
      </c>
      <c r="AA36" s="63">
        <f t="shared" ca="1" si="26"/>
        <v>100</v>
      </c>
      <c r="AB36" s="57">
        <f ca="1">IFERROR(__xludf.DUMMYFUNCTION("IMPORTRANGE(""https://docs.google.com/spreadsheets/d/1bDQrolntRWtHumK8W-x-HXKntwxB9S3sF5aDeRS66Ko/edit?usp=sharing"",""นครราชสีมา!I463"")"),140)</f>
        <v>140</v>
      </c>
      <c r="AC36" s="57">
        <f ca="1">IFERROR(__xludf.DUMMYFUNCTION("IMPORTRANGE(""https://docs.google.com/spreadsheets/d/1bDQrolntRWtHumK8W-x-HXKntwxB9S3sF5aDeRS66Ko/edit?usp=sharing"",""นครราชสีมา!I464"")"),70)</f>
        <v>70</v>
      </c>
      <c r="AD36" s="57">
        <f ca="1">IFERROR(__xludf.DUMMYFUNCTION("IMPORTRANGE(""https://docs.google.com/spreadsheets/d/1bDQrolntRWtHumK8W-x-HXKntwxB9S3sF5aDeRS66Ko/edit?usp=sharing"",""นครราชสีมา!J463"")"),140)</f>
        <v>140</v>
      </c>
      <c r="AE36" s="63">
        <f t="shared" ca="1" si="27"/>
        <v>100</v>
      </c>
      <c r="AF36" s="57">
        <f ca="1">IFERROR(__xludf.DUMMYFUNCTION("IMPORTRANGE(""https://docs.google.com/spreadsheets/d/1bDQrolntRWtHumK8W-x-HXKntwxB9S3sF5aDeRS66Ko/edit?usp=sharing"",""นครราชสีมา!J464"")"),70)</f>
        <v>70</v>
      </c>
      <c r="AG36" s="63">
        <f t="shared" ca="1" si="13"/>
        <v>100</v>
      </c>
    </row>
    <row r="37" spans="1:33" ht="21" customHeight="1" x14ac:dyDescent="0.3">
      <c r="A37" s="54">
        <v>6</v>
      </c>
      <c r="B37" s="55" t="s">
        <v>58</v>
      </c>
      <c r="C37" s="56">
        <f t="shared" ca="1" si="45"/>
        <v>503280</v>
      </c>
      <c r="D37" s="57">
        <f ca="1">IFERROR(__xludf.DUMMYFUNCTION("IMPORTRANGE(""https://docs.google.com/spreadsheets/d/1_MzZ-2gVPiCW-d2VcafoCmFJQTSrZ6SQyFcMqRRQQ2w/edit?usp=sharing"",""บึงกาฬ!L449"")"),503280)</f>
        <v>503280</v>
      </c>
      <c r="E37" s="64">
        <f ca="1">IFERROR(__xludf.DUMMYFUNCTION("IMPORTRANGE(""https://docs.google.com/spreadsheets/d/1_MzZ-2gVPiCW-d2VcafoCmFJQTSrZ6SQyFcMqRRQQ2w/edit?usp=sharing"",""บึงกาฬ!L456"")"),0)</f>
        <v>0</v>
      </c>
      <c r="F37" s="64">
        <f ca="1">IFERROR(__xludf.DUMMYFUNCTION("IMPORTRANGE(""https://docs.google.com/spreadsheets/d/1_MzZ-2gVPiCW-d2VcafoCmFJQTSrZ6SQyFcMqRRQQ2w/edit?usp=sharing"",""บึงกาฬ!M449"")"),503280)</f>
        <v>503280</v>
      </c>
      <c r="G37" s="64">
        <f ca="1">IFERROR(__xludf.DUMMYFUNCTION("IMPORTRANGE(""https://docs.google.com/spreadsheets/d/1_MzZ-2gVPiCW-d2VcafoCmFJQTSrZ6SQyFcMqRRQQ2w/edit?usp=sharing"",""บึงกาฬ!M431"")"),0)</f>
        <v>0</v>
      </c>
      <c r="H37" s="58">
        <f t="shared" ca="1" si="23"/>
        <v>157156</v>
      </c>
      <c r="I37" s="59">
        <f t="shared" ca="1" si="1"/>
        <v>31.226355110475282</v>
      </c>
      <c r="J37" s="60">
        <f t="shared" ca="1" si="46"/>
        <v>157156</v>
      </c>
      <c r="K37" s="61">
        <f t="shared" ca="1" si="29"/>
        <v>31.226355110475282</v>
      </c>
      <c r="L37" s="61">
        <f t="shared" ca="1" si="30"/>
        <v>31.226355110475282</v>
      </c>
      <c r="M37" s="64">
        <f ca="1">IFERROR(__xludf.DUMMYFUNCTION("IMPORTRANGE(""https://docs.google.com/spreadsheets/d/1_MzZ-2gVPiCW-d2VcafoCmFJQTSrZ6SQyFcMqRRQQ2w/edit?usp=sharing"",""บึงกาฬ!N450"")"),81590)</f>
        <v>81590</v>
      </c>
      <c r="N37" s="64">
        <f ca="1">IFERROR(__xludf.DUMMYFUNCTION("IMPORTRANGE(""https://docs.google.com/spreadsheets/d/1_MzZ-2gVPiCW-d2VcafoCmFJQTSrZ6SQyFcMqRRQQ2w/edit?usp=sharing"",""บึงกาฬ!N451"")"),0)</f>
        <v>0</v>
      </c>
      <c r="O37" s="64">
        <f ca="1">IFERROR(__xludf.DUMMYFUNCTION("IMPORTRANGE(""https://docs.google.com/spreadsheets/d/1_MzZ-2gVPiCW-d2VcafoCmFJQTSrZ6SQyFcMqRRQQ2w/edit?usp=sharing"",""บึงกาฬ!N452"")"),49886)</f>
        <v>49886</v>
      </c>
      <c r="P37" s="64">
        <f ca="1">IFERROR(__xludf.DUMMYFUNCTION("IMPORTRANGE(""https://docs.google.com/spreadsheets/d/1_MzZ-2gVPiCW-d2VcafoCmFJQTSrZ6SQyFcMqRRQQ2w/edit?usp=sharing"",""บึงกาฬ!N453"")"),25680)</f>
        <v>25680</v>
      </c>
      <c r="Q37" s="62">
        <f ca="1">IFERROR(__xludf.DUMMYFUNCTION("IMPORTRANGE(""https://docs.google.com/spreadsheets/d/1_MzZ-2gVPiCW-d2VcafoCmFJQTSrZ6SQyFcMqRRQQ2w/edit?usp=sharing"",""บึงกาฬ!N456"")"),0)</f>
        <v>0</v>
      </c>
      <c r="R37" s="62">
        <f t="shared" ca="1" si="32"/>
        <v>0</v>
      </c>
      <c r="S37" s="57">
        <f ca="1">IFERROR(__xludf.DUMMYFUNCTION("IMPORTRANGE(""https://docs.google.com/spreadsheets/d/1_MzZ-2gVPiCW-d2VcafoCmFJQTSrZ6SQyFcMqRRQQ2w/edit?usp=sharing"",""บึงกาฬ!I458"")"),0)</f>
        <v>0</v>
      </c>
      <c r="T37" s="57">
        <f ca="1">IFERROR(__xludf.DUMMYFUNCTION("IMPORTRANGE(""https://docs.google.com/spreadsheets/d/1_MzZ-2gVPiCW-d2VcafoCmFJQTSrZ6SQyFcMqRRQQ2w/edit?usp=sharing"",""บึงกาฬ!J458"")"),0)</f>
        <v>0</v>
      </c>
      <c r="U37" s="63">
        <f t="shared" ca="1" si="24"/>
        <v>0</v>
      </c>
      <c r="V37" s="57">
        <f ca="1">IFERROR(__xludf.DUMMYFUNCTION("IMPORTRANGE(""https://docs.google.com/spreadsheets/d/1_MzZ-2gVPiCW-d2VcafoCmFJQTSrZ6SQyFcMqRRQQ2w/edit?usp=sharing"",""บึงกาฬ!I460"")"),100)</f>
        <v>100</v>
      </c>
      <c r="W37" s="57">
        <f ca="1">IFERROR(__xludf.DUMMYFUNCTION("IMPORTRANGE(""https://docs.google.com/spreadsheets/d/1_MzZ-2gVPiCW-d2VcafoCmFJQTSrZ6SQyFcMqRRQQ2w/edit?usp=sharing"",""บึงกาฬ!J460"")"),100)</f>
        <v>100</v>
      </c>
      <c r="X37" s="63">
        <f t="shared" ca="1" si="25"/>
        <v>100</v>
      </c>
      <c r="Y37" s="57">
        <f ca="1">IFERROR(__xludf.DUMMYFUNCTION("IMPORTRANGE(""https://docs.google.com/spreadsheets/d/1_MzZ-2gVPiCW-d2VcafoCmFJQTSrZ6SQyFcMqRRQQ2w/edit?usp=sharing"",""บึงกาฬ!I462"")"),150)</f>
        <v>150</v>
      </c>
      <c r="Z37" s="57">
        <f ca="1">IFERROR(__xludf.DUMMYFUNCTION("IMPORTRANGE(""https://docs.google.com/spreadsheets/d/1_MzZ-2gVPiCW-d2VcafoCmFJQTSrZ6SQyFcMqRRQQ2w/edit?usp=sharing"",""บึงกาฬ!J462"")"),150)</f>
        <v>150</v>
      </c>
      <c r="AA37" s="63">
        <f t="shared" ca="1" si="26"/>
        <v>100</v>
      </c>
      <c r="AB37" s="57">
        <f ca="1">IFERROR(__xludf.DUMMYFUNCTION("IMPORTRANGE(""https://docs.google.com/spreadsheets/d/1_MzZ-2gVPiCW-d2VcafoCmFJQTSrZ6SQyFcMqRRQQ2w/edit?usp=sharing"",""บึงกาฬ!I463"")"),150)</f>
        <v>150</v>
      </c>
      <c r="AC37" s="57">
        <f ca="1">IFERROR(__xludf.DUMMYFUNCTION("IMPORTRANGE(""https://docs.google.com/spreadsheets/d/1_MzZ-2gVPiCW-d2VcafoCmFJQTSrZ6SQyFcMqRRQQ2w/edit?usp=sharing"",""บึงกาฬ!I464"")"),100)</f>
        <v>100</v>
      </c>
      <c r="AD37" s="57">
        <f ca="1">IFERROR(__xludf.DUMMYFUNCTION("IMPORTRANGE(""https://docs.google.com/spreadsheets/d/1_MzZ-2gVPiCW-d2VcafoCmFJQTSrZ6SQyFcMqRRQQ2w/edit?usp=sharing"",""บึงกาฬ!J463"")"),0)</f>
        <v>0</v>
      </c>
      <c r="AE37" s="63">
        <f t="shared" ca="1" si="27"/>
        <v>0</v>
      </c>
      <c r="AF37" s="57">
        <f ca="1">IFERROR(__xludf.DUMMYFUNCTION("IMPORTRANGE(""https://docs.google.com/spreadsheets/d/1_MzZ-2gVPiCW-d2VcafoCmFJQTSrZ6SQyFcMqRRQQ2w/edit?usp=sharing"",""บึงกาฬ!J464"")"),0)</f>
        <v>0</v>
      </c>
      <c r="AG37" s="63">
        <f t="shared" ca="1" si="13"/>
        <v>0</v>
      </c>
    </row>
    <row r="38" spans="1:33" ht="21" customHeight="1" x14ac:dyDescent="0.3">
      <c r="A38" s="54">
        <v>7</v>
      </c>
      <c r="B38" s="55" t="s">
        <v>59</v>
      </c>
      <c r="C38" s="56">
        <f t="shared" ca="1" si="45"/>
        <v>717500</v>
      </c>
      <c r="D38" s="57">
        <f ca="1">IFERROR(__xludf.DUMMYFUNCTION("IMPORTRANGE(""https://docs.google.com/spreadsheets/d/1B3lPpzOuaNwVItLwLEZYl_qEblfcx7dRnbRkAw0l-pE/edit?usp=sharing"",""บุรีรัมย์!L449"")"),717500)</f>
        <v>717500</v>
      </c>
      <c r="E38" s="64">
        <f ca="1">IFERROR(__xludf.DUMMYFUNCTION("IMPORTRANGE(""https://docs.google.com/spreadsheets/d/1B3lPpzOuaNwVItLwLEZYl_qEblfcx7dRnbRkAw0l-pE/edit?usp=sharing"",""บุรีรัมย์!L456"")"),0)</f>
        <v>0</v>
      </c>
      <c r="F38" s="64">
        <f ca="1">IFERROR(__xludf.DUMMYFUNCTION("IMPORTRANGE(""https://docs.google.com/spreadsheets/d/1B3lPpzOuaNwVItLwLEZYl_qEblfcx7dRnbRkAw0l-pE/edit?usp=sharing"",""บุรีรัมย์!M449"")"),717500)</f>
        <v>717500</v>
      </c>
      <c r="G38" s="64">
        <f ca="1">IFERROR(__xludf.DUMMYFUNCTION("IMPORTRANGE(""https://docs.google.com/spreadsheets/d/1B3lPpzOuaNwVItLwLEZYl_qEblfcx7dRnbRkAw0l-pE/edit?usp=sharing"",""บุรีรัมย์!M431"")"),0)</f>
        <v>0</v>
      </c>
      <c r="H38" s="58">
        <f t="shared" ca="1" si="23"/>
        <v>612099</v>
      </c>
      <c r="I38" s="59">
        <f t="shared" ca="1" si="1"/>
        <v>85.309965156794419</v>
      </c>
      <c r="J38" s="60">
        <f t="shared" ca="1" si="46"/>
        <v>612099</v>
      </c>
      <c r="K38" s="61">
        <f t="shared" ca="1" si="29"/>
        <v>85.309965156794419</v>
      </c>
      <c r="L38" s="61">
        <f t="shared" ca="1" si="30"/>
        <v>85.309965156794419</v>
      </c>
      <c r="M38" s="64">
        <f ca="1">IFERROR(__xludf.DUMMYFUNCTION("IMPORTRANGE(""https://docs.google.com/spreadsheets/d/1B3lPpzOuaNwVItLwLEZYl_qEblfcx7dRnbRkAw0l-pE/edit?usp=sharing"",""บุรีรัมย์!N450"")"),88234)</f>
        <v>88234</v>
      </c>
      <c r="N38" s="64">
        <f ca="1">IFERROR(__xludf.DUMMYFUNCTION("IMPORTRANGE(""https://docs.google.com/spreadsheets/d/1B3lPpzOuaNwVItLwLEZYl_qEblfcx7dRnbRkAw0l-pE/edit?usp=sharing"",""บุรีรัมย์!N451"")"),445825)</f>
        <v>445825</v>
      </c>
      <c r="O38" s="64">
        <f ca="1">IFERROR(__xludf.DUMMYFUNCTION("IMPORTRANGE(""https://docs.google.com/spreadsheets/d/1B3lPpzOuaNwVItLwLEZYl_qEblfcx7dRnbRkAw0l-pE/edit?usp=sharing"",""บุรีรัมย์!N452"")"),65000)</f>
        <v>65000</v>
      </c>
      <c r="P38" s="64">
        <f ca="1">IFERROR(__xludf.DUMMYFUNCTION("IMPORTRANGE(""https://docs.google.com/spreadsheets/d/1B3lPpzOuaNwVItLwLEZYl_qEblfcx7dRnbRkAw0l-pE/edit?usp=sharing"",""บุรีรัมย์!N453"")"),13040)</f>
        <v>13040</v>
      </c>
      <c r="Q38" s="62">
        <f ca="1">IFERROR(__xludf.DUMMYFUNCTION("IMPORTRANGE(""https://docs.google.com/spreadsheets/d/1B3lPpzOuaNwVItLwLEZYl_qEblfcx7dRnbRkAw0l-pE/edit?usp=sharing"",""บุรีรัมย์!N456"")"),0)</f>
        <v>0</v>
      </c>
      <c r="R38" s="62">
        <f t="shared" ca="1" si="32"/>
        <v>0</v>
      </c>
      <c r="S38" s="57">
        <f ca="1">IFERROR(__xludf.DUMMYFUNCTION("IMPORTRANGE(""https://docs.google.com/spreadsheets/d/1B3lPpzOuaNwVItLwLEZYl_qEblfcx7dRnbRkAw0l-pE/edit?usp=sharing"",""บุรีรัมย์!I458"")"),0)</f>
        <v>0</v>
      </c>
      <c r="T38" s="57">
        <f ca="1">IFERROR(__xludf.DUMMYFUNCTION("IMPORTRANGE(""https://docs.google.com/spreadsheets/d/1B3lPpzOuaNwVItLwLEZYl_qEblfcx7dRnbRkAw0l-pE/edit?usp=sharing"",""บุรีรัมย์!J458"")"),0)</f>
        <v>0</v>
      </c>
      <c r="U38" s="63">
        <f t="shared" ca="1" si="24"/>
        <v>0</v>
      </c>
      <c r="V38" s="57">
        <f ca="1">IFERROR(__xludf.DUMMYFUNCTION("IMPORTRANGE(""https://docs.google.com/spreadsheets/d/1B3lPpzOuaNwVItLwLEZYl_qEblfcx7dRnbRkAw0l-pE/edit?usp=sharing"",""บุรีรัมย์!I460"")"),55)</f>
        <v>55</v>
      </c>
      <c r="W38" s="57">
        <f ca="1">IFERROR(__xludf.DUMMYFUNCTION("IMPORTRANGE(""https://docs.google.com/spreadsheets/d/1B3lPpzOuaNwVItLwLEZYl_qEblfcx7dRnbRkAw0l-pE/edit?usp=sharing"",""บุรีรัมย์!J460"")"),55)</f>
        <v>55</v>
      </c>
      <c r="X38" s="63">
        <f t="shared" ca="1" si="25"/>
        <v>100</v>
      </c>
      <c r="Y38" s="57">
        <f ca="1">IFERROR(__xludf.DUMMYFUNCTION("IMPORTRANGE(""https://docs.google.com/spreadsheets/d/1B3lPpzOuaNwVItLwLEZYl_qEblfcx7dRnbRkAw0l-pE/edit?usp=sharing"",""บุรีรัมย์!I462"")"),550)</f>
        <v>550</v>
      </c>
      <c r="Z38" s="57">
        <f ca="1">IFERROR(__xludf.DUMMYFUNCTION("IMPORTRANGE(""https://docs.google.com/spreadsheets/d/1B3lPpzOuaNwVItLwLEZYl_qEblfcx7dRnbRkAw0l-pE/edit?usp=sharing"",""บุรีรัมย์!J462"")"),550)</f>
        <v>550</v>
      </c>
      <c r="AA38" s="63">
        <f t="shared" ca="1" si="26"/>
        <v>100</v>
      </c>
      <c r="AB38" s="57">
        <f ca="1">IFERROR(__xludf.DUMMYFUNCTION("IMPORTRANGE(""https://docs.google.com/spreadsheets/d/1B3lPpzOuaNwVItLwLEZYl_qEblfcx7dRnbRkAw0l-pE/edit?usp=sharing"",""บุรีรัมย์!I463"")"),550)</f>
        <v>550</v>
      </c>
      <c r="AC38" s="57">
        <f ca="1">IFERROR(__xludf.DUMMYFUNCTION("IMPORTRANGE(""https://docs.google.com/spreadsheets/d/1B3lPpzOuaNwVItLwLEZYl_qEblfcx7dRnbRkAw0l-pE/edit?usp=sharing"",""บุรีรัมย์!I464"")"),55)</f>
        <v>55</v>
      </c>
      <c r="AD38" s="57">
        <f ca="1">IFERROR(__xludf.DUMMYFUNCTION("IMPORTRANGE(""https://docs.google.com/spreadsheets/d/1B3lPpzOuaNwVItLwLEZYl_qEblfcx7dRnbRkAw0l-pE/edit?usp=sharing"",""บุรีรัมย์!J463"")"),550)</f>
        <v>550</v>
      </c>
      <c r="AE38" s="63">
        <f t="shared" ca="1" si="27"/>
        <v>100</v>
      </c>
      <c r="AF38" s="57">
        <f ca="1">IFERROR(__xludf.DUMMYFUNCTION("IMPORTRANGE(""https://docs.google.com/spreadsheets/d/1B3lPpzOuaNwVItLwLEZYl_qEblfcx7dRnbRkAw0l-pE/edit?usp=sharing"",""บุรีรัมย์!J464"")"),55)</f>
        <v>55</v>
      </c>
      <c r="AG38" s="63">
        <f t="shared" ca="1" si="13"/>
        <v>100</v>
      </c>
    </row>
    <row r="39" spans="1:33" ht="21" customHeight="1" x14ac:dyDescent="0.3">
      <c r="A39" s="54">
        <v>8</v>
      </c>
      <c r="B39" s="55" t="s">
        <v>60</v>
      </c>
      <c r="C39" s="56">
        <f t="shared" ca="1" si="45"/>
        <v>614288</v>
      </c>
      <c r="D39" s="57">
        <f ca="1">IFERROR(__xludf.DUMMYFUNCTION("IMPORTRANGE(""https://docs.google.com/spreadsheets/d/19GOkiOqnzYbevLYWrMk4qFOXe3rX14BkSA8X-mq-a40/edit?usp=sharing"",""มหาสารคาม!L449"")"),614288)</f>
        <v>614288</v>
      </c>
      <c r="E39" s="64">
        <f ca="1">IFERROR(__xludf.DUMMYFUNCTION("IMPORTRANGE(""https://docs.google.com/spreadsheets/d/19GOkiOqnzYbevLYWrMk4qFOXe3rX14BkSA8X-mq-a40/edit?usp=sharing"",""มหาสารคาม!L456"")"),0)</f>
        <v>0</v>
      </c>
      <c r="F39" s="64">
        <f ca="1">IFERROR(__xludf.DUMMYFUNCTION("IMPORTRANGE(""https://docs.google.com/spreadsheets/d/19GOkiOqnzYbevLYWrMk4qFOXe3rX14BkSA8X-mq-a40/edit?usp=sharing"",""มหาสารคาม!M449"")"),612610)</f>
        <v>612610</v>
      </c>
      <c r="G39" s="64">
        <f ca="1">IFERROR(__xludf.DUMMYFUNCTION("IMPORTRANGE(""https://docs.google.com/spreadsheets/d/19GOkiOqnzYbevLYWrMk4qFOXe3rX14BkSA8X-mq-a40/edit?usp=sharing"",""มหาสารคาม!M431"")"),0)</f>
        <v>0</v>
      </c>
      <c r="H39" s="58">
        <f t="shared" ca="1" si="23"/>
        <v>176180</v>
      </c>
      <c r="I39" s="59">
        <f t="shared" ca="1" si="1"/>
        <v>28.680358398666424</v>
      </c>
      <c r="J39" s="60">
        <f t="shared" ca="1" si="46"/>
        <v>176180</v>
      </c>
      <c r="K39" s="61">
        <f t="shared" ca="1" si="29"/>
        <v>28.680358398666424</v>
      </c>
      <c r="L39" s="61">
        <f t="shared" ca="1" si="30"/>
        <v>28.758916765968561</v>
      </c>
      <c r="M39" s="64">
        <f ca="1">IFERROR(__xludf.DUMMYFUNCTION("IMPORTRANGE(""https://docs.google.com/spreadsheets/d/19GOkiOqnzYbevLYWrMk4qFOXe3rX14BkSA8X-mq-a40/edit?usp=sharing"",""มหาสารคาม!N450"")"),86180)</f>
        <v>86180</v>
      </c>
      <c r="N39" s="64">
        <f ca="1">IFERROR(__xludf.DUMMYFUNCTION("IMPORTRANGE(""https://docs.google.com/spreadsheets/d/19GOkiOqnzYbevLYWrMk4qFOXe3rX14BkSA8X-mq-a40/edit?usp=sharing"",""มหาสารคาม!N451"")"),3500)</f>
        <v>3500</v>
      </c>
      <c r="O39" s="64">
        <f ca="1">IFERROR(__xludf.DUMMYFUNCTION("IMPORTRANGE(""https://docs.google.com/spreadsheets/d/19GOkiOqnzYbevLYWrMk4qFOXe3rX14BkSA8X-mq-a40/edit?usp=sharing"",""มหาสารคาม!N452"")"),65000)</f>
        <v>65000</v>
      </c>
      <c r="P39" s="64">
        <f ca="1">IFERROR(__xludf.DUMMYFUNCTION("IMPORTRANGE(""https://docs.google.com/spreadsheets/d/19GOkiOqnzYbevLYWrMk4qFOXe3rX14BkSA8X-mq-a40/edit?usp=sharing"",""มหาสารคาม!N453"")"),21500)</f>
        <v>21500</v>
      </c>
      <c r="Q39" s="62">
        <f ca="1">IFERROR(__xludf.DUMMYFUNCTION("IMPORTRANGE(""https://docs.google.com/spreadsheets/d/19GOkiOqnzYbevLYWrMk4qFOXe3rX14BkSA8X-mq-a40/edit?usp=sharing"",""มหาสารคาม!N456"")"),0)</f>
        <v>0</v>
      </c>
      <c r="R39" s="62">
        <f t="shared" ca="1" si="32"/>
        <v>0</v>
      </c>
      <c r="S39" s="57">
        <f ca="1">IFERROR(__xludf.DUMMYFUNCTION("IMPORTRANGE(""https://docs.google.com/spreadsheets/d/19GOkiOqnzYbevLYWrMk4qFOXe3rX14BkSA8X-mq-a40/edit?usp=sharing"",""มหาสารคาม!I458"")"),0)</f>
        <v>0</v>
      </c>
      <c r="T39" s="57">
        <f ca="1">IFERROR(__xludf.DUMMYFUNCTION("IMPORTRANGE(""https://docs.google.com/spreadsheets/d/19GOkiOqnzYbevLYWrMk4qFOXe3rX14BkSA8X-mq-a40/edit?usp=sharing"",""มหาสารคาม!J458"")"),0)</f>
        <v>0</v>
      </c>
      <c r="U39" s="63">
        <f t="shared" ca="1" si="24"/>
        <v>0</v>
      </c>
      <c r="V39" s="57">
        <f ca="1">IFERROR(__xludf.DUMMYFUNCTION("IMPORTRANGE(""https://docs.google.com/spreadsheets/d/19GOkiOqnzYbevLYWrMk4qFOXe3rX14BkSA8X-mq-a40/edit?usp=sharing"",""มหาสารคาม!I460"")"),100)</f>
        <v>100</v>
      </c>
      <c r="W39" s="57">
        <f ca="1">IFERROR(__xludf.DUMMYFUNCTION("IMPORTRANGE(""https://docs.google.com/spreadsheets/d/19GOkiOqnzYbevLYWrMk4qFOXe3rX14BkSA8X-mq-a40/edit?usp=sharing"",""มหาสารคาม!J460"")"),80)</f>
        <v>80</v>
      </c>
      <c r="X39" s="63">
        <f t="shared" ca="1" si="25"/>
        <v>80</v>
      </c>
      <c r="Y39" s="57">
        <f ca="1">IFERROR(__xludf.DUMMYFUNCTION("IMPORTRANGE(""https://docs.google.com/spreadsheets/d/19GOkiOqnzYbevLYWrMk4qFOXe3rX14BkSA8X-mq-a40/edit?usp=sharing"",""มหาสารคาม!I462"")"),240)</f>
        <v>240</v>
      </c>
      <c r="Z39" s="57">
        <f ca="1">IFERROR(__xludf.DUMMYFUNCTION("IMPORTRANGE(""https://docs.google.com/spreadsheets/d/19GOkiOqnzYbevLYWrMk4qFOXe3rX14BkSA8X-mq-a40/edit?usp=sharing"",""มหาสารคาม!J462"")"),200)</f>
        <v>200</v>
      </c>
      <c r="AA39" s="63">
        <f t="shared" ca="1" si="26"/>
        <v>83.333333333333329</v>
      </c>
      <c r="AB39" s="57">
        <f ca="1">IFERROR(__xludf.DUMMYFUNCTION("IMPORTRANGE(""https://docs.google.com/spreadsheets/d/19GOkiOqnzYbevLYWrMk4qFOXe3rX14BkSA8X-mq-a40/edit?usp=sharing"",""มหาสารคาม!I463"")"),240)</f>
        <v>240</v>
      </c>
      <c r="AC39" s="57">
        <f ca="1">IFERROR(__xludf.DUMMYFUNCTION("IMPORTRANGE(""https://docs.google.com/spreadsheets/d/19GOkiOqnzYbevLYWrMk4qFOXe3rX14BkSA8X-mq-a40/edit?usp=sharing"",""มหาสารคาม!I464"")"),100)</f>
        <v>100</v>
      </c>
      <c r="AD39" s="57">
        <f ca="1">IFERROR(__xludf.DUMMYFUNCTION("IMPORTRANGE(""https://docs.google.com/spreadsheets/d/19GOkiOqnzYbevLYWrMk4qFOXe3rX14BkSA8X-mq-a40/edit?usp=sharing"",""มหาสารคาม!J463"")"),0)</f>
        <v>0</v>
      </c>
      <c r="AE39" s="63">
        <f t="shared" ca="1" si="27"/>
        <v>0</v>
      </c>
      <c r="AF39" s="57">
        <f ca="1">IFERROR(__xludf.DUMMYFUNCTION("IMPORTRANGE(""https://docs.google.com/spreadsheets/d/19GOkiOqnzYbevLYWrMk4qFOXe3rX14BkSA8X-mq-a40/edit?usp=sharing"",""มหาสารคาม!J464"")"),0)</f>
        <v>0</v>
      </c>
      <c r="AG39" s="63">
        <f t="shared" ca="1" si="13"/>
        <v>0</v>
      </c>
    </row>
    <row r="40" spans="1:33" ht="21" customHeight="1" x14ac:dyDescent="0.3">
      <c r="A40" s="54">
        <v>9</v>
      </c>
      <c r="B40" s="55" t="s">
        <v>61</v>
      </c>
      <c r="C40" s="56">
        <f t="shared" ca="1" si="45"/>
        <v>372400</v>
      </c>
      <c r="D40" s="57">
        <f ca="1">IFERROR(__xludf.DUMMYFUNCTION("IMPORTRANGE(""https://docs.google.com/spreadsheets/d/1uMKqWwuNQ-TCKboGA3Bb1qXb5uj2-faACNUINCz8PN4/edit?usp=sharing"",""มุกดาหาร!L449"")"),372400)</f>
        <v>372400</v>
      </c>
      <c r="E40" s="64">
        <f ca="1">IFERROR(__xludf.DUMMYFUNCTION("IMPORTRANGE(""https://docs.google.com/spreadsheets/d/1uMKqWwuNQ-TCKboGA3Bb1qXb5uj2-faACNUINCz8PN4/edit?usp=sharing"",""มุกดาหาร!L456"")"),0)</f>
        <v>0</v>
      </c>
      <c r="F40" s="64">
        <f ca="1">IFERROR(__xludf.DUMMYFUNCTION("IMPORTRANGE(""https://docs.google.com/spreadsheets/d/1uMKqWwuNQ-TCKboGA3Bb1qXb5uj2-faACNUINCz8PN4/edit?usp=sharing"",""มุกดาหาร!M449"")"),372400)</f>
        <v>372400</v>
      </c>
      <c r="G40" s="64">
        <f ca="1">IFERROR(__xludf.DUMMYFUNCTION("IMPORTRANGE(""https://docs.google.com/spreadsheets/d/1uMKqWwuNQ-TCKboGA3Bb1qXb5uj2-faACNUINCz8PN4/edit?usp=sharing"",""มุกดาหาร!M431"")"),0)</f>
        <v>0</v>
      </c>
      <c r="H40" s="58">
        <f t="shared" ca="1" si="23"/>
        <v>254750</v>
      </c>
      <c r="I40" s="59">
        <f t="shared" ca="1" si="1"/>
        <v>68.40762620837809</v>
      </c>
      <c r="J40" s="60">
        <f t="shared" ca="1" si="46"/>
        <v>254750</v>
      </c>
      <c r="K40" s="61">
        <f t="shared" ca="1" si="29"/>
        <v>68.40762620837809</v>
      </c>
      <c r="L40" s="61">
        <f t="shared" ca="1" si="30"/>
        <v>68.40762620837809</v>
      </c>
      <c r="M40" s="64">
        <f ca="1">IFERROR(__xludf.DUMMYFUNCTION("IMPORTRANGE(""https://docs.google.com/spreadsheets/d/1uMKqWwuNQ-TCKboGA3Bb1qXb5uj2-faACNUINCz8PN4/edit?usp=sharing"",""มุกดาหาร!N450"")"),53480)</f>
        <v>53480</v>
      </c>
      <c r="N40" s="64">
        <f ca="1">IFERROR(__xludf.DUMMYFUNCTION("IMPORTRANGE(""https://docs.google.com/spreadsheets/d/1uMKqWwuNQ-TCKboGA3Bb1qXb5uj2-faACNUINCz8PN4/edit?usp=sharing"",""มุกดาหาร!N451"")"),112000)</f>
        <v>112000</v>
      </c>
      <c r="O40" s="64">
        <f ca="1">IFERROR(__xludf.DUMMYFUNCTION("IMPORTRANGE(""https://docs.google.com/spreadsheets/d/1uMKqWwuNQ-TCKboGA3Bb1qXb5uj2-faACNUINCz8PN4/edit?usp=sharing"",""มุกดาหาร!N452"")"),65000)</f>
        <v>65000</v>
      </c>
      <c r="P40" s="64">
        <f ca="1">IFERROR(__xludf.DUMMYFUNCTION("IMPORTRANGE(""https://docs.google.com/spreadsheets/d/1uMKqWwuNQ-TCKboGA3Bb1qXb5uj2-faACNUINCz8PN4/edit?usp=sharing"",""มุกดาหาร!N453"")"),24270)</f>
        <v>24270</v>
      </c>
      <c r="Q40" s="62">
        <f ca="1">IFERROR(__xludf.DUMMYFUNCTION("IMPORTRANGE(""https://docs.google.com/spreadsheets/d/1uMKqWwuNQ-TCKboGA3Bb1qXb5uj2-faACNUINCz8PN4/edit?usp=sharing"",""มุกดาหาร!N456"")"),0)</f>
        <v>0</v>
      </c>
      <c r="R40" s="62">
        <f t="shared" ca="1" si="32"/>
        <v>0</v>
      </c>
      <c r="S40" s="57">
        <f ca="1">IFERROR(__xludf.DUMMYFUNCTION("IMPORTRANGE(""https://docs.google.com/spreadsheets/d/1uMKqWwuNQ-TCKboGA3Bb1qXb5uj2-faACNUINCz8PN4/edit?usp=sharing"",""มุกดาหาร!I458"")"),0)</f>
        <v>0</v>
      </c>
      <c r="T40" s="57">
        <f ca="1">IFERROR(__xludf.DUMMYFUNCTION("IMPORTRANGE(""https://docs.google.com/spreadsheets/d/1uMKqWwuNQ-TCKboGA3Bb1qXb5uj2-faACNUINCz8PN4/edit?usp=sharing"",""มุกดาหาร!J458"")"),0)</f>
        <v>0</v>
      </c>
      <c r="U40" s="63">
        <f t="shared" ca="1" si="24"/>
        <v>0</v>
      </c>
      <c r="V40" s="57">
        <f ca="1">IFERROR(__xludf.DUMMYFUNCTION("IMPORTRANGE(""https://docs.google.com/spreadsheets/d/1uMKqWwuNQ-TCKboGA3Bb1qXb5uj2-faACNUINCz8PN4/edit?usp=sharing"",""มุกดาหาร!I460"")"),50)</f>
        <v>50</v>
      </c>
      <c r="W40" s="57">
        <f ca="1">IFERROR(__xludf.DUMMYFUNCTION("IMPORTRANGE(""https://docs.google.com/spreadsheets/d/1uMKqWwuNQ-TCKboGA3Bb1qXb5uj2-faACNUINCz8PN4/edit?usp=sharing"",""มุกดาหาร!J460"")"),50)</f>
        <v>50</v>
      </c>
      <c r="X40" s="63">
        <f t="shared" ca="1" si="25"/>
        <v>100</v>
      </c>
      <c r="Y40" s="57">
        <f ca="1">IFERROR(__xludf.DUMMYFUNCTION("IMPORTRANGE(""https://docs.google.com/spreadsheets/d/1uMKqWwuNQ-TCKboGA3Bb1qXb5uj2-faACNUINCz8PN4/edit?usp=sharing"",""มุกดาหาร!I462"")"),120)</f>
        <v>120</v>
      </c>
      <c r="Z40" s="57">
        <f ca="1">IFERROR(__xludf.DUMMYFUNCTION("IMPORTRANGE(""https://docs.google.com/spreadsheets/d/1uMKqWwuNQ-TCKboGA3Bb1qXb5uj2-faACNUINCz8PN4/edit?usp=sharing"",""มุกดาหาร!J462"")"),120)</f>
        <v>120</v>
      </c>
      <c r="AA40" s="63">
        <f t="shared" ca="1" si="26"/>
        <v>100</v>
      </c>
      <c r="AB40" s="57">
        <f ca="1">IFERROR(__xludf.DUMMYFUNCTION("IMPORTRANGE(""https://docs.google.com/spreadsheets/d/1uMKqWwuNQ-TCKboGA3Bb1qXb5uj2-faACNUINCz8PN4/edit?usp=sharing"",""มุกดาหาร!I463"")"),120)</f>
        <v>120</v>
      </c>
      <c r="AC40" s="57">
        <f ca="1">IFERROR(__xludf.DUMMYFUNCTION("IMPORTRANGE(""https://docs.google.com/spreadsheets/d/1uMKqWwuNQ-TCKboGA3Bb1qXb5uj2-faACNUINCz8PN4/edit?usp=sharing"",""มุกดาหาร!I464"")"),50)</f>
        <v>50</v>
      </c>
      <c r="AD40" s="57">
        <f ca="1">IFERROR(__xludf.DUMMYFUNCTION("IMPORTRANGE(""https://docs.google.com/spreadsheets/d/1uMKqWwuNQ-TCKboGA3Bb1qXb5uj2-faACNUINCz8PN4/edit?usp=sharing"",""มุกดาหาร!J463"")"),120)</f>
        <v>120</v>
      </c>
      <c r="AE40" s="63">
        <f t="shared" ca="1" si="27"/>
        <v>100</v>
      </c>
      <c r="AF40" s="57">
        <f ca="1">IFERROR(__xludf.DUMMYFUNCTION("IMPORTRANGE(""https://docs.google.com/spreadsheets/d/1uMKqWwuNQ-TCKboGA3Bb1qXb5uj2-faACNUINCz8PN4/edit?usp=sharing"",""มุกดาหาร!J464"")"),50)</f>
        <v>50</v>
      </c>
      <c r="AG40" s="63">
        <f t="shared" ca="1" si="13"/>
        <v>100</v>
      </c>
    </row>
    <row r="41" spans="1:33" ht="21" customHeight="1" x14ac:dyDescent="0.3">
      <c r="A41" s="54">
        <v>10</v>
      </c>
      <c r="B41" s="55" t="s">
        <v>62</v>
      </c>
      <c r="C41" s="56">
        <f t="shared" ca="1" si="45"/>
        <v>616680</v>
      </c>
      <c r="D41" s="57">
        <f ca="1">IFERROR(__xludf.DUMMYFUNCTION("IMPORTRANGE(""https://docs.google.com/spreadsheets/d/1oKaccgDdQABndOzGr688Dbfxb_V3YcF67VqEPBtdzsc/edit?usp=sharing"",""ยโสธร!L449"")"),616680)</f>
        <v>616680</v>
      </c>
      <c r="E41" s="64">
        <f ca="1">IFERROR(__xludf.DUMMYFUNCTION("IMPORTRANGE(""https://docs.google.com/spreadsheets/d/1oKaccgDdQABndOzGr688Dbfxb_V3YcF67VqEPBtdzsc/edit?usp=sharing"",""ยโสธร!L456"")"),0)</f>
        <v>0</v>
      </c>
      <c r="F41" s="64">
        <f ca="1">IFERROR(__xludf.DUMMYFUNCTION("IMPORTRANGE(""https://docs.google.com/spreadsheets/d/1oKaccgDdQABndOzGr688Dbfxb_V3YcF67VqEPBtdzsc/edit?usp=sharing"",""ยโสธร!M449"")"),616680)</f>
        <v>616680</v>
      </c>
      <c r="G41" s="64">
        <f ca="1">IFERROR(__xludf.DUMMYFUNCTION("IMPORTRANGE(""https://docs.google.com/spreadsheets/d/1oKaccgDdQABndOzGr688Dbfxb_V3YcF67VqEPBtdzsc/edit?usp=sharing"",""ยโสธร!M431"")"),0)</f>
        <v>0</v>
      </c>
      <c r="H41" s="58">
        <f t="shared" ca="1" si="23"/>
        <v>454076</v>
      </c>
      <c r="I41" s="59">
        <f t="shared" ca="1" si="1"/>
        <v>73.632353895050912</v>
      </c>
      <c r="J41" s="60">
        <f t="shared" ca="1" si="46"/>
        <v>454076</v>
      </c>
      <c r="K41" s="61">
        <f t="shared" ca="1" si="29"/>
        <v>73.632353895050912</v>
      </c>
      <c r="L41" s="61">
        <f t="shared" ca="1" si="30"/>
        <v>73.632353895050912</v>
      </c>
      <c r="M41" s="64">
        <f ca="1">IFERROR(__xludf.DUMMYFUNCTION("IMPORTRANGE(""https://docs.google.com/spreadsheets/d/1oKaccgDdQABndOzGr688Dbfxb_V3YcF67VqEPBtdzsc/edit?usp=sharing"",""ยโสธร!N450"")"),85000)</f>
        <v>85000</v>
      </c>
      <c r="N41" s="64">
        <f ca="1">IFERROR(__xludf.DUMMYFUNCTION("IMPORTRANGE(""https://docs.google.com/spreadsheets/d/1oKaccgDdQABndOzGr688Dbfxb_V3YcF67VqEPBtdzsc/edit?usp=sharing"",""ยโสธร!N451"")"),264600)</f>
        <v>264600</v>
      </c>
      <c r="O41" s="64">
        <f ca="1">IFERROR(__xludf.DUMMYFUNCTION("IMPORTRANGE(""https://docs.google.com/spreadsheets/d/1oKaccgDdQABndOzGr688Dbfxb_V3YcF67VqEPBtdzsc/edit?usp=sharing"",""ยโสธร!N452"")"),64566)</f>
        <v>64566</v>
      </c>
      <c r="P41" s="64">
        <f ca="1">IFERROR(__xludf.DUMMYFUNCTION("IMPORTRANGE(""https://docs.google.com/spreadsheets/d/1oKaccgDdQABndOzGr688Dbfxb_V3YcF67VqEPBtdzsc/edit?usp=sharing"",""ยโสธร!N453"")"),39910)</f>
        <v>39910</v>
      </c>
      <c r="Q41" s="62">
        <f ca="1">IFERROR(__xludf.DUMMYFUNCTION("IMPORTRANGE(""https://docs.google.com/spreadsheets/d/1oKaccgDdQABndOzGr688Dbfxb_V3YcF67VqEPBtdzsc/edit?usp=sharing"",""ยโสธร!N456"")"),0)</f>
        <v>0</v>
      </c>
      <c r="R41" s="62">
        <f t="shared" ca="1" si="32"/>
        <v>0</v>
      </c>
      <c r="S41" s="57">
        <f ca="1">IFERROR(__xludf.DUMMYFUNCTION("IMPORTRANGE(""https://docs.google.com/spreadsheets/d/1oKaccgDdQABndOzGr688Dbfxb_V3YcF67VqEPBtdzsc/edit?usp=sharing"",""ยโสธร!I458"")"),0)</f>
        <v>0</v>
      </c>
      <c r="T41" s="57">
        <f ca="1">IFERROR(__xludf.DUMMYFUNCTION("IMPORTRANGE(""https://docs.google.com/spreadsheets/d/1oKaccgDdQABndOzGr688Dbfxb_V3YcF67VqEPBtdzsc/edit?usp=sharing"",""ยโสธร!J458"")"),0)</f>
        <v>0</v>
      </c>
      <c r="U41" s="63">
        <f t="shared" ca="1" si="24"/>
        <v>0</v>
      </c>
      <c r="V41" s="57">
        <f ca="1">IFERROR(__xludf.DUMMYFUNCTION("IMPORTRANGE(""https://docs.google.com/spreadsheets/d/1oKaccgDdQABndOzGr688Dbfxb_V3YcF67VqEPBtdzsc/edit?usp=sharing"",""ยโสธร!I460"")"),100)</f>
        <v>100</v>
      </c>
      <c r="W41" s="57">
        <f ca="1">IFERROR(__xludf.DUMMYFUNCTION("IMPORTRANGE(""https://docs.google.com/spreadsheets/d/1oKaccgDdQABndOzGr688Dbfxb_V3YcF67VqEPBtdzsc/edit?usp=sharing"",""ยโสธร!J460"")"),100)</f>
        <v>100</v>
      </c>
      <c r="X41" s="63">
        <f t="shared" ca="1" si="25"/>
        <v>100</v>
      </c>
      <c r="Y41" s="57">
        <f ca="1">IFERROR(__xludf.DUMMYFUNCTION("IMPORTRANGE(""https://docs.google.com/spreadsheets/d/1oKaccgDdQABndOzGr688Dbfxb_V3YcF67VqEPBtdzsc/edit?usp=sharing"",""ยโสธร!I462"")"),280)</f>
        <v>280</v>
      </c>
      <c r="Z41" s="57">
        <f ca="1">IFERROR(__xludf.DUMMYFUNCTION("IMPORTRANGE(""https://docs.google.com/spreadsheets/d/1oKaccgDdQABndOzGr688Dbfxb_V3YcF67VqEPBtdzsc/edit?usp=sharing"",""ยโสธร!J462"")"),280)</f>
        <v>280</v>
      </c>
      <c r="AA41" s="63">
        <f t="shared" ca="1" si="26"/>
        <v>100</v>
      </c>
      <c r="AB41" s="57">
        <f ca="1">IFERROR(__xludf.DUMMYFUNCTION("IMPORTRANGE(""https://docs.google.com/spreadsheets/d/1oKaccgDdQABndOzGr688Dbfxb_V3YcF67VqEPBtdzsc/edit?usp=sharing"",""ยโสธร!I463"")"),280)</f>
        <v>280</v>
      </c>
      <c r="AC41" s="57">
        <f ca="1">IFERROR(__xludf.DUMMYFUNCTION("IMPORTRANGE(""https://docs.google.com/spreadsheets/d/1oKaccgDdQABndOzGr688Dbfxb_V3YcF67VqEPBtdzsc/edit?usp=sharing"",""ยโสธร!I464"")"),100)</f>
        <v>100</v>
      </c>
      <c r="AD41" s="57">
        <f ca="1">IFERROR(__xludf.DUMMYFUNCTION("IMPORTRANGE(""https://docs.google.com/spreadsheets/d/1oKaccgDdQABndOzGr688Dbfxb_V3YcF67VqEPBtdzsc/edit?usp=sharing"",""ยโสธร!J463"")"),280)</f>
        <v>280</v>
      </c>
      <c r="AE41" s="63">
        <f t="shared" ca="1" si="27"/>
        <v>100</v>
      </c>
      <c r="AF41" s="57">
        <f ca="1">IFERROR(__xludf.DUMMYFUNCTION("IMPORTRANGE(""https://docs.google.com/spreadsheets/d/1oKaccgDdQABndOzGr688Dbfxb_V3YcF67VqEPBtdzsc/edit?usp=sharing"",""ยโสธร!J464"")"),100)</f>
        <v>100</v>
      </c>
      <c r="AG41" s="63">
        <f t="shared" ca="1" si="13"/>
        <v>100</v>
      </c>
    </row>
    <row r="42" spans="1:33" ht="21" customHeight="1" x14ac:dyDescent="0.3">
      <c r="A42" s="54">
        <v>11</v>
      </c>
      <c r="B42" s="55" t="s">
        <v>63</v>
      </c>
      <c r="C42" s="56">
        <f t="shared" ca="1" si="45"/>
        <v>688280</v>
      </c>
      <c r="D42" s="57">
        <f ca="1">IFERROR(__xludf.DUMMYFUNCTION("IMPORTRANGE(""https://docs.google.com/spreadsheets/d/1BRgc8xKpxZ0PX-gauieMVkV_IOxKSotf0yW8MabGprQ/edit?usp=sharing"",""ร้อยเอ็ด!L449"")"),688280)</f>
        <v>688280</v>
      </c>
      <c r="E42" s="64">
        <f ca="1">IFERROR(__xludf.DUMMYFUNCTION("IMPORTRANGE(""https://docs.google.com/spreadsheets/d/1BRgc8xKpxZ0PX-gauieMVkV_IOxKSotf0yW8MabGprQ/edit?usp=sharing"",""ร้อยเอ็ด!L456"")"),0)</f>
        <v>0</v>
      </c>
      <c r="F42" s="64">
        <f ca="1">IFERROR(__xludf.DUMMYFUNCTION("IMPORTRANGE(""https://docs.google.com/spreadsheets/d/1BRgc8xKpxZ0PX-gauieMVkV_IOxKSotf0yW8MabGprQ/edit?usp=sharing"",""ร้อยเอ็ด!M449"")"),688280)</f>
        <v>688280</v>
      </c>
      <c r="G42" s="64">
        <f ca="1">IFERROR(__xludf.DUMMYFUNCTION("IMPORTRANGE(""https://docs.google.com/spreadsheets/d/1BRgc8xKpxZ0PX-gauieMVkV_IOxKSotf0yW8MabGprQ/edit?usp=sharing"",""ร้อยเอ็ด!M431"")"),0)</f>
        <v>0</v>
      </c>
      <c r="H42" s="58">
        <f t="shared" ca="1" si="23"/>
        <v>610280</v>
      </c>
      <c r="I42" s="59">
        <f t="shared" ca="1" si="1"/>
        <v>88.66740280118556</v>
      </c>
      <c r="J42" s="60">
        <f t="shared" ca="1" si="46"/>
        <v>610280</v>
      </c>
      <c r="K42" s="61">
        <f t="shared" ca="1" si="29"/>
        <v>88.66740280118556</v>
      </c>
      <c r="L42" s="61">
        <f t="shared" ca="1" si="30"/>
        <v>88.66740280118556</v>
      </c>
      <c r="M42" s="64">
        <f ca="1">IFERROR(__xludf.DUMMYFUNCTION("IMPORTRANGE(""https://docs.google.com/spreadsheets/d/1BRgc8xKpxZ0PX-gauieMVkV_IOxKSotf0yW8MabGprQ/edit?usp=sharing"",""ร้อยเอ็ด!N450"")"),136677)</f>
        <v>136677</v>
      </c>
      <c r="N42" s="64">
        <f ca="1">IFERROR(__xludf.DUMMYFUNCTION("IMPORTRANGE(""https://docs.google.com/spreadsheets/d/1BRgc8xKpxZ0PX-gauieMVkV_IOxKSotf0yW8MabGprQ/edit?usp=sharing"",""ร้อยเอ็ด!N451"")"),350000)</f>
        <v>350000</v>
      </c>
      <c r="O42" s="64">
        <f ca="1">IFERROR(__xludf.DUMMYFUNCTION("IMPORTRANGE(""https://docs.google.com/spreadsheets/d/1BRgc8xKpxZ0PX-gauieMVkV_IOxKSotf0yW8MabGprQ/edit?usp=sharing"",""ร้อยเอ็ด!N452"")"),65000)</f>
        <v>65000</v>
      </c>
      <c r="P42" s="64">
        <f ca="1">IFERROR(__xludf.DUMMYFUNCTION("IMPORTRANGE(""https://docs.google.com/spreadsheets/d/1BRgc8xKpxZ0PX-gauieMVkV_IOxKSotf0yW8MabGprQ/edit?usp=sharing"",""ร้อยเอ็ด!N453"")"),58603)</f>
        <v>58603</v>
      </c>
      <c r="Q42" s="62">
        <f ca="1">IFERROR(__xludf.DUMMYFUNCTION("IMPORTRANGE(""https://docs.google.com/spreadsheets/d/1BRgc8xKpxZ0PX-gauieMVkV_IOxKSotf0yW8MabGprQ/edit?usp=sharing"",""ร้อยเอ็ด!N456"")"),0)</f>
        <v>0</v>
      </c>
      <c r="R42" s="62">
        <f t="shared" ca="1" si="32"/>
        <v>0</v>
      </c>
      <c r="S42" s="57">
        <f ca="1">IFERROR(__xludf.DUMMYFUNCTION("IMPORTRANGE(""https://docs.google.com/spreadsheets/d/1BRgc8xKpxZ0PX-gauieMVkV_IOxKSotf0yW8MabGprQ/edit?usp=sharing"",""ร้อยเอ็ด!I458"")"),0)</f>
        <v>0</v>
      </c>
      <c r="T42" s="57">
        <f ca="1">IFERROR(__xludf.DUMMYFUNCTION("IMPORTRANGE(""https://docs.google.com/spreadsheets/d/1BRgc8xKpxZ0PX-gauieMVkV_IOxKSotf0yW8MabGprQ/edit?usp=sharing"",""ร้อยเอ็ด!J458"")"),0)</f>
        <v>0</v>
      </c>
      <c r="U42" s="63">
        <f t="shared" ca="1" si="24"/>
        <v>0</v>
      </c>
      <c r="V42" s="57">
        <f ca="1">IFERROR(__xludf.DUMMYFUNCTION("IMPORTRANGE(""https://docs.google.com/spreadsheets/d/1BRgc8xKpxZ0PX-gauieMVkV_IOxKSotf0yW8MabGprQ/edit?usp=sharing"",""ร้อยเอ็ด!I460"")"),100)</f>
        <v>100</v>
      </c>
      <c r="W42" s="57">
        <f ca="1">IFERROR(__xludf.DUMMYFUNCTION("IMPORTRANGE(""https://docs.google.com/spreadsheets/d/1BRgc8xKpxZ0PX-gauieMVkV_IOxKSotf0yW8MabGprQ/edit?usp=sharing"",""ร้อยเอ็ด!J460"")"),100)</f>
        <v>100</v>
      </c>
      <c r="X42" s="63">
        <f t="shared" ca="1" si="25"/>
        <v>100</v>
      </c>
      <c r="Y42" s="57">
        <f ca="1">IFERROR(__xludf.DUMMYFUNCTION("IMPORTRANGE(""https://docs.google.com/spreadsheets/d/1BRgc8xKpxZ0PX-gauieMVkV_IOxKSotf0yW8MabGprQ/edit?usp=sharing"",""ร้อยเอ็ด!I462"")"),400)</f>
        <v>400</v>
      </c>
      <c r="Z42" s="57">
        <f ca="1">IFERROR(__xludf.DUMMYFUNCTION("IMPORTRANGE(""https://docs.google.com/spreadsheets/d/1BRgc8xKpxZ0PX-gauieMVkV_IOxKSotf0yW8MabGprQ/edit?usp=sharing"",""ร้อยเอ็ด!J462"")"),400)</f>
        <v>400</v>
      </c>
      <c r="AA42" s="63">
        <f t="shared" ca="1" si="26"/>
        <v>100</v>
      </c>
      <c r="AB42" s="57">
        <f ca="1">IFERROR(__xludf.DUMMYFUNCTION("IMPORTRANGE(""https://docs.google.com/spreadsheets/d/1BRgc8xKpxZ0PX-gauieMVkV_IOxKSotf0yW8MabGprQ/edit?usp=sharing"",""ร้อยเอ็ด!I463"")"),400)</f>
        <v>400</v>
      </c>
      <c r="AC42" s="57">
        <f ca="1">IFERROR(__xludf.DUMMYFUNCTION("IMPORTRANGE(""https://docs.google.com/spreadsheets/d/1BRgc8xKpxZ0PX-gauieMVkV_IOxKSotf0yW8MabGprQ/edit?usp=sharing"",""ร้อยเอ็ด!I464"")"),100)</f>
        <v>100</v>
      </c>
      <c r="AD42" s="57">
        <f ca="1">IFERROR(__xludf.DUMMYFUNCTION("IMPORTRANGE(""https://docs.google.com/spreadsheets/d/1BRgc8xKpxZ0PX-gauieMVkV_IOxKSotf0yW8MabGprQ/edit?usp=sharing"",""ร้อยเอ็ด!J463"")"),400)</f>
        <v>400</v>
      </c>
      <c r="AE42" s="63">
        <f t="shared" ca="1" si="27"/>
        <v>100</v>
      </c>
      <c r="AF42" s="57">
        <f ca="1">IFERROR(__xludf.DUMMYFUNCTION("IMPORTRANGE(""https://docs.google.com/spreadsheets/d/1BRgc8xKpxZ0PX-gauieMVkV_IOxKSotf0yW8MabGprQ/edit?usp=sharing"",""ร้อยเอ็ด!J464"")"),100)</f>
        <v>100</v>
      </c>
      <c r="AG42" s="63">
        <f t="shared" ca="1" si="13"/>
        <v>100</v>
      </c>
    </row>
    <row r="43" spans="1:33" ht="21" customHeight="1" x14ac:dyDescent="0.3">
      <c r="A43" s="54">
        <v>12</v>
      </c>
      <c r="B43" s="55" t="s">
        <v>64</v>
      </c>
      <c r="C43" s="56">
        <f t="shared" ca="1" si="45"/>
        <v>571280</v>
      </c>
      <c r="D43" s="57">
        <f ca="1">IFERROR(__xludf.DUMMYFUNCTION("IMPORTRANGE(""https://docs.google.com/spreadsheets/d/1IdolZc-dfdgMwAm_KZxYJl1sUOcIgnbGQzbWOlddedo/edit?usp=sharing"",""เลย!L449"")"),571280)</f>
        <v>571280</v>
      </c>
      <c r="E43" s="64">
        <f ca="1">IFERROR(__xludf.DUMMYFUNCTION("IMPORTRANGE(""https://docs.google.com/spreadsheets/d/1IdolZc-dfdgMwAm_KZxYJl1sUOcIgnbGQzbWOlddedo/edit?usp=sharing"",""เลย!L456"")"),0)</f>
        <v>0</v>
      </c>
      <c r="F43" s="64">
        <f ca="1">IFERROR(__xludf.DUMMYFUNCTION("IMPORTRANGE(""https://docs.google.com/spreadsheets/d/1IdolZc-dfdgMwAm_KZxYJl1sUOcIgnbGQzbWOlddedo/edit?usp=sharing"",""เลย!M449"")"),571280)</f>
        <v>571280</v>
      </c>
      <c r="G43" s="64">
        <f ca="1">IFERROR(__xludf.DUMMYFUNCTION("IMPORTRANGE(""https://docs.google.com/spreadsheets/d/1IdolZc-dfdgMwAm_KZxYJl1sUOcIgnbGQzbWOlddedo/edit?usp=sharing"",""เลย!M431"")"),0)</f>
        <v>0</v>
      </c>
      <c r="H43" s="58">
        <f t="shared" ca="1" si="23"/>
        <v>244817</v>
      </c>
      <c r="I43" s="59">
        <f t="shared" ca="1" si="1"/>
        <v>42.854117070438313</v>
      </c>
      <c r="J43" s="60">
        <f t="shared" ca="1" si="46"/>
        <v>244817</v>
      </c>
      <c r="K43" s="61">
        <f t="shared" ca="1" si="29"/>
        <v>42.854117070438313</v>
      </c>
      <c r="L43" s="61">
        <f t="shared" ca="1" si="30"/>
        <v>42.854117070438313</v>
      </c>
      <c r="M43" s="64">
        <f ca="1">IFERROR(__xludf.DUMMYFUNCTION("IMPORTRANGE(""https://docs.google.com/spreadsheets/d/1IdolZc-dfdgMwAm_KZxYJl1sUOcIgnbGQzbWOlddedo/edit?usp=sharing"",""เลย!N450"")"),128800)</f>
        <v>128800</v>
      </c>
      <c r="N43" s="64">
        <f ca="1">IFERROR(__xludf.DUMMYFUNCTION("IMPORTRANGE(""https://docs.google.com/spreadsheets/d/1IdolZc-dfdgMwAm_KZxYJl1sUOcIgnbGQzbWOlddedo/edit?usp=sharing"",""เลย!N451"")"),0)</f>
        <v>0</v>
      </c>
      <c r="O43" s="64">
        <f ca="1">IFERROR(__xludf.DUMMYFUNCTION("IMPORTRANGE(""https://docs.google.com/spreadsheets/d/1IdolZc-dfdgMwAm_KZxYJl1sUOcIgnbGQzbWOlddedo/edit?usp=sharing"",""เลย!N452"")"),64567)</f>
        <v>64567</v>
      </c>
      <c r="P43" s="64">
        <f ca="1">IFERROR(__xludf.DUMMYFUNCTION("IMPORTRANGE(""https://docs.google.com/spreadsheets/d/1IdolZc-dfdgMwAm_KZxYJl1sUOcIgnbGQzbWOlddedo/edit?usp=sharing"",""เลย!N453"")"),51450)</f>
        <v>51450</v>
      </c>
      <c r="Q43" s="62">
        <f ca="1">IFERROR(__xludf.DUMMYFUNCTION("IMPORTRANGE(""https://docs.google.com/spreadsheets/d/1IdolZc-dfdgMwAm_KZxYJl1sUOcIgnbGQzbWOlddedo/edit?usp=sharing"",""เลย!N456"")"),0)</f>
        <v>0</v>
      </c>
      <c r="R43" s="62">
        <f t="shared" ca="1" si="32"/>
        <v>0</v>
      </c>
      <c r="S43" s="57">
        <f ca="1">IFERROR(__xludf.DUMMYFUNCTION("IMPORTRANGE(""https://docs.google.com/spreadsheets/d/1IdolZc-dfdgMwAm_KZxYJl1sUOcIgnbGQzbWOlddedo/edit?usp=sharing"",""เลย!I458"")"),0)</f>
        <v>0</v>
      </c>
      <c r="T43" s="57">
        <f ca="1">IFERROR(__xludf.DUMMYFUNCTION("IMPORTRANGE(""https://docs.google.com/spreadsheets/d/1IdolZc-dfdgMwAm_KZxYJl1sUOcIgnbGQzbWOlddedo/edit?usp=sharing"",""เลย!J458"")"),0)</f>
        <v>0</v>
      </c>
      <c r="U43" s="63">
        <f t="shared" ca="1" si="24"/>
        <v>0</v>
      </c>
      <c r="V43" s="57">
        <f ca="1">IFERROR(__xludf.DUMMYFUNCTION("IMPORTRANGE(""https://docs.google.com/spreadsheets/d/1IdolZc-dfdgMwAm_KZxYJl1sUOcIgnbGQzbWOlddedo/edit?usp=sharing"",""เลย!I460"")"),100)</f>
        <v>100</v>
      </c>
      <c r="W43" s="57">
        <f ca="1">IFERROR(__xludf.DUMMYFUNCTION("IMPORTRANGE(""https://docs.google.com/spreadsheets/d/1IdolZc-dfdgMwAm_KZxYJl1sUOcIgnbGQzbWOlddedo/edit?usp=sharing"",""เลย!J460"")"),100)</f>
        <v>100</v>
      </c>
      <c r="X43" s="63">
        <f t="shared" ca="1" si="25"/>
        <v>100</v>
      </c>
      <c r="Y43" s="57">
        <f ca="1">IFERROR(__xludf.DUMMYFUNCTION("IMPORTRANGE(""https://docs.google.com/spreadsheets/d/1IdolZc-dfdgMwAm_KZxYJl1sUOcIgnbGQzbWOlddedo/edit?usp=sharing"",""เลย!I462"")"),235)</f>
        <v>235</v>
      </c>
      <c r="Z43" s="57">
        <f ca="1">IFERROR(__xludf.DUMMYFUNCTION("IMPORTRANGE(""https://docs.google.com/spreadsheets/d/1IdolZc-dfdgMwAm_KZxYJl1sUOcIgnbGQzbWOlddedo/edit?usp=sharing"",""เลย!J462"")"),235)</f>
        <v>235</v>
      </c>
      <c r="AA43" s="63">
        <f t="shared" ca="1" si="26"/>
        <v>100</v>
      </c>
      <c r="AB43" s="57">
        <f ca="1">IFERROR(__xludf.DUMMYFUNCTION("IMPORTRANGE(""https://docs.google.com/spreadsheets/d/1IdolZc-dfdgMwAm_KZxYJl1sUOcIgnbGQzbWOlddedo/edit?usp=sharing"",""เลย!I463"")"),235)</f>
        <v>235</v>
      </c>
      <c r="AC43" s="57">
        <f ca="1">IFERROR(__xludf.DUMMYFUNCTION("IMPORTRANGE(""https://docs.google.com/spreadsheets/d/1IdolZc-dfdgMwAm_KZxYJl1sUOcIgnbGQzbWOlddedo/edit?usp=sharing"",""เลย!I464"")"),100)</f>
        <v>100</v>
      </c>
      <c r="AD43" s="57">
        <f ca="1">IFERROR(__xludf.DUMMYFUNCTION("IMPORTRANGE(""https://docs.google.com/spreadsheets/d/1IdolZc-dfdgMwAm_KZxYJl1sUOcIgnbGQzbWOlddedo/edit?usp=sharing"",""เลย!J463"")"),0)</f>
        <v>0</v>
      </c>
      <c r="AE43" s="63">
        <f t="shared" ca="1" si="27"/>
        <v>0</v>
      </c>
      <c r="AF43" s="57">
        <f ca="1">IFERROR(__xludf.DUMMYFUNCTION("IMPORTRANGE(""https://docs.google.com/spreadsheets/d/1IdolZc-dfdgMwAm_KZxYJl1sUOcIgnbGQzbWOlddedo/edit?usp=sharing"",""เลย!J464"")"),0)</f>
        <v>0</v>
      </c>
      <c r="AG43" s="63">
        <f t="shared" ca="1" si="13"/>
        <v>0</v>
      </c>
    </row>
    <row r="44" spans="1:33" ht="21" customHeight="1" x14ac:dyDescent="0.3">
      <c r="A44" s="54">
        <v>13</v>
      </c>
      <c r="B44" s="55" t="s">
        <v>65</v>
      </c>
      <c r="C44" s="56">
        <f t="shared" ca="1" si="45"/>
        <v>403680</v>
      </c>
      <c r="D44" s="57">
        <f ca="1">IFERROR(__xludf.DUMMYFUNCTION("IMPORTRANGE(""https://docs.google.com/spreadsheets/d/1tZ0nmtGuIRCaGAMXHlQU8EpR9LOAJvyKfc4f7EFmE34/edit?usp=sharing"",""ศรีสะเกษ!L449"")"),403680)</f>
        <v>403680</v>
      </c>
      <c r="E44" s="64">
        <f ca="1">IFERROR(__xludf.DUMMYFUNCTION("IMPORTRANGE(""https://docs.google.com/spreadsheets/d/1tZ0nmtGuIRCaGAMXHlQU8EpR9LOAJvyKfc4f7EFmE34/edit?usp=sharing"",""ศรีสะเกษ!L456"")"),0)</f>
        <v>0</v>
      </c>
      <c r="F44" s="64">
        <f ca="1">IFERROR(__xludf.DUMMYFUNCTION("IMPORTRANGE(""https://docs.google.com/spreadsheets/d/1tZ0nmtGuIRCaGAMXHlQU8EpR9LOAJvyKfc4f7EFmE34/edit?usp=sharing"",""ศรีสะเกษ!M449"")"),403680)</f>
        <v>403680</v>
      </c>
      <c r="G44" s="64">
        <f ca="1">IFERROR(__xludf.DUMMYFUNCTION("IMPORTRANGE(""https://docs.google.com/spreadsheets/d/1tZ0nmtGuIRCaGAMXHlQU8EpR9LOAJvyKfc4f7EFmE34/edit?usp=sharing"",""ศรีสะเกษ!M431"")"),0)</f>
        <v>0</v>
      </c>
      <c r="H44" s="58">
        <f t="shared" ca="1" si="23"/>
        <v>158750</v>
      </c>
      <c r="I44" s="59">
        <f t="shared" ca="1" si="1"/>
        <v>39.325703527546573</v>
      </c>
      <c r="J44" s="60">
        <f t="shared" ca="1" si="46"/>
        <v>158750</v>
      </c>
      <c r="K44" s="61">
        <f t="shared" ca="1" si="29"/>
        <v>39.325703527546573</v>
      </c>
      <c r="L44" s="61">
        <f t="shared" ca="1" si="30"/>
        <v>39.325703527546573</v>
      </c>
      <c r="M44" s="64">
        <f ca="1">IFERROR(__xludf.DUMMYFUNCTION("IMPORTRANGE(""https://docs.google.com/spreadsheets/d/1tZ0nmtGuIRCaGAMXHlQU8EpR9LOAJvyKfc4f7EFmE34/edit?usp=sharing"",""ศรีสะเกษ!N450"")"),36190)</f>
        <v>36190</v>
      </c>
      <c r="N44" s="64">
        <f ca="1">IFERROR(__xludf.DUMMYFUNCTION("IMPORTRANGE(""https://docs.google.com/spreadsheets/d/1tZ0nmtGuIRCaGAMXHlQU8EpR9LOAJvyKfc4f7EFmE34/edit?usp=sharing"",""ศรีสะเกษ!N451"")"),61400)</f>
        <v>61400</v>
      </c>
      <c r="O44" s="64">
        <f ca="1">IFERROR(__xludf.DUMMYFUNCTION("IMPORTRANGE(""https://docs.google.com/spreadsheets/d/1tZ0nmtGuIRCaGAMXHlQU8EpR9LOAJvyKfc4f7EFmE34/edit?usp=sharing"",""ศรีสะเกษ!N452"")"),52000)</f>
        <v>52000</v>
      </c>
      <c r="P44" s="64">
        <f ca="1">IFERROR(__xludf.DUMMYFUNCTION("IMPORTRANGE(""https://docs.google.com/spreadsheets/d/1tZ0nmtGuIRCaGAMXHlQU8EpR9LOAJvyKfc4f7EFmE34/edit?usp=sharing"",""ศรีสะเกษ!N453"")"),9160)</f>
        <v>9160</v>
      </c>
      <c r="Q44" s="62">
        <f ca="1">IFERROR(__xludf.DUMMYFUNCTION("IMPORTRANGE(""https://docs.google.com/spreadsheets/d/1tZ0nmtGuIRCaGAMXHlQU8EpR9LOAJvyKfc4f7EFmE34/edit?usp=sharing"",""ศรีสะเกษ!N456"")"),0)</f>
        <v>0</v>
      </c>
      <c r="R44" s="62">
        <f t="shared" ca="1" si="32"/>
        <v>0</v>
      </c>
      <c r="S44" s="57">
        <f ca="1">IFERROR(__xludf.DUMMYFUNCTION("IMPORTRANGE(""https://docs.google.com/spreadsheets/d/1tZ0nmtGuIRCaGAMXHlQU8EpR9LOAJvyKfc4f7EFmE34/edit?usp=sharing"",""ศรีสะเกษ!I458"")"),0)</f>
        <v>0</v>
      </c>
      <c r="T44" s="57">
        <f ca="1">IFERROR(__xludf.DUMMYFUNCTION("IMPORTRANGE(""https://docs.google.com/spreadsheets/d/1tZ0nmtGuIRCaGAMXHlQU8EpR9LOAJvyKfc4f7EFmE34/edit?usp=sharing"",""ศรีสะเกษ!J458"")"),0)</f>
        <v>0</v>
      </c>
      <c r="U44" s="63">
        <f t="shared" ca="1" si="24"/>
        <v>0</v>
      </c>
      <c r="V44" s="57">
        <f ca="1">IFERROR(__xludf.DUMMYFUNCTION("IMPORTRANGE(""https://docs.google.com/spreadsheets/d/1tZ0nmtGuIRCaGAMXHlQU8EpR9LOAJvyKfc4f7EFmE34/edit?usp=sharing"",""ศรีสะเกษ!I460"")"),40)</f>
        <v>40</v>
      </c>
      <c r="W44" s="57">
        <f ca="1">IFERROR(__xludf.DUMMYFUNCTION("IMPORTRANGE(""https://docs.google.com/spreadsheets/d/1tZ0nmtGuIRCaGAMXHlQU8EpR9LOAJvyKfc4f7EFmE34/edit?usp=sharing"",""ศรีสะเกษ!J460"")"),40)</f>
        <v>40</v>
      </c>
      <c r="X44" s="63">
        <f t="shared" ca="1" si="25"/>
        <v>100</v>
      </c>
      <c r="Y44" s="57">
        <f ca="1">IFERROR(__xludf.DUMMYFUNCTION("IMPORTRANGE(""https://docs.google.com/spreadsheets/d/1tZ0nmtGuIRCaGAMXHlQU8EpR9LOAJvyKfc4f7EFmE34/edit?usp=sharing"",""ศรีสะเกษ!I462"")"),200)</f>
        <v>200</v>
      </c>
      <c r="Z44" s="57">
        <f ca="1">IFERROR(__xludf.DUMMYFUNCTION("IMPORTRANGE(""https://docs.google.com/spreadsheets/d/1tZ0nmtGuIRCaGAMXHlQU8EpR9LOAJvyKfc4f7EFmE34/edit?usp=sharing"",""ศรีสะเกษ!J462"")"),200)</f>
        <v>200</v>
      </c>
      <c r="AA44" s="63">
        <f t="shared" ca="1" si="26"/>
        <v>100</v>
      </c>
      <c r="AB44" s="57">
        <f ca="1">IFERROR(__xludf.DUMMYFUNCTION("IMPORTRANGE(""https://docs.google.com/spreadsheets/d/1tZ0nmtGuIRCaGAMXHlQU8EpR9LOAJvyKfc4f7EFmE34/edit?usp=sharing"",""ศรีสะเกษ!I463"")"),200)</f>
        <v>200</v>
      </c>
      <c r="AC44" s="57">
        <f ca="1">IFERROR(__xludf.DUMMYFUNCTION("IMPORTRANGE(""https://docs.google.com/spreadsheets/d/1tZ0nmtGuIRCaGAMXHlQU8EpR9LOAJvyKfc4f7EFmE34/edit?usp=sharing"",""ศรีสะเกษ!I464"")"),40)</f>
        <v>40</v>
      </c>
      <c r="AD44" s="57">
        <f ca="1">IFERROR(__xludf.DUMMYFUNCTION("IMPORTRANGE(""https://docs.google.com/spreadsheets/d/1tZ0nmtGuIRCaGAMXHlQU8EpR9LOAJvyKfc4f7EFmE34/edit?usp=sharing"",""ศรีสะเกษ!J463"")"),0)</f>
        <v>0</v>
      </c>
      <c r="AE44" s="63">
        <f t="shared" ca="1" si="27"/>
        <v>0</v>
      </c>
      <c r="AF44" s="57">
        <f ca="1">IFERROR(__xludf.DUMMYFUNCTION("IMPORTRANGE(""https://docs.google.com/spreadsheets/d/1tZ0nmtGuIRCaGAMXHlQU8EpR9LOAJvyKfc4f7EFmE34/edit?usp=sharing"",""ศรีสะเกษ!J464"")"),0)</f>
        <v>0</v>
      </c>
      <c r="AG44" s="63">
        <f t="shared" ca="1" si="13"/>
        <v>0</v>
      </c>
    </row>
    <row r="45" spans="1:33" ht="21" customHeight="1" x14ac:dyDescent="0.3">
      <c r="A45" s="54">
        <v>14</v>
      </c>
      <c r="B45" s="55" t="s">
        <v>66</v>
      </c>
      <c r="C45" s="56">
        <f t="shared" ca="1" si="45"/>
        <v>468800</v>
      </c>
      <c r="D45" s="57">
        <f ca="1">IFERROR(__xludf.DUMMYFUNCTION("IMPORTRANGE(""https://docs.google.com/spreadsheets/d/1QC8psz9w0f9IVE9Xuc2FT_btkaOzZbbUSgYObpBuetM/edit?usp=sharing"",""สกลนคร!L449"")"),468800)</f>
        <v>468800</v>
      </c>
      <c r="E45" s="64">
        <f ca="1">IFERROR(__xludf.DUMMYFUNCTION("IMPORTRANGE(""https://docs.google.com/spreadsheets/d/1QC8psz9w0f9IVE9Xuc2FT_btkaOzZbbUSgYObpBuetM/edit?usp=sharing"",""สกลนคร!L456"")"),0)</f>
        <v>0</v>
      </c>
      <c r="F45" s="64">
        <f ca="1">IFERROR(__xludf.DUMMYFUNCTION("IMPORTRANGE(""https://docs.google.com/spreadsheets/d/1QC8psz9w0f9IVE9Xuc2FT_btkaOzZbbUSgYObpBuetM/edit?usp=sharing"",""สกลนคร!M449"")"),468800)</f>
        <v>468800</v>
      </c>
      <c r="G45" s="64">
        <f ca="1">IFERROR(__xludf.DUMMYFUNCTION("IMPORTRANGE(""https://docs.google.com/spreadsheets/d/1QC8psz9w0f9IVE9Xuc2FT_btkaOzZbbUSgYObpBuetM/edit?usp=sharing"",""สกลนคร!M431"")"),0)</f>
        <v>0</v>
      </c>
      <c r="H45" s="58">
        <f t="shared" ca="1" si="23"/>
        <v>210063</v>
      </c>
      <c r="I45" s="59">
        <f t="shared" ca="1" si="1"/>
        <v>44.808660409556317</v>
      </c>
      <c r="J45" s="60">
        <f t="shared" ca="1" si="46"/>
        <v>210063</v>
      </c>
      <c r="K45" s="61">
        <f t="shared" ca="1" si="29"/>
        <v>44.808660409556317</v>
      </c>
      <c r="L45" s="61">
        <f t="shared" ca="1" si="30"/>
        <v>44.808660409556317</v>
      </c>
      <c r="M45" s="64">
        <f ca="1">IFERROR(__xludf.DUMMYFUNCTION("IMPORTRANGE(""https://docs.google.com/spreadsheets/d/1QC8psz9w0f9IVE9Xuc2FT_btkaOzZbbUSgYObpBuetM/edit?usp=sharing"",""สกลนคร!N450"")"),103038)</f>
        <v>103038</v>
      </c>
      <c r="N45" s="64">
        <f ca="1">IFERROR(__xludf.DUMMYFUNCTION("IMPORTRANGE(""https://docs.google.com/spreadsheets/d/1QC8psz9w0f9IVE9Xuc2FT_btkaOzZbbUSgYObpBuetM/edit?usp=sharing"",""สกลนคร!N451"")"),0)</f>
        <v>0</v>
      </c>
      <c r="O45" s="64">
        <f ca="1">IFERROR(__xludf.DUMMYFUNCTION("IMPORTRANGE(""https://docs.google.com/spreadsheets/d/1QC8psz9w0f9IVE9Xuc2FT_btkaOzZbbUSgYObpBuetM/edit?usp=sharing"",""สกลนคร!N452"")"),78000)</f>
        <v>78000</v>
      </c>
      <c r="P45" s="64">
        <f ca="1">IFERROR(__xludf.DUMMYFUNCTION("IMPORTRANGE(""https://docs.google.com/spreadsheets/d/1QC8psz9w0f9IVE9Xuc2FT_btkaOzZbbUSgYObpBuetM/edit?usp=sharing"",""สกลนคร!N453"")"),29025)</f>
        <v>29025</v>
      </c>
      <c r="Q45" s="62">
        <f ca="1">IFERROR(__xludf.DUMMYFUNCTION("IMPORTRANGE(""https://docs.google.com/spreadsheets/d/1QC8psz9w0f9IVE9Xuc2FT_btkaOzZbbUSgYObpBuetM/edit?usp=sharing"",""สกลนคร!N456"")"),0)</f>
        <v>0</v>
      </c>
      <c r="R45" s="62">
        <f t="shared" ca="1" si="32"/>
        <v>0</v>
      </c>
      <c r="S45" s="57">
        <f ca="1">IFERROR(__xludf.DUMMYFUNCTION("IMPORTRANGE(""https://docs.google.com/spreadsheets/d/1QC8psz9w0f9IVE9Xuc2FT_btkaOzZbbUSgYObpBuetM/edit?usp=sharing"",""สกลนคร!I458"")"),0)</f>
        <v>0</v>
      </c>
      <c r="T45" s="57">
        <f ca="1">IFERROR(__xludf.DUMMYFUNCTION("IMPORTRANGE(""https://docs.google.com/spreadsheets/d/1QC8psz9w0f9IVE9Xuc2FT_btkaOzZbbUSgYObpBuetM/edit?usp=sharing"",""สกลนคร!J458"")"),0)</f>
        <v>0</v>
      </c>
      <c r="U45" s="63">
        <f t="shared" ca="1" si="24"/>
        <v>0</v>
      </c>
      <c r="V45" s="57">
        <f ca="1">IFERROR(__xludf.DUMMYFUNCTION("IMPORTRANGE(""https://docs.google.com/spreadsheets/d/1QC8psz9w0f9IVE9Xuc2FT_btkaOzZbbUSgYObpBuetM/edit?usp=sharing"",""สกลนคร!I460"")"),70)</f>
        <v>70</v>
      </c>
      <c r="W45" s="57">
        <f ca="1">IFERROR(__xludf.DUMMYFUNCTION("IMPORTRANGE(""https://docs.google.com/spreadsheets/d/1QC8psz9w0f9IVE9Xuc2FT_btkaOzZbbUSgYObpBuetM/edit?usp=sharing"",""สกลนคร!J460"")"),70)</f>
        <v>70</v>
      </c>
      <c r="X45" s="63">
        <f t="shared" ca="1" si="25"/>
        <v>100</v>
      </c>
      <c r="Y45" s="57">
        <f ca="1">IFERROR(__xludf.DUMMYFUNCTION("IMPORTRANGE(""https://docs.google.com/spreadsheets/d/1QC8psz9w0f9IVE9Xuc2FT_btkaOzZbbUSgYObpBuetM/edit?usp=sharing"",""สกลนคร!I462"")"),180)</f>
        <v>180</v>
      </c>
      <c r="Z45" s="57">
        <f ca="1">IFERROR(__xludf.DUMMYFUNCTION("IMPORTRANGE(""https://docs.google.com/spreadsheets/d/1QC8psz9w0f9IVE9Xuc2FT_btkaOzZbbUSgYObpBuetM/edit?usp=sharing"",""สกลนคร!J462"")"),180)</f>
        <v>180</v>
      </c>
      <c r="AA45" s="63">
        <f t="shared" ca="1" si="26"/>
        <v>100</v>
      </c>
      <c r="AB45" s="57">
        <f ca="1">IFERROR(__xludf.DUMMYFUNCTION("IMPORTRANGE(""https://docs.google.com/spreadsheets/d/1QC8psz9w0f9IVE9Xuc2FT_btkaOzZbbUSgYObpBuetM/edit?usp=sharing"",""สกลนคร!I463"")"),180)</f>
        <v>180</v>
      </c>
      <c r="AC45" s="57">
        <f ca="1">IFERROR(__xludf.DUMMYFUNCTION("IMPORTRANGE(""https://docs.google.com/spreadsheets/d/1QC8psz9w0f9IVE9Xuc2FT_btkaOzZbbUSgYObpBuetM/edit?usp=sharing"",""สกลนคร!I464"")"),70)</f>
        <v>70</v>
      </c>
      <c r="AD45" s="57">
        <f ca="1">IFERROR(__xludf.DUMMYFUNCTION("IMPORTRANGE(""https://docs.google.com/spreadsheets/d/1QC8psz9w0f9IVE9Xuc2FT_btkaOzZbbUSgYObpBuetM/edit?usp=sharing"",""สกลนคร!J463"")"),0)</f>
        <v>0</v>
      </c>
      <c r="AE45" s="63">
        <f t="shared" ca="1" si="27"/>
        <v>0</v>
      </c>
      <c r="AF45" s="57">
        <f ca="1">IFERROR(__xludf.DUMMYFUNCTION("IMPORTRANGE(""https://docs.google.com/spreadsheets/d/1QC8psz9w0f9IVE9Xuc2FT_btkaOzZbbUSgYObpBuetM/edit?usp=sharing"",""สกลนคร!J464"")"),0)</f>
        <v>0</v>
      </c>
      <c r="AG45" s="63">
        <f t="shared" ca="1" si="13"/>
        <v>0</v>
      </c>
    </row>
    <row r="46" spans="1:33" ht="21" customHeight="1" x14ac:dyDescent="0.3">
      <c r="A46" s="54">
        <v>15</v>
      </c>
      <c r="B46" s="55" t="s">
        <v>67</v>
      </c>
      <c r="C46" s="56">
        <f t="shared" ca="1" si="45"/>
        <v>181560</v>
      </c>
      <c r="D46" s="57">
        <f ca="1">IFERROR(__xludf.DUMMYFUNCTION("IMPORTRANGE(""https://docs.google.com/spreadsheets/d/1wPdvRbu02d33MYVlbsCnyTiZpefEBs9NNktAnT1HZvw/edit?usp=sharing"",""สุรินทร์!L449"")"),181560)</f>
        <v>181560</v>
      </c>
      <c r="E46" s="64">
        <f ca="1">IFERROR(__xludf.DUMMYFUNCTION("IMPORTRANGE(""https://docs.google.com/spreadsheets/d/1wPdvRbu02d33MYVlbsCnyTiZpefEBs9NNktAnT1HZvw/edit?usp=sharing"",""สุรินทร์!L456"")"),0)</f>
        <v>0</v>
      </c>
      <c r="F46" s="64">
        <f ca="1">IFERROR(__xludf.DUMMYFUNCTION("IMPORTRANGE(""https://docs.google.com/spreadsheets/d/1wPdvRbu02d33MYVlbsCnyTiZpefEBs9NNktAnT1HZvw/edit?usp=sharing"",""สุรินทร์!M449"")"),181560)</f>
        <v>181560</v>
      </c>
      <c r="G46" s="64">
        <f ca="1">IFERROR(__xludf.DUMMYFUNCTION("IMPORTRANGE(""https://docs.google.com/spreadsheets/d/1wPdvRbu02d33MYVlbsCnyTiZpefEBs9NNktAnT1HZvw/edit?usp=sharing"",""สุรินทร์!M431"")"),0)</f>
        <v>0</v>
      </c>
      <c r="H46" s="58">
        <f t="shared" ca="1" si="23"/>
        <v>158390</v>
      </c>
      <c r="I46" s="59">
        <f t="shared" ca="1" si="1"/>
        <v>87.2383784974664</v>
      </c>
      <c r="J46" s="60">
        <f t="shared" ca="1" si="46"/>
        <v>158390</v>
      </c>
      <c r="K46" s="61">
        <f t="shared" ca="1" si="29"/>
        <v>87.2383784974664</v>
      </c>
      <c r="L46" s="61">
        <f t="shared" ca="1" si="30"/>
        <v>87.2383784974664</v>
      </c>
      <c r="M46" s="64">
        <f ca="1">IFERROR(__xludf.DUMMYFUNCTION("IMPORTRANGE(""https://docs.google.com/spreadsheets/d/1wPdvRbu02d33MYVlbsCnyTiZpefEBs9NNktAnT1HZvw/edit?usp=sharing"",""สุรินทร์!N450"")"),22085)</f>
        <v>22085</v>
      </c>
      <c r="N46" s="64">
        <f ca="1">IFERROR(__xludf.DUMMYFUNCTION("IMPORTRANGE(""https://docs.google.com/spreadsheets/d/1wPdvRbu02d33MYVlbsCnyTiZpefEBs9NNktAnT1HZvw/edit?usp=sharing"",""สุรินทร์!N451"")"),125000)</f>
        <v>125000</v>
      </c>
      <c r="O46" s="64">
        <f ca="1">IFERROR(__xludf.DUMMYFUNCTION("IMPORTRANGE(""https://docs.google.com/spreadsheets/d/1wPdvRbu02d33MYVlbsCnyTiZpefEBs9NNktAnT1HZvw/edit?usp=sharing"",""สุรินทร์!N452"")"),0)</f>
        <v>0</v>
      </c>
      <c r="P46" s="64">
        <f ca="1">IFERROR(__xludf.DUMMYFUNCTION("IMPORTRANGE(""https://docs.google.com/spreadsheets/d/1wPdvRbu02d33MYVlbsCnyTiZpefEBs9NNktAnT1HZvw/edit?usp=sharing"",""สุรินทร์!N453"")"),11305)</f>
        <v>11305</v>
      </c>
      <c r="Q46" s="62">
        <f ca="1">IFERROR(__xludf.DUMMYFUNCTION("IMPORTRANGE(""https://docs.google.com/spreadsheets/d/1wPdvRbu02d33MYVlbsCnyTiZpefEBs9NNktAnT1HZvw/edit?usp=sharing"",""สุรินทร์!N456"")"),0)</f>
        <v>0</v>
      </c>
      <c r="R46" s="62">
        <f t="shared" ca="1" si="32"/>
        <v>0</v>
      </c>
      <c r="S46" s="57">
        <f ca="1">IFERROR(__xludf.DUMMYFUNCTION("IMPORTRANGE(""https://docs.google.com/spreadsheets/d/1wPdvRbu02d33MYVlbsCnyTiZpefEBs9NNktAnT1HZvw/edit?usp=sharing"",""สุรินทร์!I458"")"),0)</f>
        <v>0</v>
      </c>
      <c r="T46" s="57">
        <f ca="1">IFERROR(__xludf.DUMMYFUNCTION("IMPORTRANGE(""https://docs.google.com/spreadsheets/d/1wPdvRbu02d33MYVlbsCnyTiZpefEBs9NNktAnT1HZvw/edit?usp=sharing"",""สุรินทร์!J458"")"),0)</f>
        <v>0</v>
      </c>
      <c r="U46" s="63">
        <f t="shared" ca="1" si="24"/>
        <v>0</v>
      </c>
      <c r="V46" s="57">
        <f ca="1">IFERROR(__xludf.DUMMYFUNCTION("IMPORTRANGE(""https://docs.google.com/spreadsheets/d/1wPdvRbu02d33MYVlbsCnyTiZpefEBs9NNktAnT1HZvw/edit?usp=sharing"",""สุรินทร์!I460"")"),15)</f>
        <v>15</v>
      </c>
      <c r="W46" s="57">
        <f ca="1">IFERROR(__xludf.DUMMYFUNCTION("IMPORTRANGE(""https://docs.google.com/spreadsheets/d/1wPdvRbu02d33MYVlbsCnyTiZpefEBs9NNktAnT1HZvw/edit?usp=sharing"",""สุรินทร์!J460"")"),15)</f>
        <v>15</v>
      </c>
      <c r="X46" s="63">
        <f t="shared" ca="1" si="25"/>
        <v>100</v>
      </c>
      <c r="Y46" s="57">
        <f ca="1">IFERROR(__xludf.DUMMYFUNCTION("IMPORTRANGE(""https://docs.google.com/spreadsheets/d/1wPdvRbu02d33MYVlbsCnyTiZpefEBs9NNktAnT1HZvw/edit?usp=sharing"",""สุรินทร์!I462"")"),150)</f>
        <v>150</v>
      </c>
      <c r="Z46" s="57">
        <f ca="1">IFERROR(__xludf.DUMMYFUNCTION("IMPORTRANGE(""https://docs.google.com/spreadsheets/d/1wPdvRbu02d33MYVlbsCnyTiZpefEBs9NNktAnT1HZvw/edit?usp=sharing"",""สุรินทร์!J462"")"),150)</f>
        <v>150</v>
      </c>
      <c r="AA46" s="63">
        <f t="shared" ca="1" si="26"/>
        <v>100</v>
      </c>
      <c r="AB46" s="57">
        <f ca="1">IFERROR(__xludf.DUMMYFUNCTION("IMPORTRANGE(""https://docs.google.com/spreadsheets/d/1wPdvRbu02d33MYVlbsCnyTiZpefEBs9NNktAnT1HZvw/edit?usp=sharing"",""สุรินทร์!I463"")"),150)</f>
        <v>150</v>
      </c>
      <c r="AC46" s="57">
        <f ca="1">IFERROR(__xludf.DUMMYFUNCTION("IMPORTRANGE(""https://docs.google.com/spreadsheets/d/1wPdvRbu02d33MYVlbsCnyTiZpefEBs9NNktAnT1HZvw/edit?usp=sharing"",""สุรินทร์!I464"")"),15)</f>
        <v>15</v>
      </c>
      <c r="AD46" s="57">
        <f ca="1">IFERROR(__xludf.DUMMYFUNCTION("IMPORTRANGE(""https://docs.google.com/spreadsheets/d/1wPdvRbu02d33MYVlbsCnyTiZpefEBs9NNktAnT1HZvw/edit?usp=sharing"",""สุรินทร์!J463"")"),150)</f>
        <v>150</v>
      </c>
      <c r="AE46" s="63">
        <f t="shared" ca="1" si="27"/>
        <v>100</v>
      </c>
      <c r="AF46" s="57">
        <f ca="1">IFERROR(__xludf.DUMMYFUNCTION("IMPORTRANGE(""https://docs.google.com/spreadsheets/d/1wPdvRbu02d33MYVlbsCnyTiZpefEBs9NNktAnT1HZvw/edit?usp=sharing"",""สุรินทร์!J464"")"),15)</f>
        <v>15</v>
      </c>
      <c r="AG46" s="63">
        <f t="shared" ca="1" si="13"/>
        <v>100</v>
      </c>
    </row>
    <row r="47" spans="1:33" ht="21" customHeight="1" x14ac:dyDescent="0.3">
      <c r="A47" s="54">
        <v>16</v>
      </c>
      <c r="B47" s="55" t="s">
        <v>68</v>
      </c>
      <c r="C47" s="56">
        <f t="shared" ca="1" si="45"/>
        <v>733184</v>
      </c>
      <c r="D47" s="57">
        <f ca="1">IFERROR(__xludf.DUMMYFUNCTION("IMPORTRANGE(""https://docs.google.com/spreadsheets/d/1GVExpf-Exi_2gmuqTYH28fseTB9MoKPXWcXCbSt_YrM/edit?usp=sharing"",""หนองคาย!L449"")"),733184)</f>
        <v>733184</v>
      </c>
      <c r="E47" s="64">
        <f ca="1">IFERROR(__xludf.DUMMYFUNCTION("IMPORTRANGE(""https://docs.google.com/spreadsheets/d/1GVExpf-Exi_2gmuqTYH28fseTB9MoKPXWcXCbSt_YrM/edit?usp=sharing"",""หนองคาย!L456"")"),0)</f>
        <v>0</v>
      </c>
      <c r="F47" s="64">
        <f ca="1">IFERROR(__xludf.DUMMYFUNCTION("IMPORTRANGE(""https://docs.google.com/spreadsheets/d/1GVExpf-Exi_2gmuqTYH28fseTB9MoKPXWcXCbSt_YrM/edit?usp=sharing"",""หนองคาย!M449"")"),718700)</f>
        <v>718700</v>
      </c>
      <c r="G47" s="64">
        <f ca="1">IFERROR(__xludf.DUMMYFUNCTION("IMPORTRANGE(""https://docs.google.com/spreadsheets/d/1GVExpf-Exi_2gmuqTYH28fseTB9MoKPXWcXCbSt_YrM/edit?usp=sharing"",""หนองคาย!M431"")"),0)</f>
        <v>0</v>
      </c>
      <c r="H47" s="58">
        <f t="shared" ca="1" si="23"/>
        <v>260677.25</v>
      </c>
      <c r="I47" s="59">
        <f t="shared" ca="1" si="1"/>
        <v>35.554137842615226</v>
      </c>
      <c r="J47" s="60">
        <f t="shared" ca="1" si="46"/>
        <v>260677.25</v>
      </c>
      <c r="K47" s="61">
        <f t="shared" ca="1" si="29"/>
        <v>35.554137842615226</v>
      </c>
      <c r="L47" s="61">
        <f t="shared" ca="1" si="30"/>
        <v>36.270662306943095</v>
      </c>
      <c r="M47" s="64">
        <f ca="1">IFERROR(__xludf.DUMMYFUNCTION("IMPORTRANGE(""https://docs.google.com/spreadsheets/d/1GVExpf-Exi_2gmuqTYH28fseTB9MoKPXWcXCbSt_YrM/edit?usp=sharing"",""หนองคาย!N450"")"),142530)</f>
        <v>142530</v>
      </c>
      <c r="N47" s="64">
        <f ca="1">IFERROR(__xludf.DUMMYFUNCTION("IMPORTRANGE(""https://docs.google.com/spreadsheets/d/1GVExpf-Exi_2gmuqTYH28fseTB9MoKPXWcXCbSt_YrM/edit?usp=sharing"",""หนองคาย!N451"")"),0)</f>
        <v>0</v>
      </c>
      <c r="O47" s="64">
        <f ca="1">IFERROR(__xludf.DUMMYFUNCTION("IMPORTRANGE(""https://docs.google.com/spreadsheets/d/1GVExpf-Exi_2gmuqTYH28fseTB9MoKPXWcXCbSt_YrM/edit?usp=sharing"",""หนองคาย!N452"")"),75027.25)</f>
        <v>75027.25</v>
      </c>
      <c r="P47" s="64">
        <f ca="1">IFERROR(__xludf.DUMMYFUNCTION("IMPORTRANGE(""https://docs.google.com/spreadsheets/d/1GVExpf-Exi_2gmuqTYH28fseTB9MoKPXWcXCbSt_YrM/edit?usp=sharing"",""หนองคาย!N453"")"),43120)</f>
        <v>43120</v>
      </c>
      <c r="Q47" s="62">
        <f ca="1">IFERROR(__xludf.DUMMYFUNCTION("IMPORTRANGE(""https://docs.google.com/spreadsheets/d/1GVExpf-Exi_2gmuqTYH28fseTB9MoKPXWcXCbSt_YrM/edit?usp=sharing"",""หนองคาย!N456"")"),0)</f>
        <v>0</v>
      </c>
      <c r="R47" s="62">
        <f t="shared" ca="1" si="32"/>
        <v>0</v>
      </c>
      <c r="S47" s="57">
        <f ca="1">IFERROR(__xludf.DUMMYFUNCTION("IMPORTRANGE(""https://docs.google.com/spreadsheets/d/1GVExpf-Exi_2gmuqTYH28fseTB9MoKPXWcXCbSt_YrM/edit?usp=sharing"",""หนองคาย!I458"")"),0)</f>
        <v>0</v>
      </c>
      <c r="T47" s="57">
        <f ca="1">IFERROR(__xludf.DUMMYFUNCTION("IMPORTRANGE(""https://docs.google.com/spreadsheets/d/1GVExpf-Exi_2gmuqTYH28fseTB9MoKPXWcXCbSt_YrM/edit?usp=sharing"",""หนองคาย!J458"")"),0)</f>
        <v>0</v>
      </c>
      <c r="U47" s="63">
        <f t="shared" ca="1" si="24"/>
        <v>0</v>
      </c>
      <c r="V47" s="57">
        <f ca="1">IFERROR(__xludf.DUMMYFUNCTION("IMPORTRANGE(""https://docs.google.com/spreadsheets/d/1GVExpf-Exi_2gmuqTYH28fseTB9MoKPXWcXCbSt_YrM/edit?usp=sharing"",""หนองคาย!I460"")"),90)</f>
        <v>90</v>
      </c>
      <c r="W47" s="57">
        <f ca="1">IFERROR(__xludf.DUMMYFUNCTION("IMPORTRANGE(""https://docs.google.com/spreadsheets/d/1GVExpf-Exi_2gmuqTYH28fseTB9MoKPXWcXCbSt_YrM/edit?usp=sharing"",""หนองคาย!J460"")"),90)</f>
        <v>90</v>
      </c>
      <c r="X47" s="63">
        <f t="shared" ca="1" si="25"/>
        <v>100</v>
      </c>
      <c r="Y47" s="57">
        <f ca="1">IFERROR(__xludf.DUMMYFUNCTION("IMPORTRANGE(""https://docs.google.com/spreadsheets/d/1GVExpf-Exi_2gmuqTYH28fseTB9MoKPXWcXCbSt_YrM/edit?usp=sharing"",""หนองคาย!I462"")"),400)</f>
        <v>400</v>
      </c>
      <c r="Z47" s="57">
        <f ca="1">IFERROR(__xludf.DUMMYFUNCTION("IMPORTRANGE(""https://docs.google.com/spreadsheets/d/1GVExpf-Exi_2gmuqTYH28fseTB9MoKPXWcXCbSt_YrM/edit?usp=sharing"",""หนองคาย!J462"")"),400)</f>
        <v>400</v>
      </c>
      <c r="AA47" s="63">
        <f t="shared" ca="1" si="26"/>
        <v>100</v>
      </c>
      <c r="AB47" s="57">
        <f ca="1">IFERROR(__xludf.DUMMYFUNCTION("IMPORTRANGE(""https://docs.google.com/spreadsheets/d/1GVExpf-Exi_2gmuqTYH28fseTB9MoKPXWcXCbSt_YrM/edit?usp=sharing"",""หนองคาย!I463"")"),400)</f>
        <v>400</v>
      </c>
      <c r="AC47" s="57">
        <f ca="1">IFERROR(__xludf.DUMMYFUNCTION("IMPORTRANGE(""https://docs.google.com/spreadsheets/d/1GVExpf-Exi_2gmuqTYH28fseTB9MoKPXWcXCbSt_YrM/edit?usp=sharing"",""หนองคาย!I464"")"),90)</f>
        <v>90</v>
      </c>
      <c r="AD47" s="57">
        <f ca="1">IFERROR(__xludf.DUMMYFUNCTION("IMPORTRANGE(""https://docs.google.com/spreadsheets/d/1GVExpf-Exi_2gmuqTYH28fseTB9MoKPXWcXCbSt_YrM/edit?usp=sharing"",""หนองคาย!J463"")"),0)</f>
        <v>0</v>
      </c>
      <c r="AE47" s="63">
        <f t="shared" ca="1" si="27"/>
        <v>0</v>
      </c>
      <c r="AF47" s="57">
        <f ca="1">IFERROR(__xludf.DUMMYFUNCTION("IMPORTRANGE(""https://docs.google.com/spreadsheets/d/1GVExpf-Exi_2gmuqTYH28fseTB9MoKPXWcXCbSt_YrM/edit?usp=sharing"",""หนองคาย!J464"")"),0)</f>
        <v>0</v>
      </c>
      <c r="AG47" s="63">
        <f t="shared" ca="1" si="13"/>
        <v>0</v>
      </c>
    </row>
    <row r="48" spans="1:33" ht="21" customHeight="1" x14ac:dyDescent="0.3">
      <c r="A48" s="54">
        <v>17</v>
      </c>
      <c r="B48" s="55" t="s">
        <v>69</v>
      </c>
      <c r="C48" s="56">
        <f t="shared" ca="1" si="45"/>
        <v>460706</v>
      </c>
      <c r="D48" s="57">
        <f ca="1">IFERROR(__xludf.DUMMYFUNCTION("IMPORTRANGE(""https://docs.google.com/spreadsheets/d/16UeMz0UgOB5BZcoxP75eYGcLFtGYRn9GoesD4OX9m5U/edit?usp=sharing"",""หนองบัวลำภู!L449"")"),460706)</f>
        <v>460706</v>
      </c>
      <c r="E48" s="64">
        <f ca="1">IFERROR(__xludf.DUMMYFUNCTION("IMPORTRANGE(""https://docs.google.com/spreadsheets/d/16UeMz0UgOB5BZcoxP75eYGcLFtGYRn9GoesD4OX9m5U/edit?usp=sharing"",""หนองบัวลำภู!L456"")"),0)</f>
        <v>0</v>
      </c>
      <c r="F48" s="64">
        <f ca="1">IFERROR(__xludf.DUMMYFUNCTION("IMPORTRANGE(""https://docs.google.com/spreadsheets/d/16UeMz0UgOB5BZcoxP75eYGcLFtGYRn9GoesD4OX9m5U/edit?usp=sharing"",""หนองบัวลำภู!M449"")"),460706)</f>
        <v>460706</v>
      </c>
      <c r="G48" s="64">
        <f ca="1">IFERROR(__xludf.DUMMYFUNCTION("IMPORTRANGE(""https://docs.google.com/spreadsheets/d/16UeMz0UgOB5BZcoxP75eYGcLFtGYRn9GoesD4OX9m5U/edit?usp=sharing"",""หนองบัวลำภู!M431"")"),0)</f>
        <v>0</v>
      </c>
      <c r="H48" s="58">
        <f t="shared" ca="1" si="23"/>
        <v>314945</v>
      </c>
      <c r="I48" s="59">
        <f t="shared" ca="1" si="1"/>
        <v>68.361384483813978</v>
      </c>
      <c r="J48" s="60">
        <f t="shared" ca="1" si="46"/>
        <v>314945</v>
      </c>
      <c r="K48" s="61">
        <f t="shared" ca="1" si="29"/>
        <v>68.361384483813978</v>
      </c>
      <c r="L48" s="61">
        <f t="shared" ca="1" si="30"/>
        <v>68.361384483813978</v>
      </c>
      <c r="M48" s="64">
        <f ca="1">IFERROR(__xludf.DUMMYFUNCTION("IMPORTRANGE(""https://docs.google.com/spreadsheets/d/16UeMz0UgOB5BZcoxP75eYGcLFtGYRn9GoesD4OX9m5U/edit?usp=sharing"",""หนองบัวลำภู!N450"")"),68150)</f>
        <v>68150</v>
      </c>
      <c r="N48" s="64">
        <f ca="1">IFERROR(__xludf.DUMMYFUNCTION("IMPORTRANGE(""https://docs.google.com/spreadsheets/d/16UeMz0UgOB5BZcoxP75eYGcLFtGYRn9GoesD4OX9m5U/edit?usp=sharing"",""หนองบัวลำภู!N451"")"),157895)</f>
        <v>157895</v>
      </c>
      <c r="O48" s="64">
        <f ca="1">IFERROR(__xludf.DUMMYFUNCTION("IMPORTRANGE(""https://docs.google.com/spreadsheets/d/16UeMz0UgOB5BZcoxP75eYGcLFtGYRn9GoesD4OX9m5U/edit?usp=sharing"",""หนองบัวลำภู!N452"")"),78000)</f>
        <v>78000</v>
      </c>
      <c r="P48" s="64">
        <f ca="1">IFERROR(__xludf.DUMMYFUNCTION("IMPORTRANGE(""https://docs.google.com/spreadsheets/d/16UeMz0UgOB5BZcoxP75eYGcLFtGYRn9GoesD4OX9m5U/edit?usp=sharing"",""หนองบัวลำภู!N453"")"),10900)</f>
        <v>10900</v>
      </c>
      <c r="Q48" s="62">
        <f ca="1">IFERROR(__xludf.DUMMYFUNCTION("IMPORTRANGE(""https://docs.google.com/spreadsheets/d/16UeMz0UgOB5BZcoxP75eYGcLFtGYRn9GoesD4OX9m5U/edit?usp=sharing"",""หนองบัวลำภู!N456"")"),0)</f>
        <v>0</v>
      </c>
      <c r="R48" s="62">
        <f t="shared" ca="1" si="32"/>
        <v>0</v>
      </c>
      <c r="S48" s="57">
        <f ca="1">IFERROR(__xludf.DUMMYFUNCTION("IMPORTRANGE(""https://docs.google.com/spreadsheets/d/16UeMz0UgOB5BZcoxP75eYGcLFtGYRn9GoesD4OX9m5U/edit?usp=sharing"",""หนองบัวลำภู!I458"")"),0)</f>
        <v>0</v>
      </c>
      <c r="T48" s="57">
        <f ca="1">IFERROR(__xludf.DUMMYFUNCTION("IMPORTRANGE(""https://docs.google.com/spreadsheets/d/16UeMz0UgOB5BZcoxP75eYGcLFtGYRn9GoesD4OX9m5U/edit?usp=sharing"",""หนองบัวลำภู!J458"")"),0)</f>
        <v>0</v>
      </c>
      <c r="U48" s="63">
        <f t="shared" ca="1" si="24"/>
        <v>0</v>
      </c>
      <c r="V48" s="57">
        <f ca="1">IFERROR(__xludf.DUMMYFUNCTION("IMPORTRANGE(""https://docs.google.com/spreadsheets/d/16UeMz0UgOB5BZcoxP75eYGcLFtGYRn9GoesD4OX9m5U/edit?usp=sharing"",""หนองบัวลำภู!I460"")"),50)</f>
        <v>50</v>
      </c>
      <c r="W48" s="57">
        <f ca="1">IFERROR(__xludf.DUMMYFUNCTION("IMPORTRANGE(""https://docs.google.com/spreadsheets/d/16UeMz0UgOB5BZcoxP75eYGcLFtGYRn9GoesD4OX9m5U/edit?usp=sharing"",""หนองบัวลำภู!J460"")"),50)</f>
        <v>50</v>
      </c>
      <c r="X48" s="63">
        <f t="shared" ca="1" si="25"/>
        <v>100</v>
      </c>
      <c r="Y48" s="57">
        <f ca="1">IFERROR(__xludf.DUMMYFUNCTION("IMPORTRANGE(""https://docs.google.com/spreadsheets/d/16UeMz0UgOB5BZcoxP75eYGcLFtGYRn9GoesD4OX9m5U/edit?usp=sharing"",""หนองบัวลำภู!I462"")"),150)</f>
        <v>150</v>
      </c>
      <c r="Z48" s="57">
        <f ca="1">IFERROR(__xludf.DUMMYFUNCTION("IMPORTRANGE(""https://docs.google.com/spreadsheets/d/16UeMz0UgOB5BZcoxP75eYGcLFtGYRn9GoesD4OX9m5U/edit?usp=sharing"",""หนองบัวลำภู!J462"")"),150)</f>
        <v>150</v>
      </c>
      <c r="AA48" s="63">
        <f t="shared" ca="1" si="26"/>
        <v>100</v>
      </c>
      <c r="AB48" s="57">
        <f ca="1">IFERROR(__xludf.DUMMYFUNCTION("IMPORTRANGE(""https://docs.google.com/spreadsheets/d/16UeMz0UgOB5BZcoxP75eYGcLFtGYRn9GoesD4OX9m5U/edit?usp=sharing"",""หนองบัวลำภู!I463"")"),150)</f>
        <v>150</v>
      </c>
      <c r="AC48" s="57">
        <f ca="1">IFERROR(__xludf.DUMMYFUNCTION("IMPORTRANGE(""https://docs.google.com/spreadsheets/d/16UeMz0UgOB5BZcoxP75eYGcLFtGYRn9GoesD4OX9m5U/edit?usp=sharing"",""หนองบัวลำภู!I464"")"),50)</f>
        <v>50</v>
      </c>
      <c r="AD48" s="57">
        <f ca="1">IFERROR(__xludf.DUMMYFUNCTION("IMPORTRANGE(""https://docs.google.com/spreadsheets/d/16UeMz0UgOB5BZcoxP75eYGcLFtGYRn9GoesD4OX9m5U/edit?usp=sharing"",""หนองบัวลำภู!J463"")"),150)</f>
        <v>150</v>
      </c>
      <c r="AE48" s="63">
        <f t="shared" ca="1" si="27"/>
        <v>100</v>
      </c>
      <c r="AF48" s="57">
        <f ca="1">IFERROR(__xludf.DUMMYFUNCTION("IMPORTRANGE(""https://docs.google.com/spreadsheets/d/16UeMz0UgOB5BZcoxP75eYGcLFtGYRn9GoesD4OX9m5U/edit?usp=sharing"",""หนองบัวลำภู!J464"")"),50)</f>
        <v>50</v>
      </c>
      <c r="AG48" s="63">
        <f t="shared" ca="1" si="13"/>
        <v>100</v>
      </c>
    </row>
    <row r="49" spans="1:33" ht="21" customHeight="1" x14ac:dyDescent="0.3">
      <c r="A49" s="54">
        <v>18</v>
      </c>
      <c r="B49" s="55" t="s">
        <v>70</v>
      </c>
      <c r="C49" s="56">
        <f t="shared" ca="1" si="45"/>
        <v>211480</v>
      </c>
      <c r="D49" s="57">
        <f ca="1">IFERROR(__xludf.DUMMYFUNCTION("IMPORTRANGE(""https://docs.google.com/spreadsheets/d/1uUP8Zo1-qaJLuIkRU0qlwLSE3DHkbdrrj2JGJiWBQZE/edit?usp=sharing"",""อำนาจเจริญ!L449"")"),211480)</f>
        <v>211480</v>
      </c>
      <c r="E49" s="64">
        <f ca="1">IFERROR(__xludf.DUMMYFUNCTION("IMPORTRANGE(""https://docs.google.com/spreadsheets/d/1uUP8Zo1-qaJLuIkRU0qlwLSE3DHkbdrrj2JGJiWBQZE/edit?usp=sharing"",""อำนาจเจริญ!L456"")"),0)</f>
        <v>0</v>
      </c>
      <c r="F49" s="64">
        <f ca="1">IFERROR(__xludf.DUMMYFUNCTION("IMPORTRANGE(""https://docs.google.com/spreadsheets/d/1uUP8Zo1-qaJLuIkRU0qlwLSE3DHkbdrrj2JGJiWBQZE/edit?usp=sharing"",""อำนาจเจริญ!M449"")"),211480)</f>
        <v>211480</v>
      </c>
      <c r="G49" s="64">
        <f ca="1">IFERROR(__xludf.DUMMYFUNCTION("IMPORTRANGE(""https://docs.google.com/spreadsheets/d/1uUP8Zo1-qaJLuIkRU0qlwLSE3DHkbdrrj2JGJiWBQZE/edit?usp=sharing"",""อำนาจเจริญ!M431"")"),0)</f>
        <v>0</v>
      </c>
      <c r="H49" s="58">
        <f t="shared" ca="1" si="23"/>
        <v>26325</v>
      </c>
      <c r="I49" s="59">
        <f t="shared" ca="1" si="1"/>
        <v>12.447985625118214</v>
      </c>
      <c r="J49" s="60">
        <f t="shared" ca="1" si="46"/>
        <v>26325</v>
      </c>
      <c r="K49" s="61">
        <f t="shared" ca="1" si="29"/>
        <v>12.447985625118214</v>
      </c>
      <c r="L49" s="61">
        <f t="shared" ca="1" si="30"/>
        <v>12.447985625118214</v>
      </c>
      <c r="M49" s="64">
        <f ca="1">IFERROR(__xludf.DUMMYFUNCTION("IMPORTRANGE(""https://docs.google.com/spreadsheets/d/1uUP8Zo1-qaJLuIkRU0qlwLSE3DHkbdrrj2JGJiWBQZE/edit?usp=sharing"",""อำนาจเจริญ!N450"")"),23635)</f>
        <v>23635</v>
      </c>
      <c r="N49" s="64">
        <f ca="1">IFERROR(__xludf.DUMMYFUNCTION("IMPORTRANGE(""https://docs.google.com/spreadsheets/d/1uUP8Zo1-qaJLuIkRU0qlwLSE3DHkbdrrj2JGJiWBQZE/edit?usp=sharing"",""อำนาจเจริญ!N451"")"),0)</f>
        <v>0</v>
      </c>
      <c r="O49" s="64">
        <f ca="1">IFERROR(__xludf.DUMMYFUNCTION("IMPORTRANGE(""https://docs.google.com/spreadsheets/d/1uUP8Zo1-qaJLuIkRU0qlwLSE3DHkbdrrj2JGJiWBQZE/edit?usp=sharing"",""อำนาจเจริญ!N452"")"),450)</f>
        <v>450</v>
      </c>
      <c r="P49" s="64">
        <f ca="1">IFERROR(__xludf.DUMMYFUNCTION("IMPORTRANGE(""https://docs.google.com/spreadsheets/d/1uUP8Zo1-qaJLuIkRU0qlwLSE3DHkbdrrj2JGJiWBQZE/edit?usp=sharing"",""อำนาจเจริญ!N453"")"),2240)</f>
        <v>2240</v>
      </c>
      <c r="Q49" s="62">
        <f ca="1">IFERROR(__xludf.DUMMYFUNCTION("IMPORTRANGE(""https://docs.google.com/spreadsheets/d/1uUP8Zo1-qaJLuIkRU0qlwLSE3DHkbdrrj2JGJiWBQZE/edit?usp=sharing"",""อำนาจเจริญ!N456"")"),0)</f>
        <v>0</v>
      </c>
      <c r="R49" s="62">
        <f t="shared" ca="1" si="32"/>
        <v>0</v>
      </c>
      <c r="S49" s="57">
        <f ca="1">IFERROR(__xludf.DUMMYFUNCTION("IMPORTRANGE(""https://docs.google.com/spreadsheets/d/1uUP8Zo1-qaJLuIkRU0qlwLSE3DHkbdrrj2JGJiWBQZE/edit?usp=sharing"",""อำนาจเจริญ!I458"")"),0)</f>
        <v>0</v>
      </c>
      <c r="T49" s="57">
        <f ca="1">IFERROR(__xludf.DUMMYFUNCTION("IMPORTRANGE(""https://docs.google.com/spreadsheets/d/1uUP8Zo1-qaJLuIkRU0qlwLSE3DHkbdrrj2JGJiWBQZE/edit?usp=sharing"",""อำนาจเจริญ!J458"")"),0)</f>
        <v>0</v>
      </c>
      <c r="U49" s="63">
        <f t="shared" ca="1" si="24"/>
        <v>0</v>
      </c>
      <c r="V49" s="57">
        <f ca="1">IFERROR(__xludf.DUMMYFUNCTION("IMPORTRANGE(""https://docs.google.com/spreadsheets/d/1uUP8Zo1-qaJLuIkRU0qlwLSE3DHkbdrrj2JGJiWBQZE/edit?usp=sharing"",""อำนาจเจริญ!I460"")"),30)</f>
        <v>30</v>
      </c>
      <c r="W49" s="57">
        <f ca="1">IFERROR(__xludf.DUMMYFUNCTION("IMPORTRANGE(""https://docs.google.com/spreadsheets/d/1uUP8Zo1-qaJLuIkRU0qlwLSE3DHkbdrrj2JGJiWBQZE/edit?usp=sharing"",""อำนาจเจริญ!J460"")"),15)</f>
        <v>15</v>
      </c>
      <c r="X49" s="63">
        <f t="shared" ca="1" si="25"/>
        <v>50</v>
      </c>
      <c r="Y49" s="57">
        <f ca="1">IFERROR(__xludf.DUMMYFUNCTION("IMPORTRANGE(""https://docs.google.com/spreadsheets/d/1uUP8Zo1-qaJLuIkRU0qlwLSE3DHkbdrrj2JGJiWBQZE/edit?usp=sharing"",""อำนาจเจริญ!I462"")"),150)</f>
        <v>150</v>
      </c>
      <c r="Z49" s="57">
        <f ca="1">IFERROR(__xludf.DUMMYFUNCTION("IMPORTRANGE(""https://docs.google.com/spreadsheets/d/1uUP8Zo1-qaJLuIkRU0qlwLSE3DHkbdrrj2JGJiWBQZE/edit?usp=sharing"",""อำนาจเจริญ!J462"")"),75)</f>
        <v>75</v>
      </c>
      <c r="AA49" s="63">
        <f t="shared" ca="1" si="26"/>
        <v>50</v>
      </c>
      <c r="AB49" s="57">
        <f ca="1">IFERROR(__xludf.DUMMYFUNCTION("IMPORTRANGE(""https://docs.google.com/spreadsheets/d/1uUP8Zo1-qaJLuIkRU0qlwLSE3DHkbdrrj2JGJiWBQZE/edit?usp=sharing"",""อำนาจเจริญ!I463"")"),150)</f>
        <v>150</v>
      </c>
      <c r="AC49" s="57">
        <f ca="1">IFERROR(__xludf.DUMMYFUNCTION("IMPORTRANGE(""https://docs.google.com/spreadsheets/d/1uUP8Zo1-qaJLuIkRU0qlwLSE3DHkbdrrj2JGJiWBQZE/edit?usp=sharing"",""อำนาจเจริญ!I464"")"),30)</f>
        <v>30</v>
      </c>
      <c r="AD49" s="57">
        <f ca="1">IFERROR(__xludf.DUMMYFUNCTION("IMPORTRANGE(""https://docs.google.com/spreadsheets/d/1uUP8Zo1-qaJLuIkRU0qlwLSE3DHkbdrrj2JGJiWBQZE/edit?usp=sharing"",""อำนาจเจริญ!J463"")"),0)</f>
        <v>0</v>
      </c>
      <c r="AE49" s="63">
        <f t="shared" ca="1" si="27"/>
        <v>0</v>
      </c>
      <c r="AF49" s="57">
        <f ca="1">IFERROR(__xludf.DUMMYFUNCTION("IMPORTRANGE(""https://docs.google.com/spreadsheets/d/1uUP8Zo1-qaJLuIkRU0qlwLSE3DHkbdrrj2JGJiWBQZE/edit?usp=sharing"",""อำนาจเจริญ!J464"")"),0)</f>
        <v>0</v>
      </c>
      <c r="AG49" s="63">
        <f t="shared" ca="1" si="13"/>
        <v>0</v>
      </c>
    </row>
    <row r="50" spans="1:33" ht="21" customHeight="1" x14ac:dyDescent="0.3">
      <c r="A50" s="54">
        <v>19</v>
      </c>
      <c r="B50" s="55" t="s">
        <v>71</v>
      </c>
      <c r="C50" s="56">
        <f t="shared" ca="1" si="45"/>
        <v>1043880</v>
      </c>
      <c r="D50" s="57">
        <f ca="1">IFERROR(__xludf.DUMMYFUNCTION("IMPORTRANGE(""https://docs.google.com/spreadsheets/d/1hb_taSOHanzRjqfzWPiFo8yiT83VV1L7vvUCLhOiHKc/edit?usp=sharing"",""อุดรธานี!L449"")"),1043880)</f>
        <v>1043880</v>
      </c>
      <c r="E50" s="64">
        <f ca="1">IFERROR(__xludf.DUMMYFUNCTION("IMPORTRANGE(""https://docs.google.com/spreadsheets/d/1hb_taSOHanzRjqfzWPiFo8yiT83VV1L7vvUCLhOiHKc/edit?usp=sharing"",""อุดรธานี!L456"")"),0)</f>
        <v>0</v>
      </c>
      <c r="F50" s="64">
        <f ca="1">IFERROR(__xludf.DUMMYFUNCTION("IMPORTRANGE(""https://docs.google.com/spreadsheets/d/1hb_taSOHanzRjqfzWPiFo8yiT83VV1L7vvUCLhOiHKc/edit?usp=sharing"",""อุดรธานี!M449"")"),1043880)</f>
        <v>1043880</v>
      </c>
      <c r="G50" s="64">
        <f ca="1">IFERROR(__xludf.DUMMYFUNCTION("IMPORTRANGE(""https://docs.google.com/spreadsheets/d/1hb_taSOHanzRjqfzWPiFo8yiT83VV1L7vvUCLhOiHKc/edit?usp=sharing"",""อุดรธานี!M431"")"),0)</f>
        <v>0</v>
      </c>
      <c r="H50" s="58">
        <f t="shared" ca="1" si="23"/>
        <v>864348</v>
      </c>
      <c r="I50" s="59">
        <f t="shared" ca="1" si="1"/>
        <v>82.801471433498108</v>
      </c>
      <c r="J50" s="60">
        <f t="shared" ca="1" si="46"/>
        <v>864348</v>
      </c>
      <c r="K50" s="61">
        <f t="shared" ca="1" si="29"/>
        <v>82.801471433498108</v>
      </c>
      <c r="L50" s="61">
        <f t="shared" ca="1" si="30"/>
        <v>82.801471433498108</v>
      </c>
      <c r="M50" s="64">
        <f ca="1">IFERROR(__xludf.DUMMYFUNCTION("IMPORTRANGE(""https://docs.google.com/spreadsheets/d/1hb_taSOHanzRjqfzWPiFo8yiT83VV1L7vvUCLhOiHKc/edit?usp=sharing"",""อุดรธานี!N450"")"),172114)</f>
        <v>172114</v>
      </c>
      <c r="N50" s="64">
        <f ca="1">IFERROR(__xludf.DUMMYFUNCTION("IMPORTRANGE(""https://docs.google.com/spreadsheets/d/1hb_taSOHanzRjqfzWPiFo8yiT83VV1L7vvUCLhOiHKc/edit?usp=sharing"",""อุดรธานี!N451"")"),479968)</f>
        <v>479968</v>
      </c>
      <c r="O50" s="64">
        <f ca="1">IFERROR(__xludf.DUMMYFUNCTION("IMPORTRANGE(""https://docs.google.com/spreadsheets/d/1hb_taSOHanzRjqfzWPiFo8yiT83VV1L7vvUCLhOiHKc/edit?usp=sharing"",""อุดรธานี!N452"")"),78000)</f>
        <v>78000</v>
      </c>
      <c r="P50" s="64">
        <f ca="1">IFERROR(__xludf.DUMMYFUNCTION("IMPORTRANGE(""https://docs.google.com/spreadsheets/d/1hb_taSOHanzRjqfzWPiFo8yiT83VV1L7vvUCLhOiHKc/edit?usp=sharing"",""อุดรธานี!N453"")"),134266)</f>
        <v>134266</v>
      </c>
      <c r="Q50" s="62">
        <f ca="1">IFERROR(__xludf.DUMMYFUNCTION("IMPORTRANGE(""https://docs.google.com/spreadsheets/d/1hb_taSOHanzRjqfzWPiFo8yiT83VV1L7vvUCLhOiHKc/edit?usp=sharing"",""อุดรธานี!N456"")"),0)</f>
        <v>0</v>
      </c>
      <c r="R50" s="62">
        <f t="shared" ca="1" si="32"/>
        <v>0</v>
      </c>
      <c r="S50" s="57">
        <f ca="1">IFERROR(__xludf.DUMMYFUNCTION("IMPORTRANGE(""https://docs.google.com/spreadsheets/d/1hb_taSOHanzRjqfzWPiFo8yiT83VV1L7vvUCLhOiHKc/edit?usp=sharing"",""อุดรธานี!I458"")"),0)</f>
        <v>0</v>
      </c>
      <c r="T50" s="57">
        <f ca="1">IFERROR(__xludf.DUMMYFUNCTION("IMPORTRANGE(""https://docs.google.com/spreadsheets/d/1hb_taSOHanzRjqfzWPiFo8yiT83VV1L7vvUCLhOiHKc/edit?usp=sharing"",""อุดรธานี!J458"")"),0)</f>
        <v>0</v>
      </c>
      <c r="U50" s="63">
        <f t="shared" ca="1" si="24"/>
        <v>0</v>
      </c>
      <c r="V50" s="57">
        <f ca="1">IFERROR(__xludf.DUMMYFUNCTION("IMPORTRANGE(""https://docs.google.com/spreadsheets/d/1hb_taSOHanzRjqfzWPiFo8yiT83VV1L7vvUCLhOiHKc/edit?usp=sharing"",""อุดรธานี!I460"")"),140)</f>
        <v>140</v>
      </c>
      <c r="W50" s="57">
        <f ca="1">IFERROR(__xludf.DUMMYFUNCTION("IMPORTRANGE(""https://docs.google.com/spreadsheets/d/1hb_taSOHanzRjqfzWPiFo8yiT83VV1L7vvUCLhOiHKc/edit?usp=sharing"",""อุดรธานี!J460"")"),140)</f>
        <v>140</v>
      </c>
      <c r="X50" s="63">
        <f t="shared" ca="1" si="25"/>
        <v>100</v>
      </c>
      <c r="Y50" s="57">
        <f ca="1">IFERROR(__xludf.DUMMYFUNCTION("IMPORTRANGE(""https://docs.google.com/spreadsheets/d/1hb_taSOHanzRjqfzWPiFo8yiT83VV1L7vvUCLhOiHKc/edit?usp=sharing"",""อุดรธานี!I462"")"),660)</f>
        <v>660</v>
      </c>
      <c r="Z50" s="57">
        <f ca="1">IFERROR(__xludf.DUMMYFUNCTION("IMPORTRANGE(""https://docs.google.com/spreadsheets/d/1hb_taSOHanzRjqfzWPiFo8yiT83VV1L7vvUCLhOiHKc/edit?usp=sharing"",""อุดรธานี!J462"")"),660)</f>
        <v>660</v>
      </c>
      <c r="AA50" s="63">
        <f t="shared" ca="1" si="26"/>
        <v>100</v>
      </c>
      <c r="AB50" s="57">
        <f ca="1">IFERROR(__xludf.DUMMYFUNCTION("IMPORTRANGE(""https://docs.google.com/spreadsheets/d/1hb_taSOHanzRjqfzWPiFo8yiT83VV1L7vvUCLhOiHKc/edit?usp=sharing"",""อุดรธานี!I463"")"),660)</f>
        <v>660</v>
      </c>
      <c r="AC50" s="57">
        <f ca="1">IFERROR(__xludf.DUMMYFUNCTION("IMPORTRANGE(""https://docs.google.com/spreadsheets/d/1hb_taSOHanzRjqfzWPiFo8yiT83VV1L7vvUCLhOiHKc/edit?usp=sharing"",""อุดรธานี!I464"")"),140)</f>
        <v>140</v>
      </c>
      <c r="AD50" s="57">
        <f ca="1">IFERROR(__xludf.DUMMYFUNCTION("IMPORTRANGE(""https://docs.google.com/spreadsheets/d/1hb_taSOHanzRjqfzWPiFo8yiT83VV1L7vvUCLhOiHKc/edit?usp=sharing"",""อุดรธานี!J463"")"),660)</f>
        <v>660</v>
      </c>
      <c r="AE50" s="63">
        <f t="shared" ca="1" si="27"/>
        <v>100</v>
      </c>
      <c r="AF50" s="57">
        <f ca="1">IFERROR(__xludf.DUMMYFUNCTION("IMPORTRANGE(""https://docs.google.com/spreadsheets/d/1hb_taSOHanzRjqfzWPiFo8yiT83VV1L7vvUCLhOiHKc/edit?usp=sharing"",""อุดรธานี!J464"")"),140)</f>
        <v>140</v>
      </c>
      <c r="AG50" s="63">
        <f t="shared" ca="1" si="13"/>
        <v>100</v>
      </c>
    </row>
    <row r="51" spans="1:33" ht="21" customHeight="1" x14ac:dyDescent="0.3">
      <c r="A51" s="65">
        <v>20</v>
      </c>
      <c r="B51" s="66" t="s">
        <v>72</v>
      </c>
      <c r="C51" s="67">
        <f t="shared" ca="1" si="45"/>
        <v>604000</v>
      </c>
      <c r="D51" s="68">
        <f ca="1">IFERROR(__xludf.DUMMYFUNCTION("IMPORTRANGE(""https://docs.google.com/spreadsheets/d/17IOkEwkUd63EGNfyNDnM5de9YlZ7rwzTiW6-dokVjKI/edit?usp=sharing"",""อุบลราชธานี!L449"")"),604000)</f>
        <v>604000</v>
      </c>
      <c r="E51" s="69">
        <f ca="1">IFERROR(__xludf.DUMMYFUNCTION("IMPORTRANGE(""https://docs.google.com/spreadsheets/d/17IOkEwkUd63EGNfyNDnM5de9YlZ7rwzTiW6-dokVjKI/edit?usp=sharing"",""อุบลราชธานี!L456"")"),0)</f>
        <v>0</v>
      </c>
      <c r="F51" s="69">
        <f ca="1">IFERROR(__xludf.DUMMYFUNCTION("IMPORTRANGE(""https://docs.google.com/spreadsheets/d/17IOkEwkUd63EGNfyNDnM5de9YlZ7rwzTiW6-dokVjKI/edit?usp=sharing"",""อุบลราชธานี!M449"")"),604000)</f>
        <v>604000</v>
      </c>
      <c r="G51" s="69">
        <f ca="1">IFERROR(__xludf.DUMMYFUNCTION("IMPORTRANGE(""https://docs.google.com/spreadsheets/d/17IOkEwkUd63EGNfyNDnM5de9YlZ7rwzTiW6-dokVjKI/edit?usp=sharing"",""อุบลราชธานี!M431"")"),0)</f>
        <v>0</v>
      </c>
      <c r="H51" s="70">
        <f t="shared" ca="1" si="23"/>
        <v>536834</v>
      </c>
      <c r="I51" s="71">
        <f t="shared" ca="1" si="1"/>
        <v>88.879801324503305</v>
      </c>
      <c r="J51" s="72">
        <f t="shared" ca="1" si="46"/>
        <v>536834</v>
      </c>
      <c r="K51" s="73">
        <f t="shared" ca="1" si="29"/>
        <v>88.879801324503305</v>
      </c>
      <c r="L51" s="73">
        <f t="shared" ca="1" si="30"/>
        <v>88.879801324503305</v>
      </c>
      <c r="M51" s="69">
        <f ca="1">IFERROR(__xludf.DUMMYFUNCTION("IMPORTRANGE(""https://docs.google.com/spreadsheets/d/17IOkEwkUd63EGNfyNDnM5de9YlZ7rwzTiW6-dokVjKI/edit?usp=sharing"",""อุบลราชธานี!N450"")"),115180)</f>
        <v>115180</v>
      </c>
      <c r="N51" s="69">
        <f ca="1">IFERROR(__xludf.DUMMYFUNCTION("IMPORTRANGE(""https://docs.google.com/spreadsheets/d/17IOkEwkUd63EGNfyNDnM5de9YlZ7rwzTiW6-dokVjKI/edit?usp=sharing"",""อุบลราชธานี!N451"")"),285000)</f>
        <v>285000</v>
      </c>
      <c r="O51" s="69">
        <f ca="1">IFERROR(__xludf.DUMMYFUNCTION("IMPORTRANGE(""https://docs.google.com/spreadsheets/d/17IOkEwkUd63EGNfyNDnM5de9YlZ7rwzTiW6-dokVjKI/edit?usp=sharing"",""อุบลราชธานี!N452"")"),75834)</f>
        <v>75834</v>
      </c>
      <c r="P51" s="69">
        <f ca="1">IFERROR(__xludf.DUMMYFUNCTION("IMPORTRANGE(""https://docs.google.com/spreadsheets/d/17IOkEwkUd63EGNfyNDnM5de9YlZ7rwzTiW6-dokVjKI/edit?usp=sharing"",""อุบลราชธานี!N453"")"),60820)</f>
        <v>60820</v>
      </c>
      <c r="Q51" s="74">
        <f ca="1">IFERROR(__xludf.DUMMYFUNCTION("IMPORTRANGE(""https://docs.google.com/spreadsheets/d/17IOkEwkUd63EGNfyNDnM5de9YlZ7rwzTiW6-dokVjKI/edit?usp=sharing"",""อุบลราชธานี!N456"")"),0)</f>
        <v>0</v>
      </c>
      <c r="R51" s="74">
        <f t="shared" ca="1" si="32"/>
        <v>0</v>
      </c>
      <c r="S51" s="68">
        <f ca="1">IFERROR(__xludf.DUMMYFUNCTION("IMPORTRANGE(""https://docs.google.com/spreadsheets/d/17IOkEwkUd63EGNfyNDnM5de9YlZ7rwzTiW6-dokVjKI/edit?usp=sharing"",""อุบลราชธานี!I458"")"),0)</f>
        <v>0</v>
      </c>
      <c r="T51" s="68">
        <f ca="1">IFERROR(__xludf.DUMMYFUNCTION("IMPORTRANGE(""https://docs.google.com/spreadsheets/d/17IOkEwkUd63EGNfyNDnM5de9YlZ7rwzTiW6-dokVjKI/edit?usp=sharing"",""อุบลราชธานี!J458"")"),0)</f>
        <v>0</v>
      </c>
      <c r="U51" s="75">
        <f t="shared" ca="1" si="24"/>
        <v>0</v>
      </c>
      <c r="V51" s="68">
        <f ca="1">IFERROR(__xludf.DUMMYFUNCTION("IMPORTRANGE(""https://docs.google.com/spreadsheets/d/17IOkEwkUd63EGNfyNDnM5de9YlZ7rwzTiW6-dokVjKI/edit?usp=sharing"",""อุบลราชธานี!I460"")"),90)</f>
        <v>90</v>
      </c>
      <c r="W51" s="68">
        <f ca="1">IFERROR(__xludf.DUMMYFUNCTION("IMPORTRANGE(""https://docs.google.com/spreadsheets/d/17IOkEwkUd63EGNfyNDnM5de9YlZ7rwzTiW6-dokVjKI/edit?usp=sharing"",""อุบลราชธานี!J460"")"),90)</f>
        <v>90</v>
      </c>
      <c r="X51" s="75">
        <f t="shared" ca="1" si="25"/>
        <v>100</v>
      </c>
      <c r="Y51" s="68">
        <f ca="1">IFERROR(__xludf.DUMMYFUNCTION("IMPORTRANGE(""https://docs.google.com/spreadsheets/d/17IOkEwkUd63EGNfyNDnM5de9YlZ7rwzTiW6-dokVjKI/edit?usp=sharing"",""อุบลราชธานี!I462"")"),300)</f>
        <v>300</v>
      </c>
      <c r="Z51" s="68">
        <f ca="1">IFERROR(__xludf.DUMMYFUNCTION("IMPORTRANGE(""https://docs.google.com/spreadsheets/d/17IOkEwkUd63EGNfyNDnM5de9YlZ7rwzTiW6-dokVjKI/edit?usp=sharing"",""อุบลราชธานี!J462"")"),300)</f>
        <v>300</v>
      </c>
      <c r="AA51" s="75">
        <f t="shared" ca="1" si="26"/>
        <v>100</v>
      </c>
      <c r="AB51" s="68">
        <f ca="1">IFERROR(__xludf.DUMMYFUNCTION("IMPORTRANGE(""https://docs.google.com/spreadsheets/d/17IOkEwkUd63EGNfyNDnM5de9YlZ7rwzTiW6-dokVjKI/edit?usp=sharing"",""อุบลราชธานี!I463"")"),300)</f>
        <v>300</v>
      </c>
      <c r="AC51" s="68">
        <f ca="1">IFERROR(__xludf.DUMMYFUNCTION("IMPORTRANGE(""https://docs.google.com/spreadsheets/d/17IOkEwkUd63EGNfyNDnM5de9YlZ7rwzTiW6-dokVjKI/edit?usp=sharing"",""อุบลราชธานี!I464"")"),90)</f>
        <v>90</v>
      </c>
      <c r="AD51" s="68">
        <f ca="1">IFERROR(__xludf.DUMMYFUNCTION("IMPORTRANGE(""https://docs.google.com/spreadsheets/d/17IOkEwkUd63EGNfyNDnM5de9YlZ7rwzTiW6-dokVjKI/edit?usp=sharing"",""อุบลราชธานี!J463"")"),300)</f>
        <v>300</v>
      </c>
      <c r="AE51" s="75">
        <f t="shared" ca="1" si="27"/>
        <v>100</v>
      </c>
      <c r="AF51" s="68">
        <f ca="1">IFERROR(__xludf.DUMMYFUNCTION("IMPORTRANGE(""https://docs.google.com/spreadsheets/d/17IOkEwkUd63EGNfyNDnM5de9YlZ7rwzTiW6-dokVjKI/edit?usp=sharing"",""อุบลราชธานี!J464"")"),90)</f>
        <v>90</v>
      </c>
      <c r="AG51" s="75">
        <f t="shared" ca="1" si="13"/>
        <v>100</v>
      </c>
    </row>
    <row r="52" spans="1:33" ht="21" customHeight="1" x14ac:dyDescent="0.3">
      <c r="A52" s="186" t="s">
        <v>73</v>
      </c>
      <c r="B52" s="178"/>
      <c r="C52" s="76">
        <f t="shared" ref="C52:G52" ca="1" si="47">SUM(C53:C73)</f>
        <v>2190696</v>
      </c>
      <c r="D52" s="34">
        <f t="shared" ca="1" si="47"/>
        <v>2190696</v>
      </c>
      <c r="E52" s="34">
        <f t="shared" ca="1" si="47"/>
        <v>0</v>
      </c>
      <c r="F52" s="34">
        <f t="shared" ca="1" si="47"/>
        <v>2180560</v>
      </c>
      <c r="G52" s="34">
        <f t="shared" ca="1" si="47"/>
        <v>0</v>
      </c>
      <c r="H52" s="34">
        <f t="shared" ca="1" si="23"/>
        <v>1315104</v>
      </c>
      <c r="I52" s="35">
        <f t="shared" ca="1" si="1"/>
        <v>60.031332508024846</v>
      </c>
      <c r="J52" s="34">
        <f ca="1">SUM(J53:J73)</f>
        <v>1315104</v>
      </c>
      <c r="K52" s="35">
        <f t="shared" ca="1" si="29"/>
        <v>60.031332508024846</v>
      </c>
      <c r="L52" s="35">
        <f t="shared" ca="1" si="30"/>
        <v>60.310378985214804</v>
      </c>
      <c r="M52" s="34">
        <f t="shared" ref="M52:Q52" ca="1" si="48">SUM(M53:M73)</f>
        <v>524010</v>
      </c>
      <c r="N52" s="34">
        <f t="shared" ca="1" si="48"/>
        <v>398068</v>
      </c>
      <c r="O52" s="34">
        <f t="shared" ca="1" si="48"/>
        <v>298146</v>
      </c>
      <c r="P52" s="34">
        <f t="shared" ca="1" si="48"/>
        <v>94880</v>
      </c>
      <c r="Q52" s="36">
        <f t="shared" ca="1" si="48"/>
        <v>0</v>
      </c>
      <c r="R52" s="36">
        <f t="shared" ca="1" si="32"/>
        <v>0</v>
      </c>
      <c r="S52" s="34">
        <f t="shared" ref="S52:T52" ca="1" si="49">SUM(S53:S73)</f>
        <v>0</v>
      </c>
      <c r="T52" s="34">
        <f t="shared" ca="1" si="49"/>
        <v>0</v>
      </c>
      <c r="U52" s="37">
        <f t="shared" ca="1" si="24"/>
        <v>0</v>
      </c>
      <c r="V52" s="34">
        <f t="shared" ref="V52:W52" ca="1" si="50">SUM(V53:V73)</f>
        <v>330</v>
      </c>
      <c r="W52" s="34">
        <f t="shared" ca="1" si="50"/>
        <v>330</v>
      </c>
      <c r="X52" s="37">
        <f t="shared" ca="1" si="25"/>
        <v>100</v>
      </c>
      <c r="Y52" s="34">
        <f t="shared" ref="Y52:Z52" ca="1" si="51">SUM(Y53:Y73)</f>
        <v>675</v>
      </c>
      <c r="Z52" s="34">
        <f t="shared" ca="1" si="51"/>
        <v>615</v>
      </c>
      <c r="AA52" s="37">
        <f t="shared" ca="1" si="26"/>
        <v>91.111111111111114</v>
      </c>
      <c r="AB52" s="34">
        <f t="shared" ref="AB52:AD52" ca="1" si="52">SUM(AB53:AB73)</f>
        <v>675</v>
      </c>
      <c r="AC52" s="34">
        <f t="shared" ca="1" si="52"/>
        <v>330</v>
      </c>
      <c r="AD52" s="34">
        <f t="shared" ca="1" si="52"/>
        <v>335</v>
      </c>
      <c r="AE52" s="37">
        <f t="shared" ca="1" si="27"/>
        <v>49.629629629629626</v>
      </c>
      <c r="AF52" s="34">
        <f ca="1">SUM(AF53:AF73)</f>
        <v>205</v>
      </c>
      <c r="AG52" s="37">
        <f t="shared" ca="1" si="13"/>
        <v>62.121212121212125</v>
      </c>
    </row>
    <row r="53" spans="1:33" ht="21" customHeight="1" x14ac:dyDescent="0.3">
      <c r="A53" s="54">
        <v>1</v>
      </c>
      <c r="B53" s="55" t="s">
        <v>74</v>
      </c>
      <c r="C53" s="56">
        <f t="shared" ref="C53:C73" ca="1" si="53">D53+E53</f>
        <v>486400</v>
      </c>
      <c r="D53" s="57">
        <f ca="1">IFERROR(__xludf.DUMMYFUNCTION("IMPORTRANGE(""https://docs.google.com/spreadsheets/d/1hKO5uv94SSRZWOvrh72HRcpyoEQF9TsE_Cvxl77XNU4/edit?usp=sharing"",""กาญจนบุรี!L449"")"),486400)</f>
        <v>486400</v>
      </c>
      <c r="E53" s="57">
        <f ca="1">IFERROR(__xludf.DUMMYFUNCTION("IMPORTRANGE(""https://docs.google.com/spreadsheets/d/1hKO5uv94SSRZWOvrh72HRcpyoEQF9TsE_Cvxl77XNU4/edit?usp=sharing"",""กาญจนบุรี!L456"")"),0)</f>
        <v>0</v>
      </c>
      <c r="F53" s="57">
        <f ca="1">IFERROR(__xludf.DUMMYFUNCTION("IMPORTRANGE(""https://docs.google.com/spreadsheets/d/1hKO5uv94SSRZWOvrh72HRcpyoEQF9TsE_Cvxl77XNU4/edit?usp=sharing"",""กาญจนบุรี!M449"")"),486400)</f>
        <v>486400</v>
      </c>
      <c r="G53" s="57">
        <f ca="1">IFERROR(__xludf.DUMMYFUNCTION("IMPORTRANGE(""https://docs.google.com/spreadsheets/d/1hKO5uv94SSRZWOvrh72HRcpyoEQF9TsE_Cvxl77XNU4/edit?usp=sharing"",""กาญจนบุรี!M431"")"),0)</f>
        <v>0</v>
      </c>
      <c r="H53" s="58">
        <f t="shared" ca="1" si="23"/>
        <v>190360</v>
      </c>
      <c r="I53" s="59">
        <f t="shared" ca="1" si="1"/>
        <v>39.13651315789474</v>
      </c>
      <c r="J53" s="60">
        <f t="shared" ref="J53:J73" ca="1" si="54">M53+N53+O53+P53</f>
        <v>190360</v>
      </c>
      <c r="K53" s="61">
        <f t="shared" ca="1" si="29"/>
        <v>39.13651315789474</v>
      </c>
      <c r="L53" s="61">
        <f t="shared" ca="1" si="30"/>
        <v>39.13651315789474</v>
      </c>
      <c r="M53" s="57">
        <f ca="1">IFERROR(__xludf.DUMMYFUNCTION("IMPORTRANGE(""https://docs.google.com/spreadsheets/d/1hKO5uv94SSRZWOvrh72HRcpyoEQF9TsE_Cvxl77XNU4/edit?usp=sharing"",""กาญจนบุรี!N450"")"),97800)</f>
        <v>97800</v>
      </c>
      <c r="N53" s="57">
        <f ca="1">IFERROR(__xludf.DUMMYFUNCTION("IMPORTRANGE(""https://docs.google.com/spreadsheets/d/1hKO5uv94SSRZWOvrh72HRcpyoEQF9TsE_Cvxl77XNU4/edit?usp=sharing"",""กาญจนบุรี!N451"")"),0)</f>
        <v>0</v>
      </c>
      <c r="O53" s="57">
        <f ca="1">IFERROR(__xludf.DUMMYFUNCTION("IMPORTRANGE(""https://docs.google.com/spreadsheets/d/1hKO5uv94SSRZWOvrh72HRcpyoEQF9TsE_Cvxl77XNU4/edit?usp=sharing"",""กาญจนบุรี!N452"")"),78000)</f>
        <v>78000</v>
      </c>
      <c r="P53" s="57">
        <f ca="1">IFERROR(__xludf.DUMMYFUNCTION("IMPORTRANGE(""https://docs.google.com/spreadsheets/d/1hKO5uv94SSRZWOvrh72HRcpyoEQF9TsE_Cvxl77XNU4/edit?usp=sharing"",""กาญจนบุรี!N453"")"),14560)</f>
        <v>14560</v>
      </c>
      <c r="Q53" s="62">
        <f ca="1">IFERROR(__xludf.DUMMYFUNCTION("IMPORTRANGE(""https://docs.google.com/spreadsheets/d/1hKO5uv94SSRZWOvrh72HRcpyoEQF9TsE_Cvxl77XNU4/edit?usp=sharing"",""กาญจนบุรี!N456"")"),0)</f>
        <v>0</v>
      </c>
      <c r="R53" s="62">
        <f t="shared" ca="1" si="32"/>
        <v>0</v>
      </c>
      <c r="S53" s="57">
        <f ca="1">IFERROR(__xludf.DUMMYFUNCTION("IMPORTRANGE(""https://docs.google.com/spreadsheets/d/1hKO5uv94SSRZWOvrh72HRcpyoEQF9TsE_Cvxl77XNU4/edit?usp=sharing"",""กาญจนบุรี!I458"")"),0)</f>
        <v>0</v>
      </c>
      <c r="T53" s="57">
        <f ca="1">IFERROR(__xludf.DUMMYFUNCTION("IMPORTRANGE(""https://docs.google.com/spreadsheets/d/1hKO5uv94SSRZWOvrh72HRcpyoEQF9TsE_Cvxl77XNU4/edit?usp=sharing"",""กาญจนบุรี!J458"")"),0)</f>
        <v>0</v>
      </c>
      <c r="U53" s="63">
        <f t="shared" ca="1" si="24"/>
        <v>0</v>
      </c>
      <c r="V53" s="57">
        <f ca="1">IFERROR(__xludf.DUMMYFUNCTION("IMPORTRANGE(""https://docs.google.com/spreadsheets/d/1hKO5uv94SSRZWOvrh72HRcpyoEQF9TsE_Cvxl77XNU4/edit?usp=sharing"",""กาญจนบุรี!I460"")"),75)</f>
        <v>75</v>
      </c>
      <c r="W53" s="57">
        <f ca="1">IFERROR(__xludf.DUMMYFUNCTION("IMPORTRANGE(""https://docs.google.com/spreadsheets/d/1hKO5uv94SSRZWOvrh72HRcpyoEQF9TsE_Cvxl77XNU4/edit?usp=sharing"",""กาญจนบุรี!J460"")"),75)</f>
        <v>75</v>
      </c>
      <c r="X53" s="63">
        <f t="shared" ca="1" si="25"/>
        <v>100</v>
      </c>
      <c r="Y53" s="57">
        <f ca="1">IFERROR(__xludf.DUMMYFUNCTION("IMPORTRANGE(""https://docs.google.com/spreadsheets/d/1hKO5uv94SSRZWOvrh72HRcpyoEQF9TsE_Cvxl77XNU4/edit?usp=sharing"",""กาญจนบุรี!I462"")"),200)</f>
        <v>200</v>
      </c>
      <c r="Z53" s="57">
        <f ca="1">IFERROR(__xludf.DUMMYFUNCTION("IMPORTRANGE(""https://docs.google.com/spreadsheets/d/1hKO5uv94SSRZWOvrh72HRcpyoEQF9TsE_Cvxl77XNU4/edit?usp=sharing"",""กาญจนบุรี!J462"")"),200)</f>
        <v>200</v>
      </c>
      <c r="AA53" s="63">
        <f t="shared" ca="1" si="26"/>
        <v>100</v>
      </c>
      <c r="AB53" s="57">
        <f ca="1">IFERROR(__xludf.DUMMYFUNCTION("IMPORTRANGE(""https://docs.google.com/spreadsheets/d/1hKO5uv94SSRZWOvrh72HRcpyoEQF9TsE_Cvxl77XNU4/edit?usp=sharing"",""กาญจนบุรี!I463"")"),200)</f>
        <v>200</v>
      </c>
      <c r="AC53" s="57">
        <f ca="1">IFERROR(__xludf.DUMMYFUNCTION("IMPORTRANGE(""https://docs.google.com/spreadsheets/d/1hKO5uv94SSRZWOvrh72HRcpyoEQF9TsE_Cvxl77XNU4/edit?usp=sharing"",""กาญจนบุรี!I464"")"),75)</f>
        <v>75</v>
      </c>
      <c r="AD53" s="57">
        <f ca="1">IFERROR(__xludf.DUMMYFUNCTION("IMPORTRANGE(""https://docs.google.com/spreadsheets/d/1hKO5uv94SSRZWOvrh72HRcpyoEQF9TsE_Cvxl77XNU4/edit?usp=sharing"",""กาญจนบุรี!J463"")"),0)</f>
        <v>0</v>
      </c>
      <c r="AE53" s="63">
        <f t="shared" ca="1" si="27"/>
        <v>0</v>
      </c>
      <c r="AF53" s="57">
        <f ca="1">IFERROR(__xludf.DUMMYFUNCTION("IMPORTRANGE(""https://docs.google.com/spreadsheets/d/1hKO5uv94SSRZWOvrh72HRcpyoEQF9TsE_Cvxl77XNU4/edit?usp=sharing"",""กาญจนบุรี!J464"")"),0)</f>
        <v>0</v>
      </c>
      <c r="AG53" s="63">
        <f t="shared" ca="1" si="13"/>
        <v>0</v>
      </c>
    </row>
    <row r="54" spans="1:33" ht="21" customHeight="1" x14ac:dyDescent="0.3">
      <c r="A54" s="54">
        <v>2</v>
      </c>
      <c r="B54" s="55" t="s">
        <v>75</v>
      </c>
      <c r="C54" s="56">
        <f t="shared" ca="1" si="53"/>
        <v>0</v>
      </c>
      <c r="D54" s="57">
        <f ca="1">IFERROR(__xludf.DUMMYFUNCTION("IMPORTRANGE(""https://docs.google.com/spreadsheets/d/1njBaP_xXd-Uotvo2D9zb01TTCFkLJLDK97Tk1l9Qux0/edit?usp=sharing"",""จันทบุรี!L449"")"),0)</f>
        <v>0</v>
      </c>
      <c r="E54" s="64">
        <f ca="1">IFERROR(__xludf.DUMMYFUNCTION("IMPORTRANGE(""https://docs.google.com/spreadsheets/d/1njBaP_xXd-Uotvo2D9zb01TTCFkLJLDK97Tk1l9Qux0/edit?usp=sharing"",""จันทบุรี!L456"")"),0)</f>
        <v>0</v>
      </c>
      <c r="F54" s="64">
        <f ca="1">IFERROR(__xludf.DUMMYFUNCTION("IMPORTRANGE(""https://docs.google.com/spreadsheets/d/1njBaP_xXd-Uotvo2D9zb01TTCFkLJLDK97Tk1l9Qux0/edit?usp=sharing"",""จันทบุรี!M449"")"),0)</f>
        <v>0</v>
      </c>
      <c r="G54" s="64">
        <f ca="1">IFERROR(__xludf.DUMMYFUNCTION("IMPORTRANGE(""https://docs.google.com/spreadsheets/d/1njBaP_xXd-Uotvo2D9zb01TTCFkLJLDK97Tk1l9Qux0/edit?usp=sharing"",""จันทบุรี!M431"")"),0)</f>
        <v>0</v>
      </c>
      <c r="H54" s="58">
        <f t="shared" ca="1" si="23"/>
        <v>0</v>
      </c>
      <c r="I54" s="59">
        <f t="shared" ca="1" si="1"/>
        <v>0</v>
      </c>
      <c r="J54" s="60">
        <f t="shared" ca="1" si="54"/>
        <v>0</v>
      </c>
      <c r="K54" s="61">
        <f t="shared" ca="1" si="29"/>
        <v>0</v>
      </c>
      <c r="L54" s="61">
        <f t="shared" ca="1" si="30"/>
        <v>0</v>
      </c>
      <c r="M54" s="64">
        <f ca="1">IFERROR(__xludf.DUMMYFUNCTION("IMPORTRANGE(""https://docs.google.com/spreadsheets/d/1njBaP_xXd-Uotvo2D9zb01TTCFkLJLDK97Tk1l9Qux0/edit?usp=sharing"",""จันทบุรี!N450"")"),0)</f>
        <v>0</v>
      </c>
      <c r="N54" s="64">
        <f ca="1">IFERROR(__xludf.DUMMYFUNCTION("IMPORTRANGE(""https://docs.google.com/spreadsheets/d/1njBaP_xXd-Uotvo2D9zb01TTCFkLJLDK97Tk1l9Qux0/edit?usp=sharing"",""จันทบุรี!N451"")"),0)</f>
        <v>0</v>
      </c>
      <c r="O54" s="64">
        <f ca="1">IFERROR(__xludf.DUMMYFUNCTION("IMPORTRANGE(""https://docs.google.com/spreadsheets/d/1njBaP_xXd-Uotvo2D9zb01TTCFkLJLDK97Tk1l9Qux0/edit?usp=sharing"",""จันทบุรี!N452"")"),0)</f>
        <v>0</v>
      </c>
      <c r="P54" s="64">
        <f ca="1">IFERROR(__xludf.DUMMYFUNCTION("IMPORTRANGE(""https://docs.google.com/spreadsheets/d/1njBaP_xXd-Uotvo2D9zb01TTCFkLJLDK97Tk1l9Qux0/edit?usp=sharing"",""จันทบุรี!N453"")"),0)</f>
        <v>0</v>
      </c>
      <c r="Q54" s="62">
        <f ca="1">IFERROR(__xludf.DUMMYFUNCTION("IMPORTRANGE(""https://docs.google.com/spreadsheets/d/1njBaP_xXd-Uotvo2D9zb01TTCFkLJLDK97Tk1l9Qux0/edit?usp=sharing"",""จันทบุรี!N456"")"),0)</f>
        <v>0</v>
      </c>
      <c r="R54" s="62">
        <f t="shared" ca="1" si="32"/>
        <v>0</v>
      </c>
      <c r="S54" s="57">
        <f ca="1">IFERROR(__xludf.DUMMYFUNCTION("IMPORTRANGE(""https://docs.google.com/spreadsheets/d/1njBaP_xXd-Uotvo2D9zb01TTCFkLJLDK97Tk1l9Qux0/edit?usp=sharing"",""จันทบุรี!I458"")"),0)</f>
        <v>0</v>
      </c>
      <c r="T54" s="57">
        <f ca="1">IFERROR(__xludf.DUMMYFUNCTION("IMPORTRANGE(""https://docs.google.com/spreadsheets/d/1njBaP_xXd-Uotvo2D9zb01TTCFkLJLDK97Tk1l9Qux0/edit?usp=sharing"",""จันทบุรี!J458"")"),0)</f>
        <v>0</v>
      </c>
      <c r="U54" s="63">
        <f t="shared" ca="1" si="24"/>
        <v>0</v>
      </c>
      <c r="V54" s="57">
        <f ca="1">IFERROR(__xludf.DUMMYFUNCTION("IMPORTRANGE(""https://docs.google.com/spreadsheets/d/1njBaP_xXd-Uotvo2D9zb01TTCFkLJLDK97Tk1l9Qux0/edit?usp=sharing"",""จันทบุรี!I460"")"),0)</f>
        <v>0</v>
      </c>
      <c r="W54" s="57">
        <f ca="1">IFERROR(__xludf.DUMMYFUNCTION("IMPORTRANGE(""https://docs.google.com/spreadsheets/d/1njBaP_xXd-Uotvo2D9zb01TTCFkLJLDK97Tk1l9Qux0/edit?usp=sharing"",""จันทบุรี!J460"")"),0)</f>
        <v>0</v>
      </c>
      <c r="X54" s="63">
        <f t="shared" ca="1" si="25"/>
        <v>0</v>
      </c>
      <c r="Y54" s="57">
        <f ca="1">IFERROR(__xludf.DUMMYFUNCTION("IMPORTRANGE(""https://docs.google.com/spreadsheets/d/1njBaP_xXd-Uotvo2D9zb01TTCFkLJLDK97Tk1l9Qux0/edit?usp=sharing"",""จันทบุรี!I462"")"),0)</f>
        <v>0</v>
      </c>
      <c r="Z54" s="57">
        <f ca="1">IFERROR(__xludf.DUMMYFUNCTION("IMPORTRANGE(""https://docs.google.com/spreadsheets/d/1njBaP_xXd-Uotvo2D9zb01TTCFkLJLDK97Tk1l9Qux0/edit?usp=sharing"",""จันทบุรี!J462"")"),0)</f>
        <v>0</v>
      </c>
      <c r="AA54" s="63">
        <f t="shared" ca="1" si="26"/>
        <v>0</v>
      </c>
      <c r="AB54" s="57">
        <f ca="1">IFERROR(__xludf.DUMMYFUNCTION("IMPORTRANGE(""https://docs.google.com/spreadsheets/d/1njBaP_xXd-Uotvo2D9zb01TTCFkLJLDK97Tk1l9Qux0/edit?usp=sharing"",""จันทบุรี!I463"")"),0)</f>
        <v>0</v>
      </c>
      <c r="AC54" s="57">
        <f ca="1">IFERROR(__xludf.DUMMYFUNCTION("IMPORTRANGE(""https://docs.google.com/spreadsheets/d/1njBaP_xXd-Uotvo2D9zb01TTCFkLJLDK97Tk1l9Qux0/edit?usp=sharing"",""จันทบุรี!I464"")"),0)</f>
        <v>0</v>
      </c>
      <c r="AD54" s="57">
        <f ca="1">IFERROR(__xludf.DUMMYFUNCTION("IMPORTRANGE(""https://docs.google.com/spreadsheets/d/1njBaP_xXd-Uotvo2D9zb01TTCFkLJLDK97Tk1l9Qux0/edit?usp=sharing"",""จันทบุรี!J463"")"),0)</f>
        <v>0</v>
      </c>
      <c r="AE54" s="63">
        <f t="shared" ca="1" si="27"/>
        <v>0</v>
      </c>
      <c r="AF54" s="57">
        <f ca="1">IFERROR(__xludf.DUMMYFUNCTION("IMPORTRANGE(""https://docs.google.com/spreadsheets/d/1njBaP_xXd-Uotvo2D9zb01TTCFkLJLDK97Tk1l9Qux0/edit?usp=sharing"",""จันทบุรี!J464"")"),0)</f>
        <v>0</v>
      </c>
      <c r="AG54" s="63">
        <f t="shared" ca="1" si="13"/>
        <v>0</v>
      </c>
    </row>
    <row r="55" spans="1:33" ht="21" customHeight="1" x14ac:dyDescent="0.3">
      <c r="A55" s="54">
        <v>3</v>
      </c>
      <c r="B55" s="55" t="s">
        <v>76</v>
      </c>
      <c r="C55" s="56">
        <f t="shared" ca="1" si="53"/>
        <v>331500</v>
      </c>
      <c r="D55" s="57">
        <f ca="1">IFERROR(__xludf.DUMMYFUNCTION("IMPORTRANGE(""https://docs.google.com/spreadsheets/d/14xp6qUzrGFnUk_qnc1eEmfiaNRd4_grkhpfQH_46fa8/edit?usp=sharing"",""ฉะเชิงเทรา!L449"")"),331500)</f>
        <v>331500</v>
      </c>
      <c r="E55" s="64">
        <f ca="1">IFERROR(__xludf.DUMMYFUNCTION("IMPORTRANGE(""https://docs.google.com/spreadsheets/d/14xp6qUzrGFnUk_qnc1eEmfiaNRd4_grkhpfQH_46fa8/edit?usp=sharing"",""ฉะเชิงเทรา!L456"")"),0)</f>
        <v>0</v>
      </c>
      <c r="F55" s="64">
        <f ca="1">IFERROR(__xludf.DUMMYFUNCTION("IMPORTRANGE(""https://docs.google.com/spreadsheets/d/14xp6qUzrGFnUk_qnc1eEmfiaNRd4_grkhpfQH_46fa8/edit?usp=sharing"",""ฉะเชิงเทรา!M449"")"),331500)</f>
        <v>331500</v>
      </c>
      <c r="G55" s="64">
        <f ca="1">IFERROR(__xludf.DUMMYFUNCTION("IMPORTRANGE(""https://docs.google.com/spreadsheets/d/14xp6qUzrGFnUk_qnc1eEmfiaNRd4_grkhpfQH_46fa8/edit?usp=sharing"",""ฉะเชิงเทรา!M431"")"),0)</f>
        <v>0</v>
      </c>
      <c r="H55" s="58">
        <f t="shared" ca="1" si="23"/>
        <v>237840</v>
      </c>
      <c r="I55" s="59">
        <f t="shared" ca="1" si="1"/>
        <v>71.74660633484163</v>
      </c>
      <c r="J55" s="60">
        <f t="shared" ca="1" si="54"/>
        <v>237840</v>
      </c>
      <c r="K55" s="61">
        <f t="shared" ca="1" si="29"/>
        <v>71.74660633484163</v>
      </c>
      <c r="L55" s="61">
        <f t="shared" ca="1" si="30"/>
        <v>71.74660633484163</v>
      </c>
      <c r="M55" s="64">
        <f ca="1">IFERROR(__xludf.DUMMYFUNCTION("IMPORTRANGE(""https://docs.google.com/spreadsheets/d/14xp6qUzrGFnUk_qnc1eEmfiaNRd4_grkhpfQH_46fa8/edit?usp=sharing"",""ฉะเชิงเทรา!N450"")"),73000)</f>
        <v>73000</v>
      </c>
      <c r="N55" s="64">
        <f ca="1">IFERROR(__xludf.DUMMYFUNCTION("IMPORTRANGE(""https://docs.google.com/spreadsheets/d/14xp6qUzrGFnUk_qnc1eEmfiaNRd4_grkhpfQH_46fa8/edit?usp=sharing"",""ฉะเชิงเทรา!N451"")"),64000)</f>
        <v>64000</v>
      </c>
      <c r="O55" s="64">
        <f ca="1">IFERROR(__xludf.DUMMYFUNCTION("IMPORTRANGE(""https://docs.google.com/spreadsheets/d/14xp6qUzrGFnUk_qnc1eEmfiaNRd4_grkhpfQH_46fa8/edit?usp=sharing"",""ฉะเชิงเทรา!N452"")"),78000)</f>
        <v>78000</v>
      </c>
      <c r="P55" s="64">
        <f ca="1">IFERROR(__xludf.DUMMYFUNCTION("IMPORTRANGE(""https://docs.google.com/spreadsheets/d/14xp6qUzrGFnUk_qnc1eEmfiaNRd4_grkhpfQH_46fa8/edit?usp=sharing"",""ฉะเชิงเทรา!N453"")"),22840)</f>
        <v>22840</v>
      </c>
      <c r="Q55" s="62">
        <f ca="1">IFERROR(__xludf.DUMMYFUNCTION("IMPORTRANGE(""https://docs.google.com/spreadsheets/d/14xp6qUzrGFnUk_qnc1eEmfiaNRd4_grkhpfQH_46fa8/edit?usp=sharing"",""ฉะเชิงเทรา!N456"")"),0)</f>
        <v>0</v>
      </c>
      <c r="R55" s="62">
        <f t="shared" ca="1" si="32"/>
        <v>0</v>
      </c>
      <c r="S55" s="57">
        <f ca="1">IFERROR(__xludf.DUMMYFUNCTION("IMPORTRANGE(""https://docs.google.com/spreadsheets/d/14xp6qUzrGFnUk_qnc1eEmfiaNRd4_grkhpfQH_46fa8/edit?usp=sharing"",""ฉะเชิงเทรา!I458"")"),0)</f>
        <v>0</v>
      </c>
      <c r="T55" s="57">
        <f ca="1">IFERROR(__xludf.DUMMYFUNCTION("IMPORTRANGE(""https://docs.google.com/spreadsheets/d/14xp6qUzrGFnUk_qnc1eEmfiaNRd4_grkhpfQH_46fa8/edit?usp=sharing"",""ฉะเชิงเทรา!J458"")"),0)</f>
        <v>0</v>
      </c>
      <c r="U55" s="63">
        <f t="shared" ca="1" si="24"/>
        <v>0</v>
      </c>
      <c r="V55" s="57">
        <f ca="1">IFERROR(__xludf.DUMMYFUNCTION("IMPORTRANGE(""https://docs.google.com/spreadsheets/d/14xp6qUzrGFnUk_qnc1eEmfiaNRd4_grkhpfQH_46fa8/edit?usp=sharing"",""ฉะเชิงเทรา!I460"")"),55)</f>
        <v>55</v>
      </c>
      <c r="W55" s="57">
        <f ca="1">IFERROR(__xludf.DUMMYFUNCTION("IMPORTRANGE(""https://docs.google.com/spreadsheets/d/14xp6qUzrGFnUk_qnc1eEmfiaNRd4_grkhpfQH_46fa8/edit?usp=sharing"",""ฉะเชิงเทรา!J460"")"),55)</f>
        <v>55</v>
      </c>
      <c r="X55" s="63">
        <f t="shared" ca="1" si="25"/>
        <v>100</v>
      </c>
      <c r="Y55" s="57">
        <f ca="1">IFERROR(__xludf.DUMMYFUNCTION("IMPORTRANGE(""https://docs.google.com/spreadsheets/d/14xp6qUzrGFnUk_qnc1eEmfiaNRd4_grkhpfQH_46fa8/edit?usp=sharing"",""ฉะเชิงเทรา!I462"")"),55)</f>
        <v>55</v>
      </c>
      <c r="Z55" s="57">
        <f ca="1">IFERROR(__xludf.DUMMYFUNCTION("IMPORTRANGE(""https://docs.google.com/spreadsheets/d/14xp6qUzrGFnUk_qnc1eEmfiaNRd4_grkhpfQH_46fa8/edit?usp=sharing"",""ฉะเชิงเทรา!J462"")"),55)</f>
        <v>55</v>
      </c>
      <c r="AA55" s="63">
        <f t="shared" ca="1" si="26"/>
        <v>100</v>
      </c>
      <c r="AB55" s="57">
        <f ca="1">IFERROR(__xludf.DUMMYFUNCTION("IMPORTRANGE(""https://docs.google.com/spreadsheets/d/14xp6qUzrGFnUk_qnc1eEmfiaNRd4_grkhpfQH_46fa8/edit?usp=sharing"",""ฉะเชิงเทรา!I463"")"),55)</f>
        <v>55</v>
      </c>
      <c r="AC55" s="57">
        <f ca="1">IFERROR(__xludf.DUMMYFUNCTION("IMPORTRANGE(""https://docs.google.com/spreadsheets/d/14xp6qUzrGFnUk_qnc1eEmfiaNRd4_grkhpfQH_46fa8/edit?usp=sharing"",""ฉะเชิงเทรา!I464"")"),55)</f>
        <v>55</v>
      </c>
      <c r="AD55" s="57">
        <f ca="1">IFERROR(__xludf.DUMMYFUNCTION("IMPORTRANGE(""https://docs.google.com/spreadsheets/d/14xp6qUzrGFnUk_qnc1eEmfiaNRd4_grkhpfQH_46fa8/edit?usp=sharing"",""ฉะเชิงเทรา!J463"")"),55)</f>
        <v>55</v>
      </c>
      <c r="AE55" s="63">
        <f t="shared" ca="1" si="27"/>
        <v>100</v>
      </c>
      <c r="AF55" s="57">
        <f ca="1">IFERROR(__xludf.DUMMYFUNCTION("IMPORTRANGE(""https://docs.google.com/spreadsheets/d/14xp6qUzrGFnUk_qnc1eEmfiaNRd4_grkhpfQH_46fa8/edit?usp=sharing"",""ฉะเชิงเทรา!J464"")"),55)</f>
        <v>55</v>
      </c>
      <c r="AG55" s="63">
        <f t="shared" ca="1" si="13"/>
        <v>100</v>
      </c>
    </row>
    <row r="56" spans="1:33" ht="21" customHeight="1" x14ac:dyDescent="0.3">
      <c r="A56" s="54">
        <v>4</v>
      </c>
      <c r="B56" s="55" t="s">
        <v>77</v>
      </c>
      <c r="C56" s="56">
        <f t="shared" ca="1" si="53"/>
        <v>68160</v>
      </c>
      <c r="D56" s="57">
        <f ca="1">IFERROR(__xludf.DUMMYFUNCTION("IMPORTRANGE(""https://docs.google.com/spreadsheets/d/1_Zwps30dlVa-pZFsorjVf1Pil6WXwzCsJU0U2whO3NI/edit?usp=sharing"",""ชลบุรี!L449"")"),68160)</f>
        <v>68160</v>
      </c>
      <c r="E56" s="64">
        <f ca="1">IFERROR(__xludf.DUMMYFUNCTION("IMPORTRANGE(""https://docs.google.com/spreadsheets/d/1_Zwps30dlVa-pZFsorjVf1Pil6WXwzCsJU0U2whO3NI/edit?usp=sharing"",""ชลบุรี!L456"")"),0)</f>
        <v>0</v>
      </c>
      <c r="F56" s="64">
        <f ca="1">IFERROR(__xludf.DUMMYFUNCTION("IMPORTRANGE(""https://docs.google.com/spreadsheets/d/1_Zwps30dlVa-pZFsorjVf1Pil6WXwzCsJU0U2whO3NI/edit?usp=sharing"",""ชลบุรี!M449"")"),68160)</f>
        <v>68160</v>
      </c>
      <c r="G56" s="64">
        <f ca="1">IFERROR(__xludf.DUMMYFUNCTION("IMPORTRANGE(""https://docs.google.com/spreadsheets/d/1_Zwps30dlVa-pZFsorjVf1Pil6WXwzCsJU0U2whO3NI/edit?usp=sharing"",""ชลบุรี!M431"")"),0)</f>
        <v>0</v>
      </c>
      <c r="H56" s="58">
        <f t="shared" ca="1" si="23"/>
        <v>44225</v>
      </c>
      <c r="I56" s="59">
        <f t="shared" ca="1" si="1"/>
        <v>64.884096244131456</v>
      </c>
      <c r="J56" s="60">
        <f t="shared" ca="1" si="54"/>
        <v>44225</v>
      </c>
      <c r="K56" s="61">
        <f t="shared" ca="1" si="29"/>
        <v>64.884096244131456</v>
      </c>
      <c r="L56" s="61">
        <f t="shared" ca="1" si="30"/>
        <v>64.884096244131456</v>
      </c>
      <c r="M56" s="64">
        <f ca="1">IFERROR(__xludf.DUMMYFUNCTION("IMPORTRANGE(""https://docs.google.com/spreadsheets/d/1_Zwps30dlVa-pZFsorjVf1Pil6WXwzCsJU0U2whO3NI/edit?usp=sharing"",""ชลบุรี!N450"")"),22950)</f>
        <v>22950</v>
      </c>
      <c r="N56" s="64">
        <f ca="1">IFERROR(__xludf.DUMMYFUNCTION("IMPORTRANGE(""https://docs.google.com/spreadsheets/d/1_Zwps30dlVa-pZFsorjVf1Pil6WXwzCsJU0U2whO3NI/edit?usp=sharing"",""ชลบุรี!N451"")"),17000)</f>
        <v>17000</v>
      </c>
      <c r="O56" s="64">
        <f ca="1">IFERROR(__xludf.DUMMYFUNCTION("IMPORTRANGE(""https://docs.google.com/spreadsheets/d/1_Zwps30dlVa-pZFsorjVf1Pil6WXwzCsJU0U2whO3NI/edit?usp=sharing"",""ชลบุรี!N452"")"),0)</f>
        <v>0</v>
      </c>
      <c r="P56" s="64">
        <f ca="1">IFERROR(__xludf.DUMMYFUNCTION("IMPORTRANGE(""https://docs.google.com/spreadsheets/d/1_Zwps30dlVa-pZFsorjVf1Pil6WXwzCsJU0U2whO3NI/edit?usp=sharing"",""ชลบุรี!N453"")"),4275)</f>
        <v>4275</v>
      </c>
      <c r="Q56" s="62">
        <f ca="1">IFERROR(__xludf.DUMMYFUNCTION("IMPORTRANGE(""https://docs.google.com/spreadsheets/d/1_Zwps30dlVa-pZFsorjVf1Pil6WXwzCsJU0U2whO3NI/edit?usp=sharing"",""ชลบุรี!N456"")"),0)</f>
        <v>0</v>
      </c>
      <c r="R56" s="62">
        <f t="shared" ca="1" si="32"/>
        <v>0</v>
      </c>
      <c r="S56" s="57">
        <f ca="1">IFERROR(__xludf.DUMMYFUNCTION("IMPORTRANGE(""https://docs.google.com/spreadsheets/d/1_Zwps30dlVa-pZFsorjVf1Pil6WXwzCsJU0U2whO3NI/edit?usp=sharing"",""ชลบุรี!I458"")"),0)</f>
        <v>0</v>
      </c>
      <c r="T56" s="57">
        <f ca="1">IFERROR(__xludf.DUMMYFUNCTION("IMPORTRANGE(""https://docs.google.com/spreadsheets/d/1_Zwps30dlVa-pZFsorjVf1Pil6WXwzCsJU0U2whO3NI/edit?usp=sharing"",""ชลบุรี!J458"")"),0)</f>
        <v>0</v>
      </c>
      <c r="U56" s="63">
        <f t="shared" ca="1" si="24"/>
        <v>0</v>
      </c>
      <c r="V56" s="57">
        <f ca="1">IFERROR(__xludf.DUMMYFUNCTION("IMPORTRANGE(""https://docs.google.com/spreadsheets/d/1_Zwps30dlVa-pZFsorjVf1Pil6WXwzCsJU0U2whO3NI/edit?usp=sharing"",""ชลบุรี!I460"")"),15)</f>
        <v>15</v>
      </c>
      <c r="W56" s="57">
        <f ca="1">IFERROR(__xludf.DUMMYFUNCTION("IMPORTRANGE(""https://docs.google.com/spreadsheets/d/1_Zwps30dlVa-pZFsorjVf1Pil6WXwzCsJU0U2whO3NI/edit?usp=sharing"",""ชลบุรี!J460"")"),15)</f>
        <v>15</v>
      </c>
      <c r="X56" s="63">
        <f t="shared" ca="1" si="25"/>
        <v>100</v>
      </c>
      <c r="Y56" s="57">
        <f ca="1">IFERROR(__xludf.DUMMYFUNCTION("IMPORTRANGE(""https://docs.google.com/spreadsheets/d/1_Zwps30dlVa-pZFsorjVf1Pil6WXwzCsJU0U2whO3NI/edit?usp=sharing"",""ชลบุรี!I462"")"),15)</f>
        <v>15</v>
      </c>
      <c r="Z56" s="57">
        <f ca="1">IFERROR(__xludf.DUMMYFUNCTION("IMPORTRANGE(""https://docs.google.com/spreadsheets/d/1_Zwps30dlVa-pZFsorjVf1Pil6WXwzCsJU0U2whO3NI/edit?usp=sharing"",""ชลบุรี!J462"")"),15)</f>
        <v>15</v>
      </c>
      <c r="AA56" s="63">
        <f t="shared" ca="1" si="26"/>
        <v>100</v>
      </c>
      <c r="AB56" s="57">
        <f ca="1">IFERROR(__xludf.DUMMYFUNCTION("IMPORTRANGE(""https://docs.google.com/spreadsheets/d/1_Zwps30dlVa-pZFsorjVf1Pil6WXwzCsJU0U2whO3NI/edit?usp=sharing"",""ชลบุรี!I463"")"),15)</f>
        <v>15</v>
      </c>
      <c r="AC56" s="57">
        <f ca="1">IFERROR(__xludf.DUMMYFUNCTION("IMPORTRANGE(""https://docs.google.com/spreadsheets/d/1_Zwps30dlVa-pZFsorjVf1Pil6WXwzCsJU0U2whO3NI/edit?usp=sharing"",""ชลบุรี!I464"")"),15)</f>
        <v>15</v>
      </c>
      <c r="AD56" s="57">
        <f ca="1">IFERROR(__xludf.DUMMYFUNCTION("IMPORTRANGE(""https://docs.google.com/spreadsheets/d/1_Zwps30dlVa-pZFsorjVf1Pil6WXwzCsJU0U2whO3NI/edit?usp=sharing"",""ชลบุรี!J463"")"),15)</f>
        <v>15</v>
      </c>
      <c r="AE56" s="63">
        <f t="shared" ca="1" si="27"/>
        <v>100</v>
      </c>
      <c r="AF56" s="57">
        <f ca="1">IFERROR(__xludf.DUMMYFUNCTION("IMPORTRANGE(""https://docs.google.com/spreadsheets/d/1_Zwps30dlVa-pZFsorjVf1Pil6WXwzCsJU0U2whO3NI/edit?usp=sharing"",""ชลบุรี!J464"")"),15)</f>
        <v>15</v>
      </c>
      <c r="AG56" s="63">
        <f t="shared" ca="1" si="13"/>
        <v>100</v>
      </c>
    </row>
    <row r="57" spans="1:33" ht="21" customHeight="1" x14ac:dyDescent="0.3">
      <c r="A57" s="54">
        <v>5</v>
      </c>
      <c r="B57" s="55" t="s">
        <v>78</v>
      </c>
      <c r="C57" s="56">
        <f t="shared" ca="1" si="53"/>
        <v>0</v>
      </c>
      <c r="D57" s="57">
        <f ca="1">IFERROR(__xludf.DUMMYFUNCTION("IMPORTRANGE(""https://docs.google.com/spreadsheets/d/1xAsT4sUbBlom7l0acStESh_15nvjZcXjZM7fK5uZSq8/edit?usp=sharing"",""ชัยนาท!L449"")"),0)</f>
        <v>0</v>
      </c>
      <c r="E57" s="64">
        <f ca="1">IFERROR(__xludf.DUMMYFUNCTION("IMPORTRANGE(""https://docs.google.com/spreadsheets/d/1xAsT4sUbBlom7l0acStESh_15nvjZcXjZM7fK5uZSq8/edit?usp=sharing"",""ชัยนาท!L456"")"),0)</f>
        <v>0</v>
      </c>
      <c r="F57" s="64">
        <f ca="1">IFERROR(__xludf.DUMMYFUNCTION("IMPORTRANGE(""https://docs.google.com/spreadsheets/d/1xAsT4sUbBlom7l0acStESh_15nvjZcXjZM7fK5uZSq8/edit?usp=sharing"",""ชัยนาท!M449"")"),0)</f>
        <v>0</v>
      </c>
      <c r="G57" s="64">
        <f ca="1">IFERROR(__xludf.DUMMYFUNCTION("IMPORTRANGE(""https://docs.google.com/spreadsheets/d/1xAsT4sUbBlom7l0acStESh_15nvjZcXjZM7fK5uZSq8/edit?usp=sharing"",""ชัยนาท!M431"")"),0)</f>
        <v>0</v>
      </c>
      <c r="H57" s="58">
        <f t="shared" ca="1" si="23"/>
        <v>0</v>
      </c>
      <c r="I57" s="59">
        <f t="shared" ca="1" si="1"/>
        <v>0</v>
      </c>
      <c r="J57" s="60">
        <f t="shared" ca="1" si="54"/>
        <v>0</v>
      </c>
      <c r="K57" s="61">
        <f t="shared" ca="1" si="29"/>
        <v>0</v>
      </c>
      <c r="L57" s="61">
        <f t="shared" ca="1" si="30"/>
        <v>0</v>
      </c>
      <c r="M57" s="64">
        <f ca="1">IFERROR(__xludf.DUMMYFUNCTION("IMPORTRANGE(""https://docs.google.com/spreadsheets/d/1xAsT4sUbBlom7l0acStESh_15nvjZcXjZM7fK5uZSq8/edit?usp=sharing"",""ชัยนาท!N450"")"),0)</f>
        <v>0</v>
      </c>
      <c r="N57" s="64">
        <f ca="1">IFERROR(__xludf.DUMMYFUNCTION("IMPORTRANGE(""https://docs.google.com/spreadsheets/d/1xAsT4sUbBlom7l0acStESh_15nvjZcXjZM7fK5uZSq8/edit?usp=sharing"",""ชัยนาท!N451"")"),0)</f>
        <v>0</v>
      </c>
      <c r="O57" s="64">
        <f ca="1">IFERROR(__xludf.DUMMYFUNCTION("IMPORTRANGE(""https://docs.google.com/spreadsheets/d/1xAsT4sUbBlom7l0acStESh_15nvjZcXjZM7fK5uZSq8/edit?usp=sharing"",""ชัยนาท!N452"")"),0)</f>
        <v>0</v>
      </c>
      <c r="P57" s="64">
        <f ca="1">IFERROR(__xludf.DUMMYFUNCTION("IMPORTRANGE(""https://docs.google.com/spreadsheets/d/1xAsT4sUbBlom7l0acStESh_15nvjZcXjZM7fK5uZSq8/edit?usp=sharing"",""ชัยนาท!N453"")"),0)</f>
        <v>0</v>
      </c>
      <c r="Q57" s="62">
        <f ca="1">IFERROR(__xludf.DUMMYFUNCTION("IMPORTRANGE(""https://docs.google.com/spreadsheets/d/1xAsT4sUbBlom7l0acStESh_15nvjZcXjZM7fK5uZSq8/edit?usp=sharing"",""ชัยนาท!N456"")"),0)</f>
        <v>0</v>
      </c>
      <c r="R57" s="62">
        <f t="shared" ca="1" si="32"/>
        <v>0</v>
      </c>
      <c r="S57" s="57">
        <f ca="1">IFERROR(__xludf.DUMMYFUNCTION("IMPORTRANGE(""https://docs.google.com/spreadsheets/d/1xAsT4sUbBlom7l0acStESh_15nvjZcXjZM7fK5uZSq8/edit?usp=sharing"",""ชัยนาท!I458"")"),0)</f>
        <v>0</v>
      </c>
      <c r="T57" s="57">
        <f ca="1">IFERROR(__xludf.DUMMYFUNCTION("IMPORTRANGE(""https://docs.google.com/spreadsheets/d/1xAsT4sUbBlom7l0acStESh_15nvjZcXjZM7fK5uZSq8/edit?usp=sharing"",""ชัยนาท!J458"")"),0)</f>
        <v>0</v>
      </c>
      <c r="U57" s="63">
        <f t="shared" ca="1" si="24"/>
        <v>0</v>
      </c>
      <c r="V57" s="57">
        <f ca="1">IFERROR(__xludf.DUMMYFUNCTION("IMPORTRANGE(""https://docs.google.com/spreadsheets/d/1xAsT4sUbBlom7l0acStESh_15nvjZcXjZM7fK5uZSq8/edit?usp=sharing"",""ชัยนาท!I460"")"),0)</f>
        <v>0</v>
      </c>
      <c r="W57" s="57">
        <f ca="1">IFERROR(__xludf.DUMMYFUNCTION("IMPORTRANGE(""https://docs.google.com/spreadsheets/d/1xAsT4sUbBlom7l0acStESh_15nvjZcXjZM7fK5uZSq8/edit?usp=sharing"",""ชัยนาท!J460"")"),0)</f>
        <v>0</v>
      </c>
      <c r="X57" s="63">
        <f t="shared" ca="1" si="25"/>
        <v>0</v>
      </c>
      <c r="Y57" s="57">
        <f ca="1">IFERROR(__xludf.DUMMYFUNCTION("IMPORTRANGE(""https://docs.google.com/spreadsheets/d/1xAsT4sUbBlom7l0acStESh_15nvjZcXjZM7fK5uZSq8/edit?usp=sharing"",""ชัยนาท!I462"")"),0)</f>
        <v>0</v>
      </c>
      <c r="Z57" s="57">
        <f ca="1">IFERROR(__xludf.DUMMYFUNCTION("IMPORTRANGE(""https://docs.google.com/spreadsheets/d/1xAsT4sUbBlom7l0acStESh_15nvjZcXjZM7fK5uZSq8/edit?usp=sharing"",""ชัยนาท!J462"")"),0)</f>
        <v>0</v>
      </c>
      <c r="AA57" s="63">
        <f t="shared" ca="1" si="26"/>
        <v>0</v>
      </c>
      <c r="AB57" s="57">
        <f ca="1">IFERROR(__xludf.DUMMYFUNCTION("IMPORTRANGE(""https://docs.google.com/spreadsheets/d/1xAsT4sUbBlom7l0acStESh_15nvjZcXjZM7fK5uZSq8/edit?usp=sharing"",""ชัยนาท!I463"")"),0)</f>
        <v>0</v>
      </c>
      <c r="AC57" s="57">
        <f ca="1">IFERROR(__xludf.DUMMYFUNCTION("IMPORTRANGE(""https://docs.google.com/spreadsheets/d/1xAsT4sUbBlom7l0acStESh_15nvjZcXjZM7fK5uZSq8/edit?usp=sharing"",""ชัยนาท!I464"")"),0)</f>
        <v>0</v>
      </c>
      <c r="AD57" s="57">
        <f ca="1">IFERROR(__xludf.DUMMYFUNCTION("IMPORTRANGE(""https://docs.google.com/spreadsheets/d/1xAsT4sUbBlom7l0acStESh_15nvjZcXjZM7fK5uZSq8/edit?usp=sharing"",""ชัยนาท!J463"")"),0)</f>
        <v>0</v>
      </c>
      <c r="AE57" s="63">
        <f t="shared" ca="1" si="27"/>
        <v>0</v>
      </c>
      <c r="AF57" s="57">
        <f ca="1">IFERROR(__xludf.DUMMYFUNCTION("IMPORTRANGE(""https://docs.google.com/spreadsheets/d/1xAsT4sUbBlom7l0acStESh_15nvjZcXjZM7fK5uZSq8/edit?usp=sharing"",""ชัยนาท!J464"")"),0)</f>
        <v>0</v>
      </c>
      <c r="AG57" s="63">
        <f t="shared" ca="1" si="13"/>
        <v>0</v>
      </c>
    </row>
    <row r="58" spans="1:33" ht="21" customHeight="1" x14ac:dyDescent="0.3">
      <c r="A58" s="54">
        <v>6</v>
      </c>
      <c r="B58" s="55" t="s">
        <v>79</v>
      </c>
      <c r="C58" s="56">
        <f t="shared" ca="1" si="53"/>
        <v>0</v>
      </c>
      <c r="D58" s="57">
        <f ca="1">IFERROR(__xludf.DUMMYFUNCTION("IMPORTRANGE(""https://docs.google.com/spreadsheets/d/1vWPVBOAaZ6mHSI8yf95DNqHwTJ1cpeFsvqt6cxV34QA/edit?usp=sharing"",""ตราด!L449"")"),0)</f>
        <v>0</v>
      </c>
      <c r="E58" s="64">
        <f ca="1">IFERROR(__xludf.DUMMYFUNCTION("IMPORTRANGE(""https://docs.google.com/spreadsheets/d/1vWPVBOAaZ6mHSI8yf95DNqHwTJ1cpeFsvqt6cxV34QA/edit?usp=sharing"",""ตราด!L456"")"),0)</f>
        <v>0</v>
      </c>
      <c r="F58" s="64">
        <f ca="1">IFERROR(__xludf.DUMMYFUNCTION("IMPORTRANGE(""https://docs.google.com/spreadsheets/d/1vWPVBOAaZ6mHSI8yf95DNqHwTJ1cpeFsvqt6cxV34QA/edit?usp=sharing"",""ตราด!M449"")"),0)</f>
        <v>0</v>
      </c>
      <c r="G58" s="64">
        <f ca="1">IFERROR(__xludf.DUMMYFUNCTION("IMPORTRANGE(""https://docs.google.com/spreadsheets/d/1vWPVBOAaZ6mHSI8yf95DNqHwTJ1cpeFsvqt6cxV34QA/edit?usp=sharing"",""ตราด!M431"")"),0)</f>
        <v>0</v>
      </c>
      <c r="H58" s="58">
        <f t="shared" ca="1" si="23"/>
        <v>0</v>
      </c>
      <c r="I58" s="59">
        <f t="shared" ca="1" si="1"/>
        <v>0</v>
      </c>
      <c r="J58" s="60">
        <f t="shared" ca="1" si="54"/>
        <v>0</v>
      </c>
      <c r="K58" s="61">
        <f t="shared" ca="1" si="29"/>
        <v>0</v>
      </c>
      <c r="L58" s="61">
        <f t="shared" ca="1" si="30"/>
        <v>0</v>
      </c>
      <c r="M58" s="64">
        <f ca="1">IFERROR(__xludf.DUMMYFUNCTION("IMPORTRANGE(""https://docs.google.com/spreadsheets/d/1vWPVBOAaZ6mHSI8yf95DNqHwTJ1cpeFsvqt6cxV34QA/edit?usp=sharing"",""ตราด!N450"")"),0)</f>
        <v>0</v>
      </c>
      <c r="N58" s="64">
        <f ca="1">IFERROR(__xludf.DUMMYFUNCTION("IMPORTRANGE(""https://docs.google.com/spreadsheets/d/1vWPVBOAaZ6mHSI8yf95DNqHwTJ1cpeFsvqt6cxV34QA/edit?usp=sharing"",""ตราด!N451"")"),0)</f>
        <v>0</v>
      </c>
      <c r="O58" s="64">
        <f ca="1">IFERROR(__xludf.DUMMYFUNCTION("IMPORTRANGE(""https://docs.google.com/spreadsheets/d/1vWPVBOAaZ6mHSI8yf95DNqHwTJ1cpeFsvqt6cxV34QA/edit?usp=sharing"",""ตราด!N452"")"),0)</f>
        <v>0</v>
      </c>
      <c r="P58" s="64">
        <f ca="1">IFERROR(__xludf.DUMMYFUNCTION("IMPORTRANGE(""https://docs.google.com/spreadsheets/d/1vWPVBOAaZ6mHSI8yf95DNqHwTJ1cpeFsvqt6cxV34QA/edit?usp=sharing"",""ตราด!N453"")"),0)</f>
        <v>0</v>
      </c>
      <c r="Q58" s="62">
        <f ca="1">IFERROR(__xludf.DUMMYFUNCTION("IMPORTRANGE(""https://docs.google.com/spreadsheets/d/1vWPVBOAaZ6mHSI8yf95DNqHwTJ1cpeFsvqt6cxV34QA/edit?usp=sharing"",""ตราด!N456"")"),0)</f>
        <v>0</v>
      </c>
      <c r="R58" s="62">
        <f t="shared" ca="1" si="32"/>
        <v>0</v>
      </c>
      <c r="S58" s="57">
        <f ca="1">IFERROR(__xludf.DUMMYFUNCTION("IMPORTRANGE(""https://docs.google.com/spreadsheets/d/1vWPVBOAaZ6mHSI8yf95DNqHwTJ1cpeFsvqt6cxV34QA/edit?usp=sharing"",""ตราด!I458"")"),0)</f>
        <v>0</v>
      </c>
      <c r="T58" s="57">
        <f ca="1">IFERROR(__xludf.DUMMYFUNCTION("IMPORTRANGE(""https://docs.google.com/spreadsheets/d/1vWPVBOAaZ6mHSI8yf95DNqHwTJ1cpeFsvqt6cxV34QA/edit?usp=sharing"",""ตราด!J458"")"),0)</f>
        <v>0</v>
      </c>
      <c r="U58" s="63">
        <f t="shared" ca="1" si="24"/>
        <v>0</v>
      </c>
      <c r="V58" s="57">
        <f ca="1">IFERROR(__xludf.DUMMYFUNCTION("IMPORTRANGE(""https://docs.google.com/spreadsheets/d/1vWPVBOAaZ6mHSI8yf95DNqHwTJ1cpeFsvqt6cxV34QA/edit?usp=sharing"",""ตราด!I460"")"),0)</f>
        <v>0</v>
      </c>
      <c r="W58" s="57">
        <f ca="1">IFERROR(__xludf.DUMMYFUNCTION("IMPORTRANGE(""https://docs.google.com/spreadsheets/d/1vWPVBOAaZ6mHSI8yf95DNqHwTJ1cpeFsvqt6cxV34QA/edit?usp=sharing"",""ตราด!J460"")"),0)</f>
        <v>0</v>
      </c>
      <c r="X58" s="63">
        <f t="shared" ca="1" si="25"/>
        <v>0</v>
      </c>
      <c r="Y58" s="57">
        <f ca="1">IFERROR(__xludf.DUMMYFUNCTION("IMPORTRANGE(""https://docs.google.com/spreadsheets/d/1vWPVBOAaZ6mHSI8yf95DNqHwTJ1cpeFsvqt6cxV34QA/edit?usp=sharing"",""ตราด!I462"")"),0)</f>
        <v>0</v>
      </c>
      <c r="Z58" s="57">
        <f ca="1">IFERROR(__xludf.DUMMYFUNCTION("IMPORTRANGE(""https://docs.google.com/spreadsheets/d/1vWPVBOAaZ6mHSI8yf95DNqHwTJ1cpeFsvqt6cxV34QA/edit?usp=sharing"",""ตราด!J462"")"),0)</f>
        <v>0</v>
      </c>
      <c r="AA58" s="63">
        <f t="shared" ca="1" si="26"/>
        <v>0</v>
      </c>
      <c r="AB58" s="57">
        <f ca="1">IFERROR(__xludf.DUMMYFUNCTION("IMPORTRANGE(""https://docs.google.com/spreadsheets/d/1vWPVBOAaZ6mHSI8yf95DNqHwTJ1cpeFsvqt6cxV34QA/edit?usp=sharing"",""ตราด!I463"")"),0)</f>
        <v>0</v>
      </c>
      <c r="AC58" s="57">
        <f ca="1">IFERROR(__xludf.DUMMYFUNCTION("IMPORTRANGE(""https://docs.google.com/spreadsheets/d/1vWPVBOAaZ6mHSI8yf95DNqHwTJ1cpeFsvqt6cxV34QA/edit?usp=sharing"",""ตราด!I464"")"),0)</f>
        <v>0</v>
      </c>
      <c r="AD58" s="57">
        <f ca="1">IFERROR(__xludf.DUMMYFUNCTION("IMPORTRANGE(""https://docs.google.com/spreadsheets/d/1vWPVBOAaZ6mHSI8yf95DNqHwTJ1cpeFsvqt6cxV34QA/edit?usp=sharing"",""ตราด!J463"")"),0)</f>
        <v>0</v>
      </c>
      <c r="AE58" s="63">
        <f t="shared" ca="1" si="27"/>
        <v>0</v>
      </c>
      <c r="AF58" s="57">
        <f ca="1">IFERROR(__xludf.DUMMYFUNCTION("IMPORTRANGE(""https://docs.google.com/spreadsheets/d/1vWPVBOAaZ6mHSI8yf95DNqHwTJ1cpeFsvqt6cxV34QA/edit?usp=sharing"",""ตราด!J464"")"),0)</f>
        <v>0</v>
      </c>
      <c r="AG58" s="63">
        <f t="shared" ca="1" si="13"/>
        <v>0</v>
      </c>
    </row>
    <row r="59" spans="1:33" ht="21" customHeight="1" x14ac:dyDescent="0.3">
      <c r="A59" s="54">
        <v>7</v>
      </c>
      <c r="B59" s="55" t="s">
        <v>80</v>
      </c>
      <c r="C59" s="56">
        <f t="shared" ca="1" si="53"/>
        <v>70060</v>
      </c>
      <c r="D59" s="57">
        <f ca="1">IFERROR(__xludf.DUMMYFUNCTION("IMPORTRANGE(""https://docs.google.com/spreadsheets/d/1phaeSb9lTGgzDpbvVqI9hfmOQQzUom07-HEvpbARzEg/edit?usp=sharing"",""นครนายก!L449"")"),70060)</f>
        <v>70060</v>
      </c>
      <c r="E59" s="64">
        <f ca="1">IFERROR(__xludf.DUMMYFUNCTION("IMPORTRANGE(""https://docs.google.com/spreadsheets/d/1phaeSb9lTGgzDpbvVqI9hfmOQQzUom07-HEvpbARzEg/edit?usp=sharing"",""นครนายก!L456"")"),0)</f>
        <v>0</v>
      </c>
      <c r="F59" s="64">
        <f ca="1">IFERROR(__xludf.DUMMYFUNCTION("IMPORTRANGE(""https://docs.google.com/spreadsheets/d/1phaeSb9lTGgzDpbvVqI9hfmOQQzUom07-HEvpbARzEg/edit?usp=sharing"",""นครนายก!M449"")"),70060)</f>
        <v>70060</v>
      </c>
      <c r="G59" s="64">
        <f ca="1">IFERROR(__xludf.DUMMYFUNCTION("IMPORTRANGE(""https://docs.google.com/spreadsheets/d/1phaeSb9lTGgzDpbvVqI9hfmOQQzUom07-HEvpbARzEg/edit?usp=sharing"",""นครนายก!M431"")"),0)</f>
        <v>0</v>
      </c>
      <c r="H59" s="58">
        <f t="shared" ca="1" si="23"/>
        <v>28845</v>
      </c>
      <c r="I59" s="59">
        <f t="shared" ca="1" si="1"/>
        <v>41.171852697687697</v>
      </c>
      <c r="J59" s="60">
        <f t="shared" ca="1" si="54"/>
        <v>28845</v>
      </c>
      <c r="K59" s="61">
        <f t="shared" ca="1" si="29"/>
        <v>41.171852697687697</v>
      </c>
      <c r="L59" s="61">
        <f t="shared" ca="1" si="30"/>
        <v>41.171852697687697</v>
      </c>
      <c r="M59" s="64">
        <f ca="1">IFERROR(__xludf.DUMMYFUNCTION("IMPORTRANGE(""https://docs.google.com/spreadsheets/d/1phaeSb9lTGgzDpbvVqI9hfmOQQzUom07-HEvpbARzEg/edit?usp=sharing"",""นครนายก!N450"")"),17500)</f>
        <v>17500</v>
      </c>
      <c r="N59" s="64">
        <f ca="1">IFERROR(__xludf.DUMMYFUNCTION("IMPORTRANGE(""https://docs.google.com/spreadsheets/d/1phaeSb9lTGgzDpbvVqI9hfmOQQzUom07-HEvpbARzEg/edit?usp=sharing"",""นครนายก!N451"")"),0)</f>
        <v>0</v>
      </c>
      <c r="O59" s="64">
        <f ca="1">IFERROR(__xludf.DUMMYFUNCTION("IMPORTRANGE(""https://docs.google.com/spreadsheets/d/1phaeSb9lTGgzDpbvVqI9hfmOQQzUom07-HEvpbARzEg/edit?usp=sharing"",""นครนายก!N452"")"),0)</f>
        <v>0</v>
      </c>
      <c r="P59" s="64">
        <f ca="1">IFERROR(__xludf.DUMMYFUNCTION("IMPORTRANGE(""https://docs.google.com/spreadsheets/d/1phaeSb9lTGgzDpbvVqI9hfmOQQzUom07-HEvpbARzEg/edit?usp=sharing"",""นครนายก!N453"")"),11345)</f>
        <v>11345</v>
      </c>
      <c r="Q59" s="62">
        <f ca="1">IFERROR(__xludf.DUMMYFUNCTION("IMPORTRANGE(""https://docs.google.com/spreadsheets/d/1phaeSb9lTGgzDpbvVqI9hfmOQQzUom07-HEvpbARzEg/edit?usp=sharing"",""นครนายก!N456"")"),0)</f>
        <v>0</v>
      </c>
      <c r="R59" s="62">
        <f t="shared" ca="1" si="32"/>
        <v>0</v>
      </c>
      <c r="S59" s="57">
        <f ca="1">IFERROR(__xludf.DUMMYFUNCTION("IMPORTRANGE(""https://docs.google.com/spreadsheets/d/1phaeSb9lTGgzDpbvVqI9hfmOQQzUom07-HEvpbARzEg/edit?usp=sharing"",""นครนายก!I458"")"),0)</f>
        <v>0</v>
      </c>
      <c r="T59" s="57">
        <f ca="1">IFERROR(__xludf.DUMMYFUNCTION("IMPORTRANGE(""https://docs.google.com/spreadsheets/d/1phaeSb9lTGgzDpbvVqI9hfmOQQzUom07-HEvpbARzEg/edit?usp=sharing"",""นครนายก!J458"")"),0)</f>
        <v>0</v>
      </c>
      <c r="U59" s="63">
        <f t="shared" ca="1" si="24"/>
        <v>0</v>
      </c>
      <c r="V59" s="57">
        <f ca="1">IFERROR(__xludf.DUMMYFUNCTION("IMPORTRANGE(""https://docs.google.com/spreadsheets/d/1phaeSb9lTGgzDpbvVqI9hfmOQQzUom07-HEvpbARzEg/edit?usp=sharing"",""นครนายก!I460"")"),10)</f>
        <v>10</v>
      </c>
      <c r="W59" s="57">
        <f ca="1">IFERROR(__xludf.DUMMYFUNCTION("IMPORTRANGE(""https://docs.google.com/spreadsheets/d/1phaeSb9lTGgzDpbvVqI9hfmOQQzUom07-HEvpbARzEg/edit?usp=sharing"",""นครนายก!J460"")"),10)</f>
        <v>10</v>
      </c>
      <c r="X59" s="63">
        <f t="shared" ca="1" si="25"/>
        <v>100</v>
      </c>
      <c r="Y59" s="57">
        <f ca="1">IFERROR(__xludf.DUMMYFUNCTION("IMPORTRANGE(""https://docs.google.com/spreadsheets/d/1phaeSb9lTGgzDpbvVqI9hfmOQQzUom07-HEvpbARzEg/edit?usp=sharing"",""นครนายก!I462"")"),20)</f>
        <v>20</v>
      </c>
      <c r="Z59" s="57">
        <f ca="1">IFERROR(__xludf.DUMMYFUNCTION("IMPORTRANGE(""https://docs.google.com/spreadsheets/d/1phaeSb9lTGgzDpbvVqI9hfmOQQzUom07-HEvpbARzEg/edit?usp=sharing"",""นครนายก!J462"")"),20)</f>
        <v>20</v>
      </c>
      <c r="AA59" s="63">
        <f t="shared" ca="1" si="26"/>
        <v>100</v>
      </c>
      <c r="AB59" s="57">
        <f ca="1">IFERROR(__xludf.DUMMYFUNCTION("IMPORTRANGE(""https://docs.google.com/spreadsheets/d/1phaeSb9lTGgzDpbvVqI9hfmOQQzUom07-HEvpbARzEg/edit?usp=sharing"",""นครนายก!I463"")"),20)</f>
        <v>20</v>
      </c>
      <c r="AC59" s="57">
        <f ca="1">IFERROR(__xludf.DUMMYFUNCTION("IMPORTRANGE(""https://docs.google.com/spreadsheets/d/1phaeSb9lTGgzDpbvVqI9hfmOQQzUom07-HEvpbARzEg/edit?usp=sharing"",""นครนายก!I464"")"),10)</f>
        <v>10</v>
      </c>
      <c r="AD59" s="57">
        <f ca="1">IFERROR(__xludf.DUMMYFUNCTION("IMPORTRANGE(""https://docs.google.com/spreadsheets/d/1phaeSb9lTGgzDpbvVqI9hfmOQQzUom07-HEvpbARzEg/edit?usp=sharing"",""นครนายก!J463"")"),0)</f>
        <v>0</v>
      </c>
      <c r="AE59" s="63">
        <f t="shared" ca="1" si="27"/>
        <v>0</v>
      </c>
      <c r="AF59" s="57">
        <f ca="1">IFERROR(__xludf.DUMMYFUNCTION("IMPORTRANGE(""https://docs.google.com/spreadsheets/d/1phaeSb9lTGgzDpbvVqI9hfmOQQzUom07-HEvpbARzEg/edit?usp=sharing"",""นครนายก!J464"")"),0)</f>
        <v>0</v>
      </c>
      <c r="AG59" s="63">
        <f t="shared" ca="1" si="13"/>
        <v>0</v>
      </c>
    </row>
    <row r="60" spans="1:33" ht="21" customHeight="1" x14ac:dyDescent="0.3">
      <c r="A60" s="54">
        <v>8</v>
      </c>
      <c r="B60" s="55" t="s">
        <v>81</v>
      </c>
      <c r="C60" s="56">
        <f t="shared" ca="1" si="53"/>
        <v>0</v>
      </c>
      <c r="D60" s="57">
        <f ca="1">IFERROR(__xludf.DUMMYFUNCTION("IMPORTRANGE(""https://docs.google.com/spreadsheets/d/1tpwhWwkqkBeiSWCcfB5f2fbwPRbM9hHOEDSDHpl2MIc/edit?usp=sharing"",""นครปฐม!L449"")"),0)</f>
        <v>0</v>
      </c>
      <c r="E60" s="64">
        <f ca="1">IFERROR(__xludf.DUMMYFUNCTION("IMPORTRANGE(""https://docs.google.com/spreadsheets/d/1tpwhWwkqkBeiSWCcfB5f2fbwPRbM9hHOEDSDHpl2MIc/edit?usp=sharing"",""นครปฐม!L456"")"),0)</f>
        <v>0</v>
      </c>
      <c r="F60" s="64">
        <f ca="1">IFERROR(__xludf.DUMMYFUNCTION("IMPORTRANGE(""https://docs.google.com/spreadsheets/d/1tpwhWwkqkBeiSWCcfB5f2fbwPRbM9hHOEDSDHpl2MIc/edit?usp=sharing"",""นครปฐม!M449"")"),0)</f>
        <v>0</v>
      </c>
      <c r="G60" s="64">
        <f ca="1">IFERROR(__xludf.DUMMYFUNCTION("IMPORTRANGE(""https://docs.google.com/spreadsheets/d/1tpwhWwkqkBeiSWCcfB5f2fbwPRbM9hHOEDSDHpl2MIc/edit?usp=sharing"",""นครปฐม!M431"")"),0)</f>
        <v>0</v>
      </c>
      <c r="H60" s="58">
        <f t="shared" ca="1" si="23"/>
        <v>0</v>
      </c>
      <c r="I60" s="59">
        <f t="shared" ca="1" si="1"/>
        <v>0</v>
      </c>
      <c r="J60" s="60">
        <f t="shared" ca="1" si="54"/>
        <v>0</v>
      </c>
      <c r="K60" s="61">
        <f t="shared" ca="1" si="29"/>
        <v>0</v>
      </c>
      <c r="L60" s="61">
        <f t="shared" ca="1" si="30"/>
        <v>0</v>
      </c>
      <c r="M60" s="64">
        <f ca="1">IFERROR(__xludf.DUMMYFUNCTION("IMPORTRANGE(""https://docs.google.com/spreadsheets/d/1tpwhWwkqkBeiSWCcfB5f2fbwPRbM9hHOEDSDHpl2MIc/edit?usp=sharing"",""นครปฐม!N450"")"),0)</f>
        <v>0</v>
      </c>
      <c r="N60" s="64">
        <f ca="1">IFERROR(__xludf.DUMMYFUNCTION("IMPORTRANGE(""https://docs.google.com/spreadsheets/d/1tpwhWwkqkBeiSWCcfB5f2fbwPRbM9hHOEDSDHpl2MIc/edit?usp=sharing"",""นครปฐม!N451"")"),0)</f>
        <v>0</v>
      </c>
      <c r="O60" s="64">
        <f ca="1">IFERROR(__xludf.DUMMYFUNCTION("IMPORTRANGE(""https://docs.google.com/spreadsheets/d/1tpwhWwkqkBeiSWCcfB5f2fbwPRbM9hHOEDSDHpl2MIc/edit?usp=sharing"",""นครปฐม!N452"")"),0)</f>
        <v>0</v>
      </c>
      <c r="P60" s="64">
        <f ca="1">IFERROR(__xludf.DUMMYFUNCTION("IMPORTRANGE(""https://docs.google.com/spreadsheets/d/1tpwhWwkqkBeiSWCcfB5f2fbwPRbM9hHOEDSDHpl2MIc/edit?usp=sharing"",""นครปฐม!N453"")"),0)</f>
        <v>0</v>
      </c>
      <c r="Q60" s="62">
        <f ca="1">IFERROR(__xludf.DUMMYFUNCTION("IMPORTRANGE(""https://docs.google.com/spreadsheets/d/1tpwhWwkqkBeiSWCcfB5f2fbwPRbM9hHOEDSDHpl2MIc/edit?usp=sharing"",""นครปฐม!N456"")"),0)</f>
        <v>0</v>
      </c>
      <c r="R60" s="62">
        <f t="shared" ca="1" si="32"/>
        <v>0</v>
      </c>
      <c r="S60" s="57">
        <f ca="1">IFERROR(__xludf.DUMMYFUNCTION("IMPORTRANGE(""https://docs.google.com/spreadsheets/d/1tpwhWwkqkBeiSWCcfB5f2fbwPRbM9hHOEDSDHpl2MIc/edit?usp=sharing"",""นครปฐม!I458"")"),0)</f>
        <v>0</v>
      </c>
      <c r="T60" s="57">
        <f ca="1">IFERROR(__xludf.DUMMYFUNCTION("IMPORTRANGE(""https://docs.google.com/spreadsheets/d/1tpwhWwkqkBeiSWCcfB5f2fbwPRbM9hHOEDSDHpl2MIc/edit?usp=sharing"",""นครปฐม!J458"")"),0)</f>
        <v>0</v>
      </c>
      <c r="U60" s="63">
        <f t="shared" ca="1" si="24"/>
        <v>0</v>
      </c>
      <c r="V60" s="57">
        <f ca="1">IFERROR(__xludf.DUMMYFUNCTION("IMPORTRANGE(""https://docs.google.com/spreadsheets/d/1tpwhWwkqkBeiSWCcfB5f2fbwPRbM9hHOEDSDHpl2MIc/edit?usp=sharing"",""นครปฐม!I460"")"),0)</f>
        <v>0</v>
      </c>
      <c r="W60" s="57">
        <f ca="1">IFERROR(__xludf.DUMMYFUNCTION("IMPORTRANGE(""https://docs.google.com/spreadsheets/d/1tpwhWwkqkBeiSWCcfB5f2fbwPRbM9hHOEDSDHpl2MIc/edit?usp=sharing"",""นครปฐม!J460"")"),0)</f>
        <v>0</v>
      </c>
      <c r="X60" s="63">
        <f t="shared" ca="1" si="25"/>
        <v>0</v>
      </c>
      <c r="Y60" s="57">
        <f ca="1">IFERROR(__xludf.DUMMYFUNCTION("IMPORTRANGE(""https://docs.google.com/spreadsheets/d/1tpwhWwkqkBeiSWCcfB5f2fbwPRbM9hHOEDSDHpl2MIc/edit?usp=sharing"",""นครปฐม!I462"")"),0)</f>
        <v>0</v>
      </c>
      <c r="Z60" s="57">
        <f ca="1">IFERROR(__xludf.DUMMYFUNCTION("IMPORTRANGE(""https://docs.google.com/spreadsheets/d/1tpwhWwkqkBeiSWCcfB5f2fbwPRbM9hHOEDSDHpl2MIc/edit?usp=sharing"",""นครปฐม!J462"")"),0)</f>
        <v>0</v>
      </c>
      <c r="AA60" s="63">
        <f t="shared" ca="1" si="26"/>
        <v>0</v>
      </c>
      <c r="AB60" s="57">
        <f ca="1">IFERROR(__xludf.DUMMYFUNCTION("IMPORTRANGE(""https://docs.google.com/spreadsheets/d/1tpwhWwkqkBeiSWCcfB5f2fbwPRbM9hHOEDSDHpl2MIc/edit?usp=sharing"",""นครปฐม!I463"")"),0)</f>
        <v>0</v>
      </c>
      <c r="AC60" s="57">
        <f ca="1">IFERROR(__xludf.DUMMYFUNCTION("IMPORTRANGE(""https://docs.google.com/spreadsheets/d/1tpwhWwkqkBeiSWCcfB5f2fbwPRbM9hHOEDSDHpl2MIc/edit?usp=sharing"",""นครปฐม!I464"")"),0)</f>
        <v>0</v>
      </c>
      <c r="AD60" s="57">
        <f ca="1">IFERROR(__xludf.DUMMYFUNCTION("IMPORTRANGE(""https://docs.google.com/spreadsheets/d/1tpwhWwkqkBeiSWCcfB5f2fbwPRbM9hHOEDSDHpl2MIc/edit?usp=sharing"",""นครปฐม!J463"")"),0)</f>
        <v>0</v>
      </c>
      <c r="AE60" s="63">
        <f t="shared" ca="1" si="27"/>
        <v>0</v>
      </c>
      <c r="AF60" s="57">
        <f ca="1">IFERROR(__xludf.DUMMYFUNCTION("IMPORTRANGE(""https://docs.google.com/spreadsheets/d/1tpwhWwkqkBeiSWCcfB5f2fbwPRbM9hHOEDSDHpl2MIc/edit?usp=sharing"",""นครปฐม!J464"")"),0)</f>
        <v>0</v>
      </c>
      <c r="AG60" s="63">
        <f t="shared" ca="1" si="13"/>
        <v>0</v>
      </c>
    </row>
    <row r="61" spans="1:33" ht="21" customHeight="1" x14ac:dyDescent="0.3">
      <c r="A61" s="54">
        <v>9</v>
      </c>
      <c r="B61" s="55" t="s">
        <v>82</v>
      </c>
      <c r="C61" s="56">
        <f t="shared" ca="1" si="53"/>
        <v>70660</v>
      </c>
      <c r="D61" s="57">
        <f ca="1">IFERROR(__xludf.DUMMYFUNCTION("IMPORTRANGE(""https://docs.google.com/spreadsheets/d/1fJJCVBkBnhriyv0Cp5ZFMr0I_yrfdEITNpb4zILJgUQ/edit?usp=sharing"",""ปทุมธานี!L449"")"),70660)</f>
        <v>70660</v>
      </c>
      <c r="E61" s="64">
        <f ca="1">IFERROR(__xludf.DUMMYFUNCTION("IMPORTRANGE(""https://docs.google.com/spreadsheets/d/1fJJCVBkBnhriyv0Cp5ZFMr0I_yrfdEITNpb4zILJgUQ/edit?usp=sharing"",""ปทุมธานี!L456"")"),0)</f>
        <v>0</v>
      </c>
      <c r="F61" s="64">
        <f ca="1">IFERROR(__xludf.DUMMYFUNCTION("IMPORTRANGE(""https://docs.google.com/spreadsheets/d/1fJJCVBkBnhriyv0Cp5ZFMr0I_yrfdEITNpb4zILJgUQ/edit?usp=sharing"",""ปทุมธานี!M449"")"),70660)</f>
        <v>70660</v>
      </c>
      <c r="G61" s="64">
        <f ca="1">IFERROR(__xludf.DUMMYFUNCTION("IMPORTRANGE(""https://docs.google.com/spreadsheets/d/1fJJCVBkBnhriyv0Cp5ZFMr0I_yrfdEITNpb4zILJgUQ/edit?usp=sharing"",""ปทุมธานี!M431"")"),0)</f>
        <v>0</v>
      </c>
      <c r="H61" s="58">
        <f t="shared" ca="1" si="23"/>
        <v>51060</v>
      </c>
      <c r="I61" s="59">
        <f t="shared" ca="1" si="1"/>
        <v>72.26153410699122</v>
      </c>
      <c r="J61" s="60">
        <f t="shared" ca="1" si="54"/>
        <v>51060</v>
      </c>
      <c r="K61" s="61">
        <f t="shared" ca="1" si="29"/>
        <v>72.26153410699122</v>
      </c>
      <c r="L61" s="61">
        <f t="shared" ca="1" si="30"/>
        <v>72.26153410699122</v>
      </c>
      <c r="M61" s="64">
        <f ca="1">IFERROR(__xludf.DUMMYFUNCTION("IMPORTRANGE(""https://docs.google.com/spreadsheets/d/1fJJCVBkBnhriyv0Cp5ZFMr0I_yrfdEITNpb4zILJgUQ/edit?usp=sharing"",""ปทุมธานี!N450"")"),22660)</f>
        <v>22660</v>
      </c>
      <c r="N61" s="64">
        <f ca="1">IFERROR(__xludf.DUMMYFUNCTION("IMPORTRANGE(""https://docs.google.com/spreadsheets/d/1fJJCVBkBnhriyv0Cp5ZFMr0I_yrfdEITNpb4zILJgUQ/edit?usp=sharing"",""ปทุมธานี!N451"")"),28400)</f>
        <v>28400</v>
      </c>
      <c r="O61" s="64">
        <f ca="1">IFERROR(__xludf.DUMMYFUNCTION("IMPORTRANGE(""https://docs.google.com/spreadsheets/d/1fJJCVBkBnhriyv0Cp5ZFMr0I_yrfdEITNpb4zILJgUQ/edit?usp=sharing"",""ปทุมธานี!N452"")"),0)</f>
        <v>0</v>
      </c>
      <c r="P61" s="64">
        <f ca="1">IFERROR(__xludf.DUMMYFUNCTION("IMPORTRANGE(""https://docs.google.com/spreadsheets/d/1fJJCVBkBnhriyv0Cp5ZFMr0I_yrfdEITNpb4zILJgUQ/edit?usp=sharing"",""ปทุมธานี!N453"")"),0)</f>
        <v>0</v>
      </c>
      <c r="Q61" s="62">
        <f ca="1">IFERROR(__xludf.DUMMYFUNCTION("IMPORTRANGE(""https://docs.google.com/spreadsheets/d/1fJJCVBkBnhriyv0Cp5ZFMr0I_yrfdEITNpb4zILJgUQ/edit?usp=sharing"",""ปทุมธานี!N456"")"),0)</f>
        <v>0</v>
      </c>
      <c r="R61" s="62">
        <f t="shared" ca="1" si="32"/>
        <v>0</v>
      </c>
      <c r="S61" s="57">
        <f ca="1">IFERROR(__xludf.DUMMYFUNCTION("IMPORTRANGE(""https://docs.google.com/spreadsheets/d/1fJJCVBkBnhriyv0Cp5ZFMr0I_yrfdEITNpb4zILJgUQ/edit?usp=sharing"",""ปทุมธานี!I458"")"),0)</f>
        <v>0</v>
      </c>
      <c r="T61" s="57">
        <f ca="1">IFERROR(__xludf.DUMMYFUNCTION("IMPORTRANGE(""https://docs.google.com/spreadsheets/d/1fJJCVBkBnhriyv0Cp5ZFMr0I_yrfdEITNpb4zILJgUQ/edit?usp=sharing"",""ปทุมธานี!J458"")"),0)</f>
        <v>0</v>
      </c>
      <c r="U61" s="63">
        <f t="shared" ca="1" si="24"/>
        <v>0</v>
      </c>
      <c r="V61" s="57">
        <f ca="1">IFERROR(__xludf.DUMMYFUNCTION("IMPORTRANGE(""https://docs.google.com/spreadsheets/d/1fJJCVBkBnhriyv0Cp5ZFMr0I_yrfdEITNpb4zILJgUQ/edit?usp=sharing"",""ปทุมธานี!I460"")"),10)</f>
        <v>10</v>
      </c>
      <c r="W61" s="57">
        <f ca="1">IFERROR(__xludf.DUMMYFUNCTION("IMPORTRANGE(""https://docs.google.com/spreadsheets/d/1fJJCVBkBnhriyv0Cp5ZFMr0I_yrfdEITNpb4zILJgUQ/edit?usp=sharing"",""ปทุมธานี!J460"")"),10)</f>
        <v>10</v>
      </c>
      <c r="X61" s="63">
        <f t="shared" ca="1" si="25"/>
        <v>100</v>
      </c>
      <c r="Y61" s="57">
        <f ca="1">IFERROR(__xludf.DUMMYFUNCTION("IMPORTRANGE(""https://docs.google.com/spreadsheets/d/1fJJCVBkBnhriyv0Cp5ZFMr0I_yrfdEITNpb4zILJgUQ/edit?usp=sharing"",""ปทุมธานี!I462"")"),20)</f>
        <v>20</v>
      </c>
      <c r="Z61" s="57">
        <f ca="1">IFERROR(__xludf.DUMMYFUNCTION("IMPORTRANGE(""https://docs.google.com/spreadsheets/d/1fJJCVBkBnhriyv0Cp5ZFMr0I_yrfdEITNpb4zILJgUQ/edit?usp=sharing"",""ปทุมธานี!J462"")"),20)</f>
        <v>20</v>
      </c>
      <c r="AA61" s="63">
        <f t="shared" ca="1" si="26"/>
        <v>100</v>
      </c>
      <c r="AB61" s="57">
        <f ca="1">IFERROR(__xludf.DUMMYFUNCTION("IMPORTRANGE(""https://docs.google.com/spreadsheets/d/1fJJCVBkBnhriyv0Cp5ZFMr0I_yrfdEITNpb4zILJgUQ/edit?usp=sharing"",""ปทุมธานี!I463"")"),20)</f>
        <v>20</v>
      </c>
      <c r="AC61" s="57">
        <f ca="1">IFERROR(__xludf.DUMMYFUNCTION("IMPORTRANGE(""https://docs.google.com/spreadsheets/d/1fJJCVBkBnhriyv0Cp5ZFMr0I_yrfdEITNpb4zILJgUQ/edit?usp=sharing"",""ปทุมธานี!I464"")"),10)</f>
        <v>10</v>
      </c>
      <c r="AD61" s="57">
        <f ca="1">IFERROR(__xludf.DUMMYFUNCTION("IMPORTRANGE(""https://docs.google.com/spreadsheets/d/1fJJCVBkBnhriyv0Cp5ZFMr0I_yrfdEITNpb4zILJgUQ/edit?usp=sharing"",""ปทุมธานี!J463"")"),20)</f>
        <v>20</v>
      </c>
      <c r="AE61" s="63">
        <f t="shared" ca="1" si="27"/>
        <v>100</v>
      </c>
      <c r="AF61" s="57">
        <f ca="1">IFERROR(__xludf.DUMMYFUNCTION("IMPORTRANGE(""https://docs.google.com/spreadsheets/d/1fJJCVBkBnhriyv0Cp5ZFMr0I_yrfdEITNpb4zILJgUQ/edit?usp=sharing"",""ปทุมธานี!J464"")"),10)</f>
        <v>10</v>
      </c>
      <c r="AG61" s="63">
        <f t="shared" ca="1" si="13"/>
        <v>100</v>
      </c>
    </row>
    <row r="62" spans="1:33" ht="21" customHeight="1" x14ac:dyDescent="0.3">
      <c r="A62" s="54">
        <v>10</v>
      </c>
      <c r="B62" s="55" t="s">
        <v>83</v>
      </c>
      <c r="C62" s="56">
        <f t="shared" ca="1" si="53"/>
        <v>0</v>
      </c>
      <c r="D62" s="57">
        <f ca="1">IFERROR(__xludf.DUMMYFUNCTION("IMPORTRANGE(""https://docs.google.com/spreadsheets/d/1W5Jj_S0gYw6wSO7QcMI02YgyOBDKYgmm0NSUk-AQEac/edit?usp=sharing"",""ประจวบคีรีขันธ์!L449"")"),0)</f>
        <v>0</v>
      </c>
      <c r="E62" s="64">
        <f ca="1">IFERROR(__xludf.DUMMYFUNCTION("IMPORTRANGE(""https://docs.google.com/spreadsheets/d/1W5Jj_S0gYw6wSO7QcMI02YgyOBDKYgmm0NSUk-AQEac/edit?usp=sharing"",""ประจวบคีรีขันธ์!L456"")"),0)</f>
        <v>0</v>
      </c>
      <c r="F62" s="64">
        <f ca="1">IFERROR(__xludf.DUMMYFUNCTION("IMPORTRANGE(""https://docs.google.com/spreadsheets/d/1W5Jj_S0gYw6wSO7QcMI02YgyOBDKYgmm0NSUk-AQEac/edit?usp=sharing"",""ประจวบคีรีขันธ์!M449"")"),0)</f>
        <v>0</v>
      </c>
      <c r="G62" s="64">
        <f ca="1">IFERROR(__xludf.DUMMYFUNCTION("IMPORTRANGE(""https://docs.google.com/spreadsheets/d/1W5Jj_S0gYw6wSO7QcMI02YgyOBDKYgmm0NSUk-AQEac/edit?usp=sharing"",""ประจวบคีรีขันธ์!M431"")"),0)</f>
        <v>0</v>
      </c>
      <c r="H62" s="58">
        <f t="shared" ca="1" si="23"/>
        <v>0</v>
      </c>
      <c r="I62" s="59">
        <f t="shared" ca="1" si="1"/>
        <v>0</v>
      </c>
      <c r="J62" s="60">
        <f t="shared" ca="1" si="54"/>
        <v>0</v>
      </c>
      <c r="K62" s="61">
        <f t="shared" ca="1" si="29"/>
        <v>0</v>
      </c>
      <c r="L62" s="61">
        <f t="shared" ca="1" si="30"/>
        <v>0</v>
      </c>
      <c r="M62" s="64">
        <f ca="1">IFERROR(__xludf.DUMMYFUNCTION("IMPORTRANGE(""https://docs.google.com/spreadsheets/d/1W5Jj_S0gYw6wSO7QcMI02YgyOBDKYgmm0NSUk-AQEac/edit?usp=sharing"",""ประจวบคีรีขันธ์!N450"")"),0)</f>
        <v>0</v>
      </c>
      <c r="N62" s="64">
        <f ca="1">IFERROR(__xludf.DUMMYFUNCTION("IMPORTRANGE(""https://docs.google.com/spreadsheets/d/1W5Jj_S0gYw6wSO7QcMI02YgyOBDKYgmm0NSUk-AQEac/edit?usp=sharing"",""ประจวบคีรีขันธ์!N451"")"),0)</f>
        <v>0</v>
      </c>
      <c r="O62" s="64">
        <f ca="1">IFERROR(__xludf.DUMMYFUNCTION("IMPORTRANGE(""https://docs.google.com/spreadsheets/d/1W5Jj_S0gYw6wSO7QcMI02YgyOBDKYgmm0NSUk-AQEac/edit?usp=sharing"",""ประจวบคีรีขันธ์!N452"")"),0)</f>
        <v>0</v>
      </c>
      <c r="P62" s="64">
        <f ca="1">IFERROR(__xludf.DUMMYFUNCTION("IMPORTRANGE(""https://docs.google.com/spreadsheets/d/1W5Jj_S0gYw6wSO7QcMI02YgyOBDKYgmm0NSUk-AQEac/edit?usp=sharing"",""ประจวบคีรีขันธ์!N453"")"),0)</f>
        <v>0</v>
      </c>
      <c r="Q62" s="62">
        <f ca="1">IFERROR(__xludf.DUMMYFUNCTION("IMPORTRANGE(""https://docs.google.com/spreadsheets/d/1W5Jj_S0gYw6wSO7QcMI02YgyOBDKYgmm0NSUk-AQEac/edit?usp=sharing"",""ประจวบคีรีขันธ์!N456"")"),0)</f>
        <v>0</v>
      </c>
      <c r="R62" s="62">
        <f t="shared" ca="1" si="32"/>
        <v>0</v>
      </c>
      <c r="S62" s="57">
        <f ca="1">IFERROR(__xludf.DUMMYFUNCTION("IMPORTRANGE(""https://docs.google.com/spreadsheets/d/1W5Jj_S0gYw6wSO7QcMI02YgyOBDKYgmm0NSUk-AQEac/edit?usp=sharing"",""ประจวบคีรีขันธ์!I458"")"),0)</f>
        <v>0</v>
      </c>
      <c r="T62" s="57">
        <f ca="1">IFERROR(__xludf.DUMMYFUNCTION("IMPORTRANGE(""https://docs.google.com/spreadsheets/d/1W5Jj_S0gYw6wSO7QcMI02YgyOBDKYgmm0NSUk-AQEac/edit?usp=sharing"",""ประจวบคีรีขันธ์!J458"")"),0)</f>
        <v>0</v>
      </c>
      <c r="U62" s="63">
        <f t="shared" ca="1" si="24"/>
        <v>0</v>
      </c>
      <c r="V62" s="57">
        <f ca="1">IFERROR(__xludf.DUMMYFUNCTION("IMPORTRANGE(""https://docs.google.com/spreadsheets/d/1W5Jj_S0gYw6wSO7QcMI02YgyOBDKYgmm0NSUk-AQEac/edit?usp=sharing"",""ประจวบคีรีขันธ์!I460"")"),0)</f>
        <v>0</v>
      </c>
      <c r="W62" s="57">
        <f ca="1">IFERROR(__xludf.DUMMYFUNCTION("IMPORTRANGE(""https://docs.google.com/spreadsheets/d/1W5Jj_S0gYw6wSO7QcMI02YgyOBDKYgmm0NSUk-AQEac/edit?usp=sharing"",""ประจวบคีรีขันธ์!J460"")"),0)</f>
        <v>0</v>
      </c>
      <c r="X62" s="63">
        <f t="shared" ca="1" si="25"/>
        <v>0</v>
      </c>
      <c r="Y62" s="57">
        <f ca="1">IFERROR(__xludf.DUMMYFUNCTION("IMPORTRANGE(""https://docs.google.com/spreadsheets/d/1W5Jj_S0gYw6wSO7QcMI02YgyOBDKYgmm0NSUk-AQEac/edit?usp=sharing"",""ประจวบคีรีขันธ์!I462"")"),0)</f>
        <v>0</v>
      </c>
      <c r="Z62" s="57">
        <f ca="1">IFERROR(__xludf.DUMMYFUNCTION("IMPORTRANGE(""https://docs.google.com/spreadsheets/d/1W5Jj_S0gYw6wSO7QcMI02YgyOBDKYgmm0NSUk-AQEac/edit?usp=sharing"",""ประจวบคีรีขันธ์!J462"")"),0)</f>
        <v>0</v>
      </c>
      <c r="AA62" s="63">
        <f t="shared" ca="1" si="26"/>
        <v>0</v>
      </c>
      <c r="AB62" s="57">
        <f ca="1">IFERROR(__xludf.DUMMYFUNCTION("IMPORTRANGE(""https://docs.google.com/spreadsheets/d/1W5Jj_S0gYw6wSO7QcMI02YgyOBDKYgmm0NSUk-AQEac/edit?usp=sharing"",""ประจวบคีรีขันธ์!I463"")"),0)</f>
        <v>0</v>
      </c>
      <c r="AC62" s="57">
        <f ca="1">IFERROR(__xludf.DUMMYFUNCTION("IMPORTRANGE(""https://docs.google.com/spreadsheets/d/1W5Jj_S0gYw6wSO7QcMI02YgyOBDKYgmm0NSUk-AQEac/edit?usp=sharing"",""ประจวบคีรีขันธ์!I464"")"),0)</f>
        <v>0</v>
      </c>
      <c r="AD62" s="57">
        <f ca="1">IFERROR(__xludf.DUMMYFUNCTION("IMPORTRANGE(""https://docs.google.com/spreadsheets/d/1W5Jj_S0gYw6wSO7QcMI02YgyOBDKYgmm0NSUk-AQEac/edit?usp=sharing"",""ประจวบคีรีขันธ์!J463"")"),0)</f>
        <v>0</v>
      </c>
      <c r="AE62" s="63">
        <f t="shared" ca="1" si="27"/>
        <v>0</v>
      </c>
      <c r="AF62" s="57">
        <f ca="1">IFERROR(__xludf.DUMMYFUNCTION("IMPORTRANGE(""https://docs.google.com/spreadsheets/d/1W5Jj_S0gYw6wSO7QcMI02YgyOBDKYgmm0NSUk-AQEac/edit?usp=sharing"",""ประจวบคีรีขันธ์!J464"")"),0)</f>
        <v>0</v>
      </c>
      <c r="AG62" s="63">
        <f t="shared" ca="1" si="13"/>
        <v>0</v>
      </c>
    </row>
    <row r="63" spans="1:33" ht="21" customHeight="1" x14ac:dyDescent="0.3">
      <c r="A63" s="54">
        <v>11</v>
      </c>
      <c r="B63" s="55" t="s">
        <v>84</v>
      </c>
      <c r="C63" s="56">
        <f t="shared" ca="1" si="53"/>
        <v>172480</v>
      </c>
      <c r="D63" s="57">
        <f ca="1">IFERROR(__xludf.DUMMYFUNCTION("IMPORTRANGE(""https://docs.google.com/spreadsheets/d/1nYxRXgnCfTXtqUY1otYuTlnrzE0Tn-Y0YRsW5pkRVqo/edit?usp=sharing"",""ปราจีนบุรี!L449"")"),172480)</f>
        <v>172480</v>
      </c>
      <c r="E63" s="64">
        <f ca="1">IFERROR(__xludf.DUMMYFUNCTION("IMPORTRANGE(""https://docs.google.com/spreadsheets/d/1nYxRXgnCfTXtqUY1otYuTlnrzE0Tn-Y0YRsW5pkRVqo/edit?usp=sharing"",""ปราจีนบุรี!L456"")"),0)</f>
        <v>0</v>
      </c>
      <c r="F63" s="64">
        <f ca="1">IFERROR(__xludf.DUMMYFUNCTION("IMPORTRANGE(""https://docs.google.com/spreadsheets/d/1nYxRXgnCfTXtqUY1otYuTlnrzE0Tn-Y0YRsW5pkRVqo/edit?usp=sharing"",""ปราจีนบุรี!M449"")"),172480)</f>
        <v>172480</v>
      </c>
      <c r="G63" s="64">
        <f ca="1">IFERROR(__xludf.DUMMYFUNCTION("IMPORTRANGE(""https://docs.google.com/spreadsheets/d/1nYxRXgnCfTXtqUY1otYuTlnrzE0Tn-Y0YRsW5pkRVqo/edit?usp=sharing"",""ปราจีนบุรี!M431"")"),0)</f>
        <v>0</v>
      </c>
      <c r="H63" s="58">
        <f t="shared" ca="1" si="23"/>
        <v>169880</v>
      </c>
      <c r="I63" s="59">
        <f t="shared" ca="1" si="1"/>
        <v>98.49257884972171</v>
      </c>
      <c r="J63" s="60">
        <f t="shared" ca="1" si="54"/>
        <v>169880</v>
      </c>
      <c r="K63" s="61">
        <f t="shared" ca="1" si="29"/>
        <v>98.49257884972171</v>
      </c>
      <c r="L63" s="61">
        <f t="shared" ca="1" si="30"/>
        <v>98.49257884972171</v>
      </c>
      <c r="M63" s="64">
        <f ca="1">IFERROR(__xludf.DUMMYFUNCTION("IMPORTRANGE(""https://docs.google.com/spreadsheets/d/1nYxRXgnCfTXtqUY1otYuTlnrzE0Tn-Y0YRsW5pkRVqo/edit?usp=sharing"",""ปราจีนบุรี!N450"")"),77880)</f>
        <v>77880</v>
      </c>
      <c r="N63" s="64">
        <f ca="1">IFERROR(__xludf.DUMMYFUNCTION("IMPORTRANGE(""https://docs.google.com/spreadsheets/d/1nYxRXgnCfTXtqUY1otYuTlnrzE0Tn-Y0YRsW5pkRVqo/edit?usp=sharing"",""ปราจีนบุรี!N451"")"),91000)</f>
        <v>91000</v>
      </c>
      <c r="O63" s="64">
        <f ca="1">IFERROR(__xludf.DUMMYFUNCTION("IMPORTRANGE(""https://docs.google.com/spreadsheets/d/1nYxRXgnCfTXtqUY1otYuTlnrzE0Tn-Y0YRsW5pkRVqo/edit?usp=sharing"",""ปราจีนบุรี!N452"")"),0)</f>
        <v>0</v>
      </c>
      <c r="P63" s="64">
        <f ca="1">IFERROR(__xludf.DUMMYFUNCTION("IMPORTRANGE(""https://docs.google.com/spreadsheets/d/1nYxRXgnCfTXtqUY1otYuTlnrzE0Tn-Y0YRsW5pkRVqo/edit?usp=sharing"",""ปราจีนบุรี!N453"")"),1000)</f>
        <v>1000</v>
      </c>
      <c r="Q63" s="62">
        <f ca="1">IFERROR(__xludf.DUMMYFUNCTION("IMPORTRANGE(""https://docs.google.com/spreadsheets/d/1nYxRXgnCfTXtqUY1otYuTlnrzE0Tn-Y0YRsW5pkRVqo/edit?usp=sharing"",""ปราจีนบุรี!N456"")"),0)</f>
        <v>0</v>
      </c>
      <c r="R63" s="62">
        <f t="shared" ca="1" si="32"/>
        <v>0</v>
      </c>
      <c r="S63" s="57">
        <f ca="1">IFERROR(__xludf.DUMMYFUNCTION("IMPORTRANGE(""https://docs.google.com/spreadsheets/d/1nYxRXgnCfTXtqUY1otYuTlnrzE0Tn-Y0YRsW5pkRVqo/edit?usp=sharing"",""ปราจีนบุรี!I458"")"),0)</f>
        <v>0</v>
      </c>
      <c r="T63" s="57">
        <f ca="1">IFERROR(__xludf.DUMMYFUNCTION("IMPORTRANGE(""https://docs.google.com/spreadsheets/d/1nYxRXgnCfTXtqUY1otYuTlnrzE0Tn-Y0YRsW5pkRVqo/edit?usp=sharing"",""ปราจีนบุรี!J458"")"),0)</f>
        <v>0</v>
      </c>
      <c r="U63" s="63">
        <f t="shared" ca="1" si="24"/>
        <v>0</v>
      </c>
      <c r="V63" s="57">
        <f ca="1">IFERROR(__xludf.DUMMYFUNCTION("IMPORTRANGE(""https://docs.google.com/spreadsheets/d/1nYxRXgnCfTXtqUY1otYuTlnrzE0Tn-Y0YRsW5pkRVqo/edit?usp=sharing"",""ปราจีนบุรี!I460"")"),30)</f>
        <v>30</v>
      </c>
      <c r="W63" s="57">
        <f ca="1">IFERROR(__xludf.DUMMYFUNCTION("IMPORTRANGE(""https://docs.google.com/spreadsheets/d/1nYxRXgnCfTXtqUY1otYuTlnrzE0Tn-Y0YRsW5pkRVqo/edit?usp=sharing"",""ปราจีนบุรี!J460"")"),30)</f>
        <v>30</v>
      </c>
      <c r="X63" s="63">
        <f t="shared" ca="1" si="25"/>
        <v>100</v>
      </c>
      <c r="Y63" s="57">
        <f ca="1">IFERROR(__xludf.DUMMYFUNCTION("IMPORTRANGE(""https://docs.google.com/spreadsheets/d/1nYxRXgnCfTXtqUY1otYuTlnrzE0Tn-Y0YRsW5pkRVqo/edit?usp=sharing"",""ปราจีนบุรี!I462"")"),90)</f>
        <v>90</v>
      </c>
      <c r="Z63" s="57">
        <f ca="1">IFERROR(__xludf.DUMMYFUNCTION("IMPORTRANGE(""https://docs.google.com/spreadsheets/d/1nYxRXgnCfTXtqUY1otYuTlnrzE0Tn-Y0YRsW5pkRVqo/edit?usp=sharing"",""ปราจีนบุรี!J462"")"),90)</f>
        <v>90</v>
      </c>
      <c r="AA63" s="63">
        <f t="shared" ca="1" si="26"/>
        <v>100</v>
      </c>
      <c r="AB63" s="57">
        <f ca="1">IFERROR(__xludf.DUMMYFUNCTION("IMPORTRANGE(""https://docs.google.com/spreadsheets/d/1nYxRXgnCfTXtqUY1otYuTlnrzE0Tn-Y0YRsW5pkRVqo/edit?usp=sharing"",""ปราจีนบุรี!I463"")"),90)</f>
        <v>90</v>
      </c>
      <c r="AC63" s="57">
        <f ca="1">IFERROR(__xludf.DUMMYFUNCTION("IMPORTRANGE(""https://docs.google.com/spreadsheets/d/1nYxRXgnCfTXtqUY1otYuTlnrzE0Tn-Y0YRsW5pkRVqo/edit?usp=sharing"",""ปราจีนบุรี!I464"")"),30)</f>
        <v>30</v>
      </c>
      <c r="AD63" s="57">
        <f ca="1">IFERROR(__xludf.DUMMYFUNCTION("IMPORTRANGE(""https://docs.google.com/spreadsheets/d/1nYxRXgnCfTXtqUY1otYuTlnrzE0Tn-Y0YRsW5pkRVqo/edit?usp=sharing"",""ปราจีนบุรี!J463"")"),90)</f>
        <v>90</v>
      </c>
      <c r="AE63" s="63">
        <f t="shared" ca="1" si="27"/>
        <v>100</v>
      </c>
      <c r="AF63" s="57">
        <f ca="1">IFERROR(__xludf.DUMMYFUNCTION("IMPORTRANGE(""https://docs.google.com/spreadsheets/d/1nYxRXgnCfTXtqUY1otYuTlnrzE0Tn-Y0YRsW5pkRVqo/edit?usp=sharing"",""ปราจีนบุรี!J464"")"),30)</f>
        <v>30</v>
      </c>
      <c r="AG63" s="63">
        <f t="shared" ca="1" si="13"/>
        <v>100</v>
      </c>
    </row>
    <row r="64" spans="1:33" ht="21" customHeight="1" x14ac:dyDescent="0.3">
      <c r="A64" s="54">
        <v>12</v>
      </c>
      <c r="B64" s="55" t="s">
        <v>85</v>
      </c>
      <c r="C64" s="56">
        <f t="shared" ca="1" si="53"/>
        <v>0</v>
      </c>
      <c r="D64" s="57">
        <f ca="1">IFERROR(__xludf.DUMMYFUNCTION("IMPORTRANGE(""https://docs.google.com/spreadsheets/d/1nNHCLO8ZAXOMfQvxux7cf_hrzPAh8FAvaHq_ClKbZNo/edit?usp=sharing"",""พระนครศรีอยุธยา!L449"")"),0)</f>
        <v>0</v>
      </c>
      <c r="E64" s="64">
        <f ca="1">IFERROR(__xludf.DUMMYFUNCTION("IMPORTRANGE(""https://docs.google.com/spreadsheets/d/1nNHCLO8ZAXOMfQvxux7cf_hrzPAh8FAvaHq_ClKbZNo/edit?usp=sharing"",""พระนครศรีอยุธยา!L456"")"),0)</f>
        <v>0</v>
      </c>
      <c r="F64" s="64">
        <f ca="1">IFERROR(__xludf.DUMMYFUNCTION("IMPORTRANGE(""https://docs.google.com/spreadsheets/d/1nNHCLO8ZAXOMfQvxux7cf_hrzPAh8FAvaHq_ClKbZNo/edit?usp=sharing"",""พระนครศรีอยุธยา!M449"")"),0)</f>
        <v>0</v>
      </c>
      <c r="G64" s="64">
        <f ca="1">IFERROR(__xludf.DUMMYFUNCTION("IMPORTRANGE(""https://docs.google.com/spreadsheets/d/1nNHCLO8ZAXOMfQvxux7cf_hrzPAh8FAvaHq_ClKbZNo/edit?usp=sharing"",""พระนครศรีอยุธยา!M431"")"),0)</f>
        <v>0</v>
      </c>
      <c r="H64" s="58">
        <f t="shared" ca="1" si="23"/>
        <v>0</v>
      </c>
      <c r="I64" s="59">
        <f t="shared" ca="1" si="1"/>
        <v>0</v>
      </c>
      <c r="J64" s="60">
        <f t="shared" ca="1" si="54"/>
        <v>0</v>
      </c>
      <c r="K64" s="61">
        <f t="shared" ca="1" si="29"/>
        <v>0</v>
      </c>
      <c r="L64" s="61">
        <f t="shared" ca="1" si="30"/>
        <v>0</v>
      </c>
      <c r="M64" s="64">
        <f ca="1">IFERROR(__xludf.DUMMYFUNCTION("IMPORTRANGE(""https://docs.google.com/spreadsheets/d/1nNHCLO8ZAXOMfQvxux7cf_hrzPAh8FAvaHq_ClKbZNo/edit?usp=sharing"",""พระนครศรีอยุธยา!N450"")"),0)</f>
        <v>0</v>
      </c>
      <c r="N64" s="64">
        <f ca="1">IFERROR(__xludf.DUMMYFUNCTION("IMPORTRANGE(""https://docs.google.com/spreadsheets/d/1nNHCLO8ZAXOMfQvxux7cf_hrzPAh8FAvaHq_ClKbZNo/edit?usp=sharing"",""พระนครศรีอยุธยา!N451"")"),0)</f>
        <v>0</v>
      </c>
      <c r="O64" s="64">
        <f ca="1">IFERROR(__xludf.DUMMYFUNCTION("IMPORTRANGE(""https://docs.google.com/spreadsheets/d/1nNHCLO8ZAXOMfQvxux7cf_hrzPAh8FAvaHq_ClKbZNo/edit?usp=sharing"",""พระนครศรีอยุธยา!N452"")"),0)</f>
        <v>0</v>
      </c>
      <c r="P64" s="64">
        <f ca="1">IFERROR(__xludf.DUMMYFUNCTION("IMPORTRANGE(""https://docs.google.com/spreadsheets/d/1nNHCLO8ZAXOMfQvxux7cf_hrzPAh8FAvaHq_ClKbZNo/edit?usp=sharing"",""พระนครศรีอยุธยา!N453"")"),0)</f>
        <v>0</v>
      </c>
      <c r="Q64" s="62">
        <f ca="1">IFERROR(__xludf.DUMMYFUNCTION("IMPORTRANGE(""https://docs.google.com/spreadsheets/d/1nNHCLO8ZAXOMfQvxux7cf_hrzPAh8FAvaHq_ClKbZNo/edit?usp=sharing"",""พระนครศรีอยุธยา!N456"")"),0)</f>
        <v>0</v>
      </c>
      <c r="R64" s="62">
        <f t="shared" ca="1" si="32"/>
        <v>0</v>
      </c>
      <c r="S64" s="57">
        <f ca="1">IFERROR(__xludf.DUMMYFUNCTION("IMPORTRANGE(""https://docs.google.com/spreadsheets/d/1nNHCLO8ZAXOMfQvxux7cf_hrzPAh8FAvaHq_ClKbZNo/edit?usp=sharing"",""พระนครศรีอยุธยา!I458"")"),0)</f>
        <v>0</v>
      </c>
      <c r="T64" s="57">
        <f ca="1">IFERROR(__xludf.DUMMYFUNCTION("IMPORTRANGE(""https://docs.google.com/spreadsheets/d/1nNHCLO8ZAXOMfQvxux7cf_hrzPAh8FAvaHq_ClKbZNo/edit?usp=sharing"",""พระนครศรีอยุธยา!J458"")"),0)</f>
        <v>0</v>
      </c>
      <c r="U64" s="63">
        <f t="shared" ca="1" si="24"/>
        <v>0</v>
      </c>
      <c r="V64" s="57">
        <f ca="1">IFERROR(__xludf.DUMMYFUNCTION("IMPORTRANGE(""https://docs.google.com/spreadsheets/d/1nNHCLO8ZAXOMfQvxux7cf_hrzPAh8FAvaHq_ClKbZNo/edit?usp=sharing"",""พระนครศรีอยุธยา!I460"")"),0)</f>
        <v>0</v>
      </c>
      <c r="W64" s="57">
        <f ca="1">IFERROR(__xludf.DUMMYFUNCTION("IMPORTRANGE(""https://docs.google.com/spreadsheets/d/1nNHCLO8ZAXOMfQvxux7cf_hrzPAh8FAvaHq_ClKbZNo/edit?usp=sharing"",""พระนครศรีอยุธยา!J460"")"),0)</f>
        <v>0</v>
      </c>
      <c r="X64" s="63">
        <f t="shared" ca="1" si="25"/>
        <v>0</v>
      </c>
      <c r="Y64" s="57">
        <f ca="1">IFERROR(__xludf.DUMMYFUNCTION("IMPORTRANGE(""https://docs.google.com/spreadsheets/d/1nNHCLO8ZAXOMfQvxux7cf_hrzPAh8FAvaHq_ClKbZNo/edit?usp=sharing"",""พระนครศรีอยุธยา!I462"")"),0)</f>
        <v>0</v>
      </c>
      <c r="Z64" s="57">
        <f ca="1">IFERROR(__xludf.DUMMYFUNCTION("IMPORTRANGE(""https://docs.google.com/spreadsheets/d/1nNHCLO8ZAXOMfQvxux7cf_hrzPAh8FAvaHq_ClKbZNo/edit?usp=sharing"",""พระนครศรีอยุธยา!J462"")"),0)</f>
        <v>0</v>
      </c>
      <c r="AA64" s="63">
        <f t="shared" ca="1" si="26"/>
        <v>0</v>
      </c>
      <c r="AB64" s="57">
        <f ca="1">IFERROR(__xludf.DUMMYFUNCTION("IMPORTRANGE(""https://docs.google.com/spreadsheets/d/1nNHCLO8ZAXOMfQvxux7cf_hrzPAh8FAvaHq_ClKbZNo/edit?usp=sharing"",""พระนครศรีอยุธยา!I463"")"),0)</f>
        <v>0</v>
      </c>
      <c r="AC64" s="57">
        <f ca="1">IFERROR(__xludf.DUMMYFUNCTION("IMPORTRANGE(""https://docs.google.com/spreadsheets/d/1nNHCLO8ZAXOMfQvxux7cf_hrzPAh8FAvaHq_ClKbZNo/edit?usp=sharing"",""พระนครศรีอยุธยา!I464"")"),0)</f>
        <v>0</v>
      </c>
      <c r="AD64" s="57">
        <f ca="1">IFERROR(__xludf.DUMMYFUNCTION("IMPORTRANGE(""https://docs.google.com/spreadsheets/d/1nNHCLO8ZAXOMfQvxux7cf_hrzPAh8FAvaHq_ClKbZNo/edit?usp=sharing"",""พระนครศรีอยุธยา!J463"")"),0)</f>
        <v>0</v>
      </c>
      <c r="AE64" s="63">
        <f t="shared" ca="1" si="27"/>
        <v>0</v>
      </c>
      <c r="AF64" s="57">
        <f ca="1">IFERROR(__xludf.DUMMYFUNCTION("IMPORTRANGE(""https://docs.google.com/spreadsheets/d/1nNHCLO8ZAXOMfQvxux7cf_hrzPAh8FAvaHq_ClKbZNo/edit?usp=sharing"",""พระนครศรีอยุธยา!J464"")"),0)</f>
        <v>0</v>
      </c>
      <c r="AG64" s="63">
        <f t="shared" ca="1" si="13"/>
        <v>0</v>
      </c>
    </row>
    <row r="65" spans="1:33" ht="21" customHeight="1" x14ac:dyDescent="0.3">
      <c r="A65" s="54">
        <v>13</v>
      </c>
      <c r="B65" s="55" t="s">
        <v>86</v>
      </c>
      <c r="C65" s="56">
        <f t="shared" ca="1" si="53"/>
        <v>0</v>
      </c>
      <c r="D65" s="57">
        <f ca="1">IFERROR(__xludf.DUMMYFUNCTION("IMPORTRANGE(""https://docs.google.com/spreadsheets/d/1CdNicvf3i6yt4tJlCePe3V1Va76wYqW0QzMzTsaGRrA/edit?usp=sharing"",""เพชรบุรี!L449"")"),0)</f>
        <v>0</v>
      </c>
      <c r="E65" s="64">
        <f ca="1">IFERROR(__xludf.DUMMYFUNCTION("IMPORTRANGE(""https://docs.google.com/spreadsheets/d/1CdNicvf3i6yt4tJlCePe3V1Va76wYqW0QzMzTsaGRrA/edit?usp=sharing"",""เพชรบุรี!L456"")"),0)</f>
        <v>0</v>
      </c>
      <c r="F65" s="64">
        <f ca="1">IFERROR(__xludf.DUMMYFUNCTION("IMPORTRANGE(""https://docs.google.com/spreadsheets/d/1CdNicvf3i6yt4tJlCePe3V1Va76wYqW0QzMzTsaGRrA/edit?usp=sharing"",""เพชรบุรี!M449"")"),0)</f>
        <v>0</v>
      </c>
      <c r="G65" s="64">
        <f ca="1">IFERROR(__xludf.DUMMYFUNCTION("IMPORTRANGE(""https://docs.google.com/spreadsheets/d/1CdNicvf3i6yt4tJlCePe3V1Va76wYqW0QzMzTsaGRrA/edit?usp=sharing"",""เพชรบุรี!M431"")"),0)</f>
        <v>0</v>
      </c>
      <c r="H65" s="58">
        <f t="shared" ca="1" si="23"/>
        <v>0</v>
      </c>
      <c r="I65" s="59">
        <f t="shared" ca="1" si="1"/>
        <v>0</v>
      </c>
      <c r="J65" s="60">
        <f t="shared" ca="1" si="54"/>
        <v>0</v>
      </c>
      <c r="K65" s="61">
        <f t="shared" ca="1" si="29"/>
        <v>0</v>
      </c>
      <c r="L65" s="61">
        <f t="shared" ca="1" si="30"/>
        <v>0</v>
      </c>
      <c r="M65" s="64">
        <f ca="1">IFERROR(__xludf.DUMMYFUNCTION("IMPORTRANGE(""https://docs.google.com/spreadsheets/d/1CdNicvf3i6yt4tJlCePe3V1Va76wYqW0QzMzTsaGRrA/edit?usp=sharing"",""เพชรบุรี!N450"")"),0)</f>
        <v>0</v>
      </c>
      <c r="N65" s="64">
        <f ca="1">IFERROR(__xludf.DUMMYFUNCTION("IMPORTRANGE(""https://docs.google.com/spreadsheets/d/1CdNicvf3i6yt4tJlCePe3V1Va76wYqW0QzMzTsaGRrA/edit?usp=sharing"",""เพชรบุรี!N451"")"),0)</f>
        <v>0</v>
      </c>
      <c r="O65" s="64">
        <f ca="1">IFERROR(__xludf.DUMMYFUNCTION("IMPORTRANGE(""https://docs.google.com/spreadsheets/d/1CdNicvf3i6yt4tJlCePe3V1Va76wYqW0QzMzTsaGRrA/edit?usp=sharing"",""เพชรบุรี!N452"")"),0)</f>
        <v>0</v>
      </c>
      <c r="P65" s="64">
        <f ca="1">IFERROR(__xludf.DUMMYFUNCTION("IMPORTRANGE(""https://docs.google.com/spreadsheets/d/1CdNicvf3i6yt4tJlCePe3V1Va76wYqW0QzMzTsaGRrA/edit?usp=sharing"",""เพชรบุรี!N453"")"),0)</f>
        <v>0</v>
      </c>
      <c r="Q65" s="62">
        <f ca="1">IFERROR(__xludf.DUMMYFUNCTION("IMPORTRANGE(""https://docs.google.com/spreadsheets/d/1CdNicvf3i6yt4tJlCePe3V1Va76wYqW0QzMzTsaGRrA/edit?usp=sharing"",""เพชรบุรี!N456"")"),0)</f>
        <v>0</v>
      </c>
      <c r="R65" s="62">
        <f t="shared" ca="1" si="32"/>
        <v>0</v>
      </c>
      <c r="S65" s="57">
        <f ca="1">IFERROR(__xludf.DUMMYFUNCTION("IMPORTRANGE(""https://docs.google.com/spreadsheets/d/1CdNicvf3i6yt4tJlCePe3V1Va76wYqW0QzMzTsaGRrA/edit?usp=sharing"",""เพชรบุรี!I458"")"),0)</f>
        <v>0</v>
      </c>
      <c r="T65" s="57">
        <f ca="1">IFERROR(__xludf.DUMMYFUNCTION("IMPORTRANGE(""https://docs.google.com/spreadsheets/d/1CdNicvf3i6yt4tJlCePe3V1Va76wYqW0QzMzTsaGRrA/edit?usp=sharing"",""เพชรบุรี!J458"")"),0)</f>
        <v>0</v>
      </c>
      <c r="U65" s="63">
        <f t="shared" ca="1" si="24"/>
        <v>0</v>
      </c>
      <c r="V65" s="57">
        <f ca="1">IFERROR(__xludf.DUMMYFUNCTION("IMPORTRANGE(""https://docs.google.com/spreadsheets/d/1CdNicvf3i6yt4tJlCePe3V1Va76wYqW0QzMzTsaGRrA/edit?usp=sharing"",""เพชรบุรี!I460"")"),0)</f>
        <v>0</v>
      </c>
      <c r="W65" s="57">
        <f ca="1">IFERROR(__xludf.DUMMYFUNCTION("IMPORTRANGE(""https://docs.google.com/spreadsheets/d/1CdNicvf3i6yt4tJlCePe3V1Va76wYqW0QzMzTsaGRrA/edit?usp=sharing"",""เพชรบุรี!J460"")"),0)</f>
        <v>0</v>
      </c>
      <c r="X65" s="63">
        <f t="shared" ca="1" si="25"/>
        <v>0</v>
      </c>
      <c r="Y65" s="57">
        <f ca="1">IFERROR(__xludf.DUMMYFUNCTION("IMPORTRANGE(""https://docs.google.com/spreadsheets/d/1CdNicvf3i6yt4tJlCePe3V1Va76wYqW0QzMzTsaGRrA/edit?usp=sharing"",""เพชรบุรี!I462"")"),0)</f>
        <v>0</v>
      </c>
      <c r="Z65" s="57">
        <f ca="1">IFERROR(__xludf.DUMMYFUNCTION("IMPORTRANGE(""https://docs.google.com/spreadsheets/d/1CdNicvf3i6yt4tJlCePe3V1Va76wYqW0QzMzTsaGRrA/edit?usp=sharing"",""เพชรบุรี!J462"")"),0)</f>
        <v>0</v>
      </c>
      <c r="AA65" s="63">
        <f t="shared" ca="1" si="26"/>
        <v>0</v>
      </c>
      <c r="AB65" s="57">
        <f ca="1">IFERROR(__xludf.DUMMYFUNCTION("IMPORTRANGE(""https://docs.google.com/spreadsheets/d/1CdNicvf3i6yt4tJlCePe3V1Va76wYqW0QzMzTsaGRrA/edit?usp=sharing"",""เพชรบุรี!I463"")"),0)</f>
        <v>0</v>
      </c>
      <c r="AC65" s="57">
        <f ca="1">IFERROR(__xludf.DUMMYFUNCTION("IMPORTRANGE(""https://docs.google.com/spreadsheets/d/1CdNicvf3i6yt4tJlCePe3V1Va76wYqW0QzMzTsaGRrA/edit?usp=sharing"",""เพชรบุรี!I464"")"),0)</f>
        <v>0</v>
      </c>
      <c r="AD65" s="57">
        <f ca="1">IFERROR(__xludf.DUMMYFUNCTION("IMPORTRANGE(""https://docs.google.com/spreadsheets/d/1CdNicvf3i6yt4tJlCePe3V1Va76wYqW0QzMzTsaGRrA/edit?usp=sharing"",""เพชรบุรี!J463"")"),0)</f>
        <v>0</v>
      </c>
      <c r="AE65" s="63">
        <f t="shared" ca="1" si="27"/>
        <v>0</v>
      </c>
      <c r="AF65" s="57">
        <f ca="1">IFERROR(__xludf.DUMMYFUNCTION("IMPORTRANGE(""https://docs.google.com/spreadsheets/d/1CdNicvf3i6yt4tJlCePe3V1Va76wYqW0QzMzTsaGRrA/edit?usp=sharing"",""เพชรบุรี!J464"")"),0)</f>
        <v>0</v>
      </c>
      <c r="AG65" s="63">
        <f t="shared" ca="1" si="13"/>
        <v>0</v>
      </c>
    </row>
    <row r="66" spans="1:33" ht="21" customHeight="1" x14ac:dyDescent="0.3">
      <c r="A66" s="54">
        <v>14</v>
      </c>
      <c r="B66" s="55" t="s">
        <v>87</v>
      </c>
      <c r="C66" s="56">
        <f t="shared" ca="1" si="53"/>
        <v>180080</v>
      </c>
      <c r="D66" s="57">
        <f ca="1">IFERROR(__xludf.DUMMYFUNCTION("IMPORTRANGE(""https://docs.google.com/spreadsheets/d/1XiF77UIVHV0Kjc6xbXuOuJ10WgJYxd4p_22ngKVV5oM/edit?usp=sharing"",""ระยอง!L449"")"),180080)</f>
        <v>180080</v>
      </c>
      <c r="E66" s="64">
        <f ca="1">IFERROR(__xludf.DUMMYFUNCTION("IMPORTRANGE(""https://docs.google.com/spreadsheets/d/1XiF77UIVHV0Kjc6xbXuOuJ10WgJYxd4p_22ngKVV5oM/edit?usp=sharing"",""ระยอง!L456"")"),0)</f>
        <v>0</v>
      </c>
      <c r="F66" s="64">
        <f ca="1">IFERROR(__xludf.DUMMYFUNCTION("IMPORTRANGE(""https://docs.google.com/spreadsheets/d/1XiF77UIVHV0Kjc6xbXuOuJ10WgJYxd4p_22ngKVV5oM/edit?usp=sharing"",""ระยอง!M449"")"),180080)</f>
        <v>180080</v>
      </c>
      <c r="G66" s="64">
        <f ca="1">IFERROR(__xludf.DUMMYFUNCTION("IMPORTRANGE(""https://docs.google.com/spreadsheets/d/1XiF77UIVHV0Kjc6xbXuOuJ10WgJYxd4p_22ngKVV5oM/edit?usp=sharing"",""ระยอง!M431"")"),0)</f>
        <v>0</v>
      </c>
      <c r="H66" s="58">
        <f t="shared" ca="1" si="23"/>
        <v>48540</v>
      </c>
      <c r="I66" s="59">
        <f t="shared" ca="1" si="1"/>
        <v>26.954686805864061</v>
      </c>
      <c r="J66" s="60">
        <f t="shared" ca="1" si="54"/>
        <v>48540</v>
      </c>
      <c r="K66" s="61">
        <f t="shared" ca="1" si="29"/>
        <v>26.954686805864061</v>
      </c>
      <c r="L66" s="61">
        <f t="shared" ca="1" si="30"/>
        <v>26.954686805864061</v>
      </c>
      <c r="M66" s="64">
        <f ca="1">IFERROR(__xludf.DUMMYFUNCTION("IMPORTRANGE(""https://docs.google.com/spreadsheets/d/1XiF77UIVHV0Kjc6xbXuOuJ10WgJYxd4p_22ngKVV5oM/edit?usp=sharing"",""ระยอง!N450"")"),41540)</f>
        <v>41540</v>
      </c>
      <c r="N66" s="64">
        <f ca="1">IFERROR(__xludf.DUMMYFUNCTION("IMPORTRANGE(""https://docs.google.com/spreadsheets/d/1XiF77UIVHV0Kjc6xbXuOuJ10WgJYxd4p_22ngKVV5oM/edit?usp=sharing"",""ระยอง!N451"")"),5100)</f>
        <v>5100</v>
      </c>
      <c r="O66" s="64">
        <f ca="1">IFERROR(__xludf.DUMMYFUNCTION("IMPORTRANGE(""https://docs.google.com/spreadsheets/d/1XiF77UIVHV0Kjc6xbXuOuJ10WgJYxd4p_22ngKVV5oM/edit?usp=sharing"",""ระยอง!N452"")"),0)</f>
        <v>0</v>
      </c>
      <c r="P66" s="64">
        <f ca="1">IFERROR(__xludf.DUMMYFUNCTION("IMPORTRANGE(""https://docs.google.com/spreadsheets/d/1XiF77UIVHV0Kjc6xbXuOuJ10WgJYxd4p_22ngKVV5oM/edit?usp=sharing"",""ระยอง!N453"")"),1900)</f>
        <v>1900</v>
      </c>
      <c r="Q66" s="62">
        <f ca="1">IFERROR(__xludf.DUMMYFUNCTION("IMPORTRANGE(""https://docs.google.com/spreadsheets/d/1XiF77UIVHV0Kjc6xbXuOuJ10WgJYxd4p_22ngKVV5oM/edit?usp=sharing"",""ระยอง!N456"")"),0)</f>
        <v>0</v>
      </c>
      <c r="R66" s="62">
        <f t="shared" ca="1" si="32"/>
        <v>0</v>
      </c>
      <c r="S66" s="57">
        <f ca="1">IFERROR(__xludf.DUMMYFUNCTION("IMPORTRANGE(""https://docs.google.com/spreadsheets/d/1XiF77UIVHV0Kjc6xbXuOuJ10WgJYxd4p_22ngKVV5oM/edit?usp=sharing"",""ระยอง!I458"")"),0)</f>
        <v>0</v>
      </c>
      <c r="T66" s="57">
        <f ca="1">IFERROR(__xludf.DUMMYFUNCTION("IMPORTRANGE(""https://docs.google.com/spreadsheets/d/1XiF77UIVHV0Kjc6xbXuOuJ10WgJYxd4p_22ngKVV5oM/edit?usp=sharing"",""ระยอง!J458"")"),0)</f>
        <v>0</v>
      </c>
      <c r="U66" s="63">
        <f t="shared" ca="1" si="24"/>
        <v>0</v>
      </c>
      <c r="V66" s="57">
        <f ca="1">IFERROR(__xludf.DUMMYFUNCTION("IMPORTRANGE(""https://docs.google.com/spreadsheets/d/1XiF77UIVHV0Kjc6xbXuOuJ10WgJYxd4p_22ngKVV5oM/edit?usp=sharing"",""ระยอง!I460"")"),30)</f>
        <v>30</v>
      </c>
      <c r="W66" s="57">
        <f ca="1">IFERROR(__xludf.DUMMYFUNCTION("IMPORTRANGE(""https://docs.google.com/spreadsheets/d/1XiF77UIVHV0Kjc6xbXuOuJ10WgJYxd4p_22ngKVV5oM/edit?usp=sharing"",""ระยอง!J460"")"),30)</f>
        <v>30</v>
      </c>
      <c r="X66" s="63">
        <f t="shared" ca="1" si="25"/>
        <v>100</v>
      </c>
      <c r="Y66" s="57">
        <f ca="1">IFERROR(__xludf.DUMMYFUNCTION("IMPORTRANGE(""https://docs.google.com/spreadsheets/d/1XiF77UIVHV0Kjc6xbXuOuJ10WgJYxd4p_22ngKVV5oM/edit?usp=sharing"",""ระยอง!I462"")"),100)</f>
        <v>100</v>
      </c>
      <c r="Z66" s="57">
        <f ca="1">IFERROR(__xludf.DUMMYFUNCTION("IMPORTRANGE(""https://docs.google.com/spreadsheets/d/1XiF77UIVHV0Kjc6xbXuOuJ10WgJYxd4p_22ngKVV5oM/edit?usp=sharing"",""ระยอง!J462"")"),100)</f>
        <v>100</v>
      </c>
      <c r="AA66" s="63">
        <f t="shared" ca="1" si="26"/>
        <v>100</v>
      </c>
      <c r="AB66" s="57">
        <f ca="1">IFERROR(__xludf.DUMMYFUNCTION("IMPORTRANGE(""https://docs.google.com/spreadsheets/d/1XiF77UIVHV0Kjc6xbXuOuJ10WgJYxd4p_22ngKVV5oM/edit?usp=sharing"",""ระยอง!I463"")"),100)</f>
        <v>100</v>
      </c>
      <c r="AC66" s="57">
        <f ca="1">IFERROR(__xludf.DUMMYFUNCTION("IMPORTRANGE(""https://docs.google.com/spreadsheets/d/1XiF77UIVHV0Kjc6xbXuOuJ10WgJYxd4p_22ngKVV5oM/edit?usp=sharing"",""ระยอง!I464"")"),30)</f>
        <v>30</v>
      </c>
      <c r="AD66" s="57">
        <f ca="1">IFERROR(__xludf.DUMMYFUNCTION("IMPORTRANGE(""https://docs.google.com/spreadsheets/d/1XiF77UIVHV0Kjc6xbXuOuJ10WgJYxd4p_22ngKVV5oM/edit?usp=sharing"",""ระยอง!J463"")"),0)</f>
        <v>0</v>
      </c>
      <c r="AE66" s="63">
        <f t="shared" ca="1" si="27"/>
        <v>0</v>
      </c>
      <c r="AF66" s="57">
        <f ca="1">IFERROR(__xludf.DUMMYFUNCTION("IMPORTRANGE(""https://docs.google.com/spreadsheets/d/1XiF77UIVHV0Kjc6xbXuOuJ10WgJYxd4p_22ngKVV5oM/edit?usp=sharing"",""ระยอง!J464"")"),0)</f>
        <v>0</v>
      </c>
      <c r="AG66" s="63">
        <f t="shared" ca="1" si="13"/>
        <v>0</v>
      </c>
    </row>
    <row r="67" spans="1:33" ht="21" customHeight="1" x14ac:dyDescent="0.3">
      <c r="A67" s="54">
        <v>15</v>
      </c>
      <c r="B67" s="55" t="s">
        <v>88</v>
      </c>
      <c r="C67" s="56">
        <f t="shared" ca="1" si="53"/>
        <v>0</v>
      </c>
      <c r="D67" s="57">
        <f ca="1">IFERROR(__xludf.DUMMYFUNCTION("IMPORTRANGE(""https://docs.google.com/spreadsheets/d/1qU-W_9MCQD1pgIVXGEOjCFo9QqlmJywuebyGgaN92r8/edit?usp=sharing"",""ราชบุรี!L449"")"),0)</f>
        <v>0</v>
      </c>
      <c r="E67" s="64">
        <f ca="1">IFERROR(__xludf.DUMMYFUNCTION("IMPORTRANGE(""https://docs.google.com/spreadsheets/d/1qU-W_9MCQD1pgIVXGEOjCFo9QqlmJywuebyGgaN92r8/edit?usp=sharing"",""ราชบุรี!L456"")"),0)</f>
        <v>0</v>
      </c>
      <c r="F67" s="64">
        <f ca="1">IFERROR(__xludf.DUMMYFUNCTION("IMPORTRANGE(""https://docs.google.com/spreadsheets/d/1qU-W_9MCQD1pgIVXGEOjCFo9QqlmJywuebyGgaN92r8/edit?usp=sharing"",""ราชบุรี!M449"")"),0)</f>
        <v>0</v>
      </c>
      <c r="G67" s="64">
        <f ca="1">IFERROR(__xludf.DUMMYFUNCTION("IMPORTRANGE(""https://docs.google.com/spreadsheets/d/1qU-W_9MCQD1pgIVXGEOjCFo9QqlmJywuebyGgaN92r8/edit?usp=sharing"",""ราชบุรี!M431"")"),0)</f>
        <v>0</v>
      </c>
      <c r="H67" s="58">
        <f t="shared" ca="1" si="23"/>
        <v>0</v>
      </c>
      <c r="I67" s="59">
        <f t="shared" ca="1" si="1"/>
        <v>0</v>
      </c>
      <c r="J67" s="60">
        <f t="shared" ca="1" si="54"/>
        <v>0</v>
      </c>
      <c r="K67" s="61">
        <f t="shared" ca="1" si="29"/>
        <v>0</v>
      </c>
      <c r="L67" s="61">
        <f t="shared" ca="1" si="30"/>
        <v>0</v>
      </c>
      <c r="M67" s="64">
        <f ca="1">IFERROR(__xludf.DUMMYFUNCTION("IMPORTRANGE(""https://docs.google.com/spreadsheets/d/1qU-W_9MCQD1pgIVXGEOjCFo9QqlmJywuebyGgaN92r8/edit?usp=sharing"",""ราชบุรี!N450"")"),0)</f>
        <v>0</v>
      </c>
      <c r="N67" s="64">
        <f ca="1">IFERROR(__xludf.DUMMYFUNCTION("IMPORTRANGE(""https://docs.google.com/spreadsheets/d/1qU-W_9MCQD1pgIVXGEOjCFo9QqlmJywuebyGgaN92r8/edit?usp=sharing"",""ราชบุรี!N451"")"),0)</f>
        <v>0</v>
      </c>
      <c r="O67" s="64">
        <f ca="1">IFERROR(__xludf.DUMMYFUNCTION("IMPORTRANGE(""https://docs.google.com/spreadsheets/d/1qU-W_9MCQD1pgIVXGEOjCFo9QqlmJywuebyGgaN92r8/edit?usp=sharing"",""ราชบุรี!N452"")"),0)</f>
        <v>0</v>
      </c>
      <c r="P67" s="64">
        <f ca="1">IFERROR(__xludf.DUMMYFUNCTION("IMPORTRANGE(""https://docs.google.com/spreadsheets/d/1qU-W_9MCQD1pgIVXGEOjCFo9QqlmJywuebyGgaN92r8/edit?usp=sharing"",""ราชบุรี!N453"")"),0)</f>
        <v>0</v>
      </c>
      <c r="Q67" s="62">
        <f ca="1">IFERROR(__xludf.DUMMYFUNCTION("IMPORTRANGE(""https://docs.google.com/spreadsheets/d/1qU-W_9MCQD1pgIVXGEOjCFo9QqlmJywuebyGgaN92r8/edit?usp=sharing"",""ราชบุรี!N456"")"),0)</f>
        <v>0</v>
      </c>
      <c r="R67" s="62">
        <f t="shared" ca="1" si="32"/>
        <v>0</v>
      </c>
      <c r="S67" s="57">
        <f ca="1">IFERROR(__xludf.DUMMYFUNCTION("IMPORTRANGE(""https://docs.google.com/spreadsheets/d/1qU-W_9MCQD1pgIVXGEOjCFo9QqlmJywuebyGgaN92r8/edit?usp=sharing"",""ราชบุรี!I458"")"),0)</f>
        <v>0</v>
      </c>
      <c r="T67" s="57">
        <f ca="1">IFERROR(__xludf.DUMMYFUNCTION("IMPORTRANGE(""https://docs.google.com/spreadsheets/d/1qU-W_9MCQD1pgIVXGEOjCFo9QqlmJywuebyGgaN92r8/edit?usp=sharing"",""ราชบุรี!J458"")"),0)</f>
        <v>0</v>
      </c>
      <c r="U67" s="63">
        <f t="shared" ca="1" si="24"/>
        <v>0</v>
      </c>
      <c r="V67" s="57">
        <f ca="1">IFERROR(__xludf.DUMMYFUNCTION("IMPORTRANGE(""https://docs.google.com/spreadsheets/d/1qU-W_9MCQD1pgIVXGEOjCFo9QqlmJywuebyGgaN92r8/edit?usp=sharing"",""ราชบุรี!I460"")"),0)</f>
        <v>0</v>
      </c>
      <c r="W67" s="57">
        <f ca="1">IFERROR(__xludf.DUMMYFUNCTION("IMPORTRANGE(""https://docs.google.com/spreadsheets/d/1qU-W_9MCQD1pgIVXGEOjCFo9QqlmJywuebyGgaN92r8/edit?usp=sharing"",""ราชบุรี!J460"")"),0)</f>
        <v>0</v>
      </c>
      <c r="X67" s="63">
        <f t="shared" ca="1" si="25"/>
        <v>0</v>
      </c>
      <c r="Y67" s="57">
        <f ca="1">IFERROR(__xludf.DUMMYFUNCTION("IMPORTRANGE(""https://docs.google.com/spreadsheets/d/1qU-W_9MCQD1pgIVXGEOjCFo9QqlmJywuebyGgaN92r8/edit?usp=sharing"",""ราชบุรี!I462"")"),0)</f>
        <v>0</v>
      </c>
      <c r="Z67" s="57">
        <f ca="1">IFERROR(__xludf.DUMMYFUNCTION("IMPORTRANGE(""https://docs.google.com/spreadsheets/d/1qU-W_9MCQD1pgIVXGEOjCFo9QqlmJywuebyGgaN92r8/edit?usp=sharing"",""ราชบุรี!J462"")"),0)</f>
        <v>0</v>
      </c>
      <c r="AA67" s="63">
        <f t="shared" ca="1" si="26"/>
        <v>0</v>
      </c>
      <c r="AB67" s="57">
        <f ca="1">IFERROR(__xludf.DUMMYFUNCTION("IMPORTRANGE(""https://docs.google.com/spreadsheets/d/1qU-W_9MCQD1pgIVXGEOjCFo9QqlmJywuebyGgaN92r8/edit?usp=sharing"",""ราชบุรี!I463"")"),0)</f>
        <v>0</v>
      </c>
      <c r="AC67" s="57">
        <f ca="1">IFERROR(__xludf.DUMMYFUNCTION("IMPORTRANGE(""https://docs.google.com/spreadsheets/d/1qU-W_9MCQD1pgIVXGEOjCFo9QqlmJywuebyGgaN92r8/edit?usp=sharing"",""ราชบุรี!I464"")"),0)</f>
        <v>0</v>
      </c>
      <c r="AD67" s="57">
        <f ca="1">IFERROR(__xludf.DUMMYFUNCTION("IMPORTRANGE(""https://docs.google.com/spreadsheets/d/1qU-W_9MCQD1pgIVXGEOjCFo9QqlmJywuebyGgaN92r8/edit?usp=sharing"",""ราชบุรี!J463"")"),0)</f>
        <v>0</v>
      </c>
      <c r="AE67" s="63">
        <f t="shared" ca="1" si="27"/>
        <v>0</v>
      </c>
      <c r="AF67" s="57">
        <f ca="1">IFERROR(__xludf.DUMMYFUNCTION("IMPORTRANGE(""https://docs.google.com/spreadsheets/d/1qU-W_9MCQD1pgIVXGEOjCFo9QqlmJywuebyGgaN92r8/edit?usp=sharing"",""ราชบุรี!J464"")"),0)</f>
        <v>0</v>
      </c>
      <c r="AG67" s="63">
        <f t="shared" ca="1" si="13"/>
        <v>0</v>
      </c>
    </row>
    <row r="68" spans="1:33" ht="24" customHeight="1" x14ac:dyDescent="0.3">
      <c r="A68" s="54">
        <v>16</v>
      </c>
      <c r="B68" s="55" t="s">
        <v>89</v>
      </c>
      <c r="C68" s="56">
        <f t="shared" ca="1" si="53"/>
        <v>312380</v>
      </c>
      <c r="D68" s="57">
        <f ca="1">IFERROR(__xludf.DUMMYFUNCTION("IMPORTRANGE(""https://docs.google.com/spreadsheets/d/1xYFIxIM_CspAP5Q-5Zx_V0T_Ut3cjryrjd2hss28vGk/edit?usp=sharing"",""ลพบุรี!L449"")"),312380)</f>
        <v>312380</v>
      </c>
      <c r="E68" s="64">
        <f ca="1">IFERROR(__xludf.DUMMYFUNCTION("IMPORTRANGE(""https://docs.google.com/spreadsheets/d/1xYFIxIM_CspAP5Q-5Zx_V0T_Ut3cjryrjd2hss28vGk/edit?usp=sharing"",""ลพบุรี!L456"")"),0)</f>
        <v>0</v>
      </c>
      <c r="F68" s="64">
        <f ca="1">IFERROR(__xludf.DUMMYFUNCTION("IMPORTRANGE(""https://docs.google.com/spreadsheets/d/1xYFIxIM_CspAP5Q-5Zx_V0T_Ut3cjryrjd2hss28vGk/edit?usp=sharing"",""ลพบุรี!M449"")"),312380)</f>
        <v>312380</v>
      </c>
      <c r="G68" s="64">
        <f ca="1">IFERROR(__xludf.DUMMYFUNCTION("IMPORTRANGE(""https://docs.google.com/spreadsheets/d/1xYFIxIM_CspAP5Q-5Zx_V0T_Ut3cjryrjd2hss28vGk/edit?usp=sharing"",""ลพบุรี!M431"")"),0)</f>
        <v>0</v>
      </c>
      <c r="H68" s="58">
        <f t="shared" ca="1" si="23"/>
        <v>195706</v>
      </c>
      <c r="I68" s="59">
        <f t="shared" ca="1" si="1"/>
        <v>62.649977591395093</v>
      </c>
      <c r="J68" s="60">
        <f t="shared" ca="1" si="54"/>
        <v>195706</v>
      </c>
      <c r="K68" s="61">
        <f t="shared" ca="1" si="29"/>
        <v>62.649977591395093</v>
      </c>
      <c r="L68" s="61">
        <f t="shared" ca="1" si="30"/>
        <v>62.649977591395093</v>
      </c>
      <c r="M68" s="64">
        <f ca="1">IFERROR(__xludf.DUMMYFUNCTION("IMPORTRANGE(""https://docs.google.com/spreadsheets/d/1xYFIxIM_CspAP5Q-5Zx_V0T_Ut3cjryrjd2hss28vGk/edit?usp=sharing"",""ลพบุรี!N450"")"),54400)</f>
        <v>54400</v>
      </c>
      <c r="N68" s="64">
        <f ca="1">IFERROR(__xludf.DUMMYFUNCTION("IMPORTRANGE(""https://docs.google.com/spreadsheets/d/1xYFIxIM_CspAP5Q-5Zx_V0T_Ut3cjryrjd2hss28vGk/edit?usp=sharing"",""ลพบุรี!N451"")"),75500)</f>
        <v>75500</v>
      </c>
      <c r="O68" s="64">
        <f ca="1">IFERROR(__xludf.DUMMYFUNCTION("IMPORTRANGE(""https://docs.google.com/spreadsheets/d/1xYFIxIM_CspAP5Q-5Zx_V0T_Ut3cjryrjd2hss28vGk/edit?usp=sharing"",""ลพบุรี!N452"")"),64146)</f>
        <v>64146</v>
      </c>
      <c r="P68" s="64">
        <f ca="1">IFERROR(__xludf.DUMMYFUNCTION("IMPORTRANGE(""https://docs.google.com/spreadsheets/d/1xYFIxIM_CspAP5Q-5Zx_V0T_Ut3cjryrjd2hss28vGk/edit?usp=sharing"",""ลพบุรี!N453"")"),1660)</f>
        <v>1660</v>
      </c>
      <c r="Q68" s="62">
        <f ca="1">IFERROR(__xludf.DUMMYFUNCTION("IMPORTRANGE(""https://docs.google.com/spreadsheets/d/1xYFIxIM_CspAP5Q-5Zx_V0T_Ut3cjryrjd2hss28vGk/edit?usp=sharing"",""ลพบุรี!N456"")"),0)</f>
        <v>0</v>
      </c>
      <c r="R68" s="62">
        <f t="shared" ca="1" si="32"/>
        <v>0</v>
      </c>
      <c r="S68" s="57">
        <f ca="1">IFERROR(__xludf.DUMMYFUNCTION("IMPORTRANGE(""https://docs.google.com/spreadsheets/d/1xYFIxIM_CspAP5Q-5Zx_V0T_Ut3cjryrjd2hss28vGk/edit?usp=sharing"",""ลพบุรี!I458"")"),0)</f>
        <v>0</v>
      </c>
      <c r="T68" s="57">
        <f ca="1">IFERROR(__xludf.DUMMYFUNCTION("IMPORTRANGE(""https://docs.google.com/spreadsheets/d/1xYFIxIM_CspAP5Q-5Zx_V0T_Ut3cjryrjd2hss28vGk/edit?usp=sharing"",""ลพบุรี!J458"")"),0)</f>
        <v>0</v>
      </c>
      <c r="U68" s="63">
        <f t="shared" ca="1" si="24"/>
        <v>0</v>
      </c>
      <c r="V68" s="57">
        <f ca="1">IFERROR(__xludf.DUMMYFUNCTION("IMPORTRANGE(""https://docs.google.com/spreadsheets/d/1xYFIxIM_CspAP5Q-5Zx_V0T_Ut3cjryrjd2hss28vGk/edit?usp=sharing"",""ลพบุรี!I460"")"),40)</f>
        <v>40</v>
      </c>
      <c r="W68" s="57">
        <f ca="1">IFERROR(__xludf.DUMMYFUNCTION("IMPORTRANGE(""https://docs.google.com/spreadsheets/d/1xYFIxIM_CspAP5Q-5Zx_V0T_Ut3cjryrjd2hss28vGk/edit?usp=sharing"",""ลพบุรี!J460"")"),40)</f>
        <v>40</v>
      </c>
      <c r="X68" s="63">
        <f t="shared" ca="1" si="25"/>
        <v>100</v>
      </c>
      <c r="Y68" s="57">
        <f ca="1">IFERROR(__xludf.DUMMYFUNCTION("IMPORTRANGE(""https://docs.google.com/spreadsheets/d/1xYFIxIM_CspAP5Q-5Zx_V0T_Ut3cjryrjd2hss28vGk/edit?usp=sharing"",""ลพบุรี!I462"")"),65)</f>
        <v>65</v>
      </c>
      <c r="Z68" s="57">
        <f ca="1">IFERROR(__xludf.DUMMYFUNCTION("IMPORTRANGE(""https://docs.google.com/spreadsheets/d/1xYFIxIM_CspAP5Q-5Zx_V0T_Ut3cjryrjd2hss28vGk/edit?usp=sharing"",""ลพบุรี!J462"")"),65)</f>
        <v>65</v>
      </c>
      <c r="AA68" s="63">
        <f t="shared" ca="1" si="26"/>
        <v>100</v>
      </c>
      <c r="AB68" s="57">
        <f ca="1">IFERROR(__xludf.DUMMYFUNCTION("IMPORTRANGE(""https://docs.google.com/spreadsheets/d/1xYFIxIM_CspAP5Q-5Zx_V0T_Ut3cjryrjd2hss28vGk/edit?usp=sharing"",""ลพบุรี!I463"")"),65)</f>
        <v>65</v>
      </c>
      <c r="AC68" s="57">
        <f ca="1">IFERROR(__xludf.DUMMYFUNCTION("IMPORTRANGE(""https://docs.google.com/spreadsheets/d/1xYFIxIM_CspAP5Q-5Zx_V0T_Ut3cjryrjd2hss28vGk/edit?usp=sharing"",""ลพบุรี!I464"")"),40)</f>
        <v>40</v>
      </c>
      <c r="AD68" s="57">
        <f ca="1">IFERROR(__xludf.DUMMYFUNCTION("IMPORTRANGE(""https://docs.google.com/spreadsheets/d/1xYFIxIM_CspAP5Q-5Zx_V0T_Ut3cjryrjd2hss28vGk/edit?usp=sharing"",""ลพบุรี!J463"")"),65)</f>
        <v>65</v>
      </c>
      <c r="AE68" s="63">
        <f t="shared" ca="1" si="27"/>
        <v>100</v>
      </c>
      <c r="AF68" s="57">
        <f ca="1">IFERROR(__xludf.DUMMYFUNCTION("IMPORTRANGE(""https://docs.google.com/spreadsheets/d/1xYFIxIM_CspAP5Q-5Zx_V0T_Ut3cjryrjd2hss28vGk/edit?usp=sharing"",""ลพบุรี!J464"")"),40)</f>
        <v>40</v>
      </c>
      <c r="AG68" s="63">
        <f t="shared" ca="1" si="13"/>
        <v>100</v>
      </c>
    </row>
    <row r="69" spans="1:33" ht="21" customHeight="1" x14ac:dyDescent="0.3">
      <c r="A69" s="54">
        <v>17</v>
      </c>
      <c r="B69" s="55" t="s">
        <v>90</v>
      </c>
      <c r="C69" s="56">
        <f t="shared" ca="1" si="53"/>
        <v>0</v>
      </c>
      <c r="D69" s="57">
        <f ca="1">IFERROR(__xludf.DUMMYFUNCTION("IMPORTRANGE(""https://docs.google.com/spreadsheets/d/11s9m3tKsCBdPWq6syhZm27eBGbKneDLZc75co106bio/edit?usp=sharing"",""สระแก้ว!L449"")"),0)</f>
        <v>0</v>
      </c>
      <c r="E69" s="64">
        <f ca="1">IFERROR(__xludf.DUMMYFUNCTION("IMPORTRANGE(""https://docs.google.com/spreadsheets/d/11s9m3tKsCBdPWq6syhZm27eBGbKneDLZc75co106bio/edit?usp=sharing"",""สระแก้ว!L456"")"),0)</f>
        <v>0</v>
      </c>
      <c r="F69" s="64">
        <f ca="1">IFERROR(__xludf.DUMMYFUNCTION("IMPORTRANGE(""https://docs.google.com/spreadsheets/d/11s9m3tKsCBdPWq6syhZm27eBGbKneDLZc75co106bio/edit?usp=sharing"",""สระแก้ว!M449"")"),0)</f>
        <v>0</v>
      </c>
      <c r="G69" s="64">
        <f ca="1">IFERROR(__xludf.DUMMYFUNCTION("IMPORTRANGE(""https://docs.google.com/spreadsheets/d/11s9m3tKsCBdPWq6syhZm27eBGbKneDLZc75co106bio/edit?usp=sharing"",""สระแก้ว!M431"")"),0)</f>
        <v>0</v>
      </c>
      <c r="H69" s="58">
        <f t="shared" ca="1" si="23"/>
        <v>0</v>
      </c>
      <c r="I69" s="59">
        <f t="shared" ca="1" si="1"/>
        <v>0</v>
      </c>
      <c r="J69" s="60">
        <f t="shared" ca="1" si="54"/>
        <v>0</v>
      </c>
      <c r="K69" s="61">
        <f t="shared" ca="1" si="29"/>
        <v>0</v>
      </c>
      <c r="L69" s="61">
        <f t="shared" ca="1" si="30"/>
        <v>0</v>
      </c>
      <c r="M69" s="64">
        <f ca="1">IFERROR(__xludf.DUMMYFUNCTION("IMPORTRANGE(""https://docs.google.com/spreadsheets/d/11s9m3tKsCBdPWq6syhZm27eBGbKneDLZc75co106bio/edit?usp=sharing"",""สระแก้ว!N450"")"),0)</f>
        <v>0</v>
      </c>
      <c r="N69" s="64">
        <f ca="1">IFERROR(__xludf.DUMMYFUNCTION("IMPORTRANGE(""https://docs.google.com/spreadsheets/d/11s9m3tKsCBdPWq6syhZm27eBGbKneDLZc75co106bio/edit?usp=sharing"",""สระแก้ว!N451"")"),0)</f>
        <v>0</v>
      </c>
      <c r="O69" s="64">
        <f ca="1">IFERROR(__xludf.DUMMYFUNCTION("IMPORTRANGE(""https://docs.google.com/spreadsheets/d/11s9m3tKsCBdPWq6syhZm27eBGbKneDLZc75co106bio/edit?usp=sharing"",""สระแก้ว!N452"")"),0)</f>
        <v>0</v>
      </c>
      <c r="P69" s="64">
        <f ca="1">IFERROR(__xludf.DUMMYFUNCTION("IMPORTRANGE(""https://docs.google.com/spreadsheets/d/11s9m3tKsCBdPWq6syhZm27eBGbKneDLZc75co106bio/edit?usp=sharing"",""สระแก้ว!N453"")"),0)</f>
        <v>0</v>
      </c>
      <c r="Q69" s="62">
        <f ca="1">IFERROR(__xludf.DUMMYFUNCTION("IMPORTRANGE(""https://docs.google.com/spreadsheets/d/11s9m3tKsCBdPWq6syhZm27eBGbKneDLZc75co106bio/edit?usp=sharing"",""สระแก้ว!N456"")"),0)</f>
        <v>0</v>
      </c>
      <c r="R69" s="62">
        <f t="shared" ca="1" si="32"/>
        <v>0</v>
      </c>
      <c r="S69" s="57">
        <f ca="1">IFERROR(__xludf.DUMMYFUNCTION("IMPORTRANGE(""https://docs.google.com/spreadsheets/d/11s9m3tKsCBdPWq6syhZm27eBGbKneDLZc75co106bio/edit?usp=sharing"",""สระแก้ว!I458"")"),0)</f>
        <v>0</v>
      </c>
      <c r="T69" s="57">
        <f ca="1">IFERROR(__xludf.DUMMYFUNCTION("IMPORTRANGE(""https://docs.google.com/spreadsheets/d/11s9m3tKsCBdPWq6syhZm27eBGbKneDLZc75co106bio/edit?usp=sharing"",""สระแก้ว!J458"")"),0)</f>
        <v>0</v>
      </c>
      <c r="U69" s="63">
        <f t="shared" ca="1" si="24"/>
        <v>0</v>
      </c>
      <c r="V69" s="57">
        <f ca="1">IFERROR(__xludf.DUMMYFUNCTION("IMPORTRANGE(""https://docs.google.com/spreadsheets/d/11s9m3tKsCBdPWq6syhZm27eBGbKneDLZc75co106bio/edit?usp=sharing"",""สระแก้ว!I460"")"),0)</f>
        <v>0</v>
      </c>
      <c r="W69" s="57">
        <f ca="1">IFERROR(__xludf.DUMMYFUNCTION("IMPORTRANGE(""https://docs.google.com/spreadsheets/d/11s9m3tKsCBdPWq6syhZm27eBGbKneDLZc75co106bio/edit?usp=sharing"",""สระแก้ว!J460"")"),0)</f>
        <v>0</v>
      </c>
      <c r="X69" s="63">
        <f t="shared" ca="1" si="25"/>
        <v>0</v>
      </c>
      <c r="Y69" s="57">
        <f ca="1">IFERROR(__xludf.DUMMYFUNCTION("IMPORTRANGE(""https://docs.google.com/spreadsheets/d/11s9m3tKsCBdPWq6syhZm27eBGbKneDLZc75co106bio/edit?usp=sharing"",""สระแก้ว!I462"")"),0)</f>
        <v>0</v>
      </c>
      <c r="Z69" s="57">
        <f ca="1">IFERROR(__xludf.DUMMYFUNCTION("IMPORTRANGE(""https://docs.google.com/spreadsheets/d/11s9m3tKsCBdPWq6syhZm27eBGbKneDLZc75co106bio/edit?usp=sharing"",""สระแก้ว!J462"")"),0)</f>
        <v>0</v>
      </c>
      <c r="AA69" s="63">
        <f t="shared" ca="1" si="26"/>
        <v>0</v>
      </c>
      <c r="AB69" s="57">
        <f ca="1">IFERROR(__xludf.DUMMYFUNCTION("IMPORTRANGE(""https://docs.google.com/spreadsheets/d/11s9m3tKsCBdPWq6syhZm27eBGbKneDLZc75co106bio/edit?usp=sharing"",""สระแก้ว!I463"")"),0)</f>
        <v>0</v>
      </c>
      <c r="AC69" s="57">
        <f ca="1">IFERROR(__xludf.DUMMYFUNCTION("IMPORTRANGE(""https://docs.google.com/spreadsheets/d/11s9m3tKsCBdPWq6syhZm27eBGbKneDLZc75co106bio/edit?usp=sharing"",""สระแก้ว!I464"")"),0)</f>
        <v>0</v>
      </c>
      <c r="AD69" s="57">
        <f ca="1">IFERROR(__xludf.DUMMYFUNCTION("IMPORTRANGE(""https://docs.google.com/spreadsheets/d/11s9m3tKsCBdPWq6syhZm27eBGbKneDLZc75co106bio/edit?usp=sharing"",""สระแก้ว!J463"")"),0)</f>
        <v>0</v>
      </c>
      <c r="AE69" s="63">
        <f t="shared" ca="1" si="27"/>
        <v>0</v>
      </c>
      <c r="AF69" s="57">
        <f ca="1">IFERROR(__xludf.DUMMYFUNCTION("IMPORTRANGE(""https://docs.google.com/spreadsheets/d/11s9m3tKsCBdPWq6syhZm27eBGbKneDLZc75co106bio/edit?usp=sharing"",""สระแก้ว!J464"")"),0)</f>
        <v>0</v>
      </c>
      <c r="AG69" s="63">
        <f t="shared" ca="1" si="13"/>
        <v>0</v>
      </c>
    </row>
    <row r="70" spans="1:33" ht="21" customHeight="1" x14ac:dyDescent="0.3">
      <c r="A70" s="54">
        <v>18</v>
      </c>
      <c r="B70" s="55" t="s">
        <v>91</v>
      </c>
      <c r="C70" s="56">
        <f t="shared" ca="1" si="53"/>
        <v>103436</v>
      </c>
      <c r="D70" s="57">
        <f ca="1">IFERROR(__xludf.DUMMYFUNCTION("IMPORTRANGE(""https://docs.google.com/spreadsheets/d/1Nn1EvsFPtXldgpgVb3Rcng2K2cls68LFQsBh2FyW0Bg/edit?usp=sharing"",""สระบุรี!L449"")"),103436)</f>
        <v>103436</v>
      </c>
      <c r="E70" s="64">
        <f ca="1">IFERROR(__xludf.DUMMYFUNCTION("IMPORTRANGE(""https://docs.google.com/spreadsheets/d/1Nn1EvsFPtXldgpgVb3Rcng2K2cls68LFQsBh2FyW0Bg/edit?usp=sharing"",""สระบุรี!L456"")"),0)</f>
        <v>0</v>
      </c>
      <c r="F70" s="64">
        <f ca="1">IFERROR(__xludf.DUMMYFUNCTION("IMPORTRANGE(""https://docs.google.com/spreadsheets/d/1Nn1EvsFPtXldgpgVb3Rcng2K2cls68LFQsBh2FyW0Bg/edit?usp=sharing"",""สระบุรี!M449"")"),93300)</f>
        <v>93300</v>
      </c>
      <c r="G70" s="64">
        <f ca="1">IFERROR(__xludf.DUMMYFUNCTION("IMPORTRANGE(""https://docs.google.com/spreadsheets/d/1Nn1EvsFPtXldgpgVb3Rcng2K2cls68LFQsBh2FyW0Bg/edit?usp=sharing"",""สระบุรี!M431"")"),0)</f>
        <v>0</v>
      </c>
      <c r="H70" s="58">
        <f t="shared" ca="1" si="23"/>
        <v>68680</v>
      </c>
      <c r="I70" s="59">
        <f t="shared" ca="1" si="1"/>
        <v>66.398545960787345</v>
      </c>
      <c r="J70" s="60">
        <f t="shared" ca="1" si="54"/>
        <v>68680</v>
      </c>
      <c r="K70" s="61">
        <f t="shared" ca="1" si="29"/>
        <v>66.398545960787345</v>
      </c>
      <c r="L70" s="61">
        <f t="shared" ca="1" si="30"/>
        <v>73.612004287245441</v>
      </c>
      <c r="M70" s="64">
        <f ca="1">IFERROR(__xludf.DUMMYFUNCTION("IMPORTRANGE(""https://docs.google.com/spreadsheets/d/1Nn1EvsFPtXldgpgVb3Rcng2K2cls68LFQsBh2FyW0Bg/edit?usp=sharing"",""สระบุรี!N450"")"),34990)</f>
        <v>34990</v>
      </c>
      <c r="N70" s="64">
        <f ca="1">IFERROR(__xludf.DUMMYFUNCTION("IMPORTRANGE(""https://docs.google.com/spreadsheets/d/1Nn1EvsFPtXldgpgVb3Rcng2K2cls68LFQsBh2FyW0Bg/edit?usp=sharing"",""สระบุรี!N451"")"),27000)</f>
        <v>27000</v>
      </c>
      <c r="O70" s="64">
        <f ca="1">IFERROR(__xludf.DUMMYFUNCTION("IMPORTRANGE(""https://docs.google.com/spreadsheets/d/1Nn1EvsFPtXldgpgVb3Rcng2K2cls68LFQsBh2FyW0Bg/edit?usp=sharing"",""สระบุรี!N452"")"),0)</f>
        <v>0</v>
      </c>
      <c r="P70" s="64">
        <f ca="1">IFERROR(__xludf.DUMMYFUNCTION("IMPORTRANGE(""https://docs.google.com/spreadsheets/d/1Nn1EvsFPtXldgpgVb3Rcng2K2cls68LFQsBh2FyW0Bg/edit?usp=sharing"",""สระบุรี!N453"")"),6690)</f>
        <v>6690</v>
      </c>
      <c r="Q70" s="62">
        <f ca="1">IFERROR(__xludf.DUMMYFUNCTION("IMPORTRANGE(""https://docs.google.com/spreadsheets/d/1Nn1EvsFPtXldgpgVb3Rcng2K2cls68LFQsBh2FyW0Bg/edit?usp=sharing"",""สระบุรี!N456"")"),0)</f>
        <v>0</v>
      </c>
      <c r="R70" s="62">
        <f t="shared" ca="1" si="32"/>
        <v>0</v>
      </c>
      <c r="S70" s="57">
        <f ca="1">IFERROR(__xludf.DUMMYFUNCTION("IMPORTRANGE(""https://docs.google.com/spreadsheets/d/1Nn1EvsFPtXldgpgVb3Rcng2K2cls68LFQsBh2FyW0Bg/edit?usp=sharing"",""สระบุรี!I458"")"),0)</f>
        <v>0</v>
      </c>
      <c r="T70" s="57">
        <f ca="1">IFERROR(__xludf.DUMMYFUNCTION("IMPORTRANGE(""https://docs.google.com/spreadsheets/d/1Nn1EvsFPtXldgpgVb3Rcng2K2cls68LFQsBh2FyW0Bg/edit?usp=sharing"",""สระบุรี!J458"")"),0)</f>
        <v>0</v>
      </c>
      <c r="U70" s="63">
        <f t="shared" ca="1" si="24"/>
        <v>0</v>
      </c>
      <c r="V70" s="57">
        <f ca="1">IFERROR(__xludf.DUMMYFUNCTION("IMPORTRANGE(""https://docs.google.com/spreadsheets/d/1Nn1EvsFPtXldgpgVb3Rcng2K2cls68LFQsBh2FyW0Bg/edit?usp=sharing"",""สระบุรี!I460"")"),10)</f>
        <v>10</v>
      </c>
      <c r="W70" s="57">
        <f ca="1">IFERROR(__xludf.DUMMYFUNCTION("IMPORTRANGE(""https://docs.google.com/spreadsheets/d/1Nn1EvsFPtXldgpgVb3Rcng2K2cls68LFQsBh2FyW0Bg/edit?usp=sharing"",""สระบุรี!J460"")"),10)</f>
        <v>10</v>
      </c>
      <c r="X70" s="63">
        <f t="shared" ca="1" si="25"/>
        <v>100</v>
      </c>
      <c r="Y70" s="57">
        <f ca="1">IFERROR(__xludf.DUMMYFUNCTION("IMPORTRANGE(""https://docs.google.com/spreadsheets/d/1Nn1EvsFPtXldgpgVb3Rcng2K2cls68LFQsBh2FyW0Bg/edit?usp=sharing"",""สระบุรี!I462"")"),20)</f>
        <v>20</v>
      </c>
      <c r="Z70" s="57">
        <f ca="1">IFERROR(__xludf.DUMMYFUNCTION("IMPORTRANGE(""https://docs.google.com/spreadsheets/d/1Nn1EvsFPtXldgpgVb3Rcng2K2cls68LFQsBh2FyW0Bg/edit?usp=sharing"",""สระบุรี!J462"")"),20)</f>
        <v>20</v>
      </c>
      <c r="AA70" s="63">
        <f t="shared" ca="1" si="26"/>
        <v>100</v>
      </c>
      <c r="AB70" s="57">
        <f ca="1">IFERROR(__xludf.DUMMYFUNCTION("IMPORTRANGE(""https://docs.google.com/spreadsheets/d/1Nn1EvsFPtXldgpgVb3Rcng2K2cls68LFQsBh2FyW0Bg/edit?usp=sharing"",""สระบุรี!I463"")"),20)</f>
        <v>20</v>
      </c>
      <c r="AC70" s="57">
        <f ca="1">IFERROR(__xludf.DUMMYFUNCTION("IMPORTRANGE(""https://docs.google.com/spreadsheets/d/1Nn1EvsFPtXldgpgVb3Rcng2K2cls68LFQsBh2FyW0Bg/edit?usp=sharing"",""สระบุรี!I464"")"),10)</f>
        <v>10</v>
      </c>
      <c r="AD70" s="57">
        <f ca="1">IFERROR(__xludf.DUMMYFUNCTION("IMPORTRANGE(""https://docs.google.com/spreadsheets/d/1Nn1EvsFPtXldgpgVb3Rcng2K2cls68LFQsBh2FyW0Bg/edit?usp=sharing"",""สระบุรี!J463"")"),20)</f>
        <v>20</v>
      </c>
      <c r="AE70" s="63">
        <f t="shared" ca="1" si="27"/>
        <v>100</v>
      </c>
      <c r="AF70" s="57">
        <f ca="1">IFERROR(__xludf.DUMMYFUNCTION("IMPORTRANGE(""https://docs.google.com/spreadsheets/d/1Nn1EvsFPtXldgpgVb3Rcng2K2cls68LFQsBh2FyW0Bg/edit?usp=sharing"",""สระบุรี!J464"")"),10)</f>
        <v>10</v>
      </c>
      <c r="AG70" s="63">
        <f t="shared" ca="1" si="13"/>
        <v>100</v>
      </c>
    </row>
    <row r="71" spans="1:33" ht="21" customHeight="1" x14ac:dyDescent="0.3">
      <c r="A71" s="54">
        <v>19</v>
      </c>
      <c r="B71" s="55" t="s">
        <v>92</v>
      </c>
      <c r="C71" s="56">
        <f t="shared" ca="1" si="53"/>
        <v>0</v>
      </c>
      <c r="D71" s="57">
        <f ca="1">IFERROR(__xludf.DUMMYFUNCTION("IMPORTRANGE(""https://docs.google.com/spreadsheets/d/149xufxukrnEciK3WPbNpHwUK8BKEJxp3UcBG3Al6dA4/edit?usp=sharing"",""สิงห์บุรี!L449"")"),0)</f>
        <v>0</v>
      </c>
      <c r="E71" s="64">
        <f ca="1">IFERROR(__xludf.DUMMYFUNCTION("IMPORTRANGE(""https://docs.google.com/spreadsheets/d/149xufxukrnEciK3WPbNpHwUK8BKEJxp3UcBG3Al6dA4/edit?usp=sharing"",""สิงห์บุรี!L456"")"),0)</f>
        <v>0</v>
      </c>
      <c r="F71" s="64">
        <f ca="1">IFERROR(__xludf.DUMMYFUNCTION("IMPORTRANGE(""https://docs.google.com/spreadsheets/d/149xufxukrnEciK3WPbNpHwUK8BKEJxp3UcBG3Al6dA4/edit?usp=sharing"",""สิงห์บุรี!M449"")"),0)</f>
        <v>0</v>
      </c>
      <c r="G71" s="64">
        <f ca="1">IFERROR(__xludf.DUMMYFUNCTION("IMPORTRANGE(""https://docs.google.com/spreadsheets/d/149xufxukrnEciK3WPbNpHwUK8BKEJxp3UcBG3Al6dA4/edit?usp=sharing"",""สิงห์บุรี!M431"")"),0)</f>
        <v>0</v>
      </c>
      <c r="H71" s="58">
        <f t="shared" ca="1" si="23"/>
        <v>0</v>
      </c>
      <c r="I71" s="59">
        <f t="shared" ca="1" si="1"/>
        <v>0</v>
      </c>
      <c r="J71" s="60">
        <f t="shared" ca="1" si="54"/>
        <v>0</v>
      </c>
      <c r="K71" s="61">
        <f t="shared" ca="1" si="29"/>
        <v>0</v>
      </c>
      <c r="L71" s="61">
        <f t="shared" ca="1" si="30"/>
        <v>0</v>
      </c>
      <c r="M71" s="64">
        <f ca="1">IFERROR(__xludf.DUMMYFUNCTION("IMPORTRANGE(""https://docs.google.com/spreadsheets/d/149xufxukrnEciK3WPbNpHwUK8BKEJxp3UcBG3Al6dA4/edit?usp=sharing"",""สิงห์บุรี!N450"")"),0)</f>
        <v>0</v>
      </c>
      <c r="N71" s="64">
        <f ca="1">IFERROR(__xludf.DUMMYFUNCTION("IMPORTRANGE(""https://docs.google.com/spreadsheets/d/149xufxukrnEciK3WPbNpHwUK8BKEJxp3UcBG3Al6dA4/edit?usp=sharing"",""สิงห์บุรี!N451"")"),0)</f>
        <v>0</v>
      </c>
      <c r="O71" s="64">
        <f ca="1">IFERROR(__xludf.DUMMYFUNCTION("IMPORTRANGE(""https://docs.google.com/spreadsheets/d/149xufxukrnEciK3WPbNpHwUK8BKEJxp3UcBG3Al6dA4/edit?usp=sharing"",""สิงห์บุรี!N452"")"),0)</f>
        <v>0</v>
      </c>
      <c r="P71" s="64">
        <f ca="1">IFERROR(__xludf.DUMMYFUNCTION("IMPORTRANGE(""https://docs.google.com/spreadsheets/d/149xufxukrnEciK3WPbNpHwUK8BKEJxp3UcBG3Al6dA4/edit?usp=sharing"",""สิงห์บุรี!N453"")"),0)</f>
        <v>0</v>
      </c>
      <c r="Q71" s="62">
        <f ca="1">IFERROR(__xludf.DUMMYFUNCTION("IMPORTRANGE(""https://docs.google.com/spreadsheets/d/149xufxukrnEciK3WPbNpHwUK8BKEJxp3UcBG3Al6dA4/edit?usp=sharing"",""สิงห์บุรี!N456"")"),0)</f>
        <v>0</v>
      </c>
      <c r="R71" s="62">
        <f t="shared" ca="1" si="32"/>
        <v>0</v>
      </c>
      <c r="S71" s="57">
        <f ca="1">IFERROR(__xludf.DUMMYFUNCTION("IMPORTRANGE(""https://docs.google.com/spreadsheets/d/149xufxukrnEciK3WPbNpHwUK8BKEJxp3UcBG3Al6dA4/edit?usp=sharing"",""สิงห์บุรี!I458"")"),0)</f>
        <v>0</v>
      </c>
      <c r="T71" s="57">
        <f ca="1">IFERROR(__xludf.DUMMYFUNCTION("IMPORTRANGE(""https://docs.google.com/spreadsheets/d/149xufxukrnEciK3WPbNpHwUK8BKEJxp3UcBG3Al6dA4/edit?usp=sharing"",""สิงห์บุรี!J458"")"),0)</f>
        <v>0</v>
      </c>
      <c r="U71" s="63">
        <f t="shared" ca="1" si="24"/>
        <v>0</v>
      </c>
      <c r="V71" s="57">
        <f ca="1">IFERROR(__xludf.DUMMYFUNCTION("IMPORTRANGE(""https://docs.google.com/spreadsheets/d/149xufxukrnEciK3WPbNpHwUK8BKEJxp3UcBG3Al6dA4/edit?usp=sharing"",""สิงห์บุรี!I460"")"),0)</f>
        <v>0</v>
      </c>
      <c r="W71" s="57">
        <f ca="1">IFERROR(__xludf.DUMMYFUNCTION("IMPORTRANGE(""https://docs.google.com/spreadsheets/d/149xufxukrnEciK3WPbNpHwUK8BKEJxp3UcBG3Al6dA4/edit?usp=sharing"",""สิงห์บุรี!J460"")"),0)</f>
        <v>0</v>
      </c>
      <c r="X71" s="63">
        <f t="shared" ca="1" si="25"/>
        <v>0</v>
      </c>
      <c r="Y71" s="57">
        <f ca="1">IFERROR(__xludf.DUMMYFUNCTION("IMPORTRANGE(""https://docs.google.com/spreadsheets/d/149xufxukrnEciK3WPbNpHwUK8BKEJxp3UcBG3Al6dA4/edit?usp=sharing"",""สิงห์บุรี!I462"")"),0)</f>
        <v>0</v>
      </c>
      <c r="Z71" s="57">
        <f ca="1">IFERROR(__xludf.DUMMYFUNCTION("IMPORTRANGE(""https://docs.google.com/spreadsheets/d/149xufxukrnEciK3WPbNpHwUK8BKEJxp3UcBG3Al6dA4/edit?usp=sharing"",""สิงห์บุรี!J462"")"),0)</f>
        <v>0</v>
      </c>
      <c r="AA71" s="63">
        <f t="shared" ca="1" si="26"/>
        <v>0</v>
      </c>
      <c r="AB71" s="57">
        <f ca="1">IFERROR(__xludf.DUMMYFUNCTION("IMPORTRANGE(""https://docs.google.com/spreadsheets/d/149xufxukrnEciK3WPbNpHwUK8BKEJxp3UcBG3Al6dA4/edit?usp=sharing"",""สิงห์บุรี!I463"")"),0)</f>
        <v>0</v>
      </c>
      <c r="AC71" s="57">
        <f ca="1">IFERROR(__xludf.DUMMYFUNCTION("IMPORTRANGE(""https://docs.google.com/spreadsheets/d/149xufxukrnEciK3WPbNpHwUK8BKEJxp3UcBG3Al6dA4/edit?usp=sharing"",""สิงห์บุรี!I464"")"),0)</f>
        <v>0</v>
      </c>
      <c r="AD71" s="57">
        <f ca="1">IFERROR(__xludf.DUMMYFUNCTION("IMPORTRANGE(""https://docs.google.com/spreadsheets/d/149xufxukrnEciK3WPbNpHwUK8BKEJxp3UcBG3Al6dA4/edit?usp=sharing"",""สิงห์บุรี!J463"")"),0)</f>
        <v>0</v>
      </c>
      <c r="AE71" s="63">
        <f t="shared" ca="1" si="27"/>
        <v>0</v>
      </c>
      <c r="AF71" s="57">
        <f ca="1">IFERROR(__xludf.DUMMYFUNCTION("IMPORTRANGE(""https://docs.google.com/spreadsheets/d/149xufxukrnEciK3WPbNpHwUK8BKEJxp3UcBG3Al6dA4/edit?usp=sharing"",""สิงห์บุรี!J464"")"),0)</f>
        <v>0</v>
      </c>
      <c r="AG71" s="63">
        <f t="shared" ca="1" si="13"/>
        <v>0</v>
      </c>
    </row>
    <row r="72" spans="1:33" ht="21" customHeight="1" x14ac:dyDescent="0.3">
      <c r="A72" s="54">
        <v>20</v>
      </c>
      <c r="B72" s="55" t="s">
        <v>93</v>
      </c>
      <c r="C72" s="56">
        <f t="shared" ca="1" si="53"/>
        <v>309180</v>
      </c>
      <c r="D72" s="57">
        <f ca="1">IFERROR(__xludf.DUMMYFUNCTION("IMPORTRANGE(""https://docs.google.com/spreadsheets/d/132g-zJpz2uMKimp17uOIx8A7o3w1Z25zwJyXnwsB56c/edit?usp=sharing"",""สุพรรณบุรี!L449"")"),309180)</f>
        <v>309180</v>
      </c>
      <c r="E72" s="64">
        <f ca="1">IFERROR(__xludf.DUMMYFUNCTION("IMPORTRANGE(""https://docs.google.com/spreadsheets/d/132g-zJpz2uMKimp17uOIx8A7o3w1Z25zwJyXnwsB56c/edit?usp=sharing"",""สุพรรณบุรี!L456"")"),0)</f>
        <v>0</v>
      </c>
      <c r="F72" s="64">
        <f ca="1">IFERROR(__xludf.DUMMYFUNCTION("IMPORTRANGE(""https://docs.google.com/spreadsheets/d/132g-zJpz2uMKimp17uOIx8A7o3w1Z25zwJyXnwsB56c/edit?usp=sharing"",""สุพรรณบุรี!M449"")"),309180)</f>
        <v>309180</v>
      </c>
      <c r="G72" s="64">
        <f ca="1">IFERROR(__xludf.DUMMYFUNCTION("IMPORTRANGE(""https://docs.google.com/spreadsheets/d/132g-zJpz2uMKimp17uOIx8A7o3w1Z25zwJyXnwsB56c/edit?usp=sharing"",""สุพรรณบุรี!M431"")"),0)</f>
        <v>0</v>
      </c>
      <c r="H72" s="58">
        <f t="shared" ca="1" si="23"/>
        <v>231510</v>
      </c>
      <c r="I72" s="59">
        <f t="shared" ca="1" si="1"/>
        <v>74.878711430234816</v>
      </c>
      <c r="J72" s="60">
        <f t="shared" ca="1" si="54"/>
        <v>231510</v>
      </c>
      <c r="K72" s="61">
        <f t="shared" ca="1" si="29"/>
        <v>74.878711430234816</v>
      </c>
      <c r="L72" s="61">
        <f t="shared" ca="1" si="30"/>
        <v>74.878711430234816</v>
      </c>
      <c r="M72" s="64">
        <f ca="1">IFERROR(__xludf.DUMMYFUNCTION("IMPORTRANGE(""https://docs.google.com/spreadsheets/d/132g-zJpz2uMKimp17uOIx8A7o3w1Z25zwJyXnwsB56c/edit?usp=sharing"",""สุพรรณบุรี!N450"")"),54400)</f>
        <v>54400</v>
      </c>
      <c r="N72" s="64">
        <f ca="1">IFERROR(__xludf.DUMMYFUNCTION("IMPORTRANGE(""https://docs.google.com/spreadsheets/d/132g-zJpz2uMKimp17uOIx8A7o3w1Z25zwJyXnwsB56c/edit?usp=sharing"",""สุพรรณบุรี!N451"")"),70500)</f>
        <v>70500</v>
      </c>
      <c r="O72" s="64">
        <f ca="1">IFERROR(__xludf.DUMMYFUNCTION("IMPORTRANGE(""https://docs.google.com/spreadsheets/d/132g-zJpz2uMKimp17uOIx8A7o3w1Z25zwJyXnwsB56c/edit?usp=sharing"",""สุพรรณบุรี!N452"")"),78000)</f>
        <v>78000</v>
      </c>
      <c r="P72" s="64">
        <f ca="1">IFERROR(__xludf.DUMMYFUNCTION("IMPORTRANGE(""https://docs.google.com/spreadsheets/d/132g-zJpz2uMKimp17uOIx8A7o3w1Z25zwJyXnwsB56c/edit?usp=sharing"",""สุพรรณบุรี!N453"")"),28610)</f>
        <v>28610</v>
      </c>
      <c r="Q72" s="62">
        <f ca="1">IFERROR(__xludf.DUMMYFUNCTION("IMPORTRANGE(""https://docs.google.com/spreadsheets/d/132g-zJpz2uMKimp17uOIx8A7o3w1Z25zwJyXnwsB56c/edit?usp=sharing"",""สุพรรณบุรี!N456"")"),0)</f>
        <v>0</v>
      </c>
      <c r="R72" s="62">
        <f t="shared" ca="1" si="32"/>
        <v>0</v>
      </c>
      <c r="S72" s="57">
        <f ca="1">IFERROR(__xludf.DUMMYFUNCTION("IMPORTRANGE(""https://docs.google.com/spreadsheets/d/132g-zJpz2uMKimp17uOIx8A7o3w1Z25zwJyXnwsB56c/edit?usp=sharing"",""สุพรรณบุรี!I458"")"),0)</f>
        <v>0</v>
      </c>
      <c r="T72" s="57">
        <f ca="1">IFERROR(__xludf.DUMMYFUNCTION("IMPORTRANGE(""https://docs.google.com/spreadsheets/d/132g-zJpz2uMKimp17uOIx8A7o3w1Z25zwJyXnwsB56c/edit?usp=sharing"",""สุพรรณบุรี!J458"")"),0)</f>
        <v>0</v>
      </c>
      <c r="U72" s="63">
        <f t="shared" ca="1" si="24"/>
        <v>0</v>
      </c>
      <c r="V72" s="57">
        <f ca="1">IFERROR(__xludf.DUMMYFUNCTION("IMPORTRANGE(""https://docs.google.com/spreadsheets/d/132g-zJpz2uMKimp17uOIx8A7o3w1Z25zwJyXnwsB56c/edit?usp=sharing"",""สุพรรณบุรี!I460"")"),40)</f>
        <v>40</v>
      </c>
      <c r="W72" s="57">
        <f ca="1">IFERROR(__xludf.DUMMYFUNCTION("IMPORTRANGE(""https://docs.google.com/spreadsheets/d/132g-zJpz2uMKimp17uOIx8A7o3w1Z25zwJyXnwsB56c/edit?usp=sharing"",""สุพรรณบุรี!J460"")"),40)</f>
        <v>40</v>
      </c>
      <c r="X72" s="63">
        <f t="shared" ca="1" si="25"/>
        <v>100</v>
      </c>
      <c r="Y72" s="57">
        <f ca="1">IFERROR(__xludf.DUMMYFUNCTION("IMPORTRANGE(""https://docs.google.com/spreadsheets/d/132g-zJpz2uMKimp17uOIx8A7o3w1Z25zwJyXnwsB56c/edit?usp=sharing"",""สุพรรณบุรี!I462"")"),60)</f>
        <v>60</v>
      </c>
      <c r="Z72" s="57">
        <f ca="1">IFERROR(__xludf.DUMMYFUNCTION("IMPORTRANGE(""https://docs.google.com/spreadsheets/d/132g-zJpz2uMKimp17uOIx8A7o3w1Z25zwJyXnwsB56c/edit?usp=sharing"",""สุพรรณบุรี!J462"")"),0)</f>
        <v>0</v>
      </c>
      <c r="AA72" s="63">
        <f t="shared" ca="1" si="26"/>
        <v>0</v>
      </c>
      <c r="AB72" s="57">
        <f ca="1">IFERROR(__xludf.DUMMYFUNCTION("IMPORTRANGE(""https://docs.google.com/spreadsheets/d/132g-zJpz2uMKimp17uOIx8A7o3w1Z25zwJyXnwsB56c/edit?usp=sharing"",""สุพรรณบุรี!I463"")"),60)</f>
        <v>60</v>
      </c>
      <c r="AC72" s="57">
        <f ca="1">IFERROR(__xludf.DUMMYFUNCTION("IMPORTRANGE(""https://docs.google.com/spreadsheets/d/132g-zJpz2uMKimp17uOIx8A7o3w1Z25zwJyXnwsB56c/edit?usp=sharing"",""สุพรรณบุรี!I464"")"),40)</f>
        <v>40</v>
      </c>
      <c r="AD72" s="57">
        <f ca="1">IFERROR(__xludf.DUMMYFUNCTION("IMPORTRANGE(""https://docs.google.com/spreadsheets/d/132g-zJpz2uMKimp17uOIx8A7o3w1Z25zwJyXnwsB56c/edit?usp=sharing"",""สุพรรณบุรี!J463"")"),60)</f>
        <v>60</v>
      </c>
      <c r="AE72" s="63">
        <f t="shared" ca="1" si="27"/>
        <v>100</v>
      </c>
      <c r="AF72" s="57">
        <f ca="1">IFERROR(__xludf.DUMMYFUNCTION("IMPORTRANGE(""https://docs.google.com/spreadsheets/d/132g-zJpz2uMKimp17uOIx8A7o3w1Z25zwJyXnwsB56c/edit?usp=sharing"",""สุพรรณบุรี!J464"")"),40)</f>
        <v>40</v>
      </c>
      <c r="AG72" s="63">
        <f t="shared" ca="1" si="13"/>
        <v>100</v>
      </c>
    </row>
    <row r="73" spans="1:33" ht="21" customHeight="1" x14ac:dyDescent="0.3">
      <c r="A73" s="65">
        <v>21</v>
      </c>
      <c r="B73" s="66" t="s">
        <v>94</v>
      </c>
      <c r="C73" s="67">
        <f t="shared" ca="1" si="53"/>
        <v>86360</v>
      </c>
      <c r="D73" s="68">
        <f ca="1">IFERROR(__xludf.DUMMYFUNCTION("IMPORTRANGE(""https://docs.google.com/spreadsheets/d/12Q_U0nVnFdxDFwa0pej9xvx8ZvLC9Dpi_vRro_aiG5g/edit?usp=sharing"",""อ่างทอง!L449"")"),86360)</f>
        <v>86360</v>
      </c>
      <c r="E73" s="69">
        <f ca="1">IFERROR(__xludf.DUMMYFUNCTION("IMPORTRANGE(""https://docs.google.com/spreadsheets/d/12Q_U0nVnFdxDFwa0pej9xvx8ZvLC9Dpi_vRro_aiG5g/edit?usp=sharing"",""อ่างทอง!L456"")"),0)</f>
        <v>0</v>
      </c>
      <c r="F73" s="69">
        <f ca="1">IFERROR(__xludf.DUMMYFUNCTION("IMPORTRANGE(""https://docs.google.com/spreadsheets/d/12Q_U0nVnFdxDFwa0pej9xvx8ZvLC9Dpi_vRro_aiG5g/edit?usp=sharing"",""อ่างทอง!M449"")"),86360)</f>
        <v>86360</v>
      </c>
      <c r="G73" s="69">
        <f ca="1">IFERROR(__xludf.DUMMYFUNCTION("IMPORTRANGE(""https://docs.google.com/spreadsheets/d/12Q_U0nVnFdxDFwa0pej9xvx8ZvLC9Dpi_vRro_aiG5g/edit?usp=sharing"",""อ่างทอง!M431"")"),0)</f>
        <v>0</v>
      </c>
      <c r="H73" s="70">
        <f t="shared" ca="1" si="23"/>
        <v>48458</v>
      </c>
      <c r="I73" s="71">
        <f t="shared" ca="1" si="1"/>
        <v>56.111625752663272</v>
      </c>
      <c r="J73" s="72">
        <f t="shared" ca="1" si="54"/>
        <v>48458</v>
      </c>
      <c r="K73" s="73">
        <f t="shared" ca="1" si="29"/>
        <v>56.111625752663272</v>
      </c>
      <c r="L73" s="73">
        <f t="shared" ca="1" si="30"/>
        <v>56.111625752663272</v>
      </c>
      <c r="M73" s="69">
        <f ca="1">IFERROR(__xludf.DUMMYFUNCTION("IMPORTRANGE(""https://docs.google.com/spreadsheets/d/12Q_U0nVnFdxDFwa0pej9xvx8ZvLC9Dpi_vRro_aiG5g/edit?usp=sharing"",""อ่างทอง!N450"")"),26890)</f>
        <v>26890</v>
      </c>
      <c r="N73" s="69">
        <f ca="1">IFERROR(__xludf.DUMMYFUNCTION("IMPORTRANGE(""https://docs.google.com/spreadsheets/d/12Q_U0nVnFdxDFwa0pej9xvx8ZvLC9Dpi_vRro_aiG5g/edit?usp=sharing"",""อ่างทอง!N451"")"),19568)</f>
        <v>19568</v>
      </c>
      <c r="O73" s="69">
        <f ca="1">IFERROR(__xludf.DUMMYFUNCTION("IMPORTRANGE(""https://docs.google.com/spreadsheets/d/12Q_U0nVnFdxDFwa0pej9xvx8ZvLC9Dpi_vRro_aiG5g/edit?usp=sharing"",""อ่างทอง!N452"")"),0)</f>
        <v>0</v>
      </c>
      <c r="P73" s="69">
        <f ca="1">IFERROR(__xludf.DUMMYFUNCTION("IMPORTRANGE(""https://docs.google.com/spreadsheets/d/12Q_U0nVnFdxDFwa0pej9xvx8ZvLC9Dpi_vRro_aiG5g/edit?usp=sharing"",""อ่างทอง!N453"")"),2000)</f>
        <v>2000</v>
      </c>
      <c r="Q73" s="74">
        <f ca="1">IFERROR(__xludf.DUMMYFUNCTION("IMPORTRANGE(""https://docs.google.com/spreadsheets/d/12Q_U0nVnFdxDFwa0pej9xvx8ZvLC9Dpi_vRro_aiG5g/edit?usp=sharing"",""อ่างทอง!N456"")"),0)</f>
        <v>0</v>
      </c>
      <c r="R73" s="74">
        <f t="shared" ca="1" si="32"/>
        <v>0</v>
      </c>
      <c r="S73" s="68">
        <f ca="1">IFERROR(__xludf.DUMMYFUNCTION("IMPORTRANGE(""https://docs.google.com/spreadsheets/d/12Q_U0nVnFdxDFwa0pej9xvx8ZvLC9Dpi_vRro_aiG5g/edit?usp=sharing"",""อ่างทอง!I458"")"),0)</f>
        <v>0</v>
      </c>
      <c r="T73" s="68">
        <f ca="1">IFERROR(__xludf.DUMMYFUNCTION("IMPORTRANGE(""https://docs.google.com/spreadsheets/d/12Q_U0nVnFdxDFwa0pej9xvx8ZvLC9Dpi_vRro_aiG5g/edit?usp=sharing"",""อ่างทอง!J458"")"),0)</f>
        <v>0</v>
      </c>
      <c r="U73" s="75">
        <f t="shared" ca="1" si="24"/>
        <v>0</v>
      </c>
      <c r="V73" s="68">
        <f ca="1">IFERROR(__xludf.DUMMYFUNCTION("IMPORTRANGE(""https://docs.google.com/spreadsheets/d/12Q_U0nVnFdxDFwa0pej9xvx8ZvLC9Dpi_vRro_aiG5g/edit?usp=sharing"",""อ่างทอง!I460"")"),15)</f>
        <v>15</v>
      </c>
      <c r="W73" s="68">
        <f ca="1">IFERROR(__xludf.DUMMYFUNCTION("IMPORTRANGE(""https://docs.google.com/spreadsheets/d/12Q_U0nVnFdxDFwa0pej9xvx8ZvLC9Dpi_vRro_aiG5g/edit?usp=sharing"",""อ่างทอง!J460"")"),15)</f>
        <v>15</v>
      </c>
      <c r="X73" s="75">
        <f t="shared" ca="1" si="25"/>
        <v>100</v>
      </c>
      <c r="Y73" s="68">
        <f ca="1">IFERROR(__xludf.DUMMYFUNCTION("IMPORTRANGE(""https://docs.google.com/spreadsheets/d/12Q_U0nVnFdxDFwa0pej9xvx8ZvLC9Dpi_vRro_aiG5g/edit?usp=sharing"",""อ่างทอง!I462"")"),30)</f>
        <v>30</v>
      </c>
      <c r="Z73" s="68">
        <f ca="1">IFERROR(__xludf.DUMMYFUNCTION("IMPORTRANGE(""https://docs.google.com/spreadsheets/d/12Q_U0nVnFdxDFwa0pej9xvx8ZvLC9Dpi_vRro_aiG5g/edit?usp=sharing"",""อ่างทอง!J462"")"),30)</f>
        <v>30</v>
      </c>
      <c r="AA73" s="75">
        <f t="shared" ca="1" si="26"/>
        <v>100</v>
      </c>
      <c r="AB73" s="68">
        <f ca="1">IFERROR(__xludf.DUMMYFUNCTION("IMPORTRANGE(""https://docs.google.com/spreadsheets/d/12Q_U0nVnFdxDFwa0pej9xvx8ZvLC9Dpi_vRro_aiG5g/edit?usp=sharing"",""อ่างทอง!I463"")"),30)</f>
        <v>30</v>
      </c>
      <c r="AC73" s="68">
        <f ca="1">IFERROR(__xludf.DUMMYFUNCTION("IMPORTRANGE(""https://docs.google.com/spreadsheets/d/12Q_U0nVnFdxDFwa0pej9xvx8ZvLC9Dpi_vRro_aiG5g/edit?usp=sharing"",""อ่างทอง!I464"")"),15)</f>
        <v>15</v>
      </c>
      <c r="AD73" s="68">
        <f ca="1">IFERROR(__xludf.DUMMYFUNCTION("IMPORTRANGE(""https://docs.google.com/spreadsheets/d/12Q_U0nVnFdxDFwa0pej9xvx8ZvLC9Dpi_vRro_aiG5g/edit?usp=sharing"",""อ่างทอง!J463"")"),10)</f>
        <v>10</v>
      </c>
      <c r="AE73" s="75">
        <f t="shared" ca="1" si="27"/>
        <v>33.333333333333336</v>
      </c>
      <c r="AF73" s="68">
        <f ca="1">IFERROR(__xludf.DUMMYFUNCTION("IMPORTRANGE(""https://docs.google.com/spreadsheets/d/12Q_U0nVnFdxDFwa0pej9xvx8ZvLC9Dpi_vRro_aiG5g/edit?usp=sharing"",""อ่างทอง!J464"")"),5)</f>
        <v>5</v>
      </c>
      <c r="AG73" s="75">
        <f t="shared" ca="1" si="13"/>
        <v>33.333333333333336</v>
      </c>
    </row>
    <row r="74" spans="1:33" ht="21" customHeight="1" x14ac:dyDescent="0.3">
      <c r="A74" s="177" t="s">
        <v>95</v>
      </c>
      <c r="B74" s="178"/>
      <c r="C74" s="76">
        <f t="shared" ref="C74:G74" ca="1" si="55">SUM(C75:C88)</f>
        <v>2091160</v>
      </c>
      <c r="D74" s="34">
        <f t="shared" ca="1" si="55"/>
        <v>2091160</v>
      </c>
      <c r="E74" s="34">
        <f t="shared" ca="1" si="55"/>
        <v>0</v>
      </c>
      <c r="F74" s="34">
        <f t="shared" ca="1" si="55"/>
        <v>2091160</v>
      </c>
      <c r="G74" s="34">
        <f t="shared" ca="1" si="55"/>
        <v>0</v>
      </c>
      <c r="H74" s="34">
        <f t="shared" ca="1" si="23"/>
        <v>990508.48</v>
      </c>
      <c r="I74" s="35">
        <f t="shared" ca="1" si="1"/>
        <v>47.36646072036573</v>
      </c>
      <c r="J74" s="34">
        <f ca="1">SUM(J75:J88)</f>
        <v>990508.48</v>
      </c>
      <c r="K74" s="35">
        <f t="shared" ca="1" si="29"/>
        <v>47.36646072036573</v>
      </c>
      <c r="L74" s="35">
        <f t="shared" ca="1" si="30"/>
        <v>47.36646072036573</v>
      </c>
      <c r="M74" s="34">
        <f t="shared" ref="M74:Q74" ca="1" si="56">SUM(M75:M88)</f>
        <v>332433.59999999998</v>
      </c>
      <c r="N74" s="34">
        <f t="shared" ca="1" si="56"/>
        <v>296785</v>
      </c>
      <c r="O74" s="34">
        <f t="shared" ca="1" si="56"/>
        <v>256114.52</v>
      </c>
      <c r="P74" s="34">
        <f t="shared" ca="1" si="56"/>
        <v>105175.36</v>
      </c>
      <c r="Q74" s="36">
        <f t="shared" ca="1" si="56"/>
        <v>0</v>
      </c>
      <c r="R74" s="36">
        <f t="shared" ca="1" si="32"/>
        <v>0</v>
      </c>
      <c r="S74" s="34">
        <f t="shared" ref="S74:T74" ca="1" si="57">SUM(S75:S88)</f>
        <v>0</v>
      </c>
      <c r="T74" s="34">
        <f t="shared" ca="1" si="57"/>
        <v>0</v>
      </c>
      <c r="U74" s="37">
        <f t="shared" ca="1" si="24"/>
        <v>0</v>
      </c>
      <c r="V74" s="34">
        <f t="shared" ref="V74:W74" ca="1" si="58">SUM(V75:V88)</f>
        <v>255</v>
      </c>
      <c r="W74" s="34">
        <f t="shared" ca="1" si="58"/>
        <v>255</v>
      </c>
      <c r="X74" s="37">
        <f t="shared" ca="1" si="25"/>
        <v>100</v>
      </c>
      <c r="Y74" s="34">
        <f t="shared" ref="Y74:Z74" ca="1" si="59">SUM(Y75:Y88)</f>
        <v>820</v>
      </c>
      <c r="Z74" s="34">
        <f t="shared" ca="1" si="59"/>
        <v>770</v>
      </c>
      <c r="AA74" s="37">
        <f t="shared" ca="1" si="26"/>
        <v>93.902439024390247</v>
      </c>
      <c r="AB74" s="34">
        <f t="shared" ref="AB74:AD74" ca="1" si="60">SUM(AB75:AB88)</f>
        <v>820</v>
      </c>
      <c r="AC74" s="34">
        <f t="shared" ca="1" si="60"/>
        <v>255</v>
      </c>
      <c r="AD74" s="34">
        <f t="shared" ca="1" si="60"/>
        <v>190</v>
      </c>
      <c r="AE74" s="37">
        <f t="shared" ca="1" si="27"/>
        <v>23.170731707317074</v>
      </c>
      <c r="AF74" s="34">
        <f ca="1">SUM(AF75:AF88)</f>
        <v>80</v>
      </c>
      <c r="AG74" s="37">
        <f t="shared" ca="1" si="13"/>
        <v>31.372549019607842</v>
      </c>
    </row>
    <row r="75" spans="1:33" ht="21" customHeight="1" x14ac:dyDescent="0.3">
      <c r="A75" s="54">
        <v>1</v>
      </c>
      <c r="B75" s="55" t="s">
        <v>96</v>
      </c>
      <c r="C75" s="56">
        <f t="shared" ref="C75:C88" ca="1" si="61">D75+E75</f>
        <v>0</v>
      </c>
      <c r="D75" s="57">
        <f ca="1">IFERROR(__xludf.DUMMYFUNCTION("IMPORTRANGE(""https://docs.google.com/spreadsheets/d/1kC41EOXpGBFOW658Fs3oD8beYlym0-zO54WY-2Qnp9I/edit?usp=sharing"",""กระบี่!L449"")"),0)</f>
        <v>0</v>
      </c>
      <c r="E75" s="64">
        <f ca="1">IFERROR(__xludf.DUMMYFUNCTION("IMPORTRANGE(""https://docs.google.com/spreadsheets/d/1kC41EOXpGBFOW658Fs3oD8beYlym0-zO54WY-2Qnp9I/edit?usp=sharing"",""กระบี่!L456"")"),0)</f>
        <v>0</v>
      </c>
      <c r="F75" s="64">
        <f ca="1">IFERROR(__xludf.DUMMYFUNCTION("IMPORTRANGE(""https://docs.google.com/spreadsheets/d/1kC41EOXpGBFOW658Fs3oD8beYlym0-zO54WY-2Qnp9I/edit?usp=sharing"",""กระบี่!M449"")"),0)</f>
        <v>0</v>
      </c>
      <c r="G75" s="64">
        <f ca="1">IFERROR(__xludf.DUMMYFUNCTION("IMPORTRANGE(""https://docs.google.com/spreadsheets/d/1kC41EOXpGBFOW658Fs3oD8beYlym0-zO54WY-2Qnp9I/edit?usp=sharing"",""กระบี่!M431"")"),0)</f>
        <v>0</v>
      </c>
      <c r="H75" s="58">
        <f t="shared" ca="1" si="23"/>
        <v>0</v>
      </c>
      <c r="I75" s="59">
        <f t="shared" ca="1" si="1"/>
        <v>0</v>
      </c>
      <c r="J75" s="60">
        <f t="shared" ref="J75:J88" ca="1" si="62">M75+N75+O75+P75</f>
        <v>0</v>
      </c>
      <c r="K75" s="61">
        <f t="shared" ca="1" si="29"/>
        <v>0</v>
      </c>
      <c r="L75" s="61">
        <f t="shared" ca="1" si="30"/>
        <v>0</v>
      </c>
      <c r="M75" s="64">
        <f ca="1">IFERROR(__xludf.DUMMYFUNCTION("IMPORTRANGE(""https://docs.google.com/spreadsheets/d/1kC41EOXpGBFOW658Fs3oD8beYlym0-zO54WY-2Qnp9I/edit?usp=sharing"",""กระบี่!N450"")"),0)</f>
        <v>0</v>
      </c>
      <c r="N75" s="64">
        <f ca="1">IFERROR(__xludf.DUMMYFUNCTION("IMPORTRANGE(""https://docs.google.com/spreadsheets/d/1kC41EOXpGBFOW658Fs3oD8beYlym0-zO54WY-2Qnp9I/edit?usp=sharing"",""กระบี่!N451"")"),0)</f>
        <v>0</v>
      </c>
      <c r="O75" s="64">
        <f ca="1">IFERROR(__xludf.DUMMYFUNCTION("IMPORTRANGE(""https://docs.google.com/spreadsheets/d/1kC41EOXpGBFOW658Fs3oD8beYlym0-zO54WY-2Qnp9I/edit?usp=sharing"",""กระบี่!N452"")"),0)</f>
        <v>0</v>
      </c>
      <c r="P75" s="64">
        <f ca="1">IFERROR(__xludf.DUMMYFUNCTION("IMPORTRANGE(""https://docs.google.com/spreadsheets/d/1kC41EOXpGBFOW658Fs3oD8beYlym0-zO54WY-2Qnp9I/edit?usp=sharing"",""กระบี่!N453"")"),0)</f>
        <v>0</v>
      </c>
      <c r="Q75" s="62">
        <f ca="1">IFERROR(__xludf.DUMMYFUNCTION("IMPORTRANGE(""https://docs.google.com/spreadsheets/d/1kC41EOXpGBFOW658Fs3oD8beYlym0-zO54WY-2Qnp9I/edit?usp=sharing"",""กระบี่!N456"")"),0)</f>
        <v>0</v>
      </c>
      <c r="R75" s="62">
        <f t="shared" ca="1" si="32"/>
        <v>0</v>
      </c>
      <c r="S75" s="57">
        <f ca="1">IFERROR(__xludf.DUMMYFUNCTION("IMPORTRANGE(""https://docs.google.com/spreadsheets/d/1kC41EOXpGBFOW658Fs3oD8beYlym0-zO54WY-2Qnp9I/edit?usp=sharing"",""กระบี่!I458"")"),0)</f>
        <v>0</v>
      </c>
      <c r="T75" s="57">
        <f ca="1">IFERROR(__xludf.DUMMYFUNCTION("IMPORTRANGE(""https://docs.google.com/spreadsheets/d/1kC41EOXpGBFOW658Fs3oD8beYlym0-zO54WY-2Qnp9I/edit?usp=sharing"",""กระบี่!J458"")"),0)</f>
        <v>0</v>
      </c>
      <c r="U75" s="63">
        <f t="shared" ca="1" si="24"/>
        <v>0</v>
      </c>
      <c r="V75" s="57">
        <f ca="1">IFERROR(__xludf.DUMMYFUNCTION("IMPORTRANGE(""https://docs.google.com/spreadsheets/d/1kC41EOXpGBFOW658Fs3oD8beYlym0-zO54WY-2Qnp9I/edit?usp=sharing"",""กระบี่!I460"")"),0)</f>
        <v>0</v>
      </c>
      <c r="W75" s="57">
        <f ca="1">IFERROR(__xludf.DUMMYFUNCTION("IMPORTRANGE(""https://docs.google.com/spreadsheets/d/1kC41EOXpGBFOW658Fs3oD8beYlym0-zO54WY-2Qnp9I/edit?usp=sharing"",""กระบี่!J460"")"),0)</f>
        <v>0</v>
      </c>
      <c r="X75" s="63">
        <f t="shared" ca="1" si="25"/>
        <v>0</v>
      </c>
      <c r="Y75" s="57">
        <f ca="1">IFERROR(__xludf.DUMMYFUNCTION("IMPORTRANGE(""https://docs.google.com/spreadsheets/d/1kC41EOXpGBFOW658Fs3oD8beYlym0-zO54WY-2Qnp9I/edit?usp=sharing"",""กระบี่!I462"")"),0)</f>
        <v>0</v>
      </c>
      <c r="Z75" s="57">
        <f ca="1">IFERROR(__xludf.DUMMYFUNCTION("IMPORTRANGE(""https://docs.google.com/spreadsheets/d/1kC41EOXpGBFOW658Fs3oD8beYlym0-zO54WY-2Qnp9I/edit?usp=sharing"",""กระบี่!J462"")"),0)</f>
        <v>0</v>
      </c>
      <c r="AA75" s="63">
        <f t="shared" ca="1" si="26"/>
        <v>0</v>
      </c>
      <c r="AB75" s="57">
        <f ca="1">IFERROR(__xludf.DUMMYFUNCTION("IMPORTRANGE(""https://docs.google.com/spreadsheets/d/1kC41EOXpGBFOW658Fs3oD8beYlym0-zO54WY-2Qnp9I/edit?usp=sharing"",""กระบี่!I463"")"),0)</f>
        <v>0</v>
      </c>
      <c r="AC75" s="57">
        <f ca="1">IFERROR(__xludf.DUMMYFUNCTION("IMPORTRANGE(""https://docs.google.com/spreadsheets/d/1kC41EOXpGBFOW658Fs3oD8beYlym0-zO54WY-2Qnp9I/edit?usp=sharing"",""กระบี่!I464"")"),0)</f>
        <v>0</v>
      </c>
      <c r="AD75" s="57">
        <f ca="1">IFERROR(__xludf.DUMMYFUNCTION("IMPORTRANGE(""https://docs.google.com/spreadsheets/d/1kC41EOXpGBFOW658Fs3oD8beYlym0-zO54WY-2Qnp9I/edit?usp=sharing"",""กระบี่!J463"")"),0)</f>
        <v>0</v>
      </c>
      <c r="AE75" s="63">
        <f t="shared" ca="1" si="27"/>
        <v>0</v>
      </c>
      <c r="AF75" s="57">
        <f ca="1">IFERROR(__xludf.DUMMYFUNCTION("IMPORTRANGE(""https://docs.google.com/spreadsheets/d/1kC41EOXpGBFOW658Fs3oD8beYlym0-zO54WY-2Qnp9I/edit?usp=sharing"",""กระบี่!J464"")"),0)</f>
        <v>0</v>
      </c>
      <c r="AG75" s="63">
        <f t="shared" ca="1" si="13"/>
        <v>0</v>
      </c>
    </row>
    <row r="76" spans="1:33" ht="21" customHeight="1" x14ac:dyDescent="0.3">
      <c r="A76" s="54">
        <v>2</v>
      </c>
      <c r="B76" s="55" t="s">
        <v>97</v>
      </c>
      <c r="C76" s="56">
        <f t="shared" ca="1" si="61"/>
        <v>428280</v>
      </c>
      <c r="D76" s="57">
        <f ca="1">IFERROR(__xludf.DUMMYFUNCTION("IMPORTRANGE(""https://docs.google.com/spreadsheets/d/1FbzMZY_f3MDiEuK7RpCQKrilJ_kpX0Wm7QBZ1L7EjIU/edit?usp=sharing"",""ชุมพร!L449"")"),428280)</f>
        <v>428280</v>
      </c>
      <c r="E76" s="64">
        <f ca="1">IFERROR(__xludf.DUMMYFUNCTION("IMPORTRANGE(""https://docs.google.com/spreadsheets/d/1FbzMZY_f3MDiEuK7RpCQKrilJ_kpX0Wm7QBZ1L7EjIU/edit?usp=sharing"",""ชุมพร!L456"")"),0)</f>
        <v>0</v>
      </c>
      <c r="F76" s="64">
        <f ca="1">IFERROR(__xludf.DUMMYFUNCTION("IMPORTRANGE(""https://docs.google.com/spreadsheets/d/1FbzMZY_f3MDiEuK7RpCQKrilJ_kpX0Wm7QBZ1L7EjIU/edit?usp=sharing"",""ชุมพร!M449"")"),428280)</f>
        <v>428280</v>
      </c>
      <c r="G76" s="64">
        <f ca="1">IFERROR(__xludf.DUMMYFUNCTION("IMPORTRANGE(""https://docs.google.com/spreadsheets/d/1FbzMZY_f3MDiEuK7RpCQKrilJ_kpX0Wm7QBZ1L7EjIU/edit?usp=sharing"",""ชุมพร!M431"")"),0)</f>
        <v>0</v>
      </c>
      <c r="H76" s="58">
        <f t="shared" ca="1" si="23"/>
        <v>106774</v>
      </c>
      <c r="I76" s="59">
        <f t="shared" ca="1" si="1"/>
        <v>24.930886336041841</v>
      </c>
      <c r="J76" s="60">
        <f t="shared" ca="1" si="62"/>
        <v>106774</v>
      </c>
      <c r="K76" s="61">
        <f t="shared" ca="1" si="29"/>
        <v>24.930886336041841</v>
      </c>
      <c r="L76" s="61">
        <f t="shared" ca="1" si="30"/>
        <v>24.930886336041841</v>
      </c>
      <c r="M76" s="64">
        <f ca="1">IFERROR(__xludf.DUMMYFUNCTION("IMPORTRANGE(""https://docs.google.com/spreadsheets/d/1FbzMZY_f3MDiEuK7RpCQKrilJ_kpX0Wm7QBZ1L7EjIU/edit?usp=sharing"",""ชุมพร!N450"")"),52280)</f>
        <v>52280</v>
      </c>
      <c r="N76" s="64">
        <f ca="1">IFERROR(__xludf.DUMMYFUNCTION("IMPORTRANGE(""https://docs.google.com/spreadsheets/d/1FbzMZY_f3MDiEuK7RpCQKrilJ_kpX0Wm7QBZ1L7EjIU/edit?usp=sharing"",""ชุมพร!N451"")"),0)</f>
        <v>0</v>
      </c>
      <c r="O76" s="64">
        <f ca="1">IFERROR(__xludf.DUMMYFUNCTION("IMPORTRANGE(""https://docs.google.com/spreadsheets/d/1FbzMZY_f3MDiEuK7RpCQKrilJ_kpX0Wm7QBZ1L7EjIU/edit?usp=sharing"",""ชุมพร!N452"")"),51134)</f>
        <v>51134</v>
      </c>
      <c r="P76" s="64">
        <f ca="1">IFERROR(__xludf.DUMMYFUNCTION("IMPORTRANGE(""https://docs.google.com/spreadsheets/d/1FbzMZY_f3MDiEuK7RpCQKrilJ_kpX0Wm7QBZ1L7EjIU/edit?usp=sharing"",""ชุมพร!N453"")"),3360)</f>
        <v>3360</v>
      </c>
      <c r="Q76" s="62">
        <f ca="1">IFERROR(__xludf.DUMMYFUNCTION("IMPORTRANGE(""https://docs.google.com/spreadsheets/d/1FbzMZY_f3MDiEuK7RpCQKrilJ_kpX0Wm7QBZ1L7EjIU/edit?usp=sharing"",""ชุมพร!N456"")"),0)</f>
        <v>0</v>
      </c>
      <c r="R76" s="62">
        <f t="shared" ca="1" si="32"/>
        <v>0</v>
      </c>
      <c r="S76" s="57">
        <f ca="1">IFERROR(__xludf.DUMMYFUNCTION("IMPORTRANGE(""https://docs.google.com/spreadsheets/d/1FbzMZY_f3MDiEuK7RpCQKrilJ_kpX0Wm7QBZ1L7EjIU/edit?usp=sharing"",""ชุมพร!I458"")"),0)</f>
        <v>0</v>
      </c>
      <c r="T76" s="57">
        <f ca="1">IFERROR(__xludf.DUMMYFUNCTION("IMPORTRANGE(""https://docs.google.com/spreadsheets/d/1FbzMZY_f3MDiEuK7RpCQKrilJ_kpX0Wm7QBZ1L7EjIU/edit?usp=sharing"",""ชุมพร!J458"")"),0)</f>
        <v>0</v>
      </c>
      <c r="U76" s="63">
        <f t="shared" ca="1" si="24"/>
        <v>0</v>
      </c>
      <c r="V76" s="57">
        <f ca="1">IFERROR(__xludf.DUMMYFUNCTION("IMPORTRANGE(""https://docs.google.com/spreadsheets/d/1FbzMZY_f3MDiEuK7RpCQKrilJ_kpX0Wm7QBZ1L7EjIU/edit?usp=sharing"",""ชุมพร!I460"")"),45)</f>
        <v>45</v>
      </c>
      <c r="W76" s="57">
        <f ca="1">IFERROR(__xludf.DUMMYFUNCTION("IMPORTRANGE(""https://docs.google.com/spreadsheets/d/1FbzMZY_f3MDiEuK7RpCQKrilJ_kpX0Wm7QBZ1L7EjIU/edit?usp=sharing"",""ชุมพร!J460"")"),45)</f>
        <v>45</v>
      </c>
      <c r="X76" s="63">
        <f t="shared" ca="1" si="25"/>
        <v>100</v>
      </c>
      <c r="Y76" s="57">
        <f ca="1">IFERROR(__xludf.DUMMYFUNCTION("IMPORTRANGE(""https://docs.google.com/spreadsheets/d/1FbzMZY_f3MDiEuK7RpCQKrilJ_kpX0Wm7QBZ1L7EjIU/edit?usp=sharing"",""ชุมพร!I462"")"),200)</f>
        <v>200</v>
      </c>
      <c r="Z76" s="57">
        <f ca="1">IFERROR(__xludf.DUMMYFUNCTION("IMPORTRANGE(""https://docs.google.com/spreadsheets/d/1FbzMZY_f3MDiEuK7RpCQKrilJ_kpX0Wm7QBZ1L7EjIU/edit?usp=sharing"",""ชุมพร!J462"")"),150)</f>
        <v>150</v>
      </c>
      <c r="AA76" s="63">
        <f t="shared" ca="1" si="26"/>
        <v>75</v>
      </c>
      <c r="AB76" s="57">
        <f ca="1">IFERROR(__xludf.DUMMYFUNCTION("IMPORTRANGE(""https://docs.google.com/spreadsheets/d/1FbzMZY_f3MDiEuK7RpCQKrilJ_kpX0Wm7QBZ1L7EjIU/edit?usp=sharing"",""ชุมพร!I463"")"),200)</f>
        <v>200</v>
      </c>
      <c r="AC76" s="57">
        <f ca="1">IFERROR(__xludf.DUMMYFUNCTION("IMPORTRANGE(""https://docs.google.com/spreadsheets/d/1FbzMZY_f3MDiEuK7RpCQKrilJ_kpX0Wm7QBZ1L7EjIU/edit?usp=sharing"",""ชุมพร!I464"")"),45)</f>
        <v>45</v>
      </c>
      <c r="AD76" s="57">
        <f ca="1">IFERROR(__xludf.DUMMYFUNCTION("IMPORTRANGE(""https://docs.google.com/spreadsheets/d/1FbzMZY_f3MDiEuK7RpCQKrilJ_kpX0Wm7QBZ1L7EjIU/edit?usp=sharing"",""ชุมพร!J463"")"),0)</f>
        <v>0</v>
      </c>
      <c r="AE76" s="63">
        <f t="shared" ca="1" si="27"/>
        <v>0</v>
      </c>
      <c r="AF76" s="57">
        <f ca="1">IFERROR(__xludf.DUMMYFUNCTION("IMPORTRANGE(""https://docs.google.com/spreadsheets/d/1FbzMZY_f3MDiEuK7RpCQKrilJ_kpX0Wm7QBZ1L7EjIU/edit?usp=sharing"",""ชุมพร!J464"")"),0)</f>
        <v>0</v>
      </c>
      <c r="AG76" s="63">
        <f t="shared" ca="1" si="13"/>
        <v>0</v>
      </c>
    </row>
    <row r="77" spans="1:33" ht="21" customHeight="1" x14ac:dyDescent="0.3">
      <c r="A77" s="54">
        <v>3</v>
      </c>
      <c r="B77" s="55" t="s">
        <v>98</v>
      </c>
      <c r="C77" s="56">
        <f t="shared" ca="1" si="61"/>
        <v>87960</v>
      </c>
      <c r="D77" s="57">
        <f ca="1">IFERROR(__xludf.DUMMYFUNCTION("IMPORTRANGE(""https://docs.google.com/spreadsheets/d/1v5sN-00LrXuhBxw4dkh2GrG_z4l5oAqOdJRBCsUyMaM/edit?usp=sharing"",""ตรัง!L449"")"),87960)</f>
        <v>87960</v>
      </c>
      <c r="E77" s="64">
        <f ca="1">IFERROR(__xludf.DUMMYFUNCTION("IMPORTRANGE(""https://docs.google.com/spreadsheets/d/1v5sN-00LrXuhBxw4dkh2GrG_z4l5oAqOdJRBCsUyMaM/edit?usp=sharing"",""ตรัง!L456"")"),0)</f>
        <v>0</v>
      </c>
      <c r="F77" s="64">
        <f ca="1">IFERROR(__xludf.DUMMYFUNCTION("IMPORTRANGE(""https://docs.google.com/spreadsheets/d/1v5sN-00LrXuhBxw4dkh2GrG_z4l5oAqOdJRBCsUyMaM/edit?usp=sharing"",""ตรัง!M449"")"),87960)</f>
        <v>87960</v>
      </c>
      <c r="G77" s="64">
        <f ca="1">IFERROR(__xludf.DUMMYFUNCTION("IMPORTRANGE(""https://docs.google.com/spreadsheets/d/1v5sN-00LrXuhBxw4dkh2GrG_z4l5oAqOdJRBCsUyMaM/edit?usp=sharing"",""ตรัง!M431"")"),0)</f>
        <v>0</v>
      </c>
      <c r="H77" s="58">
        <f t="shared" ca="1" si="23"/>
        <v>24858.959999999999</v>
      </c>
      <c r="I77" s="59">
        <f t="shared" ca="1" si="1"/>
        <v>28.261664392905868</v>
      </c>
      <c r="J77" s="60">
        <f t="shared" ca="1" si="62"/>
        <v>24858.959999999999</v>
      </c>
      <c r="K77" s="61">
        <f t="shared" ca="1" si="29"/>
        <v>28.261664392905868</v>
      </c>
      <c r="L77" s="61">
        <f t="shared" ca="1" si="30"/>
        <v>28.261664392905868</v>
      </c>
      <c r="M77" s="64">
        <f ca="1">IFERROR(__xludf.DUMMYFUNCTION("IMPORTRANGE(""https://docs.google.com/spreadsheets/d/1v5sN-00LrXuhBxw4dkh2GrG_z4l5oAqOdJRBCsUyMaM/edit?usp=sharing"",""ตรัง!N450"")"),16953.6)</f>
        <v>16953.599999999999</v>
      </c>
      <c r="N77" s="64">
        <f ca="1">IFERROR(__xludf.DUMMYFUNCTION("IMPORTRANGE(""https://docs.google.com/spreadsheets/d/1v5sN-00LrXuhBxw4dkh2GrG_z4l5oAqOdJRBCsUyMaM/edit?usp=sharing"",""ตรัง!N451"")"),0)</f>
        <v>0</v>
      </c>
      <c r="O77" s="64">
        <f ca="1">IFERROR(__xludf.DUMMYFUNCTION("IMPORTRANGE(""https://docs.google.com/spreadsheets/d/1v5sN-00LrXuhBxw4dkh2GrG_z4l5oAqOdJRBCsUyMaM/edit?usp=sharing"",""ตรัง!N452"")"),0)</f>
        <v>0</v>
      </c>
      <c r="P77" s="64">
        <f ca="1">IFERROR(__xludf.DUMMYFUNCTION("IMPORTRANGE(""https://docs.google.com/spreadsheets/d/1v5sN-00LrXuhBxw4dkh2GrG_z4l5oAqOdJRBCsUyMaM/edit?usp=sharing"",""ตรัง!N453"")"),7905.36)</f>
        <v>7905.36</v>
      </c>
      <c r="Q77" s="62">
        <f ca="1">IFERROR(__xludf.DUMMYFUNCTION("IMPORTRANGE(""https://docs.google.com/spreadsheets/d/1v5sN-00LrXuhBxw4dkh2GrG_z4l5oAqOdJRBCsUyMaM/edit?usp=sharing"",""ตรัง!N456"")"),0)</f>
        <v>0</v>
      </c>
      <c r="R77" s="62">
        <f t="shared" ca="1" si="32"/>
        <v>0</v>
      </c>
      <c r="S77" s="57">
        <f ca="1">IFERROR(__xludf.DUMMYFUNCTION("IMPORTRANGE(""https://docs.google.com/spreadsheets/d/1v5sN-00LrXuhBxw4dkh2GrG_z4l5oAqOdJRBCsUyMaM/edit?usp=sharing"",""ตรัง!I458"")"),0)</f>
        <v>0</v>
      </c>
      <c r="T77" s="57">
        <f ca="1">IFERROR(__xludf.DUMMYFUNCTION("IMPORTRANGE(""https://docs.google.com/spreadsheets/d/1v5sN-00LrXuhBxw4dkh2GrG_z4l5oAqOdJRBCsUyMaM/edit?usp=sharing"",""ตรัง!J458"")"),0)</f>
        <v>0</v>
      </c>
      <c r="U77" s="63">
        <f t="shared" ca="1" si="24"/>
        <v>0</v>
      </c>
      <c r="V77" s="57">
        <f ca="1">IFERROR(__xludf.DUMMYFUNCTION("IMPORTRANGE(""https://docs.google.com/spreadsheets/d/1v5sN-00LrXuhBxw4dkh2GrG_z4l5oAqOdJRBCsUyMaM/edit?usp=sharing"",""ตรัง!I460"")"),10)</f>
        <v>10</v>
      </c>
      <c r="W77" s="57">
        <f ca="1">IFERROR(__xludf.DUMMYFUNCTION("IMPORTRANGE(""https://docs.google.com/spreadsheets/d/1v5sN-00LrXuhBxw4dkh2GrG_z4l5oAqOdJRBCsUyMaM/edit?usp=sharing"",""ตรัง!J460"")"),10)</f>
        <v>10</v>
      </c>
      <c r="X77" s="63">
        <f t="shared" ca="1" si="25"/>
        <v>100</v>
      </c>
      <c r="Y77" s="57">
        <f ca="1">IFERROR(__xludf.DUMMYFUNCTION("IMPORTRANGE(""https://docs.google.com/spreadsheets/d/1v5sN-00LrXuhBxw4dkh2GrG_z4l5oAqOdJRBCsUyMaM/edit?usp=sharing"",""ตรัง!I462"")"),30)</f>
        <v>30</v>
      </c>
      <c r="Z77" s="57">
        <f ca="1">IFERROR(__xludf.DUMMYFUNCTION("IMPORTRANGE(""https://docs.google.com/spreadsheets/d/1v5sN-00LrXuhBxw4dkh2GrG_z4l5oAqOdJRBCsUyMaM/edit?usp=sharing"",""ตรัง!J462"")"),30)</f>
        <v>30</v>
      </c>
      <c r="AA77" s="63">
        <f t="shared" ca="1" si="26"/>
        <v>100</v>
      </c>
      <c r="AB77" s="57">
        <f ca="1">IFERROR(__xludf.DUMMYFUNCTION("IMPORTRANGE(""https://docs.google.com/spreadsheets/d/1v5sN-00LrXuhBxw4dkh2GrG_z4l5oAqOdJRBCsUyMaM/edit?usp=sharing"",""ตรัง!I463"")"),30)</f>
        <v>30</v>
      </c>
      <c r="AC77" s="57">
        <f ca="1">IFERROR(__xludf.DUMMYFUNCTION("IMPORTRANGE(""https://docs.google.com/spreadsheets/d/1v5sN-00LrXuhBxw4dkh2GrG_z4l5oAqOdJRBCsUyMaM/edit?usp=sharing"",""ตรัง!I464"")"),10)</f>
        <v>10</v>
      </c>
      <c r="AD77" s="57">
        <f ca="1">IFERROR(__xludf.DUMMYFUNCTION("IMPORTRANGE(""https://docs.google.com/spreadsheets/d/1v5sN-00LrXuhBxw4dkh2GrG_z4l5oAqOdJRBCsUyMaM/edit?usp=sharing"",""ตรัง!J463"")"),0)</f>
        <v>0</v>
      </c>
      <c r="AE77" s="63">
        <f t="shared" ca="1" si="27"/>
        <v>0</v>
      </c>
      <c r="AF77" s="57">
        <f ca="1">IFERROR(__xludf.DUMMYFUNCTION("IMPORTRANGE(""https://docs.google.com/spreadsheets/d/1v5sN-00LrXuhBxw4dkh2GrG_z4l5oAqOdJRBCsUyMaM/edit?usp=sharing"",""ตรัง!J464"")"),0)</f>
        <v>0</v>
      </c>
      <c r="AG77" s="63">
        <f t="shared" ca="1" si="13"/>
        <v>0</v>
      </c>
    </row>
    <row r="78" spans="1:33" ht="21" customHeight="1" x14ac:dyDescent="0.3">
      <c r="A78" s="54">
        <v>4</v>
      </c>
      <c r="B78" s="55" t="s">
        <v>99</v>
      </c>
      <c r="C78" s="56">
        <f t="shared" ca="1" si="61"/>
        <v>0</v>
      </c>
      <c r="D78" s="57">
        <f ca="1">IFERROR(__xludf.DUMMYFUNCTION("IMPORTRANGE(""https://docs.google.com/spreadsheets/d/1T5rRTzFc79aSIvqnzkZNvwPstq829QYz_xALlO1Z0s8/edit?usp=sharing"",""นครศรีธรรมราช!L449"")"),0)</f>
        <v>0</v>
      </c>
      <c r="E78" s="64">
        <f ca="1">IFERROR(__xludf.DUMMYFUNCTION("IMPORTRANGE(""https://docs.google.com/spreadsheets/d/1T5rRTzFc79aSIvqnzkZNvwPstq829QYz_xALlO1Z0s8/edit?usp=sharing"",""นครศรีธรรมราช!L456"")"),0)</f>
        <v>0</v>
      </c>
      <c r="F78" s="64">
        <f ca="1">IFERROR(__xludf.DUMMYFUNCTION("IMPORTRANGE(""https://docs.google.com/spreadsheets/d/1T5rRTzFc79aSIvqnzkZNvwPstq829QYz_xALlO1Z0s8/edit?usp=sharing"",""นครศรีธรรมราช!M449"")"),0)</f>
        <v>0</v>
      </c>
      <c r="G78" s="64">
        <f ca="1">IFERROR(__xludf.DUMMYFUNCTION("IMPORTRANGE(""https://docs.google.com/spreadsheets/d/1T5rRTzFc79aSIvqnzkZNvwPstq829QYz_xALlO1Z0s8/edit?usp=sharing"",""นครศรีธรรมราช!M431"")"),0)</f>
        <v>0</v>
      </c>
      <c r="H78" s="58">
        <f t="shared" ca="1" si="23"/>
        <v>0</v>
      </c>
      <c r="I78" s="59">
        <f t="shared" ca="1" si="1"/>
        <v>0</v>
      </c>
      <c r="J78" s="60">
        <f t="shared" ca="1" si="62"/>
        <v>0</v>
      </c>
      <c r="K78" s="61">
        <f t="shared" ca="1" si="29"/>
        <v>0</v>
      </c>
      <c r="L78" s="61">
        <f t="shared" ca="1" si="30"/>
        <v>0</v>
      </c>
      <c r="M78" s="64">
        <f ca="1">IFERROR(__xludf.DUMMYFUNCTION("IMPORTRANGE(""https://docs.google.com/spreadsheets/d/1T5rRTzFc79aSIvqnzkZNvwPstq829QYz_xALlO1Z0s8/edit?usp=sharing"",""นครศรีธรรมราช!N450"")"),0)</f>
        <v>0</v>
      </c>
      <c r="N78" s="64">
        <f ca="1">IFERROR(__xludf.DUMMYFUNCTION("IMPORTRANGE(""https://docs.google.com/spreadsheets/d/1T5rRTzFc79aSIvqnzkZNvwPstq829QYz_xALlO1Z0s8/edit?usp=sharing"",""นครศรีธรรมราช!N451"")"),0)</f>
        <v>0</v>
      </c>
      <c r="O78" s="64">
        <f ca="1">IFERROR(__xludf.DUMMYFUNCTION("IMPORTRANGE(""https://docs.google.com/spreadsheets/d/1T5rRTzFc79aSIvqnzkZNvwPstq829QYz_xALlO1Z0s8/edit?usp=sharing"",""นครศรีธรรมราช!N452"")"),0)</f>
        <v>0</v>
      </c>
      <c r="P78" s="64">
        <f ca="1">IFERROR(__xludf.DUMMYFUNCTION("IMPORTRANGE(""https://docs.google.com/spreadsheets/d/1T5rRTzFc79aSIvqnzkZNvwPstq829QYz_xALlO1Z0s8/edit?usp=sharing"",""นครศรีธรรมราช!N453"")"),0)</f>
        <v>0</v>
      </c>
      <c r="Q78" s="62">
        <f ca="1">IFERROR(__xludf.DUMMYFUNCTION("IMPORTRANGE(""https://docs.google.com/spreadsheets/d/1T5rRTzFc79aSIvqnzkZNvwPstq829QYz_xALlO1Z0s8/edit?usp=sharing"",""นครศรีธรรมราช!N456"")"),0)</f>
        <v>0</v>
      </c>
      <c r="R78" s="62">
        <f t="shared" ca="1" si="32"/>
        <v>0</v>
      </c>
      <c r="S78" s="57">
        <f ca="1">IFERROR(__xludf.DUMMYFUNCTION("IMPORTRANGE(""https://docs.google.com/spreadsheets/d/1T5rRTzFc79aSIvqnzkZNvwPstq829QYz_xALlO1Z0s8/edit?usp=sharing"",""นครศรีธรรมราช!I458"")"),0)</f>
        <v>0</v>
      </c>
      <c r="T78" s="57">
        <f ca="1">IFERROR(__xludf.DUMMYFUNCTION("IMPORTRANGE(""https://docs.google.com/spreadsheets/d/1T5rRTzFc79aSIvqnzkZNvwPstq829QYz_xALlO1Z0s8/edit?usp=sharing"",""นครศรีธรรมราช!J458"")"),0)</f>
        <v>0</v>
      </c>
      <c r="U78" s="63">
        <f t="shared" ca="1" si="24"/>
        <v>0</v>
      </c>
      <c r="V78" s="57">
        <f ca="1">IFERROR(__xludf.DUMMYFUNCTION("IMPORTRANGE(""https://docs.google.com/spreadsheets/d/1T5rRTzFc79aSIvqnzkZNvwPstq829QYz_xALlO1Z0s8/edit?usp=sharing"",""นครศรีธรรมราช!I460"")"),0)</f>
        <v>0</v>
      </c>
      <c r="W78" s="57">
        <f ca="1">IFERROR(__xludf.DUMMYFUNCTION("IMPORTRANGE(""https://docs.google.com/spreadsheets/d/1T5rRTzFc79aSIvqnzkZNvwPstq829QYz_xALlO1Z0s8/edit?usp=sharing"",""นครศรีธรรมราช!J460"")"),0)</f>
        <v>0</v>
      </c>
      <c r="X78" s="63">
        <f t="shared" ca="1" si="25"/>
        <v>0</v>
      </c>
      <c r="Y78" s="57">
        <f ca="1">IFERROR(__xludf.DUMMYFUNCTION("IMPORTRANGE(""https://docs.google.com/spreadsheets/d/1T5rRTzFc79aSIvqnzkZNvwPstq829QYz_xALlO1Z0s8/edit?usp=sharing"",""นครศรีธรรมราช!I462"")"),0)</f>
        <v>0</v>
      </c>
      <c r="Z78" s="57">
        <f ca="1">IFERROR(__xludf.DUMMYFUNCTION("IMPORTRANGE(""https://docs.google.com/spreadsheets/d/1T5rRTzFc79aSIvqnzkZNvwPstq829QYz_xALlO1Z0s8/edit?usp=sharing"",""นครศรีธรรมราช!J462"")"),0)</f>
        <v>0</v>
      </c>
      <c r="AA78" s="63">
        <f t="shared" ca="1" si="26"/>
        <v>0</v>
      </c>
      <c r="AB78" s="57">
        <f ca="1">IFERROR(__xludf.DUMMYFUNCTION("IMPORTRANGE(""https://docs.google.com/spreadsheets/d/1T5rRTzFc79aSIvqnzkZNvwPstq829QYz_xALlO1Z0s8/edit?usp=sharing"",""นครศรีธรรมราช!I463"")"),0)</f>
        <v>0</v>
      </c>
      <c r="AC78" s="57">
        <f ca="1">IFERROR(__xludf.DUMMYFUNCTION("IMPORTRANGE(""https://docs.google.com/spreadsheets/d/1T5rRTzFc79aSIvqnzkZNvwPstq829QYz_xALlO1Z0s8/edit?usp=sharing"",""นครศรีธรรมราช!I464"")"),0)</f>
        <v>0</v>
      </c>
      <c r="AD78" s="57">
        <f ca="1">IFERROR(__xludf.DUMMYFUNCTION("IMPORTRANGE(""https://docs.google.com/spreadsheets/d/1T5rRTzFc79aSIvqnzkZNvwPstq829QYz_xALlO1Z0s8/edit?usp=sharing"",""นครศรีธรรมราช!J463"")"),0)</f>
        <v>0</v>
      </c>
      <c r="AE78" s="63">
        <f t="shared" ca="1" si="27"/>
        <v>0</v>
      </c>
      <c r="AF78" s="57">
        <f ca="1">IFERROR(__xludf.DUMMYFUNCTION("IMPORTRANGE(""https://docs.google.com/spreadsheets/d/1T5rRTzFc79aSIvqnzkZNvwPstq829QYz_xALlO1Z0s8/edit?usp=sharing"",""นครศรีธรรมราช!J464"")"),0)</f>
        <v>0</v>
      </c>
      <c r="AG78" s="63">
        <f t="shared" ca="1" si="13"/>
        <v>0</v>
      </c>
    </row>
    <row r="79" spans="1:33" ht="21" customHeight="1" x14ac:dyDescent="0.3">
      <c r="A79" s="54">
        <v>5</v>
      </c>
      <c r="B79" s="55" t="s">
        <v>100</v>
      </c>
      <c r="C79" s="56">
        <f t="shared" ca="1" si="61"/>
        <v>0</v>
      </c>
      <c r="D79" s="57">
        <f ca="1">IFERROR(__xludf.DUMMYFUNCTION("IMPORTRANGE(""https://docs.google.com/spreadsheets/d/1BeghqumK0IvCmRd2QOy6_afsZq7ZtAGrSnVJy2u7WmY/edit?usp=sharing"",""นราธิวาส!L449"")"),0)</f>
        <v>0</v>
      </c>
      <c r="E79" s="64">
        <f ca="1">IFERROR(__xludf.DUMMYFUNCTION("IMPORTRANGE(""https://docs.google.com/spreadsheets/d/1BeghqumK0IvCmRd2QOy6_afsZq7ZtAGrSnVJy2u7WmY/edit?usp=sharing"",""นราธิวาส!L456"")"),0)</f>
        <v>0</v>
      </c>
      <c r="F79" s="64">
        <f ca="1">IFERROR(__xludf.DUMMYFUNCTION("IMPORTRANGE(""https://docs.google.com/spreadsheets/d/1BeghqumK0IvCmRd2QOy6_afsZq7ZtAGrSnVJy2u7WmY/edit?usp=sharing"",""นราธิวาส!M449"")"),0)</f>
        <v>0</v>
      </c>
      <c r="G79" s="64">
        <f ca="1">IFERROR(__xludf.DUMMYFUNCTION("IMPORTRANGE(""https://docs.google.com/spreadsheets/d/1BeghqumK0IvCmRd2QOy6_afsZq7ZtAGrSnVJy2u7WmY/edit?usp=sharing"",""นราธิวาส!M431"")"),0)</f>
        <v>0</v>
      </c>
      <c r="H79" s="58">
        <f t="shared" ca="1" si="23"/>
        <v>0</v>
      </c>
      <c r="I79" s="59">
        <f t="shared" ca="1" si="1"/>
        <v>0</v>
      </c>
      <c r="J79" s="60">
        <f t="shared" ca="1" si="62"/>
        <v>0</v>
      </c>
      <c r="K79" s="61">
        <f t="shared" ca="1" si="29"/>
        <v>0</v>
      </c>
      <c r="L79" s="61">
        <f t="shared" ca="1" si="30"/>
        <v>0</v>
      </c>
      <c r="M79" s="64">
        <f ca="1">IFERROR(__xludf.DUMMYFUNCTION("IMPORTRANGE(""https://docs.google.com/spreadsheets/d/1BeghqumK0IvCmRd2QOy6_afsZq7ZtAGrSnVJy2u7WmY/edit?usp=sharing"",""นราธิวาส!N450"")"),0)</f>
        <v>0</v>
      </c>
      <c r="N79" s="64">
        <f ca="1">IFERROR(__xludf.DUMMYFUNCTION("IMPORTRANGE(""https://docs.google.com/spreadsheets/d/1BeghqumK0IvCmRd2QOy6_afsZq7ZtAGrSnVJy2u7WmY/edit?usp=sharing"",""นราธิวาส!N451"")"),0)</f>
        <v>0</v>
      </c>
      <c r="O79" s="64">
        <f ca="1">IFERROR(__xludf.DUMMYFUNCTION("IMPORTRANGE(""https://docs.google.com/spreadsheets/d/1BeghqumK0IvCmRd2QOy6_afsZq7ZtAGrSnVJy2u7WmY/edit?usp=sharing"",""นราธิวาส!N452"")"),0)</f>
        <v>0</v>
      </c>
      <c r="P79" s="64">
        <f ca="1">IFERROR(__xludf.DUMMYFUNCTION("IMPORTRANGE(""https://docs.google.com/spreadsheets/d/1BeghqumK0IvCmRd2QOy6_afsZq7ZtAGrSnVJy2u7WmY/edit?usp=sharing"",""นราธิวาส!N453"")"),0)</f>
        <v>0</v>
      </c>
      <c r="Q79" s="62">
        <f ca="1">IFERROR(__xludf.DUMMYFUNCTION("IMPORTRANGE(""https://docs.google.com/spreadsheets/d/1BeghqumK0IvCmRd2QOy6_afsZq7ZtAGrSnVJy2u7WmY/edit?usp=sharing"",""นราธิวาส!N456"")"),0)</f>
        <v>0</v>
      </c>
      <c r="R79" s="62">
        <f t="shared" ca="1" si="32"/>
        <v>0</v>
      </c>
      <c r="S79" s="57">
        <f ca="1">IFERROR(__xludf.DUMMYFUNCTION("IMPORTRANGE(""https://docs.google.com/spreadsheets/d/1BeghqumK0IvCmRd2QOy6_afsZq7ZtAGrSnVJy2u7WmY/edit?usp=sharing"",""นราธิวาส!I458"")"),0)</f>
        <v>0</v>
      </c>
      <c r="T79" s="57">
        <f ca="1">IFERROR(__xludf.DUMMYFUNCTION("IMPORTRANGE(""https://docs.google.com/spreadsheets/d/1BeghqumK0IvCmRd2QOy6_afsZq7ZtAGrSnVJy2u7WmY/edit?usp=sharing"",""นราธิวาส!J458"")"),0)</f>
        <v>0</v>
      </c>
      <c r="U79" s="63">
        <f t="shared" ca="1" si="24"/>
        <v>0</v>
      </c>
      <c r="V79" s="57">
        <f ca="1">IFERROR(__xludf.DUMMYFUNCTION("IMPORTRANGE(""https://docs.google.com/spreadsheets/d/1BeghqumK0IvCmRd2QOy6_afsZq7ZtAGrSnVJy2u7WmY/edit?usp=sharing"",""นราธิวาส!I460"")"),0)</f>
        <v>0</v>
      </c>
      <c r="W79" s="57">
        <f ca="1">IFERROR(__xludf.DUMMYFUNCTION("IMPORTRANGE(""https://docs.google.com/spreadsheets/d/1BeghqumK0IvCmRd2QOy6_afsZq7ZtAGrSnVJy2u7WmY/edit?usp=sharing"",""นราธิวาส!J460"")"),0)</f>
        <v>0</v>
      </c>
      <c r="X79" s="63">
        <f t="shared" ca="1" si="25"/>
        <v>0</v>
      </c>
      <c r="Y79" s="57">
        <f ca="1">IFERROR(__xludf.DUMMYFUNCTION("IMPORTRANGE(""https://docs.google.com/spreadsheets/d/1BeghqumK0IvCmRd2QOy6_afsZq7ZtAGrSnVJy2u7WmY/edit?usp=sharing"",""นราธิวาส!I462"")"),0)</f>
        <v>0</v>
      </c>
      <c r="Z79" s="57">
        <f ca="1">IFERROR(__xludf.DUMMYFUNCTION("IMPORTRANGE(""https://docs.google.com/spreadsheets/d/1BeghqumK0IvCmRd2QOy6_afsZq7ZtAGrSnVJy2u7WmY/edit?usp=sharing"",""นราธิวาส!J462"")"),0)</f>
        <v>0</v>
      </c>
      <c r="AA79" s="63">
        <f t="shared" ca="1" si="26"/>
        <v>0</v>
      </c>
      <c r="AB79" s="57">
        <f ca="1">IFERROR(__xludf.DUMMYFUNCTION("IMPORTRANGE(""https://docs.google.com/spreadsheets/d/1BeghqumK0IvCmRd2QOy6_afsZq7ZtAGrSnVJy2u7WmY/edit?usp=sharing"",""นราธิวาส!I463"")"),0)</f>
        <v>0</v>
      </c>
      <c r="AC79" s="57">
        <f ca="1">IFERROR(__xludf.DUMMYFUNCTION("IMPORTRANGE(""https://docs.google.com/spreadsheets/d/1BeghqumK0IvCmRd2QOy6_afsZq7ZtAGrSnVJy2u7WmY/edit?usp=sharing"",""นราธิวาส!I464"")"),0)</f>
        <v>0</v>
      </c>
      <c r="AD79" s="57">
        <f ca="1">IFERROR(__xludf.DUMMYFUNCTION("IMPORTRANGE(""https://docs.google.com/spreadsheets/d/1BeghqumK0IvCmRd2QOy6_afsZq7ZtAGrSnVJy2u7WmY/edit?usp=sharing"",""นราธิวาส!J463"")"),0)</f>
        <v>0</v>
      </c>
      <c r="AE79" s="63">
        <f t="shared" ca="1" si="27"/>
        <v>0</v>
      </c>
      <c r="AF79" s="57">
        <f ca="1">IFERROR(__xludf.DUMMYFUNCTION("IMPORTRANGE(""https://docs.google.com/spreadsheets/d/1BeghqumK0IvCmRd2QOy6_afsZq7ZtAGrSnVJy2u7WmY/edit?usp=sharing"",""นราธิวาส!J464"")"),0)</f>
        <v>0</v>
      </c>
      <c r="AG79" s="63">
        <f t="shared" ca="1" si="13"/>
        <v>0</v>
      </c>
    </row>
    <row r="80" spans="1:33" ht="21" customHeight="1" x14ac:dyDescent="0.3">
      <c r="A80" s="54">
        <v>6</v>
      </c>
      <c r="B80" s="55" t="s">
        <v>101</v>
      </c>
      <c r="C80" s="56">
        <f t="shared" ca="1" si="61"/>
        <v>69160</v>
      </c>
      <c r="D80" s="57">
        <f ca="1">IFERROR(__xludf.DUMMYFUNCTION("IMPORTRANGE(""https://docs.google.com/spreadsheets/d/1IwnW3-jjRf74MCLW-6PiFwMUffRQXZwZA7YM609NmRc/edit?usp=sharing"",""ปัตตานี!L449"")"),69160)</f>
        <v>69160</v>
      </c>
      <c r="E80" s="64">
        <f ca="1">IFERROR(__xludf.DUMMYFUNCTION("IMPORTRANGE(""https://docs.google.com/spreadsheets/d/1IwnW3-jjRf74MCLW-6PiFwMUffRQXZwZA7YM609NmRc/edit?usp=sharing"",""ปัตตานี!L456"")"),0)</f>
        <v>0</v>
      </c>
      <c r="F80" s="64">
        <f ca="1">IFERROR(__xludf.DUMMYFUNCTION("IMPORTRANGE(""https://docs.google.com/spreadsheets/d/1IwnW3-jjRf74MCLW-6PiFwMUffRQXZwZA7YM609NmRc/edit?usp=sharing"",""ปัตตานี!M449"")"),69160)</f>
        <v>69160</v>
      </c>
      <c r="G80" s="64">
        <f ca="1">IFERROR(__xludf.DUMMYFUNCTION("IMPORTRANGE(""https://docs.google.com/spreadsheets/d/1IwnW3-jjRf74MCLW-6PiFwMUffRQXZwZA7YM609NmRc/edit?usp=sharing"",""ปัตตานี!M431"")"),0)</f>
        <v>0</v>
      </c>
      <c r="H80" s="58">
        <f t="shared" ca="1" si="23"/>
        <v>52700</v>
      </c>
      <c r="I80" s="59">
        <f t="shared" ca="1" si="1"/>
        <v>76.200115673799885</v>
      </c>
      <c r="J80" s="60">
        <f t="shared" ca="1" si="62"/>
        <v>52700</v>
      </c>
      <c r="K80" s="61">
        <f t="shared" ca="1" si="29"/>
        <v>76.200115673799885</v>
      </c>
      <c r="L80" s="61">
        <f t="shared" ca="1" si="30"/>
        <v>76.200115673799885</v>
      </c>
      <c r="M80" s="64">
        <f ca="1">IFERROR(__xludf.DUMMYFUNCTION("IMPORTRANGE(""https://docs.google.com/spreadsheets/d/1IwnW3-jjRf74MCLW-6PiFwMUffRQXZwZA7YM609NmRc/edit?usp=sharing"",""ปัตตานี!N450"")"),17200)</f>
        <v>17200</v>
      </c>
      <c r="N80" s="64">
        <f ca="1">IFERROR(__xludf.DUMMYFUNCTION("IMPORTRANGE(""https://docs.google.com/spreadsheets/d/1IwnW3-jjRf74MCLW-6PiFwMUffRQXZwZA7YM609NmRc/edit?usp=sharing"",""ปัตตานี!N451"")"),26000)</f>
        <v>26000</v>
      </c>
      <c r="O80" s="64">
        <f ca="1">IFERROR(__xludf.DUMMYFUNCTION("IMPORTRANGE(""https://docs.google.com/spreadsheets/d/1IwnW3-jjRf74MCLW-6PiFwMUffRQXZwZA7YM609NmRc/edit?usp=sharing"",""ปัตตานี!N452"")"),0)</f>
        <v>0</v>
      </c>
      <c r="P80" s="64">
        <f ca="1">IFERROR(__xludf.DUMMYFUNCTION("IMPORTRANGE(""https://docs.google.com/spreadsheets/d/1IwnW3-jjRf74MCLW-6PiFwMUffRQXZwZA7YM609NmRc/edit?usp=sharing"",""ปัตตานี!N453"")"),9500)</f>
        <v>9500</v>
      </c>
      <c r="Q80" s="62">
        <f ca="1">IFERROR(__xludf.DUMMYFUNCTION("IMPORTRANGE(""https://docs.google.com/spreadsheets/d/1IwnW3-jjRf74MCLW-6PiFwMUffRQXZwZA7YM609NmRc/edit?usp=sharing"",""ปัตตานี!N456"")"),0)</f>
        <v>0</v>
      </c>
      <c r="R80" s="62">
        <f t="shared" ca="1" si="32"/>
        <v>0</v>
      </c>
      <c r="S80" s="57">
        <f ca="1">IFERROR(__xludf.DUMMYFUNCTION("IMPORTRANGE(""https://docs.google.com/spreadsheets/d/1IwnW3-jjRf74MCLW-6PiFwMUffRQXZwZA7YM609NmRc/edit?usp=sharing"",""ปัตตานี!I458"")"),0)</f>
        <v>0</v>
      </c>
      <c r="T80" s="57">
        <f ca="1">IFERROR(__xludf.DUMMYFUNCTION("IMPORTRANGE(""https://docs.google.com/spreadsheets/d/1IwnW3-jjRf74MCLW-6PiFwMUffRQXZwZA7YM609NmRc/edit?usp=sharing"",""ปัตตานี!J458"")"),0)</f>
        <v>0</v>
      </c>
      <c r="U80" s="63">
        <f t="shared" ca="1" si="24"/>
        <v>0</v>
      </c>
      <c r="V80" s="57">
        <f ca="1">IFERROR(__xludf.DUMMYFUNCTION("IMPORTRANGE(""https://docs.google.com/spreadsheets/d/1IwnW3-jjRf74MCLW-6PiFwMUffRQXZwZA7YM609NmRc/edit?usp=sharing"",""ปัตตานี!I460"")"),10)</f>
        <v>10</v>
      </c>
      <c r="W80" s="57">
        <f ca="1">IFERROR(__xludf.DUMMYFUNCTION("IMPORTRANGE(""https://docs.google.com/spreadsheets/d/1IwnW3-jjRf74MCLW-6PiFwMUffRQXZwZA7YM609NmRc/edit?usp=sharing"",""ปัตตานี!J460"")"),10)</f>
        <v>10</v>
      </c>
      <c r="X80" s="63">
        <f t="shared" ca="1" si="25"/>
        <v>100</v>
      </c>
      <c r="Y80" s="57">
        <f ca="1">IFERROR(__xludf.DUMMYFUNCTION("IMPORTRANGE(""https://docs.google.com/spreadsheets/d/1IwnW3-jjRf74MCLW-6PiFwMUffRQXZwZA7YM609NmRc/edit?usp=sharing"",""ปัตตานี!I462"")"),20)</f>
        <v>20</v>
      </c>
      <c r="Z80" s="57">
        <f ca="1">IFERROR(__xludf.DUMMYFUNCTION("IMPORTRANGE(""https://docs.google.com/spreadsheets/d/1IwnW3-jjRf74MCLW-6PiFwMUffRQXZwZA7YM609NmRc/edit?usp=sharing"",""ปัตตานี!J462"")"),20)</f>
        <v>20</v>
      </c>
      <c r="AA80" s="63">
        <f t="shared" ca="1" si="26"/>
        <v>100</v>
      </c>
      <c r="AB80" s="57">
        <f ca="1">IFERROR(__xludf.DUMMYFUNCTION("IMPORTRANGE(""https://docs.google.com/spreadsheets/d/1IwnW3-jjRf74MCLW-6PiFwMUffRQXZwZA7YM609NmRc/edit?usp=sharing"",""ปัตตานี!I463"")"),20)</f>
        <v>20</v>
      </c>
      <c r="AC80" s="57">
        <f ca="1">IFERROR(__xludf.DUMMYFUNCTION("IMPORTRANGE(""https://docs.google.com/spreadsheets/d/1IwnW3-jjRf74MCLW-6PiFwMUffRQXZwZA7YM609NmRc/edit?usp=sharing"",""ปัตตานี!I464"")"),10)</f>
        <v>10</v>
      </c>
      <c r="AD80" s="57">
        <f ca="1">IFERROR(__xludf.DUMMYFUNCTION("IMPORTRANGE(""https://docs.google.com/spreadsheets/d/1IwnW3-jjRf74MCLW-6PiFwMUffRQXZwZA7YM609NmRc/edit?usp=sharing"",""ปัตตานี!J463"")"),20)</f>
        <v>20</v>
      </c>
      <c r="AE80" s="63">
        <f t="shared" ca="1" si="27"/>
        <v>100</v>
      </c>
      <c r="AF80" s="57">
        <f ca="1">IFERROR(__xludf.DUMMYFUNCTION("IMPORTRANGE(""https://docs.google.com/spreadsheets/d/1IwnW3-jjRf74MCLW-6PiFwMUffRQXZwZA7YM609NmRc/edit?usp=sharing"",""ปัตตานี!J464"")"),10)</f>
        <v>10</v>
      </c>
      <c r="AG80" s="63">
        <f t="shared" ca="1" si="13"/>
        <v>100</v>
      </c>
    </row>
    <row r="81" spans="1:33" ht="21" customHeight="1" x14ac:dyDescent="0.3">
      <c r="A81" s="54">
        <v>7</v>
      </c>
      <c r="B81" s="55" t="s">
        <v>102</v>
      </c>
      <c r="C81" s="56">
        <f t="shared" ca="1" si="61"/>
        <v>77160</v>
      </c>
      <c r="D81" s="57">
        <f ca="1">IFERROR(__xludf.DUMMYFUNCTION("IMPORTRANGE(""https://docs.google.com/spreadsheets/d/1vl4QWbWdFruual5o_wdo6ZSqXZ_it806oja4CctTLKs/edit?usp=sharing"",""พังงา!L449"")"),77160)</f>
        <v>77160</v>
      </c>
      <c r="E81" s="64">
        <f ca="1">IFERROR(__xludf.DUMMYFUNCTION("IMPORTRANGE(""https://docs.google.com/spreadsheets/d/1vl4QWbWdFruual5o_wdo6ZSqXZ_it806oja4CctTLKs/edit?usp=sharing"",""พังงา!L456"")"),0)</f>
        <v>0</v>
      </c>
      <c r="F81" s="64">
        <f ca="1">IFERROR(__xludf.DUMMYFUNCTION("IMPORTRANGE(""https://docs.google.com/spreadsheets/d/1vl4QWbWdFruual5o_wdo6ZSqXZ_it806oja4CctTLKs/edit?usp=sharing"",""พังงา!M449"")"),77160)</f>
        <v>77160</v>
      </c>
      <c r="G81" s="64">
        <f ca="1">IFERROR(__xludf.DUMMYFUNCTION("IMPORTRANGE(""https://docs.google.com/spreadsheets/d/1vl4QWbWdFruual5o_wdo6ZSqXZ_it806oja4CctTLKs/edit?usp=sharing"",""พังงา!M431"")"),0)</f>
        <v>0</v>
      </c>
      <c r="H81" s="58">
        <f t="shared" ca="1" si="23"/>
        <v>63190</v>
      </c>
      <c r="I81" s="59">
        <f t="shared" ca="1" si="1"/>
        <v>81.894764126490415</v>
      </c>
      <c r="J81" s="60">
        <f t="shared" ca="1" si="62"/>
        <v>63190</v>
      </c>
      <c r="K81" s="61">
        <f t="shared" ca="1" si="29"/>
        <v>81.894764126490415</v>
      </c>
      <c r="L81" s="61">
        <f t="shared" ca="1" si="30"/>
        <v>81.894764126490415</v>
      </c>
      <c r="M81" s="64">
        <f ca="1">IFERROR(__xludf.DUMMYFUNCTION("IMPORTRANGE(""https://docs.google.com/spreadsheets/d/1vl4QWbWdFruual5o_wdo6ZSqXZ_it806oja4CctTLKs/edit?usp=sharing"",""พังงา!N450"")"),12880)</f>
        <v>12880</v>
      </c>
      <c r="N81" s="64">
        <f ca="1">IFERROR(__xludf.DUMMYFUNCTION("IMPORTRANGE(""https://docs.google.com/spreadsheets/d/1vl4QWbWdFruual5o_wdo6ZSqXZ_it806oja4CctTLKs/edit?usp=sharing"",""พังงา!N451"")"),34000)</f>
        <v>34000</v>
      </c>
      <c r="O81" s="64">
        <f ca="1">IFERROR(__xludf.DUMMYFUNCTION("IMPORTRANGE(""https://docs.google.com/spreadsheets/d/1vl4QWbWdFruual5o_wdo6ZSqXZ_it806oja4CctTLKs/edit?usp=sharing"",""พังงา!N452"")"),0)</f>
        <v>0</v>
      </c>
      <c r="P81" s="64">
        <f ca="1">IFERROR(__xludf.DUMMYFUNCTION("IMPORTRANGE(""https://docs.google.com/spreadsheets/d/1vl4QWbWdFruual5o_wdo6ZSqXZ_it806oja4CctTLKs/edit?usp=sharing"",""พังงา!N453"")"),16310)</f>
        <v>16310</v>
      </c>
      <c r="Q81" s="62">
        <f ca="1">IFERROR(__xludf.DUMMYFUNCTION("IMPORTRANGE(""https://docs.google.com/spreadsheets/d/1vl4QWbWdFruual5o_wdo6ZSqXZ_it806oja4CctTLKs/edit?usp=sharing"",""พังงา!N456"")"),0)</f>
        <v>0</v>
      </c>
      <c r="R81" s="62">
        <f t="shared" ca="1" si="32"/>
        <v>0</v>
      </c>
      <c r="S81" s="57">
        <f ca="1">IFERROR(__xludf.DUMMYFUNCTION("IMPORTRANGE(""https://docs.google.com/spreadsheets/d/1vl4QWbWdFruual5o_wdo6ZSqXZ_it806oja4CctTLKs/edit?usp=sharing"",""พังงา!I458"")"),0)</f>
        <v>0</v>
      </c>
      <c r="T81" s="57">
        <f ca="1">IFERROR(__xludf.DUMMYFUNCTION("IMPORTRANGE(""https://docs.google.com/spreadsheets/d/1vl4QWbWdFruual5o_wdo6ZSqXZ_it806oja4CctTLKs/edit?usp=sharing"",""พังงา!J458"")"),0)</f>
        <v>0</v>
      </c>
      <c r="U81" s="63">
        <f t="shared" ca="1" si="24"/>
        <v>0</v>
      </c>
      <c r="V81" s="57">
        <f ca="1">IFERROR(__xludf.DUMMYFUNCTION("IMPORTRANGE(""https://docs.google.com/spreadsheets/d/1vl4QWbWdFruual5o_wdo6ZSqXZ_it806oja4CctTLKs/edit?usp=sharing"",""พังงา!I460"")"),10)</f>
        <v>10</v>
      </c>
      <c r="W81" s="57">
        <f ca="1">IFERROR(__xludf.DUMMYFUNCTION("IMPORTRANGE(""https://docs.google.com/spreadsheets/d/1vl4QWbWdFruual5o_wdo6ZSqXZ_it806oja4CctTLKs/edit?usp=sharing"",""พังงา!J460"")"),10)</f>
        <v>10</v>
      </c>
      <c r="X81" s="63">
        <f t="shared" ca="1" si="25"/>
        <v>100</v>
      </c>
      <c r="Y81" s="57">
        <f ca="1">IFERROR(__xludf.DUMMYFUNCTION("IMPORTRANGE(""https://docs.google.com/spreadsheets/d/1vl4QWbWdFruual5o_wdo6ZSqXZ_it806oja4CctTLKs/edit?usp=sharing"",""พังงา!I462"")"),30)</f>
        <v>30</v>
      </c>
      <c r="Z81" s="57">
        <f ca="1">IFERROR(__xludf.DUMMYFUNCTION("IMPORTRANGE(""https://docs.google.com/spreadsheets/d/1vl4QWbWdFruual5o_wdo6ZSqXZ_it806oja4CctTLKs/edit?usp=sharing"",""พังงา!J462"")"),30)</f>
        <v>30</v>
      </c>
      <c r="AA81" s="63">
        <f t="shared" ca="1" si="26"/>
        <v>100</v>
      </c>
      <c r="AB81" s="57">
        <f ca="1">IFERROR(__xludf.DUMMYFUNCTION("IMPORTRANGE(""https://docs.google.com/spreadsheets/d/1vl4QWbWdFruual5o_wdo6ZSqXZ_it806oja4CctTLKs/edit?usp=sharing"",""พังงา!I463"")"),30)</f>
        <v>30</v>
      </c>
      <c r="AC81" s="57">
        <f ca="1">IFERROR(__xludf.DUMMYFUNCTION("IMPORTRANGE(""https://docs.google.com/spreadsheets/d/1vl4QWbWdFruual5o_wdo6ZSqXZ_it806oja4CctTLKs/edit?usp=sharing"",""พังงา!I464"")"),10)</f>
        <v>10</v>
      </c>
      <c r="AD81" s="57">
        <f ca="1">IFERROR(__xludf.DUMMYFUNCTION("IMPORTRANGE(""https://docs.google.com/spreadsheets/d/1vl4QWbWdFruual5o_wdo6ZSqXZ_it806oja4CctTLKs/edit?usp=sharing"",""พังงา!J463"")"),30)</f>
        <v>30</v>
      </c>
      <c r="AE81" s="63">
        <f t="shared" ca="1" si="27"/>
        <v>100</v>
      </c>
      <c r="AF81" s="57">
        <f ca="1">IFERROR(__xludf.DUMMYFUNCTION("IMPORTRANGE(""https://docs.google.com/spreadsheets/d/1vl4QWbWdFruual5o_wdo6ZSqXZ_it806oja4CctTLKs/edit?usp=sharing"",""พังงา!J464"")"),10)</f>
        <v>10</v>
      </c>
      <c r="AG81" s="63">
        <f t="shared" ca="1" si="13"/>
        <v>100</v>
      </c>
    </row>
    <row r="82" spans="1:33" ht="21" customHeight="1" x14ac:dyDescent="0.3">
      <c r="A82" s="54">
        <v>8</v>
      </c>
      <c r="B82" s="55" t="s">
        <v>103</v>
      </c>
      <c r="C82" s="56">
        <f t="shared" ca="1" si="61"/>
        <v>367400</v>
      </c>
      <c r="D82" s="57">
        <f ca="1">IFERROR(__xludf.DUMMYFUNCTION("IMPORTRANGE(""https://docs.google.com/spreadsheets/d/1b6QssHQp2FoAPSMKHOy273KNzAomaIKhtdlvuZ_zDNE/edit?usp=sharing"",""พัทลุง!L449"")"),367400)</f>
        <v>367400</v>
      </c>
      <c r="E82" s="64">
        <f ca="1">IFERROR(__xludf.DUMMYFUNCTION("IMPORTRANGE(""https://docs.google.com/spreadsheets/d/1b6QssHQp2FoAPSMKHOy273KNzAomaIKhtdlvuZ_zDNE/edit?usp=sharing"",""พัทลุง!L456"")"),0)</f>
        <v>0</v>
      </c>
      <c r="F82" s="64">
        <f ca="1">IFERROR(__xludf.DUMMYFUNCTION("IMPORTRANGE(""https://docs.google.com/spreadsheets/d/1b6QssHQp2FoAPSMKHOy273KNzAomaIKhtdlvuZ_zDNE/edit?usp=sharing"",""พัทลุง!M449"")"),367400)</f>
        <v>367400</v>
      </c>
      <c r="G82" s="64">
        <f ca="1">IFERROR(__xludf.DUMMYFUNCTION("IMPORTRANGE(""https://docs.google.com/spreadsheets/d/1b6QssHQp2FoAPSMKHOy273KNzAomaIKhtdlvuZ_zDNE/edit?usp=sharing"",""พัทลุง!M431"")"),0)</f>
        <v>0</v>
      </c>
      <c r="H82" s="58">
        <f t="shared" ca="1" si="23"/>
        <v>254975.5</v>
      </c>
      <c r="I82" s="59">
        <f t="shared" ca="1" si="1"/>
        <v>69.399972781709309</v>
      </c>
      <c r="J82" s="60">
        <f t="shared" ca="1" si="62"/>
        <v>254975.5</v>
      </c>
      <c r="K82" s="61">
        <f t="shared" ca="1" si="29"/>
        <v>69.399972781709309</v>
      </c>
      <c r="L82" s="61">
        <f t="shared" ca="1" si="30"/>
        <v>69.399972781709309</v>
      </c>
      <c r="M82" s="64">
        <f ca="1">IFERROR(__xludf.DUMMYFUNCTION("IMPORTRANGE(""https://docs.google.com/spreadsheets/d/1b6QssHQp2FoAPSMKHOy273KNzAomaIKhtdlvuZ_zDNE/edit?usp=sharing"",""พัทลุง!N450"")"),54400)</f>
        <v>54400</v>
      </c>
      <c r="N82" s="64">
        <f ca="1">IFERROR(__xludf.DUMMYFUNCTION("IMPORTRANGE(""https://docs.google.com/spreadsheets/d/1b6QssHQp2FoAPSMKHOy273KNzAomaIKhtdlvuZ_zDNE/edit?usp=sharing"",""พัทลุง!N451"")"),122985)</f>
        <v>122985</v>
      </c>
      <c r="O82" s="64">
        <f ca="1">IFERROR(__xludf.DUMMYFUNCTION("IMPORTRANGE(""https://docs.google.com/spreadsheets/d/1b6QssHQp2FoAPSMKHOy273KNzAomaIKhtdlvuZ_zDNE/edit?usp=sharing"",""พัทลุง!N452"")"),64580.5)</f>
        <v>64580.5</v>
      </c>
      <c r="P82" s="64">
        <f ca="1">IFERROR(__xludf.DUMMYFUNCTION("IMPORTRANGE(""https://docs.google.com/spreadsheets/d/1b6QssHQp2FoAPSMKHOy273KNzAomaIKhtdlvuZ_zDNE/edit?usp=sharing"",""พัทลุง!N453"")"),13010)</f>
        <v>13010</v>
      </c>
      <c r="Q82" s="62">
        <f ca="1">IFERROR(__xludf.DUMMYFUNCTION("IMPORTRANGE(""https://docs.google.com/spreadsheets/d/1b6QssHQp2FoAPSMKHOy273KNzAomaIKhtdlvuZ_zDNE/edit?usp=sharing"",""พัทลุง!N456"")"),0)</f>
        <v>0</v>
      </c>
      <c r="R82" s="62">
        <f t="shared" ca="1" si="32"/>
        <v>0</v>
      </c>
      <c r="S82" s="57">
        <f ca="1">IFERROR(__xludf.DUMMYFUNCTION("IMPORTRANGE(""https://docs.google.com/spreadsheets/d/1b6QssHQp2FoAPSMKHOy273KNzAomaIKhtdlvuZ_zDNE/edit?usp=sharing"",""พัทลุง!I458"")"),0)</f>
        <v>0</v>
      </c>
      <c r="T82" s="57">
        <f ca="1">IFERROR(__xludf.DUMMYFUNCTION("IMPORTRANGE(""https://docs.google.com/spreadsheets/d/1b6QssHQp2FoAPSMKHOy273KNzAomaIKhtdlvuZ_zDNE/edit?usp=sharing"",""พัทลุง!J458"")"),0)</f>
        <v>0</v>
      </c>
      <c r="U82" s="63">
        <f t="shared" ca="1" si="24"/>
        <v>0</v>
      </c>
      <c r="V82" s="57">
        <f ca="1">IFERROR(__xludf.DUMMYFUNCTION("IMPORTRANGE(""https://docs.google.com/spreadsheets/d/1b6QssHQp2FoAPSMKHOy273KNzAomaIKhtdlvuZ_zDNE/edit?usp=sharing"",""พัทลุง!I460"")"),40)</f>
        <v>40</v>
      </c>
      <c r="W82" s="57">
        <f ca="1">IFERROR(__xludf.DUMMYFUNCTION("IMPORTRANGE(""https://docs.google.com/spreadsheets/d/1b6QssHQp2FoAPSMKHOy273KNzAomaIKhtdlvuZ_zDNE/edit?usp=sharing"",""พัทลุง!J460"")"),40)</f>
        <v>40</v>
      </c>
      <c r="X82" s="63">
        <f t="shared" ca="1" si="25"/>
        <v>100</v>
      </c>
      <c r="Y82" s="57">
        <f ca="1">IFERROR(__xludf.DUMMYFUNCTION("IMPORTRANGE(""https://docs.google.com/spreadsheets/d/1b6QssHQp2FoAPSMKHOy273KNzAomaIKhtdlvuZ_zDNE/edit?usp=sharing"",""พัทลุง!I462"")"),120)</f>
        <v>120</v>
      </c>
      <c r="Z82" s="57">
        <f ca="1">IFERROR(__xludf.DUMMYFUNCTION("IMPORTRANGE(""https://docs.google.com/spreadsheets/d/1b6QssHQp2FoAPSMKHOy273KNzAomaIKhtdlvuZ_zDNE/edit?usp=sharing"",""พัทลุง!J462"")"),120)</f>
        <v>120</v>
      </c>
      <c r="AA82" s="63">
        <f t="shared" ca="1" si="26"/>
        <v>100</v>
      </c>
      <c r="AB82" s="57">
        <f ca="1">IFERROR(__xludf.DUMMYFUNCTION("IMPORTRANGE(""https://docs.google.com/spreadsheets/d/1b6QssHQp2FoAPSMKHOy273KNzAomaIKhtdlvuZ_zDNE/edit?usp=sharing"",""พัทลุง!I463"")"),120)</f>
        <v>120</v>
      </c>
      <c r="AC82" s="57">
        <f ca="1">IFERROR(__xludf.DUMMYFUNCTION("IMPORTRANGE(""https://docs.google.com/spreadsheets/d/1b6QssHQp2FoAPSMKHOy273KNzAomaIKhtdlvuZ_zDNE/edit?usp=sharing"",""พัทลุง!I464"")"),40)</f>
        <v>40</v>
      </c>
      <c r="AD82" s="57">
        <f ca="1">IFERROR(__xludf.DUMMYFUNCTION("IMPORTRANGE(""https://docs.google.com/spreadsheets/d/1b6QssHQp2FoAPSMKHOy273KNzAomaIKhtdlvuZ_zDNE/edit?usp=sharing"",""พัทลุง!J463"")"),120)</f>
        <v>120</v>
      </c>
      <c r="AE82" s="63">
        <f t="shared" ca="1" si="27"/>
        <v>100</v>
      </c>
      <c r="AF82" s="57">
        <f ca="1">IFERROR(__xludf.DUMMYFUNCTION("IMPORTRANGE(""https://docs.google.com/spreadsheets/d/1b6QssHQp2FoAPSMKHOy273KNzAomaIKhtdlvuZ_zDNE/edit?usp=sharing"",""พัทลุง!J464"")"),40)</f>
        <v>40</v>
      </c>
      <c r="AG82" s="63">
        <f t="shared" ca="1" si="13"/>
        <v>100</v>
      </c>
    </row>
    <row r="83" spans="1:33" ht="21" customHeight="1" x14ac:dyDescent="0.3">
      <c r="A83" s="54">
        <v>9</v>
      </c>
      <c r="B83" s="55" t="s">
        <v>104</v>
      </c>
      <c r="C83" s="56">
        <f t="shared" ca="1" si="61"/>
        <v>109560</v>
      </c>
      <c r="D83" s="57">
        <f ca="1">IFERROR(__xludf.DUMMYFUNCTION("IMPORTRANGE(""https://docs.google.com/spreadsheets/d/1o7UZe4_OqlqtLDHrj01Z2YFRSZDf1DMy1n3XViHaxRc/edit?usp=sharing"",""ภูเก็ต!L449"")"),109560)</f>
        <v>109560</v>
      </c>
      <c r="E83" s="64">
        <f ca="1">IFERROR(__xludf.DUMMYFUNCTION("IMPORTRANGE(""https://docs.google.com/spreadsheets/d/1o7UZe4_OqlqtLDHrj01Z2YFRSZDf1DMy1n3XViHaxRc/edit?usp=sharing"",""ภูเก็ต!L456"")"),0)</f>
        <v>0</v>
      </c>
      <c r="F83" s="64">
        <f ca="1">IFERROR(__xludf.DUMMYFUNCTION("IMPORTRANGE(""https://docs.google.com/spreadsheets/d/1o7UZe4_OqlqtLDHrj01Z2YFRSZDf1DMy1n3XViHaxRc/edit?usp=sharing"",""ภูเก็ต!M449"")"),109560)</f>
        <v>109560</v>
      </c>
      <c r="G83" s="64">
        <f ca="1">IFERROR(__xludf.DUMMYFUNCTION("IMPORTRANGE(""https://docs.google.com/spreadsheets/d/1o7UZe4_OqlqtLDHrj01Z2YFRSZDf1DMy1n3XViHaxRc/edit?usp=sharing"",""ภูเก็ต!M431"")"),0)</f>
        <v>0</v>
      </c>
      <c r="H83" s="58">
        <f t="shared" ca="1" si="23"/>
        <v>49070</v>
      </c>
      <c r="I83" s="59">
        <f t="shared" ca="1" si="1"/>
        <v>44.788243884629424</v>
      </c>
      <c r="J83" s="60">
        <f t="shared" ca="1" si="62"/>
        <v>49070</v>
      </c>
      <c r="K83" s="61">
        <f t="shared" ca="1" si="29"/>
        <v>44.788243884629424</v>
      </c>
      <c r="L83" s="61">
        <f t="shared" ca="1" si="30"/>
        <v>44.788243884629424</v>
      </c>
      <c r="M83" s="64">
        <f ca="1">IFERROR(__xludf.DUMMYFUNCTION("IMPORTRANGE(""https://docs.google.com/spreadsheets/d/1o7UZe4_OqlqtLDHrj01Z2YFRSZDf1DMy1n3XViHaxRc/edit?usp=sharing"",""ภูเก็ต!N450"")"),29600)</f>
        <v>29600</v>
      </c>
      <c r="N83" s="64">
        <f ca="1">IFERROR(__xludf.DUMMYFUNCTION("IMPORTRANGE(""https://docs.google.com/spreadsheets/d/1o7UZe4_OqlqtLDHrj01Z2YFRSZDf1DMy1n3XViHaxRc/edit?usp=sharing"",""ภูเก็ต!N451"")"),0)</f>
        <v>0</v>
      </c>
      <c r="O83" s="64">
        <f ca="1">IFERROR(__xludf.DUMMYFUNCTION("IMPORTRANGE(""https://docs.google.com/spreadsheets/d/1o7UZe4_OqlqtLDHrj01Z2YFRSZDf1DMy1n3XViHaxRc/edit?usp=sharing"",""ภูเก็ต!N452"")"),0)</f>
        <v>0</v>
      </c>
      <c r="P83" s="64">
        <f ca="1">IFERROR(__xludf.DUMMYFUNCTION("IMPORTRANGE(""https://docs.google.com/spreadsheets/d/1o7UZe4_OqlqtLDHrj01Z2YFRSZDf1DMy1n3XViHaxRc/edit?usp=sharing"",""ภูเก็ต!N453"")"),19470)</f>
        <v>19470</v>
      </c>
      <c r="Q83" s="62">
        <f ca="1">IFERROR(__xludf.DUMMYFUNCTION("IMPORTRANGE(""https://docs.google.com/spreadsheets/d/1o7UZe4_OqlqtLDHrj01Z2YFRSZDf1DMy1n3XViHaxRc/edit?usp=sharing"",""ภูเก็ต!N456"")"),0)</f>
        <v>0</v>
      </c>
      <c r="R83" s="62">
        <f t="shared" ca="1" si="32"/>
        <v>0</v>
      </c>
      <c r="S83" s="57">
        <f ca="1">IFERROR(__xludf.DUMMYFUNCTION("IMPORTRANGE(""https://docs.google.com/spreadsheets/d/1o7UZe4_OqlqtLDHrj01Z2YFRSZDf1DMy1n3XViHaxRc/edit?usp=sharing"",""ภูเก็ต!I458"")"),0)</f>
        <v>0</v>
      </c>
      <c r="T83" s="57">
        <f ca="1">IFERROR(__xludf.DUMMYFUNCTION("IMPORTRANGE(""https://docs.google.com/spreadsheets/d/1o7UZe4_OqlqtLDHrj01Z2YFRSZDf1DMy1n3XViHaxRc/edit?usp=sharing"",""ภูเก็ต!J458"")"),0)</f>
        <v>0</v>
      </c>
      <c r="U83" s="63">
        <f t="shared" ca="1" si="24"/>
        <v>0</v>
      </c>
      <c r="V83" s="57">
        <f ca="1">IFERROR(__xludf.DUMMYFUNCTION("IMPORTRANGE(""https://docs.google.com/spreadsheets/d/1o7UZe4_OqlqtLDHrj01Z2YFRSZDf1DMy1n3XViHaxRc/edit?usp=sharing"",""ภูเก็ต!I460"")"),20)</f>
        <v>20</v>
      </c>
      <c r="W83" s="57">
        <f ca="1">IFERROR(__xludf.DUMMYFUNCTION("IMPORTRANGE(""https://docs.google.com/spreadsheets/d/1o7UZe4_OqlqtLDHrj01Z2YFRSZDf1DMy1n3XViHaxRc/edit?usp=sharing"",""ภูเก็ต!J460"")"),20)</f>
        <v>20</v>
      </c>
      <c r="X83" s="63">
        <f t="shared" ca="1" si="25"/>
        <v>100</v>
      </c>
      <c r="Y83" s="57">
        <f ca="1">IFERROR(__xludf.DUMMYFUNCTION("IMPORTRANGE(""https://docs.google.com/spreadsheets/d/1o7UZe4_OqlqtLDHrj01Z2YFRSZDf1DMy1n3XViHaxRc/edit?usp=sharing"",""ภูเก็ต!I462"")"),40)</f>
        <v>40</v>
      </c>
      <c r="Z83" s="57">
        <f ca="1">IFERROR(__xludf.DUMMYFUNCTION("IMPORTRANGE(""https://docs.google.com/spreadsheets/d/1o7UZe4_OqlqtLDHrj01Z2YFRSZDf1DMy1n3XViHaxRc/edit?usp=sharing"",""ภูเก็ต!J462"")"),40)</f>
        <v>40</v>
      </c>
      <c r="AA83" s="63">
        <f t="shared" ca="1" si="26"/>
        <v>100</v>
      </c>
      <c r="AB83" s="57">
        <f ca="1">IFERROR(__xludf.DUMMYFUNCTION("IMPORTRANGE(""https://docs.google.com/spreadsheets/d/1o7UZe4_OqlqtLDHrj01Z2YFRSZDf1DMy1n3XViHaxRc/edit?usp=sharing"",""ภูเก็ต!I463"")"),40)</f>
        <v>40</v>
      </c>
      <c r="AC83" s="57">
        <f ca="1">IFERROR(__xludf.DUMMYFUNCTION("IMPORTRANGE(""https://docs.google.com/spreadsheets/d/1o7UZe4_OqlqtLDHrj01Z2YFRSZDf1DMy1n3XViHaxRc/edit?usp=sharing"",""ภูเก็ต!I464"")"),20)</f>
        <v>20</v>
      </c>
      <c r="AD83" s="57">
        <f ca="1">IFERROR(__xludf.DUMMYFUNCTION("IMPORTRANGE(""https://docs.google.com/spreadsheets/d/1o7UZe4_OqlqtLDHrj01Z2YFRSZDf1DMy1n3XViHaxRc/edit?usp=sharing"",""ภูเก็ต!J463"")"),0)</f>
        <v>0</v>
      </c>
      <c r="AE83" s="63">
        <f t="shared" ca="1" si="27"/>
        <v>0</v>
      </c>
      <c r="AF83" s="57">
        <f ca="1">IFERROR(__xludf.DUMMYFUNCTION("IMPORTRANGE(""https://docs.google.com/spreadsheets/d/1o7UZe4_OqlqtLDHrj01Z2YFRSZDf1DMy1n3XViHaxRc/edit?usp=sharing"",""ภูเก็ต!J464"")"),0)</f>
        <v>0</v>
      </c>
      <c r="AG83" s="63">
        <f t="shared" ca="1" si="13"/>
        <v>0</v>
      </c>
    </row>
    <row r="84" spans="1:33" ht="21" customHeight="1" x14ac:dyDescent="0.3">
      <c r="A84" s="54">
        <v>10</v>
      </c>
      <c r="B84" s="55" t="s">
        <v>105</v>
      </c>
      <c r="C84" s="56">
        <f t="shared" ca="1" si="61"/>
        <v>0</v>
      </c>
      <c r="D84" s="57">
        <f ca="1">IFERROR(__xludf.DUMMYFUNCTION("IMPORTRANGE(""https://docs.google.com/spreadsheets/d/1ctPm1vUzcUCPuOj9-eoHUD85PqINFqUB0TjdSWmR5-c/edit?usp=sharing"",""ยะลา!L449"")"),0)</f>
        <v>0</v>
      </c>
      <c r="E84" s="64">
        <f ca="1">IFERROR(__xludf.DUMMYFUNCTION("IMPORTRANGE(""https://docs.google.com/spreadsheets/d/1ctPm1vUzcUCPuOj9-eoHUD85PqINFqUB0TjdSWmR5-c/edit?usp=sharing"",""ยะลา!L456"")"),0)</f>
        <v>0</v>
      </c>
      <c r="F84" s="64">
        <f ca="1">IFERROR(__xludf.DUMMYFUNCTION("IMPORTRANGE(""https://docs.google.com/spreadsheets/d/1ctPm1vUzcUCPuOj9-eoHUD85PqINFqUB0TjdSWmR5-c/edit?usp=sharing"",""ยะลา!M449"")"),0)</f>
        <v>0</v>
      </c>
      <c r="G84" s="64">
        <f ca="1">IFERROR(__xludf.DUMMYFUNCTION("IMPORTRANGE(""https://docs.google.com/spreadsheets/d/1ctPm1vUzcUCPuOj9-eoHUD85PqINFqUB0TjdSWmR5-c/edit?usp=sharing"",""ยะลา!M431"")"),0)</f>
        <v>0</v>
      </c>
      <c r="H84" s="58">
        <f t="shared" ca="1" si="23"/>
        <v>0</v>
      </c>
      <c r="I84" s="59">
        <f t="shared" ca="1" si="1"/>
        <v>0</v>
      </c>
      <c r="J84" s="60">
        <f t="shared" ca="1" si="62"/>
        <v>0</v>
      </c>
      <c r="K84" s="61">
        <f t="shared" ca="1" si="29"/>
        <v>0</v>
      </c>
      <c r="L84" s="61">
        <f t="shared" ca="1" si="30"/>
        <v>0</v>
      </c>
      <c r="M84" s="64">
        <f ca="1">IFERROR(__xludf.DUMMYFUNCTION("IMPORTRANGE(""https://docs.google.com/spreadsheets/d/1ctPm1vUzcUCPuOj9-eoHUD85PqINFqUB0TjdSWmR5-c/edit?usp=sharing"",""ยะลา!N450"")"),0)</f>
        <v>0</v>
      </c>
      <c r="N84" s="64">
        <f ca="1">IFERROR(__xludf.DUMMYFUNCTION("IMPORTRANGE(""https://docs.google.com/spreadsheets/d/1ctPm1vUzcUCPuOj9-eoHUD85PqINFqUB0TjdSWmR5-c/edit?usp=sharing"",""ยะลา!N451"")"),0)</f>
        <v>0</v>
      </c>
      <c r="O84" s="64">
        <f ca="1">IFERROR(__xludf.DUMMYFUNCTION("IMPORTRANGE(""https://docs.google.com/spreadsheets/d/1ctPm1vUzcUCPuOj9-eoHUD85PqINFqUB0TjdSWmR5-c/edit?usp=sharing"",""ยะลา!N452"")"),0)</f>
        <v>0</v>
      </c>
      <c r="P84" s="64">
        <f ca="1">IFERROR(__xludf.DUMMYFUNCTION("IMPORTRANGE(""https://docs.google.com/spreadsheets/d/1ctPm1vUzcUCPuOj9-eoHUD85PqINFqUB0TjdSWmR5-c/edit?usp=sharing"",""ยะลา!N453"")"),0)</f>
        <v>0</v>
      </c>
      <c r="Q84" s="62">
        <f ca="1">IFERROR(__xludf.DUMMYFUNCTION("IMPORTRANGE(""https://docs.google.com/spreadsheets/d/1ctPm1vUzcUCPuOj9-eoHUD85PqINFqUB0TjdSWmR5-c/edit?usp=sharing"",""ยะลา!N456"")"),0)</f>
        <v>0</v>
      </c>
      <c r="R84" s="62">
        <f t="shared" ca="1" si="32"/>
        <v>0</v>
      </c>
      <c r="S84" s="57">
        <f ca="1">IFERROR(__xludf.DUMMYFUNCTION("IMPORTRANGE(""https://docs.google.com/spreadsheets/d/1ctPm1vUzcUCPuOj9-eoHUD85PqINFqUB0TjdSWmR5-c/edit?usp=sharing"",""ยะลา!I458"")"),0)</f>
        <v>0</v>
      </c>
      <c r="T84" s="57">
        <f ca="1">IFERROR(__xludf.DUMMYFUNCTION("IMPORTRANGE(""https://docs.google.com/spreadsheets/d/1ctPm1vUzcUCPuOj9-eoHUD85PqINFqUB0TjdSWmR5-c/edit?usp=sharing"",""ยะลา!J458"")"),0)</f>
        <v>0</v>
      </c>
      <c r="U84" s="63">
        <f t="shared" ca="1" si="24"/>
        <v>0</v>
      </c>
      <c r="V84" s="57">
        <f ca="1">IFERROR(__xludf.DUMMYFUNCTION("IMPORTRANGE(""https://docs.google.com/spreadsheets/d/1ctPm1vUzcUCPuOj9-eoHUD85PqINFqUB0TjdSWmR5-c/edit?usp=sharing"",""ยะลา!I460"")"),0)</f>
        <v>0</v>
      </c>
      <c r="W84" s="57">
        <f ca="1">IFERROR(__xludf.DUMMYFUNCTION("IMPORTRANGE(""https://docs.google.com/spreadsheets/d/1ctPm1vUzcUCPuOj9-eoHUD85PqINFqUB0TjdSWmR5-c/edit?usp=sharing"",""ยะลา!J460"")"),0)</f>
        <v>0</v>
      </c>
      <c r="X84" s="63">
        <f t="shared" ca="1" si="25"/>
        <v>0</v>
      </c>
      <c r="Y84" s="57">
        <f ca="1">IFERROR(__xludf.DUMMYFUNCTION("IMPORTRANGE(""https://docs.google.com/spreadsheets/d/1ctPm1vUzcUCPuOj9-eoHUD85PqINFqUB0TjdSWmR5-c/edit?usp=sharing"",""ยะลา!I462"")"),0)</f>
        <v>0</v>
      </c>
      <c r="Z84" s="57">
        <f ca="1">IFERROR(__xludf.DUMMYFUNCTION("IMPORTRANGE(""https://docs.google.com/spreadsheets/d/1ctPm1vUzcUCPuOj9-eoHUD85PqINFqUB0TjdSWmR5-c/edit?usp=sharing"",""ยะลา!J462"")"),0)</f>
        <v>0</v>
      </c>
      <c r="AA84" s="63">
        <f t="shared" ca="1" si="26"/>
        <v>0</v>
      </c>
      <c r="AB84" s="57">
        <f ca="1">IFERROR(__xludf.DUMMYFUNCTION("IMPORTRANGE(""https://docs.google.com/spreadsheets/d/1ctPm1vUzcUCPuOj9-eoHUD85PqINFqUB0TjdSWmR5-c/edit?usp=sharing"",""ยะลา!I463"")"),0)</f>
        <v>0</v>
      </c>
      <c r="AC84" s="57">
        <f ca="1">IFERROR(__xludf.DUMMYFUNCTION("IMPORTRANGE(""https://docs.google.com/spreadsheets/d/1ctPm1vUzcUCPuOj9-eoHUD85PqINFqUB0TjdSWmR5-c/edit?usp=sharing"",""ยะลา!I464"")"),0)</f>
        <v>0</v>
      </c>
      <c r="AD84" s="57">
        <f ca="1">IFERROR(__xludf.DUMMYFUNCTION("IMPORTRANGE(""https://docs.google.com/spreadsheets/d/1ctPm1vUzcUCPuOj9-eoHUD85PqINFqUB0TjdSWmR5-c/edit?usp=sharing"",""ยะลา!J463"")"),0)</f>
        <v>0</v>
      </c>
      <c r="AE84" s="63">
        <f t="shared" ca="1" si="27"/>
        <v>0</v>
      </c>
      <c r="AF84" s="57">
        <f ca="1">IFERROR(__xludf.DUMMYFUNCTION("IMPORTRANGE(""https://docs.google.com/spreadsheets/d/1ctPm1vUzcUCPuOj9-eoHUD85PqINFqUB0TjdSWmR5-c/edit?usp=sharing"",""ยะลา!J464"")"),0)</f>
        <v>0</v>
      </c>
      <c r="AG84" s="63">
        <f t="shared" ca="1" si="13"/>
        <v>0</v>
      </c>
    </row>
    <row r="85" spans="1:33" ht="21" customHeight="1" x14ac:dyDescent="0.3">
      <c r="A85" s="54">
        <v>11</v>
      </c>
      <c r="B85" s="55" t="s">
        <v>106</v>
      </c>
      <c r="C85" s="56">
        <f t="shared" ca="1" si="61"/>
        <v>78360</v>
      </c>
      <c r="D85" s="57">
        <f ca="1">IFERROR(__xludf.DUMMYFUNCTION("IMPORTRANGE(""https://docs.google.com/spreadsheets/d/1YiDIE7Klmt8osgdapRqYWNr7iPGFSsiJqq46S7PYRE0/edit?usp=sharing"",""ระนอง!L449"")"),78360)</f>
        <v>78360</v>
      </c>
      <c r="E85" s="64">
        <f ca="1">IFERROR(__xludf.DUMMYFUNCTION("IMPORTRANGE(""https://docs.google.com/spreadsheets/d/1YiDIE7Klmt8osgdapRqYWNr7iPGFSsiJqq46S7PYRE0/edit?usp=sharing"",""ระนอง!L456"")"),0)</f>
        <v>0</v>
      </c>
      <c r="F85" s="64">
        <f ca="1">IFERROR(__xludf.DUMMYFUNCTION("IMPORTRANGE(""https://docs.google.com/spreadsheets/d/1YiDIE7Klmt8osgdapRqYWNr7iPGFSsiJqq46S7PYRE0/edit?usp=sharing"",""ระนอง!M449"")"),78360)</f>
        <v>78360</v>
      </c>
      <c r="G85" s="64">
        <f ca="1">IFERROR(__xludf.DUMMYFUNCTION("IMPORTRANGE(""https://docs.google.com/spreadsheets/d/1YiDIE7Klmt8osgdapRqYWNr7iPGFSsiJqq46S7PYRE0/edit?usp=sharing"",""ระนอง!M431"")"),0)</f>
        <v>0</v>
      </c>
      <c r="H85" s="58">
        <f t="shared" ca="1" si="23"/>
        <v>52780</v>
      </c>
      <c r="I85" s="59">
        <f t="shared" ca="1" si="1"/>
        <v>67.355793772332817</v>
      </c>
      <c r="J85" s="60">
        <f t="shared" ca="1" si="62"/>
        <v>52780</v>
      </c>
      <c r="K85" s="61">
        <f t="shared" ca="1" si="29"/>
        <v>67.355793772332817</v>
      </c>
      <c r="L85" s="61">
        <f t="shared" ca="1" si="30"/>
        <v>67.355793772332817</v>
      </c>
      <c r="M85" s="64">
        <f ca="1">IFERROR(__xludf.DUMMYFUNCTION("IMPORTRANGE(""https://docs.google.com/spreadsheets/d/1YiDIE7Klmt8osgdapRqYWNr7iPGFSsiJqq46S7PYRE0/edit?usp=sharing"",""ระนอง!N450"")"),15520)</f>
        <v>15520</v>
      </c>
      <c r="N85" s="64">
        <f ca="1">IFERROR(__xludf.DUMMYFUNCTION("IMPORTRANGE(""https://docs.google.com/spreadsheets/d/1YiDIE7Klmt8osgdapRqYWNr7iPGFSsiJqq46S7PYRE0/edit?usp=sharing"",""ระนอง!N451"")"),34800)</f>
        <v>34800</v>
      </c>
      <c r="O85" s="64">
        <f ca="1">IFERROR(__xludf.DUMMYFUNCTION("IMPORTRANGE(""https://docs.google.com/spreadsheets/d/1YiDIE7Klmt8osgdapRqYWNr7iPGFSsiJqq46S7PYRE0/edit?usp=sharing"",""ระนอง!N452"")"),0)</f>
        <v>0</v>
      </c>
      <c r="P85" s="64">
        <f ca="1">IFERROR(__xludf.DUMMYFUNCTION("IMPORTRANGE(""https://docs.google.com/spreadsheets/d/1YiDIE7Klmt8osgdapRqYWNr7iPGFSsiJqq46S7PYRE0/edit?usp=sharing"",""ระนอง!N453"")"),2460)</f>
        <v>2460</v>
      </c>
      <c r="Q85" s="62">
        <f ca="1">IFERROR(__xludf.DUMMYFUNCTION("IMPORTRANGE(""https://docs.google.com/spreadsheets/d/1YiDIE7Klmt8osgdapRqYWNr7iPGFSsiJqq46S7PYRE0/edit?usp=sharing"",""ระนอง!N456"")"),0)</f>
        <v>0</v>
      </c>
      <c r="R85" s="62">
        <f t="shared" ca="1" si="32"/>
        <v>0</v>
      </c>
      <c r="S85" s="57">
        <f ca="1">IFERROR(__xludf.DUMMYFUNCTION("IMPORTRANGE(""https://docs.google.com/spreadsheets/d/1YiDIE7Klmt8osgdapRqYWNr7iPGFSsiJqq46S7PYRE0/edit?usp=sharing"",""ระนอง!I458"")"),0)</f>
        <v>0</v>
      </c>
      <c r="T85" s="57">
        <f ca="1">IFERROR(__xludf.DUMMYFUNCTION("IMPORTRANGE(""https://docs.google.com/spreadsheets/d/1YiDIE7Klmt8osgdapRqYWNr7iPGFSsiJqq46S7PYRE0/edit?usp=sharing"",""ระนอง!J458"")"),0)</f>
        <v>0</v>
      </c>
      <c r="U85" s="63">
        <f t="shared" ca="1" si="24"/>
        <v>0</v>
      </c>
      <c r="V85" s="57">
        <f ca="1">IFERROR(__xludf.DUMMYFUNCTION("IMPORTRANGE(""https://docs.google.com/spreadsheets/d/1YiDIE7Klmt8osgdapRqYWNr7iPGFSsiJqq46S7PYRE0/edit?usp=sharing"",""ระนอง!I460"")"),20)</f>
        <v>20</v>
      </c>
      <c r="W85" s="57">
        <f ca="1">IFERROR(__xludf.DUMMYFUNCTION("IMPORTRANGE(""https://docs.google.com/spreadsheets/d/1YiDIE7Klmt8osgdapRqYWNr7iPGFSsiJqq46S7PYRE0/edit?usp=sharing"",""ระนอง!J460"")"),20)</f>
        <v>20</v>
      </c>
      <c r="X85" s="63">
        <f t="shared" ca="1" si="25"/>
        <v>100</v>
      </c>
      <c r="Y85" s="57">
        <f ca="1">IFERROR(__xludf.DUMMYFUNCTION("IMPORTRANGE(""https://docs.google.com/spreadsheets/d/1YiDIE7Klmt8osgdapRqYWNr7iPGFSsiJqq46S7PYRE0/edit?usp=sharing"",""ระนอง!I462"")"),20)</f>
        <v>20</v>
      </c>
      <c r="Z85" s="57">
        <f ca="1">IFERROR(__xludf.DUMMYFUNCTION("IMPORTRANGE(""https://docs.google.com/spreadsheets/d/1YiDIE7Klmt8osgdapRqYWNr7iPGFSsiJqq46S7PYRE0/edit?usp=sharing"",""ระนอง!J462"")"),20)</f>
        <v>20</v>
      </c>
      <c r="AA85" s="63">
        <f t="shared" ca="1" si="26"/>
        <v>100</v>
      </c>
      <c r="AB85" s="57">
        <f ca="1">IFERROR(__xludf.DUMMYFUNCTION("IMPORTRANGE(""https://docs.google.com/spreadsheets/d/1YiDIE7Klmt8osgdapRqYWNr7iPGFSsiJqq46S7PYRE0/edit?usp=sharing"",""ระนอง!I463"")"),20)</f>
        <v>20</v>
      </c>
      <c r="AC85" s="57">
        <f ca="1">IFERROR(__xludf.DUMMYFUNCTION("IMPORTRANGE(""https://docs.google.com/spreadsheets/d/1YiDIE7Klmt8osgdapRqYWNr7iPGFSsiJqq46S7PYRE0/edit?usp=sharing"",""ระนอง!I464"")"),20)</f>
        <v>20</v>
      </c>
      <c r="AD85" s="57">
        <f ca="1">IFERROR(__xludf.DUMMYFUNCTION("IMPORTRANGE(""https://docs.google.com/spreadsheets/d/1YiDIE7Klmt8osgdapRqYWNr7iPGFSsiJqq46S7PYRE0/edit?usp=sharing"",""ระนอง!J463"")"),20)</f>
        <v>20</v>
      </c>
      <c r="AE85" s="63">
        <f t="shared" ca="1" si="27"/>
        <v>100</v>
      </c>
      <c r="AF85" s="57">
        <f ca="1">IFERROR(__xludf.DUMMYFUNCTION("IMPORTRANGE(""https://docs.google.com/spreadsheets/d/1YiDIE7Klmt8osgdapRqYWNr7iPGFSsiJqq46S7PYRE0/edit?usp=sharing"",""ระนอง!J464"")"),20)</f>
        <v>20</v>
      </c>
      <c r="AG85" s="63">
        <f t="shared" ca="1" si="13"/>
        <v>100</v>
      </c>
    </row>
    <row r="86" spans="1:33" ht="24" customHeight="1" x14ac:dyDescent="0.3">
      <c r="A86" s="54">
        <v>12</v>
      </c>
      <c r="B86" s="55" t="s">
        <v>107</v>
      </c>
      <c r="C86" s="56">
        <f t="shared" ca="1" si="61"/>
        <v>555600</v>
      </c>
      <c r="D86" s="57">
        <f ca="1">IFERROR(__xludf.DUMMYFUNCTION("IMPORTRANGE(""https://docs.google.com/spreadsheets/d/16o_4B-V7AWw_6E93bSpXj_XxVv1oVQctk-B6z1dNEWU/edit?usp=sharing"",""สงขลา!L449"")"),555600)</f>
        <v>555600</v>
      </c>
      <c r="E86" s="64">
        <f ca="1">IFERROR(__xludf.DUMMYFUNCTION("IMPORTRANGE(""https://docs.google.com/spreadsheets/d/16o_4B-V7AWw_6E93bSpXj_XxVv1oVQctk-B6z1dNEWU/edit?usp=sharing"",""สงขลา!L456"")"),0)</f>
        <v>0</v>
      </c>
      <c r="F86" s="64">
        <f ca="1">IFERROR(__xludf.DUMMYFUNCTION("IMPORTRANGE(""https://docs.google.com/spreadsheets/d/16o_4B-V7AWw_6E93bSpXj_XxVv1oVQctk-B6z1dNEWU/edit?usp=sharing"",""สงขลา!M449"")"),555600)</f>
        <v>555600</v>
      </c>
      <c r="G86" s="64">
        <f ca="1">IFERROR(__xludf.DUMMYFUNCTION("IMPORTRANGE(""https://docs.google.com/spreadsheets/d/16o_4B-V7AWw_6E93bSpXj_XxVv1oVQctk-B6z1dNEWU/edit?usp=sharing"",""สงขลา!M431"")"),0)</f>
        <v>0</v>
      </c>
      <c r="H86" s="58">
        <f t="shared" ca="1" si="23"/>
        <v>182670</v>
      </c>
      <c r="I86" s="59">
        <f t="shared" ca="1" si="1"/>
        <v>32.877969762419006</v>
      </c>
      <c r="J86" s="60">
        <f t="shared" ca="1" si="62"/>
        <v>182670</v>
      </c>
      <c r="K86" s="61">
        <f t="shared" ca="1" si="29"/>
        <v>32.877969762419006</v>
      </c>
      <c r="L86" s="61">
        <f t="shared" ca="1" si="30"/>
        <v>32.877969762419006</v>
      </c>
      <c r="M86" s="64">
        <f ca="1">IFERROR(__xludf.DUMMYFUNCTION("IMPORTRANGE(""https://docs.google.com/spreadsheets/d/16o_4B-V7AWw_6E93bSpXj_XxVv1oVQctk-B6z1dNEWU/edit?usp=sharing"",""สงขลา!N450"")"),79200)</f>
        <v>79200</v>
      </c>
      <c r="N86" s="64">
        <f ca="1">IFERROR(__xludf.DUMMYFUNCTION("IMPORTRANGE(""https://docs.google.com/spreadsheets/d/16o_4B-V7AWw_6E93bSpXj_XxVv1oVQctk-B6z1dNEWU/edit?usp=sharing"",""สงขลา!N451"")"),0)</f>
        <v>0</v>
      </c>
      <c r="O86" s="64">
        <f ca="1">IFERROR(__xludf.DUMMYFUNCTION("IMPORTRANGE(""https://docs.google.com/spreadsheets/d/16o_4B-V7AWw_6E93bSpXj_XxVv1oVQctk-B6z1dNEWU/edit?usp=sharing"",""สงขลา!N452"")"),78000)</f>
        <v>78000</v>
      </c>
      <c r="P86" s="64">
        <f ca="1">IFERROR(__xludf.DUMMYFUNCTION("IMPORTRANGE(""https://docs.google.com/spreadsheets/d/16o_4B-V7AWw_6E93bSpXj_XxVv1oVQctk-B6z1dNEWU/edit?usp=sharing"",""สงขลา!N453"")"),25470)</f>
        <v>25470</v>
      </c>
      <c r="Q86" s="62">
        <f ca="1">IFERROR(__xludf.DUMMYFUNCTION("IMPORTRANGE(""https://docs.google.com/spreadsheets/d/16o_4B-V7AWw_6E93bSpXj_XxVv1oVQctk-B6z1dNEWU/edit?usp=sharing"",""สงขลา!N456"")"),0)</f>
        <v>0</v>
      </c>
      <c r="R86" s="62">
        <f t="shared" ca="1" si="32"/>
        <v>0</v>
      </c>
      <c r="S86" s="57">
        <f ca="1">IFERROR(__xludf.DUMMYFUNCTION("IMPORTRANGE(""https://docs.google.com/spreadsheets/d/16o_4B-V7AWw_6E93bSpXj_XxVv1oVQctk-B6z1dNEWU/edit?usp=sharing"",""สงขลา!I458"")"),0)</f>
        <v>0</v>
      </c>
      <c r="T86" s="57">
        <f ca="1">IFERROR(__xludf.DUMMYFUNCTION("IMPORTRANGE(""https://docs.google.com/spreadsheets/d/16o_4B-V7AWw_6E93bSpXj_XxVv1oVQctk-B6z1dNEWU/edit?usp=sharing"",""สงขลา!J458"")"),0)</f>
        <v>0</v>
      </c>
      <c r="U86" s="63">
        <f t="shared" ca="1" si="24"/>
        <v>0</v>
      </c>
      <c r="V86" s="57">
        <f ca="1">IFERROR(__xludf.DUMMYFUNCTION("IMPORTRANGE(""https://docs.google.com/spreadsheets/d/16o_4B-V7AWw_6E93bSpXj_XxVv1oVQctk-B6z1dNEWU/edit?usp=sharing"",""สงขลา!I460"")"),60)</f>
        <v>60</v>
      </c>
      <c r="W86" s="57">
        <f ca="1">IFERROR(__xludf.DUMMYFUNCTION("IMPORTRANGE(""https://docs.google.com/spreadsheets/d/16o_4B-V7AWw_6E93bSpXj_XxVv1oVQctk-B6z1dNEWU/edit?usp=sharing"",""สงขลา!J460"")"),60)</f>
        <v>60</v>
      </c>
      <c r="X86" s="63">
        <f t="shared" ca="1" si="25"/>
        <v>100</v>
      </c>
      <c r="Y86" s="57">
        <f ca="1">IFERROR(__xludf.DUMMYFUNCTION("IMPORTRANGE(""https://docs.google.com/spreadsheets/d/16o_4B-V7AWw_6E93bSpXj_XxVv1oVQctk-B6z1dNEWU/edit?usp=sharing"",""สงขลา!I462"")"),280)</f>
        <v>280</v>
      </c>
      <c r="Z86" s="57">
        <f ca="1">IFERROR(__xludf.DUMMYFUNCTION("IMPORTRANGE(""https://docs.google.com/spreadsheets/d/16o_4B-V7AWw_6E93bSpXj_XxVv1oVQctk-B6z1dNEWU/edit?usp=sharing"",""สงขลา!J462"")"),280)</f>
        <v>280</v>
      </c>
      <c r="AA86" s="63">
        <f t="shared" ca="1" si="26"/>
        <v>100</v>
      </c>
      <c r="AB86" s="57">
        <f ca="1">IFERROR(__xludf.DUMMYFUNCTION("IMPORTRANGE(""https://docs.google.com/spreadsheets/d/16o_4B-V7AWw_6E93bSpXj_XxVv1oVQctk-B6z1dNEWU/edit?usp=sharing"",""สงขลา!I463"")"),280)</f>
        <v>280</v>
      </c>
      <c r="AC86" s="57">
        <f ca="1">IFERROR(__xludf.DUMMYFUNCTION("IMPORTRANGE(""https://docs.google.com/spreadsheets/d/16o_4B-V7AWw_6E93bSpXj_XxVv1oVQctk-B6z1dNEWU/edit?usp=sharing"",""สงขลา!I464"")"),60)</f>
        <v>60</v>
      </c>
      <c r="AD86" s="57">
        <f ca="1">IFERROR(__xludf.DUMMYFUNCTION("IMPORTRANGE(""https://docs.google.com/spreadsheets/d/16o_4B-V7AWw_6E93bSpXj_XxVv1oVQctk-B6z1dNEWU/edit?usp=sharing"",""สงขลา!J463"")"),0)</f>
        <v>0</v>
      </c>
      <c r="AE86" s="63">
        <f t="shared" ca="1" si="27"/>
        <v>0</v>
      </c>
      <c r="AF86" s="57">
        <f ca="1">IFERROR(__xludf.DUMMYFUNCTION("IMPORTRANGE(""https://docs.google.com/spreadsheets/d/16o_4B-V7AWw_6E93bSpXj_XxVv1oVQctk-B6z1dNEWU/edit?usp=sharing"",""สงขลา!J464"")"),0)</f>
        <v>0</v>
      </c>
      <c r="AG86" s="63">
        <f t="shared" ca="1" si="13"/>
        <v>0</v>
      </c>
    </row>
    <row r="87" spans="1:33" ht="24" customHeight="1" x14ac:dyDescent="0.3">
      <c r="A87" s="54">
        <v>13</v>
      </c>
      <c r="B87" s="55" t="s">
        <v>108</v>
      </c>
      <c r="C87" s="56">
        <f t="shared" ca="1" si="61"/>
        <v>0</v>
      </c>
      <c r="D87" s="57">
        <f ca="1">IFERROR(__xludf.DUMMYFUNCTION("IMPORTRANGE(""https://docs.google.com/spreadsheets/d/16cywr71Fj4fA5OGRHsZh30ZG2gwJhMAQv69oVBzYHv0/edit?usp=sharing"",""สตูล!L449"")"),0)</f>
        <v>0</v>
      </c>
      <c r="E87" s="64">
        <f ca="1">IFERROR(__xludf.DUMMYFUNCTION("IMPORTRANGE(""https://docs.google.com/spreadsheets/d/16cywr71Fj4fA5OGRHsZh30ZG2gwJhMAQv69oVBzYHv0/edit?usp=sharing"",""สตูล!L456"")"),0)</f>
        <v>0</v>
      </c>
      <c r="F87" s="64">
        <f ca="1">IFERROR(__xludf.DUMMYFUNCTION("IMPORTRANGE(""https://docs.google.com/spreadsheets/d/16cywr71Fj4fA5OGRHsZh30ZG2gwJhMAQv69oVBzYHv0/edit?usp=sharing"",""สตูล!M449"")"),0)</f>
        <v>0</v>
      </c>
      <c r="G87" s="64">
        <f ca="1">IFERROR(__xludf.DUMMYFUNCTION("IMPORTRANGE(""https://docs.google.com/spreadsheets/d/16cywr71Fj4fA5OGRHsZh30ZG2gwJhMAQv69oVBzYHv0/edit?usp=sharing"",""สตูล!M431"")"),0)</f>
        <v>0</v>
      </c>
      <c r="H87" s="58">
        <f t="shared" ca="1" si="23"/>
        <v>0</v>
      </c>
      <c r="I87" s="59">
        <f t="shared" ca="1" si="1"/>
        <v>0</v>
      </c>
      <c r="J87" s="60">
        <f t="shared" ca="1" si="62"/>
        <v>0</v>
      </c>
      <c r="K87" s="61">
        <f t="shared" ca="1" si="29"/>
        <v>0</v>
      </c>
      <c r="L87" s="61">
        <f t="shared" ca="1" si="30"/>
        <v>0</v>
      </c>
      <c r="M87" s="64">
        <f ca="1">IFERROR(__xludf.DUMMYFUNCTION("IMPORTRANGE(""https://docs.google.com/spreadsheets/d/16cywr71Fj4fA5OGRHsZh30ZG2gwJhMAQv69oVBzYHv0/edit?usp=sharing"",""สตูล!N450"")"),0)</f>
        <v>0</v>
      </c>
      <c r="N87" s="64">
        <f ca="1">IFERROR(__xludf.DUMMYFUNCTION("IMPORTRANGE(""https://docs.google.com/spreadsheets/d/16cywr71Fj4fA5OGRHsZh30ZG2gwJhMAQv69oVBzYHv0/edit?usp=sharing"",""สตูล!N451"")"),0)</f>
        <v>0</v>
      </c>
      <c r="O87" s="64">
        <f ca="1">IFERROR(__xludf.DUMMYFUNCTION("IMPORTRANGE(""https://docs.google.com/spreadsheets/d/16cywr71Fj4fA5OGRHsZh30ZG2gwJhMAQv69oVBzYHv0/edit?usp=sharing"",""สตูล!N452"")"),0)</f>
        <v>0</v>
      </c>
      <c r="P87" s="64">
        <f ca="1">IFERROR(__xludf.DUMMYFUNCTION("IMPORTRANGE(""https://docs.google.com/spreadsheets/d/16cywr71Fj4fA5OGRHsZh30ZG2gwJhMAQv69oVBzYHv0/edit?usp=sharing"",""สตูล!N453"")"),0)</f>
        <v>0</v>
      </c>
      <c r="Q87" s="62">
        <f ca="1">IFERROR(__xludf.DUMMYFUNCTION("IMPORTRANGE(""https://docs.google.com/spreadsheets/d/16cywr71Fj4fA5OGRHsZh30ZG2gwJhMAQv69oVBzYHv0/edit?usp=sharing"",""สตูล!N456"")"),0)</f>
        <v>0</v>
      </c>
      <c r="R87" s="62">
        <f t="shared" ca="1" si="32"/>
        <v>0</v>
      </c>
      <c r="S87" s="57">
        <f ca="1">IFERROR(__xludf.DUMMYFUNCTION("IMPORTRANGE(""https://docs.google.com/spreadsheets/d/16cywr71Fj4fA5OGRHsZh30ZG2gwJhMAQv69oVBzYHv0/edit?usp=sharing"",""สตูล!I458"")"),0)</f>
        <v>0</v>
      </c>
      <c r="T87" s="57">
        <f ca="1">IFERROR(__xludf.DUMMYFUNCTION("IMPORTRANGE(""https://docs.google.com/spreadsheets/d/16cywr71Fj4fA5OGRHsZh30ZG2gwJhMAQv69oVBzYHv0/edit?usp=sharing"",""สตูล!J458"")"),0)</f>
        <v>0</v>
      </c>
      <c r="U87" s="63">
        <f t="shared" ca="1" si="24"/>
        <v>0</v>
      </c>
      <c r="V87" s="57">
        <f ca="1">IFERROR(__xludf.DUMMYFUNCTION("IMPORTRANGE(""https://docs.google.com/spreadsheets/d/16cywr71Fj4fA5OGRHsZh30ZG2gwJhMAQv69oVBzYHv0/edit?usp=sharing"",""สตูล!I460"")"),0)</f>
        <v>0</v>
      </c>
      <c r="W87" s="57">
        <f ca="1">IFERROR(__xludf.DUMMYFUNCTION("IMPORTRANGE(""https://docs.google.com/spreadsheets/d/16cywr71Fj4fA5OGRHsZh30ZG2gwJhMAQv69oVBzYHv0/edit?usp=sharing"",""สตูล!J460"")"),0)</f>
        <v>0</v>
      </c>
      <c r="X87" s="63">
        <f t="shared" ca="1" si="25"/>
        <v>0</v>
      </c>
      <c r="Y87" s="57">
        <f ca="1">IFERROR(__xludf.DUMMYFUNCTION("IMPORTRANGE(""https://docs.google.com/spreadsheets/d/16cywr71Fj4fA5OGRHsZh30ZG2gwJhMAQv69oVBzYHv0/edit?usp=sharing"",""สตูล!I462"")"),0)</f>
        <v>0</v>
      </c>
      <c r="Z87" s="57">
        <f ca="1">IFERROR(__xludf.DUMMYFUNCTION("IMPORTRANGE(""https://docs.google.com/spreadsheets/d/16cywr71Fj4fA5OGRHsZh30ZG2gwJhMAQv69oVBzYHv0/edit?usp=sharing"",""สตูล!J462"")"),0)</f>
        <v>0</v>
      </c>
      <c r="AA87" s="63">
        <f t="shared" ca="1" si="26"/>
        <v>0</v>
      </c>
      <c r="AB87" s="57">
        <f ca="1">IFERROR(__xludf.DUMMYFUNCTION("IMPORTRANGE(""https://docs.google.com/spreadsheets/d/16cywr71Fj4fA5OGRHsZh30ZG2gwJhMAQv69oVBzYHv0/edit?usp=sharing"",""สตูล!I463"")"),0)</f>
        <v>0</v>
      </c>
      <c r="AC87" s="57">
        <f ca="1">IFERROR(__xludf.DUMMYFUNCTION("IMPORTRANGE(""https://docs.google.com/spreadsheets/d/16cywr71Fj4fA5OGRHsZh30ZG2gwJhMAQv69oVBzYHv0/edit?usp=sharing"",""สตูล!I464"")"),0)</f>
        <v>0</v>
      </c>
      <c r="AD87" s="57">
        <f ca="1">IFERROR(__xludf.DUMMYFUNCTION("IMPORTRANGE(""https://docs.google.com/spreadsheets/d/16cywr71Fj4fA5OGRHsZh30ZG2gwJhMAQv69oVBzYHv0/edit?usp=sharing"",""สตูล!J463"")"),0)</f>
        <v>0</v>
      </c>
      <c r="AE87" s="63">
        <f t="shared" ca="1" si="27"/>
        <v>0</v>
      </c>
      <c r="AF87" s="57">
        <f ca="1">IFERROR(__xludf.DUMMYFUNCTION("IMPORTRANGE(""https://docs.google.com/spreadsheets/d/16cywr71Fj4fA5OGRHsZh30ZG2gwJhMAQv69oVBzYHv0/edit?usp=sharing"",""สตูล!J464"")"),0)</f>
        <v>0</v>
      </c>
      <c r="AG87" s="63">
        <f t="shared" ca="1" si="13"/>
        <v>0</v>
      </c>
    </row>
    <row r="88" spans="1:33" ht="24" customHeight="1" x14ac:dyDescent="0.3">
      <c r="A88" s="65">
        <v>14</v>
      </c>
      <c r="B88" s="66" t="s">
        <v>109</v>
      </c>
      <c r="C88" s="67">
        <f t="shared" ca="1" si="61"/>
        <v>317680</v>
      </c>
      <c r="D88" s="68">
        <f ca="1">IFERROR(__xludf.DUMMYFUNCTION("IMPORTRANGE(""https://docs.google.com/spreadsheets/d/1vO9Sws6kMtrVtyvrAJptINXjK8TFBoX9xLYOVK_C8bQ/edit?usp=sharing"",""สุราษฎร์ธานี!L449"")"),317680)</f>
        <v>317680</v>
      </c>
      <c r="E88" s="69">
        <f ca="1">IFERROR(__xludf.DUMMYFUNCTION("IMPORTRANGE(""https://docs.google.com/spreadsheets/d/1vO9Sws6kMtrVtyvrAJptINXjK8TFBoX9xLYOVK_C8bQ/edit?usp=sharing"",""สุราษฎร์ธานี!L456"")"),0)</f>
        <v>0</v>
      </c>
      <c r="F88" s="69">
        <f ca="1">IFERROR(__xludf.DUMMYFUNCTION("IMPORTRANGE(""https://docs.google.com/spreadsheets/d/1vO9Sws6kMtrVtyvrAJptINXjK8TFBoX9xLYOVK_C8bQ/edit?usp=sharing"",""สุราษฎร์ธานี!M449"")"),317680)</f>
        <v>317680</v>
      </c>
      <c r="G88" s="69">
        <f ca="1">IFERROR(__xludf.DUMMYFUNCTION("IMPORTRANGE(""https://docs.google.com/spreadsheets/d/1vO9Sws6kMtrVtyvrAJptINXjK8TFBoX9xLYOVK_C8bQ/edit?usp=sharing"",""สุราษฎร์ธานี!M431"")"),0)</f>
        <v>0</v>
      </c>
      <c r="H88" s="70">
        <f t="shared" ca="1" si="23"/>
        <v>203490.02</v>
      </c>
      <c r="I88" s="71">
        <f t="shared" ca="1" si="1"/>
        <v>64.055030219088394</v>
      </c>
      <c r="J88" s="72">
        <f t="shared" ca="1" si="62"/>
        <v>203490.02</v>
      </c>
      <c r="K88" s="73">
        <f t="shared" ca="1" si="29"/>
        <v>64.055030219088394</v>
      </c>
      <c r="L88" s="73">
        <f t="shared" ca="1" si="30"/>
        <v>64.055030219088394</v>
      </c>
      <c r="M88" s="69">
        <f ca="1">IFERROR(__xludf.DUMMYFUNCTION("IMPORTRANGE(""https://docs.google.com/spreadsheets/d/1vO9Sws6kMtrVtyvrAJptINXjK8TFBoX9xLYOVK_C8bQ/edit?usp=sharing"",""สุราษฎร์ธานี!N450"")"),54400)</f>
        <v>54400</v>
      </c>
      <c r="N88" s="69">
        <f ca="1">IFERROR(__xludf.DUMMYFUNCTION("IMPORTRANGE(""https://docs.google.com/spreadsheets/d/1vO9Sws6kMtrVtyvrAJptINXjK8TFBoX9xLYOVK_C8bQ/edit?usp=sharing"",""สุราษฎร์ธานี!N451"")"),79000)</f>
        <v>79000</v>
      </c>
      <c r="O88" s="69">
        <f ca="1">IFERROR(__xludf.DUMMYFUNCTION("IMPORTRANGE(""https://docs.google.com/spreadsheets/d/1vO9Sws6kMtrVtyvrAJptINXjK8TFBoX9xLYOVK_C8bQ/edit?usp=sharing"",""สุราษฎร์ธานี!N452"")"),62400.02)</f>
        <v>62400.02</v>
      </c>
      <c r="P88" s="69">
        <f ca="1">IFERROR(__xludf.DUMMYFUNCTION("IMPORTRANGE(""https://docs.google.com/spreadsheets/d/1vO9Sws6kMtrVtyvrAJptINXjK8TFBoX9xLYOVK_C8bQ/edit?usp=sharing"",""สุราษฎร์ธานี!N453"")"),7690)</f>
        <v>7690</v>
      </c>
      <c r="Q88" s="74">
        <f ca="1">IFERROR(__xludf.DUMMYFUNCTION("IMPORTRANGE(""https://docs.google.com/spreadsheets/d/1vO9Sws6kMtrVtyvrAJptINXjK8TFBoX9xLYOVK_C8bQ/edit?usp=sharing"",""สุราษฎร์ธานี!N456"")"),0)</f>
        <v>0</v>
      </c>
      <c r="R88" s="74">
        <f t="shared" ca="1" si="32"/>
        <v>0</v>
      </c>
      <c r="S88" s="68">
        <f ca="1">IFERROR(__xludf.DUMMYFUNCTION("IMPORTRANGE(""https://docs.google.com/spreadsheets/d/1vO9Sws6kMtrVtyvrAJptINXjK8TFBoX9xLYOVK_C8bQ/edit?usp=sharing"",""สุราษฎร์ธานี!I458"")"),0)</f>
        <v>0</v>
      </c>
      <c r="T88" s="68">
        <f ca="1">IFERROR(__xludf.DUMMYFUNCTION("IMPORTRANGE(""https://docs.google.com/spreadsheets/d/1vO9Sws6kMtrVtyvrAJptINXjK8TFBoX9xLYOVK_C8bQ/edit?usp=sharing"",""สุราษฎร์ธานี!J458"")"),0)</f>
        <v>0</v>
      </c>
      <c r="U88" s="75">
        <f t="shared" ca="1" si="24"/>
        <v>0</v>
      </c>
      <c r="V88" s="68">
        <f ca="1">IFERROR(__xludf.DUMMYFUNCTION("IMPORTRANGE(""https://docs.google.com/spreadsheets/d/1vO9Sws6kMtrVtyvrAJptINXjK8TFBoX9xLYOVK_C8bQ/edit?usp=sharing"",""สุราษฎร์ธานี!I460"")"),40)</f>
        <v>40</v>
      </c>
      <c r="W88" s="68">
        <f ca="1">IFERROR(__xludf.DUMMYFUNCTION("IMPORTRANGE(""https://docs.google.com/spreadsheets/d/1vO9Sws6kMtrVtyvrAJptINXjK8TFBoX9xLYOVK_C8bQ/edit?usp=sharing"",""สุราษฎร์ธานี!J460"")"),40)</f>
        <v>40</v>
      </c>
      <c r="X88" s="75">
        <f t="shared" ca="1" si="25"/>
        <v>100</v>
      </c>
      <c r="Y88" s="68">
        <f ca="1">IFERROR(__xludf.DUMMYFUNCTION("IMPORTRANGE(""https://docs.google.com/spreadsheets/d/1vO9Sws6kMtrVtyvrAJptINXjK8TFBoX9xLYOVK_C8bQ/edit?usp=sharing"",""สุราษฎร์ธานี!I462"")"),80)</f>
        <v>80</v>
      </c>
      <c r="Z88" s="68">
        <f ca="1">IFERROR(__xludf.DUMMYFUNCTION("IMPORTRANGE(""https://docs.google.com/spreadsheets/d/1vO9Sws6kMtrVtyvrAJptINXjK8TFBoX9xLYOVK_C8bQ/edit?usp=sharing"",""สุราษฎร์ธานี!J462"")"),80)</f>
        <v>80</v>
      </c>
      <c r="AA88" s="75">
        <f t="shared" ca="1" si="26"/>
        <v>100</v>
      </c>
      <c r="AB88" s="68">
        <f ca="1">IFERROR(__xludf.DUMMYFUNCTION("IMPORTRANGE(""https://docs.google.com/spreadsheets/d/1vO9Sws6kMtrVtyvrAJptINXjK8TFBoX9xLYOVK_C8bQ/edit?usp=sharing"",""สุราษฎร์ธานี!I463"")"),80)</f>
        <v>80</v>
      </c>
      <c r="AC88" s="68">
        <f ca="1">IFERROR(__xludf.DUMMYFUNCTION("IMPORTRANGE(""https://docs.google.com/spreadsheets/d/1vO9Sws6kMtrVtyvrAJptINXjK8TFBoX9xLYOVK_C8bQ/edit?usp=sharing"",""สุราษฎร์ธานี!I464"")"),40)</f>
        <v>40</v>
      </c>
      <c r="AD88" s="68">
        <f ca="1">IFERROR(__xludf.DUMMYFUNCTION("IMPORTRANGE(""https://docs.google.com/spreadsheets/d/1vO9Sws6kMtrVtyvrAJptINXjK8TFBoX9xLYOVK_C8bQ/edit?usp=sharing"",""สุราษฎร์ธานี!J463"")"),0)</f>
        <v>0</v>
      </c>
      <c r="AE88" s="75">
        <f t="shared" ca="1" si="27"/>
        <v>0</v>
      </c>
      <c r="AF88" s="68">
        <f ca="1">IFERROR(__xludf.DUMMYFUNCTION("IMPORTRANGE(""https://docs.google.com/spreadsheets/d/1vO9Sws6kMtrVtyvrAJptINXjK8TFBoX9xLYOVK_C8bQ/edit?usp=sharing"",""สุราษฎร์ธานี!J464"")"),0)</f>
        <v>0</v>
      </c>
      <c r="AG88" s="75">
        <f t="shared" ca="1" si="13"/>
        <v>0</v>
      </c>
    </row>
    <row r="89" spans="1:33" ht="21" hidden="1" customHeight="1" x14ac:dyDescent="0.3">
      <c r="A89" s="187" t="s">
        <v>110</v>
      </c>
      <c r="B89" s="178"/>
      <c r="C89" s="77">
        <f>+C90+C91+C92+C93+C94+C95+C96+C97+C98+C99+C100+C101+C102+C103</f>
        <v>0</v>
      </c>
      <c r="D89" s="43"/>
      <c r="E89" s="43"/>
      <c r="F89" s="43"/>
      <c r="G89" s="43"/>
      <c r="H89" s="40">
        <f t="shared" si="23"/>
        <v>0</v>
      </c>
      <c r="I89" s="41">
        <f t="shared" si="1"/>
        <v>0</v>
      </c>
      <c r="J89" s="40">
        <f>+J90+J91+J92+J93+J94+J95+J96+J97+J98+J99+J100+J101+J102+J103</f>
        <v>0</v>
      </c>
      <c r="K89" s="43"/>
      <c r="L89" s="43"/>
      <c r="M89" s="43"/>
      <c r="N89" s="43"/>
      <c r="O89" s="43"/>
      <c r="P89" s="43"/>
      <c r="Q89" s="78"/>
      <c r="R89" s="78">
        <f t="shared" si="32"/>
        <v>0</v>
      </c>
      <c r="S89" s="43"/>
      <c r="T89" s="43"/>
      <c r="U89" s="44"/>
      <c r="V89" s="43"/>
      <c r="W89" s="43"/>
      <c r="X89" s="44"/>
      <c r="Y89" s="43"/>
      <c r="Z89" s="43"/>
      <c r="AA89" s="44"/>
      <c r="AB89" s="43"/>
      <c r="AC89" s="43"/>
      <c r="AD89" s="43"/>
      <c r="AE89" s="44"/>
      <c r="AF89" s="43"/>
      <c r="AG89" s="44"/>
    </row>
    <row r="90" spans="1:33" ht="24" hidden="1" customHeight="1" x14ac:dyDescent="0.3">
      <c r="A90" s="54">
        <v>1</v>
      </c>
      <c r="B90" s="55" t="s">
        <v>111</v>
      </c>
      <c r="C90" s="56">
        <f t="shared" ref="C90:C103" si="63">D90+E90</f>
        <v>0</v>
      </c>
      <c r="D90" s="57">
        <v>0</v>
      </c>
      <c r="E90" s="64">
        <v>0</v>
      </c>
      <c r="F90" s="79"/>
      <c r="G90" s="79"/>
      <c r="H90" s="58">
        <f t="shared" si="23"/>
        <v>0</v>
      </c>
      <c r="I90" s="59">
        <f t="shared" si="1"/>
        <v>0</v>
      </c>
      <c r="J90" s="60">
        <f t="shared" ref="J90:J103" si="64">M90+N90+O90+P90</f>
        <v>0</v>
      </c>
      <c r="K90" s="80"/>
      <c r="L90" s="80"/>
      <c r="M90" s="64">
        <v>0</v>
      </c>
      <c r="N90" s="64">
        <v>0</v>
      </c>
      <c r="O90" s="64">
        <v>0</v>
      </c>
      <c r="P90" s="64">
        <v>0</v>
      </c>
      <c r="Q90" s="62">
        <v>0</v>
      </c>
      <c r="R90" s="62">
        <f t="shared" si="32"/>
        <v>0</v>
      </c>
      <c r="S90" s="79"/>
      <c r="T90" s="79"/>
      <c r="U90" s="81"/>
      <c r="V90" s="79"/>
      <c r="W90" s="79"/>
      <c r="X90" s="81"/>
      <c r="Y90" s="79"/>
      <c r="Z90" s="79"/>
      <c r="AA90" s="81"/>
      <c r="AB90" s="79"/>
      <c r="AC90" s="79"/>
      <c r="AD90" s="79"/>
      <c r="AE90" s="81"/>
      <c r="AF90" s="79"/>
      <c r="AG90" s="81"/>
    </row>
    <row r="91" spans="1:33" ht="24" hidden="1" customHeight="1" x14ac:dyDescent="0.3">
      <c r="A91" s="54">
        <v>2</v>
      </c>
      <c r="B91" s="55" t="s">
        <v>112</v>
      </c>
      <c r="C91" s="56">
        <f t="shared" si="63"/>
        <v>0</v>
      </c>
      <c r="D91" s="57">
        <v>0</v>
      </c>
      <c r="E91" s="64">
        <v>0</v>
      </c>
      <c r="F91" s="79"/>
      <c r="G91" s="79"/>
      <c r="H91" s="58">
        <f t="shared" si="23"/>
        <v>0</v>
      </c>
      <c r="I91" s="59">
        <f t="shared" si="1"/>
        <v>0</v>
      </c>
      <c r="J91" s="60">
        <f t="shared" si="64"/>
        <v>0</v>
      </c>
      <c r="K91" s="80"/>
      <c r="L91" s="80"/>
      <c r="M91" s="64">
        <v>0</v>
      </c>
      <c r="N91" s="64">
        <v>0</v>
      </c>
      <c r="O91" s="64">
        <v>0</v>
      </c>
      <c r="P91" s="64">
        <v>0</v>
      </c>
      <c r="Q91" s="62">
        <v>0</v>
      </c>
      <c r="R91" s="62">
        <f t="shared" si="32"/>
        <v>0</v>
      </c>
      <c r="S91" s="79"/>
      <c r="T91" s="79"/>
      <c r="U91" s="81"/>
      <c r="V91" s="79"/>
      <c r="W91" s="79"/>
      <c r="X91" s="81"/>
      <c r="Y91" s="79"/>
      <c r="Z91" s="79"/>
      <c r="AA91" s="81"/>
      <c r="AB91" s="79"/>
      <c r="AC91" s="79"/>
      <c r="AD91" s="79"/>
      <c r="AE91" s="81"/>
      <c r="AF91" s="79"/>
      <c r="AG91" s="81"/>
    </row>
    <row r="92" spans="1:33" ht="24" hidden="1" customHeight="1" x14ac:dyDescent="0.3">
      <c r="A92" s="54">
        <v>3</v>
      </c>
      <c r="B92" s="55" t="s">
        <v>113</v>
      </c>
      <c r="C92" s="56">
        <f t="shared" si="63"/>
        <v>0</v>
      </c>
      <c r="D92" s="57">
        <v>0</v>
      </c>
      <c r="E92" s="64">
        <v>0</v>
      </c>
      <c r="F92" s="79"/>
      <c r="G92" s="79"/>
      <c r="H92" s="58">
        <f t="shared" si="23"/>
        <v>0</v>
      </c>
      <c r="I92" s="59">
        <f t="shared" si="1"/>
        <v>0</v>
      </c>
      <c r="J92" s="60">
        <f t="shared" si="64"/>
        <v>0</v>
      </c>
      <c r="K92" s="80"/>
      <c r="L92" s="80"/>
      <c r="M92" s="64">
        <v>0</v>
      </c>
      <c r="N92" s="64">
        <v>0</v>
      </c>
      <c r="O92" s="64">
        <v>0</v>
      </c>
      <c r="P92" s="64">
        <v>0</v>
      </c>
      <c r="Q92" s="62">
        <v>0</v>
      </c>
      <c r="R92" s="62">
        <f t="shared" si="32"/>
        <v>0</v>
      </c>
      <c r="S92" s="79"/>
      <c r="T92" s="79"/>
      <c r="U92" s="81"/>
      <c r="V92" s="79"/>
      <c r="W92" s="79"/>
      <c r="X92" s="81"/>
      <c r="Y92" s="79"/>
      <c r="Z92" s="79"/>
      <c r="AA92" s="81"/>
      <c r="AB92" s="79"/>
      <c r="AC92" s="79"/>
      <c r="AD92" s="79"/>
      <c r="AE92" s="81"/>
      <c r="AF92" s="79"/>
      <c r="AG92" s="81"/>
    </row>
    <row r="93" spans="1:33" ht="24" hidden="1" customHeight="1" x14ac:dyDescent="0.3">
      <c r="A93" s="54">
        <f t="shared" ref="A93:A103" si="65">+A92+1</f>
        <v>4</v>
      </c>
      <c r="B93" s="55" t="s">
        <v>114</v>
      </c>
      <c r="C93" s="56">
        <f t="shared" si="63"/>
        <v>0</v>
      </c>
      <c r="D93" s="57">
        <v>0</v>
      </c>
      <c r="E93" s="64">
        <v>0</v>
      </c>
      <c r="F93" s="79"/>
      <c r="G93" s="79"/>
      <c r="H93" s="58">
        <f t="shared" si="23"/>
        <v>0</v>
      </c>
      <c r="I93" s="59">
        <f t="shared" si="1"/>
        <v>0</v>
      </c>
      <c r="J93" s="60">
        <f t="shared" si="64"/>
        <v>0</v>
      </c>
      <c r="K93" s="80"/>
      <c r="L93" s="80"/>
      <c r="M93" s="64">
        <v>0</v>
      </c>
      <c r="N93" s="64">
        <v>0</v>
      </c>
      <c r="O93" s="64">
        <v>0</v>
      </c>
      <c r="P93" s="64">
        <v>0</v>
      </c>
      <c r="Q93" s="62">
        <v>0</v>
      </c>
      <c r="R93" s="62">
        <f t="shared" si="32"/>
        <v>0</v>
      </c>
      <c r="S93" s="79"/>
      <c r="T93" s="79"/>
      <c r="U93" s="81"/>
      <c r="V93" s="79"/>
      <c r="W93" s="79"/>
      <c r="X93" s="81"/>
      <c r="Y93" s="79"/>
      <c r="Z93" s="79"/>
      <c r="AA93" s="81"/>
      <c r="AB93" s="79"/>
      <c r="AC93" s="79"/>
      <c r="AD93" s="79"/>
      <c r="AE93" s="81"/>
      <c r="AF93" s="79"/>
      <c r="AG93" s="81"/>
    </row>
    <row r="94" spans="1:33" ht="24" hidden="1" customHeight="1" x14ac:dyDescent="0.3">
      <c r="A94" s="54">
        <f t="shared" si="65"/>
        <v>5</v>
      </c>
      <c r="B94" s="55" t="s">
        <v>115</v>
      </c>
      <c r="C94" s="56">
        <f t="shared" si="63"/>
        <v>0</v>
      </c>
      <c r="D94" s="57">
        <v>0</v>
      </c>
      <c r="E94" s="64">
        <v>0</v>
      </c>
      <c r="F94" s="79"/>
      <c r="G94" s="79"/>
      <c r="H94" s="58">
        <f t="shared" si="23"/>
        <v>0</v>
      </c>
      <c r="I94" s="59">
        <f t="shared" si="1"/>
        <v>0</v>
      </c>
      <c r="J94" s="60">
        <f t="shared" si="64"/>
        <v>0</v>
      </c>
      <c r="K94" s="80"/>
      <c r="L94" s="80"/>
      <c r="M94" s="64">
        <v>0</v>
      </c>
      <c r="N94" s="64">
        <v>0</v>
      </c>
      <c r="O94" s="64">
        <v>0</v>
      </c>
      <c r="P94" s="64">
        <v>0</v>
      </c>
      <c r="Q94" s="62">
        <v>0</v>
      </c>
      <c r="R94" s="62">
        <f t="shared" si="32"/>
        <v>0</v>
      </c>
      <c r="S94" s="79"/>
      <c r="T94" s="79"/>
      <c r="U94" s="81"/>
      <c r="V94" s="79"/>
      <c r="W94" s="79"/>
      <c r="X94" s="81"/>
      <c r="Y94" s="79"/>
      <c r="Z94" s="79"/>
      <c r="AA94" s="81"/>
      <c r="AB94" s="79"/>
      <c r="AC94" s="79"/>
      <c r="AD94" s="79"/>
      <c r="AE94" s="81"/>
      <c r="AF94" s="79"/>
      <c r="AG94" s="81"/>
    </row>
    <row r="95" spans="1:33" ht="24" hidden="1" customHeight="1" x14ac:dyDescent="0.3">
      <c r="A95" s="54">
        <f t="shared" si="65"/>
        <v>6</v>
      </c>
      <c r="B95" s="55" t="s">
        <v>116</v>
      </c>
      <c r="C95" s="56">
        <f t="shared" si="63"/>
        <v>0</v>
      </c>
      <c r="D95" s="57">
        <v>0</v>
      </c>
      <c r="E95" s="64">
        <v>0</v>
      </c>
      <c r="F95" s="79"/>
      <c r="G95" s="79"/>
      <c r="H95" s="58">
        <f t="shared" si="23"/>
        <v>0</v>
      </c>
      <c r="I95" s="59">
        <f t="shared" si="1"/>
        <v>0</v>
      </c>
      <c r="J95" s="60">
        <f t="shared" si="64"/>
        <v>0</v>
      </c>
      <c r="K95" s="80"/>
      <c r="L95" s="80"/>
      <c r="M95" s="64">
        <v>0</v>
      </c>
      <c r="N95" s="64">
        <v>0</v>
      </c>
      <c r="O95" s="64">
        <v>0</v>
      </c>
      <c r="P95" s="64">
        <v>0</v>
      </c>
      <c r="Q95" s="62">
        <v>0</v>
      </c>
      <c r="R95" s="62">
        <f t="shared" si="32"/>
        <v>0</v>
      </c>
      <c r="S95" s="79"/>
      <c r="T95" s="79"/>
      <c r="U95" s="81"/>
      <c r="V95" s="79"/>
      <c r="W95" s="79"/>
      <c r="X95" s="81"/>
      <c r="Y95" s="79"/>
      <c r="Z95" s="79"/>
      <c r="AA95" s="81"/>
      <c r="AB95" s="79"/>
      <c r="AC95" s="79"/>
      <c r="AD95" s="79"/>
      <c r="AE95" s="81"/>
      <c r="AF95" s="79"/>
      <c r="AG95" s="81"/>
    </row>
    <row r="96" spans="1:33" ht="24" hidden="1" customHeight="1" x14ac:dyDescent="0.3">
      <c r="A96" s="54">
        <f t="shared" si="65"/>
        <v>7</v>
      </c>
      <c r="B96" s="55" t="s">
        <v>117</v>
      </c>
      <c r="C96" s="56">
        <f t="shared" si="63"/>
        <v>0</v>
      </c>
      <c r="D96" s="57">
        <v>0</v>
      </c>
      <c r="E96" s="64">
        <v>0</v>
      </c>
      <c r="F96" s="79"/>
      <c r="G96" s="79"/>
      <c r="H96" s="58">
        <f t="shared" si="23"/>
        <v>0</v>
      </c>
      <c r="I96" s="59">
        <f t="shared" si="1"/>
        <v>0</v>
      </c>
      <c r="J96" s="60">
        <f t="shared" si="64"/>
        <v>0</v>
      </c>
      <c r="K96" s="80"/>
      <c r="L96" s="80"/>
      <c r="M96" s="64">
        <v>0</v>
      </c>
      <c r="N96" s="64">
        <v>0</v>
      </c>
      <c r="O96" s="64">
        <v>0</v>
      </c>
      <c r="P96" s="64">
        <v>0</v>
      </c>
      <c r="Q96" s="62">
        <v>0</v>
      </c>
      <c r="R96" s="62">
        <f t="shared" si="32"/>
        <v>0</v>
      </c>
      <c r="S96" s="79"/>
      <c r="T96" s="79"/>
      <c r="U96" s="81"/>
      <c r="V96" s="79"/>
      <c r="W96" s="79"/>
      <c r="X96" s="81"/>
      <c r="Y96" s="79"/>
      <c r="Z96" s="79"/>
      <c r="AA96" s="81"/>
      <c r="AB96" s="79"/>
      <c r="AC96" s="79"/>
      <c r="AD96" s="79"/>
      <c r="AE96" s="81"/>
      <c r="AF96" s="79"/>
      <c r="AG96" s="81"/>
    </row>
    <row r="97" spans="1:33" ht="24" hidden="1" customHeight="1" x14ac:dyDescent="0.3">
      <c r="A97" s="54">
        <f t="shared" si="65"/>
        <v>8</v>
      </c>
      <c r="B97" s="55" t="s">
        <v>118</v>
      </c>
      <c r="C97" s="56">
        <f t="shared" si="63"/>
        <v>0</v>
      </c>
      <c r="D97" s="57">
        <v>0</v>
      </c>
      <c r="E97" s="64">
        <v>0</v>
      </c>
      <c r="F97" s="79"/>
      <c r="G97" s="79"/>
      <c r="H97" s="58">
        <f t="shared" si="23"/>
        <v>0</v>
      </c>
      <c r="I97" s="59">
        <f t="shared" si="1"/>
        <v>0</v>
      </c>
      <c r="J97" s="60">
        <f t="shared" si="64"/>
        <v>0</v>
      </c>
      <c r="K97" s="80"/>
      <c r="L97" s="80"/>
      <c r="M97" s="64">
        <v>0</v>
      </c>
      <c r="N97" s="64">
        <v>0</v>
      </c>
      <c r="O97" s="64">
        <v>0</v>
      </c>
      <c r="P97" s="64">
        <v>0</v>
      </c>
      <c r="Q97" s="62">
        <v>0</v>
      </c>
      <c r="R97" s="62">
        <f t="shared" si="32"/>
        <v>0</v>
      </c>
      <c r="S97" s="79"/>
      <c r="T97" s="79"/>
      <c r="U97" s="81"/>
      <c r="V97" s="79"/>
      <c r="W97" s="79"/>
      <c r="X97" s="81"/>
      <c r="Y97" s="79"/>
      <c r="Z97" s="79"/>
      <c r="AA97" s="81"/>
      <c r="AB97" s="79"/>
      <c r="AC97" s="79"/>
      <c r="AD97" s="79"/>
      <c r="AE97" s="81"/>
      <c r="AF97" s="79"/>
      <c r="AG97" s="81"/>
    </row>
    <row r="98" spans="1:33" ht="24" hidden="1" customHeight="1" x14ac:dyDescent="0.3">
      <c r="A98" s="54">
        <f t="shared" si="65"/>
        <v>9</v>
      </c>
      <c r="B98" s="55" t="s">
        <v>119</v>
      </c>
      <c r="C98" s="56">
        <f t="shared" si="63"/>
        <v>0</v>
      </c>
      <c r="D98" s="57">
        <v>0</v>
      </c>
      <c r="E98" s="64">
        <v>0</v>
      </c>
      <c r="F98" s="79"/>
      <c r="G98" s="79"/>
      <c r="H98" s="58">
        <f t="shared" si="23"/>
        <v>0</v>
      </c>
      <c r="I98" s="59">
        <f t="shared" si="1"/>
        <v>0</v>
      </c>
      <c r="J98" s="60">
        <f t="shared" si="64"/>
        <v>0</v>
      </c>
      <c r="K98" s="80"/>
      <c r="L98" s="80"/>
      <c r="M98" s="64">
        <v>0</v>
      </c>
      <c r="N98" s="64">
        <v>0</v>
      </c>
      <c r="O98" s="64">
        <v>0</v>
      </c>
      <c r="P98" s="64">
        <v>0</v>
      </c>
      <c r="Q98" s="62">
        <v>0</v>
      </c>
      <c r="R98" s="62">
        <f t="shared" si="32"/>
        <v>0</v>
      </c>
      <c r="S98" s="79"/>
      <c r="T98" s="79"/>
      <c r="U98" s="81"/>
      <c r="V98" s="79"/>
      <c r="W98" s="79"/>
      <c r="X98" s="81"/>
      <c r="Y98" s="79"/>
      <c r="Z98" s="79"/>
      <c r="AA98" s="81"/>
      <c r="AB98" s="79"/>
      <c r="AC98" s="79"/>
      <c r="AD98" s="79"/>
      <c r="AE98" s="81"/>
      <c r="AF98" s="79"/>
      <c r="AG98" s="81"/>
    </row>
    <row r="99" spans="1:33" ht="24" hidden="1" customHeight="1" x14ac:dyDescent="0.3">
      <c r="A99" s="54">
        <f t="shared" si="65"/>
        <v>10</v>
      </c>
      <c r="B99" s="55" t="s">
        <v>120</v>
      </c>
      <c r="C99" s="56">
        <f t="shared" si="63"/>
        <v>0</v>
      </c>
      <c r="D99" s="57">
        <v>0</v>
      </c>
      <c r="E99" s="64">
        <v>0</v>
      </c>
      <c r="F99" s="79"/>
      <c r="G99" s="79"/>
      <c r="H99" s="58">
        <f t="shared" si="23"/>
        <v>0</v>
      </c>
      <c r="I99" s="59">
        <f t="shared" si="1"/>
        <v>0</v>
      </c>
      <c r="J99" s="60">
        <f t="shared" si="64"/>
        <v>0</v>
      </c>
      <c r="K99" s="80"/>
      <c r="L99" s="80"/>
      <c r="M99" s="64">
        <v>0</v>
      </c>
      <c r="N99" s="64">
        <v>0</v>
      </c>
      <c r="O99" s="64">
        <v>0</v>
      </c>
      <c r="P99" s="64">
        <v>0</v>
      </c>
      <c r="Q99" s="62">
        <v>0</v>
      </c>
      <c r="R99" s="62">
        <f t="shared" si="32"/>
        <v>0</v>
      </c>
      <c r="S99" s="79"/>
      <c r="T99" s="79"/>
      <c r="U99" s="81"/>
      <c r="V99" s="79"/>
      <c r="W99" s="79"/>
      <c r="X99" s="81"/>
      <c r="Y99" s="79"/>
      <c r="Z99" s="79"/>
      <c r="AA99" s="81"/>
      <c r="AB99" s="79"/>
      <c r="AC99" s="79"/>
      <c r="AD99" s="79"/>
      <c r="AE99" s="81"/>
      <c r="AF99" s="79"/>
      <c r="AG99" s="81"/>
    </row>
    <row r="100" spans="1:33" ht="24" hidden="1" customHeight="1" x14ac:dyDescent="0.3">
      <c r="A100" s="54">
        <f t="shared" si="65"/>
        <v>11</v>
      </c>
      <c r="B100" s="55" t="s">
        <v>121</v>
      </c>
      <c r="C100" s="56">
        <f t="shared" si="63"/>
        <v>0</v>
      </c>
      <c r="D100" s="57">
        <v>0</v>
      </c>
      <c r="E100" s="64">
        <v>0</v>
      </c>
      <c r="F100" s="79"/>
      <c r="G100" s="79"/>
      <c r="H100" s="58">
        <f t="shared" si="23"/>
        <v>0</v>
      </c>
      <c r="I100" s="59">
        <f t="shared" si="1"/>
        <v>0</v>
      </c>
      <c r="J100" s="60">
        <f t="shared" si="64"/>
        <v>0</v>
      </c>
      <c r="K100" s="80"/>
      <c r="L100" s="80"/>
      <c r="M100" s="64">
        <v>0</v>
      </c>
      <c r="N100" s="64">
        <v>0</v>
      </c>
      <c r="O100" s="64">
        <v>0</v>
      </c>
      <c r="P100" s="64">
        <v>0</v>
      </c>
      <c r="Q100" s="62">
        <v>0</v>
      </c>
      <c r="R100" s="62">
        <f t="shared" si="32"/>
        <v>0</v>
      </c>
      <c r="S100" s="79"/>
      <c r="T100" s="79"/>
      <c r="U100" s="81"/>
      <c r="V100" s="79"/>
      <c r="W100" s="79"/>
      <c r="X100" s="81"/>
      <c r="Y100" s="79"/>
      <c r="Z100" s="79"/>
      <c r="AA100" s="81"/>
      <c r="AB100" s="79"/>
      <c r="AC100" s="79"/>
      <c r="AD100" s="79"/>
      <c r="AE100" s="81"/>
      <c r="AF100" s="79"/>
      <c r="AG100" s="81"/>
    </row>
    <row r="101" spans="1:33" ht="24" hidden="1" customHeight="1" x14ac:dyDescent="0.3">
      <c r="A101" s="54">
        <f t="shared" si="65"/>
        <v>12</v>
      </c>
      <c r="B101" s="55" t="s">
        <v>122</v>
      </c>
      <c r="C101" s="56">
        <f t="shared" si="63"/>
        <v>0</v>
      </c>
      <c r="D101" s="57">
        <v>0</v>
      </c>
      <c r="E101" s="64">
        <v>0</v>
      </c>
      <c r="F101" s="79"/>
      <c r="G101" s="79"/>
      <c r="H101" s="58">
        <f t="shared" si="23"/>
        <v>0</v>
      </c>
      <c r="I101" s="59">
        <f t="shared" si="1"/>
        <v>0</v>
      </c>
      <c r="J101" s="60">
        <f t="shared" si="64"/>
        <v>0</v>
      </c>
      <c r="K101" s="80"/>
      <c r="L101" s="80"/>
      <c r="M101" s="64">
        <v>0</v>
      </c>
      <c r="N101" s="64">
        <v>0</v>
      </c>
      <c r="O101" s="64">
        <v>0</v>
      </c>
      <c r="P101" s="64">
        <v>0</v>
      </c>
      <c r="Q101" s="62">
        <v>0</v>
      </c>
      <c r="R101" s="62">
        <f t="shared" si="32"/>
        <v>0</v>
      </c>
      <c r="S101" s="79"/>
      <c r="T101" s="79"/>
      <c r="U101" s="81"/>
      <c r="V101" s="79"/>
      <c r="W101" s="79"/>
      <c r="X101" s="81"/>
      <c r="Y101" s="79"/>
      <c r="Z101" s="79"/>
      <c r="AA101" s="81"/>
      <c r="AB101" s="79"/>
      <c r="AC101" s="79"/>
      <c r="AD101" s="79"/>
      <c r="AE101" s="81"/>
      <c r="AF101" s="79"/>
      <c r="AG101" s="81"/>
    </row>
    <row r="102" spans="1:33" ht="24" hidden="1" customHeight="1" x14ac:dyDescent="0.3">
      <c r="A102" s="54">
        <f t="shared" si="65"/>
        <v>13</v>
      </c>
      <c r="B102" s="55" t="s">
        <v>123</v>
      </c>
      <c r="C102" s="56">
        <f t="shared" si="63"/>
        <v>0</v>
      </c>
      <c r="D102" s="57">
        <v>0</v>
      </c>
      <c r="E102" s="64">
        <v>0</v>
      </c>
      <c r="F102" s="79"/>
      <c r="G102" s="79"/>
      <c r="H102" s="58">
        <f t="shared" si="23"/>
        <v>0</v>
      </c>
      <c r="I102" s="59">
        <f t="shared" si="1"/>
        <v>0</v>
      </c>
      <c r="J102" s="60">
        <f t="shared" si="64"/>
        <v>0</v>
      </c>
      <c r="K102" s="80"/>
      <c r="L102" s="80"/>
      <c r="M102" s="64">
        <v>0</v>
      </c>
      <c r="N102" s="64">
        <v>0</v>
      </c>
      <c r="O102" s="64">
        <v>0</v>
      </c>
      <c r="P102" s="64">
        <v>0</v>
      </c>
      <c r="Q102" s="62">
        <v>0</v>
      </c>
      <c r="R102" s="62">
        <f t="shared" si="32"/>
        <v>0</v>
      </c>
      <c r="S102" s="79"/>
      <c r="T102" s="79"/>
      <c r="U102" s="81"/>
      <c r="V102" s="79"/>
      <c r="W102" s="79"/>
      <c r="X102" s="81"/>
      <c r="Y102" s="79"/>
      <c r="Z102" s="79"/>
      <c r="AA102" s="81"/>
      <c r="AB102" s="79"/>
      <c r="AC102" s="79"/>
      <c r="AD102" s="79"/>
      <c r="AE102" s="81"/>
      <c r="AF102" s="79"/>
      <c r="AG102" s="81"/>
    </row>
    <row r="103" spans="1:33" ht="24" hidden="1" customHeight="1" x14ac:dyDescent="0.3">
      <c r="A103" s="65">
        <f t="shared" si="65"/>
        <v>14</v>
      </c>
      <c r="B103" s="66" t="s">
        <v>124</v>
      </c>
      <c r="C103" s="67">
        <f t="shared" si="63"/>
        <v>0</v>
      </c>
      <c r="D103" s="68">
        <v>0</v>
      </c>
      <c r="E103" s="69">
        <v>0</v>
      </c>
      <c r="F103" s="82"/>
      <c r="G103" s="82"/>
      <c r="H103" s="70">
        <f t="shared" si="23"/>
        <v>0</v>
      </c>
      <c r="I103" s="71">
        <f t="shared" si="1"/>
        <v>0</v>
      </c>
      <c r="J103" s="72">
        <f t="shared" si="64"/>
        <v>0</v>
      </c>
      <c r="K103" s="83"/>
      <c r="L103" s="83"/>
      <c r="M103" s="69">
        <v>0</v>
      </c>
      <c r="N103" s="69">
        <v>0</v>
      </c>
      <c r="O103" s="69">
        <v>0</v>
      </c>
      <c r="P103" s="69">
        <v>0</v>
      </c>
      <c r="Q103" s="74">
        <v>0</v>
      </c>
      <c r="R103" s="74">
        <f t="shared" si="32"/>
        <v>0</v>
      </c>
      <c r="S103" s="82"/>
      <c r="T103" s="82"/>
      <c r="U103" s="84"/>
      <c r="V103" s="82"/>
      <c r="W103" s="82"/>
      <c r="X103" s="84"/>
      <c r="Y103" s="82"/>
      <c r="Z103" s="82"/>
      <c r="AA103" s="84"/>
      <c r="AB103" s="82"/>
      <c r="AC103" s="82"/>
      <c r="AD103" s="82"/>
      <c r="AE103" s="84"/>
      <c r="AF103" s="82"/>
      <c r="AG103" s="84"/>
    </row>
    <row r="104" spans="1:33" ht="21" hidden="1" customHeight="1" x14ac:dyDescent="0.3">
      <c r="A104" s="187" t="s">
        <v>125</v>
      </c>
      <c r="B104" s="178"/>
      <c r="C104" s="77">
        <f>SUM(C105:C116)</f>
        <v>0</v>
      </c>
      <c r="D104" s="43"/>
      <c r="E104" s="43"/>
      <c r="F104" s="43"/>
      <c r="G104" s="43"/>
      <c r="H104" s="40">
        <f t="shared" si="23"/>
        <v>0</v>
      </c>
      <c r="I104" s="41">
        <f t="shared" si="1"/>
        <v>0</v>
      </c>
      <c r="J104" s="40">
        <f>SUM(J105:J116)</f>
        <v>0</v>
      </c>
      <c r="K104" s="43"/>
      <c r="L104" s="43"/>
      <c r="M104" s="43"/>
      <c r="N104" s="43"/>
      <c r="O104" s="43"/>
      <c r="P104" s="43"/>
      <c r="Q104" s="43"/>
      <c r="R104" s="40">
        <f t="shared" si="32"/>
        <v>0</v>
      </c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</row>
    <row r="105" spans="1:33" ht="24" hidden="1" customHeight="1" x14ac:dyDescent="0.3">
      <c r="A105" s="54">
        <v>1</v>
      </c>
      <c r="B105" s="85" t="s">
        <v>126</v>
      </c>
      <c r="C105" s="56">
        <f t="shared" ref="C105:C116" si="66">D105+E105</f>
        <v>0</v>
      </c>
      <c r="D105" s="57">
        <v>0</v>
      </c>
      <c r="E105" s="64">
        <v>0</v>
      </c>
      <c r="F105" s="79"/>
      <c r="G105" s="79"/>
      <c r="H105" s="58">
        <f t="shared" si="23"/>
        <v>0</v>
      </c>
      <c r="I105" s="59">
        <f t="shared" si="1"/>
        <v>0</v>
      </c>
      <c r="J105" s="60">
        <f t="shared" ref="J105:J116" si="67">M105+N105+O105+P105</f>
        <v>0</v>
      </c>
      <c r="K105" s="80"/>
      <c r="L105" s="80"/>
      <c r="M105" s="64">
        <v>0</v>
      </c>
      <c r="N105" s="64">
        <v>0</v>
      </c>
      <c r="O105" s="64">
        <v>0</v>
      </c>
      <c r="P105" s="64">
        <v>0</v>
      </c>
      <c r="Q105" s="62">
        <v>0</v>
      </c>
      <c r="R105" s="62">
        <f t="shared" si="32"/>
        <v>0</v>
      </c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79"/>
      <c r="AF105" s="79"/>
      <c r="AG105" s="79"/>
    </row>
    <row r="106" spans="1:33" ht="24" hidden="1" customHeight="1" x14ac:dyDescent="0.3">
      <c r="A106" s="54">
        <v>2</v>
      </c>
      <c r="B106" s="85" t="s">
        <v>127</v>
      </c>
      <c r="C106" s="56">
        <f t="shared" si="66"/>
        <v>0</v>
      </c>
      <c r="D106" s="57">
        <v>0</v>
      </c>
      <c r="E106" s="64">
        <v>0</v>
      </c>
      <c r="F106" s="79"/>
      <c r="G106" s="79"/>
      <c r="H106" s="58">
        <f t="shared" si="23"/>
        <v>0</v>
      </c>
      <c r="I106" s="59">
        <f t="shared" si="1"/>
        <v>0</v>
      </c>
      <c r="J106" s="60">
        <f t="shared" si="67"/>
        <v>0</v>
      </c>
      <c r="K106" s="80"/>
      <c r="L106" s="80"/>
      <c r="M106" s="64">
        <v>0</v>
      </c>
      <c r="N106" s="64">
        <v>0</v>
      </c>
      <c r="O106" s="64">
        <v>0</v>
      </c>
      <c r="P106" s="64">
        <v>0</v>
      </c>
      <c r="Q106" s="62">
        <v>0</v>
      </c>
      <c r="R106" s="62">
        <f t="shared" si="32"/>
        <v>0</v>
      </c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</row>
    <row r="107" spans="1:33" ht="24" hidden="1" customHeight="1" x14ac:dyDescent="0.3">
      <c r="A107" s="54">
        <v>3</v>
      </c>
      <c r="B107" s="85" t="s">
        <v>128</v>
      </c>
      <c r="C107" s="56">
        <f t="shared" si="66"/>
        <v>0</v>
      </c>
      <c r="D107" s="57">
        <v>0</v>
      </c>
      <c r="E107" s="64">
        <v>0</v>
      </c>
      <c r="F107" s="79"/>
      <c r="G107" s="79"/>
      <c r="H107" s="58">
        <f t="shared" si="23"/>
        <v>0</v>
      </c>
      <c r="I107" s="59">
        <f t="shared" si="1"/>
        <v>0</v>
      </c>
      <c r="J107" s="60">
        <f t="shared" si="67"/>
        <v>0</v>
      </c>
      <c r="K107" s="80"/>
      <c r="L107" s="80"/>
      <c r="M107" s="64">
        <v>0</v>
      </c>
      <c r="N107" s="64">
        <v>0</v>
      </c>
      <c r="O107" s="64">
        <v>0</v>
      </c>
      <c r="P107" s="64">
        <v>0</v>
      </c>
      <c r="Q107" s="62">
        <v>0</v>
      </c>
      <c r="R107" s="62">
        <f t="shared" si="32"/>
        <v>0</v>
      </c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</row>
    <row r="108" spans="1:33" ht="24" hidden="1" customHeight="1" x14ac:dyDescent="0.3">
      <c r="A108" s="86">
        <v>4</v>
      </c>
      <c r="B108" s="85" t="s">
        <v>129</v>
      </c>
      <c r="C108" s="56">
        <f t="shared" si="66"/>
        <v>0</v>
      </c>
      <c r="D108" s="57">
        <v>0</v>
      </c>
      <c r="E108" s="64">
        <v>0</v>
      </c>
      <c r="F108" s="79"/>
      <c r="G108" s="79"/>
      <c r="H108" s="58">
        <f t="shared" si="23"/>
        <v>0</v>
      </c>
      <c r="I108" s="59">
        <f t="shared" si="1"/>
        <v>0</v>
      </c>
      <c r="J108" s="60">
        <f t="shared" si="67"/>
        <v>0</v>
      </c>
      <c r="K108" s="80"/>
      <c r="L108" s="80"/>
      <c r="M108" s="64">
        <v>0</v>
      </c>
      <c r="N108" s="64">
        <v>0</v>
      </c>
      <c r="O108" s="64">
        <v>0</v>
      </c>
      <c r="P108" s="64">
        <v>0</v>
      </c>
      <c r="Q108" s="62">
        <v>0</v>
      </c>
      <c r="R108" s="62">
        <f t="shared" si="32"/>
        <v>0</v>
      </c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</row>
    <row r="109" spans="1:33" ht="24" hidden="1" customHeight="1" x14ac:dyDescent="0.3">
      <c r="A109" s="86">
        <v>5</v>
      </c>
      <c r="B109" s="85" t="s">
        <v>130</v>
      </c>
      <c r="C109" s="56">
        <f t="shared" si="66"/>
        <v>0</v>
      </c>
      <c r="D109" s="57">
        <v>0</v>
      </c>
      <c r="E109" s="64">
        <v>0</v>
      </c>
      <c r="F109" s="79"/>
      <c r="G109" s="79"/>
      <c r="H109" s="58">
        <f t="shared" si="23"/>
        <v>0</v>
      </c>
      <c r="I109" s="59">
        <f t="shared" si="1"/>
        <v>0</v>
      </c>
      <c r="J109" s="60">
        <f t="shared" si="67"/>
        <v>0</v>
      </c>
      <c r="K109" s="80"/>
      <c r="L109" s="80"/>
      <c r="M109" s="64">
        <v>0</v>
      </c>
      <c r="N109" s="64">
        <v>0</v>
      </c>
      <c r="O109" s="64">
        <v>0</v>
      </c>
      <c r="P109" s="64">
        <v>0</v>
      </c>
      <c r="Q109" s="62">
        <v>0</v>
      </c>
      <c r="R109" s="62">
        <f t="shared" si="32"/>
        <v>0</v>
      </c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79"/>
      <c r="AF109" s="79"/>
      <c r="AG109" s="79"/>
    </row>
    <row r="110" spans="1:33" ht="24" hidden="1" customHeight="1" x14ac:dyDescent="0.3">
      <c r="A110" s="86">
        <v>6</v>
      </c>
      <c r="B110" s="85" t="s">
        <v>131</v>
      </c>
      <c r="C110" s="56">
        <f t="shared" si="66"/>
        <v>0</v>
      </c>
      <c r="D110" s="57">
        <v>0</v>
      </c>
      <c r="E110" s="64">
        <v>0</v>
      </c>
      <c r="F110" s="79"/>
      <c r="G110" s="79"/>
      <c r="H110" s="58">
        <f t="shared" si="23"/>
        <v>0</v>
      </c>
      <c r="I110" s="59">
        <f t="shared" si="1"/>
        <v>0</v>
      </c>
      <c r="J110" s="60">
        <f t="shared" si="67"/>
        <v>0</v>
      </c>
      <c r="K110" s="80"/>
      <c r="L110" s="80"/>
      <c r="M110" s="64">
        <v>0</v>
      </c>
      <c r="N110" s="64">
        <v>0</v>
      </c>
      <c r="O110" s="64">
        <v>0</v>
      </c>
      <c r="P110" s="64">
        <v>0</v>
      </c>
      <c r="Q110" s="62">
        <v>0</v>
      </c>
      <c r="R110" s="62">
        <f t="shared" si="32"/>
        <v>0</v>
      </c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</row>
    <row r="111" spans="1:33" ht="24" hidden="1" customHeight="1" x14ac:dyDescent="0.3">
      <c r="A111" s="86">
        <v>7</v>
      </c>
      <c r="B111" s="85" t="s">
        <v>132</v>
      </c>
      <c r="C111" s="56">
        <f t="shared" si="66"/>
        <v>0</v>
      </c>
      <c r="D111" s="57">
        <v>0</v>
      </c>
      <c r="E111" s="64">
        <v>0</v>
      </c>
      <c r="F111" s="79"/>
      <c r="G111" s="79"/>
      <c r="H111" s="58">
        <f t="shared" si="23"/>
        <v>0</v>
      </c>
      <c r="I111" s="59">
        <f t="shared" si="1"/>
        <v>0</v>
      </c>
      <c r="J111" s="60">
        <f t="shared" si="67"/>
        <v>0</v>
      </c>
      <c r="K111" s="80"/>
      <c r="L111" s="80"/>
      <c r="M111" s="64">
        <v>0</v>
      </c>
      <c r="N111" s="64">
        <v>0</v>
      </c>
      <c r="O111" s="64">
        <v>0</v>
      </c>
      <c r="P111" s="64">
        <v>0</v>
      </c>
      <c r="Q111" s="62">
        <v>0</v>
      </c>
      <c r="R111" s="62">
        <f t="shared" si="32"/>
        <v>0</v>
      </c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</row>
    <row r="112" spans="1:33" ht="24" hidden="1" customHeight="1" x14ac:dyDescent="0.3">
      <c r="A112" s="86">
        <v>8</v>
      </c>
      <c r="B112" s="85" t="s">
        <v>133</v>
      </c>
      <c r="C112" s="56">
        <f t="shared" si="66"/>
        <v>0</v>
      </c>
      <c r="D112" s="57">
        <v>0</v>
      </c>
      <c r="E112" s="64">
        <v>0</v>
      </c>
      <c r="F112" s="79"/>
      <c r="G112" s="79"/>
      <c r="H112" s="58">
        <f t="shared" si="23"/>
        <v>0</v>
      </c>
      <c r="I112" s="59">
        <f t="shared" si="1"/>
        <v>0</v>
      </c>
      <c r="J112" s="60">
        <f t="shared" si="67"/>
        <v>0</v>
      </c>
      <c r="K112" s="80"/>
      <c r="L112" s="80"/>
      <c r="M112" s="64">
        <v>0</v>
      </c>
      <c r="N112" s="64">
        <v>0</v>
      </c>
      <c r="O112" s="64">
        <v>0</v>
      </c>
      <c r="P112" s="64">
        <v>0</v>
      </c>
      <c r="Q112" s="62">
        <v>0</v>
      </c>
      <c r="R112" s="62">
        <f t="shared" si="32"/>
        <v>0</v>
      </c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</row>
    <row r="113" spans="1:33" ht="24" hidden="1" customHeight="1" x14ac:dyDescent="0.3">
      <c r="A113" s="86">
        <v>9</v>
      </c>
      <c r="B113" s="85" t="s">
        <v>134</v>
      </c>
      <c r="C113" s="56">
        <f t="shared" si="66"/>
        <v>0</v>
      </c>
      <c r="D113" s="57">
        <v>0</v>
      </c>
      <c r="E113" s="64">
        <v>0</v>
      </c>
      <c r="F113" s="79"/>
      <c r="G113" s="79"/>
      <c r="H113" s="58">
        <f t="shared" si="23"/>
        <v>0</v>
      </c>
      <c r="I113" s="59">
        <f t="shared" si="1"/>
        <v>0</v>
      </c>
      <c r="J113" s="60">
        <f t="shared" si="67"/>
        <v>0</v>
      </c>
      <c r="K113" s="80"/>
      <c r="L113" s="80"/>
      <c r="M113" s="64">
        <v>0</v>
      </c>
      <c r="N113" s="64">
        <v>0</v>
      </c>
      <c r="O113" s="64">
        <v>0</v>
      </c>
      <c r="P113" s="64">
        <v>0</v>
      </c>
      <c r="Q113" s="62">
        <v>0</v>
      </c>
      <c r="R113" s="62">
        <f t="shared" si="32"/>
        <v>0</v>
      </c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79"/>
      <c r="AF113" s="79"/>
      <c r="AG113" s="79"/>
    </row>
    <row r="114" spans="1:33" ht="24" hidden="1" customHeight="1" x14ac:dyDescent="0.3">
      <c r="A114" s="86">
        <v>10</v>
      </c>
      <c r="B114" s="85" t="s">
        <v>135</v>
      </c>
      <c r="C114" s="56">
        <f t="shared" si="66"/>
        <v>0</v>
      </c>
      <c r="D114" s="57">
        <v>0</v>
      </c>
      <c r="E114" s="64">
        <v>0</v>
      </c>
      <c r="F114" s="79"/>
      <c r="G114" s="79"/>
      <c r="H114" s="58">
        <f t="shared" si="23"/>
        <v>0</v>
      </c>
      <c r="I114" s="59">
        <f t="shared" si="1"/>
        <v>0</v>
      </c>
      <c r="J114" s="60">
        <f t="shared" si="67"/>
        <v>0</v>
      </c>
      <c r="K114" s="80"/>
      <c r="L114" s="80"/>
      <c r="M114" s="64">
        <v>0</v>
      </c>
      <c r="N114" s="64">
        <v>0</v>
      </c>
      <c r="O114" s="64">
        <v>0</v>
      </c>
      <c r="P114" s="64">
        <v>0</v>
      </c>
      <c r="Q114" s="62">
        <v>0</v>
      </c>
      <c r="R114" s="62">
        <f t="shared" si="32"/>
        <v>0</v>
      </c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</row>
    <row r="115" spans="1:33" ht="24" hidden="1" customHeight="1" x14ac:dyDescent="0.3">
      <c r="A115" s="86">
        <v>11</v>
      </c>
      <c r="B115" s="85" t="s">
        <v>136</v>
      </c>
      <c r="C115" s="56">
        <f t="shared" si="66"/>
        <v>0</v>
      </c>
      <c r="D115" s="57">
        <v>0</v>
      </c>
      <c r="E115" s="64">
        <v>0</v>
      </c>
      <c r="F115" s="79"/>
      <c r="G115" s="79"/>
      <c r="H115" s="58">
        <f t="shared" si="23"/>
        <v>0</v>
      </c>
      <c r="I115" s="59">
        <f t="shared" si="1"/>
        <v>0</v>
      </c>
      <c r="J115" s="60">
        <f t="shared" si="67"/>
        <v>0</v>
      </c>
      <c r="K115" s="80"/>
      <c r="L115" s="80"/>
      <c r="M115" s="64">
        <v>0</v>
      </c>
      <c r="N115" s="64">
        <v>0</v>
      </c>
      <c r="O115" s="64">
        <v>0</v>
      </c>
      <c r="P115" s="64">
        <v>0</v>
      </c>
      <c r="Q115" s="62">
        <v>0</v>
      </c>
      <c r="R115" s="62">
        <f t="shared" si="32"/>
        <v>0</v>
      </c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</row>
    <row r="116" spans="1:33" ht="24" hidden="1" customHeight="1" x14ac:dyDescent="0.3">
      <c r="A116" s="86">
        <v>12</v>
      </c>
      <c r="B116" s="85" t="s">
        <v>137</v>
      </c>
      <c r="C116" s="56">
        <f t="shared" si="66"/>
        <v>0</v>
      </c>
      <c r="D116" s="57">
        <v>0</v>
      </c>
      <c r="E116" s="64">
        <v>0</v>
      </c>
      <c r="F116" s="79"/>
      <c r="G116" s="79"/>
      <c r="H116" s="58">
        <f t="shared" si="23"/>
        <v>0</v>
      </c>
      <c r="I116" s="59">
        <f t="shared" si="1"/>
        <v>0</v>
      </c>
      <c r="J116" s="60">
        <f t="shared" si="67"/>
        <v>0</v>
      </c>
      <c r="K116" s="80"/>
      <c r="L116" s="80"/>
      <c r="M116" s="64">
        <v>0</v>
      </c>
      <c r="N116" s="64">
        <v>0</v>
      </c>
      <c r="O116" s="64">
        <v>0</v>
      </c>
      <c r="P116" s="64">
        <v>0</v>
      </c>
      <c r="Q116" s="62">
        <v>0</v>
      </c>
      <c r="R116" s="62">
        <f t="shared" si="32"/>
        <v>0</v>
      </c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</row>
    <row r="117" spans="1:33" ht="24" customHeight="1" x14ac:dyDescent="0.2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8"/>
      <c r="N117" s="88"/>
      <c r="O117" s="8"/>
      <c r="P117" s="8"/>
      <c r="Q117" s="89"/>
      <c r="R117" s="89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</row>
    <row r="118" spans="1:33" ht="24" customHeight="1" x14ac:dyDescent="0.2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8"/>
      <c r="N118" s="88"/>
      <c r="O118" s="8"/>
      <c r="P118" s="8"/>
      <c r="Q118" s="89"/>
      <c r="R118" s="89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</row>
    <row r="119" spans="1:33" ht="24" customHeight="1" x14ac:dyDescent="0.2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8"/>
      <c r="N119" s="88"/>
      <c r="O119" s="8"/>
      <c r="P119" s="8"/>
      <c r="Q119" s="89"/>
      <c r="R119" s="89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</row>
    <row r="120" spans="1:33" ht="24" customHeight="1" x14ac:dyDescent="0.2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8"/>
      <c r="N120" s="88"/>
      <c r="O120" s="8"/>
      <c r="P120" s="8"/>
      <c r="Q120" s="89"/>
      <c r="R120" s="89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</row>
    <row r="121" spans="1:33" ht="24" customHeight="1" x14ac:dyDescent="0.2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8"/>
      <c r="N121" s="88"/>
      <c r="O121" s="8"/>
      <c r="P121" s="8"/>
      <c r="Q121" s="89"/>
      <c r="R121" s="89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</row>
    <row r="122" spans="1:33" ht="24" customHeight="1" x14ac:dyDescent="0.2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8"/>
      <c r="N122" s="88"/>
      <c r="O122" s="8"/>
      <c r="P122" s="8"/>
      <c r="Q122" s="89"/>
      <c r="R122" s="89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</row>
    <row r="123" spans="1:33" ht="24" customHeight="1" x14ac:dyDescent="0.2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8"/>
      <c r="N123" s="88"/>
      <c r="O123" s="8"/>
      <c r="P123" s="8"/>
      <c r="Q123" s="89"/>
      <c r="R123" s="89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</row>
    <row r="124" spans="1:33" ht="24" customHeight="1" x14ac:dyDescent="0.2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8"/>
      <c r="N124" s="88"/>
      <c r="O124" s="8"/>
      <c r="P124" s="8"/>
      <c r="Q124" s="89"/>
      <c r="R124" s="89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</row>
    <row r="125" spans="1:33" ht="24" customHeight="1" x14ac:dyDescent="0.2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8"/>
      <c r="N125" s="88"/>
      <c r="O125" s="8"/>
      <c r="P125" s="8"/>
      <c r="Q125" s="89"/>
      <c r="R125" s="89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</row>
    <row r="126" spans="1:33" ht="24" customHeight="1" x14ac:dyDescent="0.2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8"/>
      <c r="N126" s="88"/>
      <c r="O126" s="8"/>
      <c r="P126" s="8"/>
      <c r="Q126" s="89"/>
      <c r="R126" s="89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</row>
    <row r="127" spans="1:33" ht="24" customHeight="1" x14ac:dyDescent="0.2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8"/>
      <c r="N127" s="88"/>
      <c r="O127" s="8"/>
      <c r="P127" s="8"/>
      <c r="Q127" s="89"/>
      <c r="R127" s="89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</row>
    <row r="128" spans="1:33" ht="24" customHeight="1" x14ac:dyDescent="0.2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8"/>
      <c r="N128" s="88"/>
      <c r="O128" s="8"/>
      <c r="P128" s="8"/>
      <c r="Q128" s="89"/>
      <c r="R128" s="89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</row>
    <row r="129" spans="1:33" ht="24" customHeight="1" x14ac:dyDescent="0.2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8"/>
      <c r="N129" s="88"/>
      <c r="O129" s="8"/>
      <c r="P129" s="8"/>
      <c r="Q129" s="89"/>
      <c r="R129" s="89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</row>
    <row r="130" spans="1:33" ht="24" customHeight="1" x14ac:dyDescent="0.2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8"/>
      <c r="N130" s="88"/>
      <c r="O130" s="8"/>
      <c r="P130" s="8"/>
      <c r="Q130" s="89"/>
      <c r="R130" s="89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</row>
    <row r="131" spans="1:33" ht="24" customHeight="1" x14ac:dyDescent="0.2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8"/>
      <c r="N131" s="88"/>
      <c r="O131" s="8"/>
      <c r="P131" s="8"/>
      <c r="Q131" s="89"/>
      <c r="R131" s="89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</row>
    <row r="132" spans="1:33" ht="24" customHeight="1" x14ac:dyDescent="0.2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8"/>
      <c r="N132" s="88"/>
      <c r="O132" s="8"/>
      <c r="P132" s="8"/>
      <c r="Q132" s="89"/>
      <c r="R132" s="89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</row>
    <row r="133" spans="1:33" ht="24" customHeight="1" x14ac:dyDescent="0.2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8"/>
      <c r="N133" s="88"/>
      <c r="O133" s="8"/>
      <c r="P133" s="8"/>
      <c r="Q133" s="89"/>
      <c r="R133" s="89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</row>
    <row r="134" spans="1:33" ht="24" customHeight="1" x14ac:dyDescent="0.2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8"/>
      <c r="N134" s="88"/>
      <c r="O134" s="8"/>
      <c r="P134" s="8"/>
      <c r="Q134" s="89"/>
      <c r="R134" s="89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</row>
    <row r="135" spans="1:33" ht="24" customHeight="1" x14ac:dyDescent="0.2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8"/>
      <c r="N135" s="88"/>
      <c r="O135" s="8"/>
      <c r="P135" s="8"/>
      <c r="Q135" s="89"/>
      <c r="R135" s="89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</row>
    <row r="136" spans="1:33" ht="24" customHeight="1" x14ac:dyDescent="0.2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8"/>
      <c r="N136" s="88"/>
      <c r="O136" s="8"/>
      <c r="P136" s="8"/>
      <c r="Q136" s="89"/>
      <c r="R136" s="89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</row>
    <row r="137" spans="1:33" ht="24" customHeight="1" x14ac:dyDescent="0.2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8"/>
      <c r="N137" s="88"/>
      <c r="O137" s="8"/>
      <c r="P137" s="8"/>
      <c r="Q137" s="89"/>
      <c r="R137" s="89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</row>
    <row r="138" spans="1:33" ht="24" customHeight="1" x14ac:dyDescent="0.2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8"/>
      <c r="N138" s="88"/>
      <c r="O138" s="8"/>
      <c r="P138" s="8"/>
      <c r="Q138" s="89"/>
      <c r="R138" s="89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</row>
    <row r="139" spans="1:33" ht="24" customHeight="1" x14ac:dyDescent="0.2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8"/>
      <c r="N139" s="88"/>
      <c r="O139" s="8"/>
      <c r="P139" s="8"/>
      <c r="Q139" s="89"/>
      <c r="R139" s="89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</row>
    <row r="140" spans="1:33" ht="24" customHeight="1" x14ac:dyDescent="0.2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8"/>
      <c r="N140" s="88"/>
      <c r="O140" s="8"/>
      <c r="P140" s="8"/>
      <c r="Q140" s="89"/>
      <c r="R140" s="89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</row>
    <row r="141" spans="1:33" ht="24" customHeight="1" x14ac:dyDescent="0.2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8"/>
      <c r="N141" s="88"/>
      <c r="O141" s="8"/>
      <c r="P141" s="8"/>
      <c r="Q141" s="89"/>
      <c r="R141" s="89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</row>
    <row r="142" spans="1:33" ht="24" customHeight="1" x14ac:dyDescent="0.2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8"/>
      <c r="N142" s="88"/>
      <c r="O142" s="8"/>
      <c r="P142" s="8"/>
      <c r="Q142" s="89"/>
      <c r="R142" s="89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</row>
    <row r="143" spans="1:33" ht="24" customHeight="1" x14ac:dyDescent="0.2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8"/>
      <c r="N143" s="88"/>
      <c r="O143" s="8"/>
      <c r="P143" s="8"/>
      <c r="Q143" s="89"/>
      <c r="R143" s="89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</row>
    <row r="144" spans="1:33" ht="24" customHeight="1" x14ac:dyDescent="0.2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8"/>
      <c r="N144" s="88"/>
      <c r="O144" s="8"/>
      <c r="P144" s="8"/>
      <c r="Q144" s="89"/>
      <c r="R144" s="89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</row>
    <row r="145" spans="1:33" ht="24" customHeight="1" x14ac:dyDescent="0.2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8"/>
      <c r="N145" s="88"/>
      <c r="O145" s="8"/>
      <c r="P145" s="8"/>
      <c r="Q145" s="89"/>
      <c r="R145" s="89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</row>
    <row r="146" spans="1:33" ht="24" customHeight="1" x14ac:dyDescent="0.2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8"/>
      <c r="N146" s="88"/>
      <c r="O146" s="8"/>
      <c r="P146" s="8"/>
      <c r="Q146" s="89"/>
      <c r="R146" s="89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</row>
    <row r="147" spans="1:33" ht="24" customHeight="1" x14ac:dyDescent="0.2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8"/>
      <c r="N147" s="88"/>
      <c r="O147" s="8"/>
      <c r="P147" s="8"/>
      <c r="Q147" s="89"/>
      <c r="R147" s="89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</row>
    <row r="148" spans="1:33" ht="24" customHeight="1" x14ac:dyDescent="0.2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8"/>
      <c r="N148" s="88"/>
      <c r="O148" s="8"/>
      <c r="P148" s="8"/>
      <c r="Q148" s="89"/>
      <c r="R148" s="89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</row>
    <row r="149" spans="1:33" ht="24" customHeight="1" x14ac:dyDescent="0.2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8"/>
      <c r="N149" s="88"/>
      <c r="O149" s="8"/>
      <c r="P149" s="8"/>
      <c r="Q149" s="89"/>
      <c r="R149" s="89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</row>
    <row r="150" spans="1:33" ht="24" customHeight="1" x14ac:dyDescent="0.2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8"/>
      <c r="N150" s="88"/>
      <c r="O150" s="8"/>
      <c r="P150" s="8"/>
      <c r="Q150" s="89"/>
      <c r="R150" s="89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</row>
    <row r="151" spans="1:33" ht="24" customHeight="1" x14ac:dyDescent="0.2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8"/>
      <c r="N151" s="88"/>
      <c r="O151" s="8"/>
      <c r="P151" s="8"/>
      <c r="Q151" s="89"/>
      <c r="R151" s="89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</row>
    <row r="152" spans="1:33" ht="24" customHeight="1" x14ac:dyDescent="0.2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8"/>
      <c r="N152" s="88"/>
      <c r="O152" s="8"/>
      <c r="P152" s="8"/>
      <c r="Q152" s="89"/>
      <c r="R152" s="89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</row>
    <row r="153" spans="1:33" ht="24" customHeight="1" x14ac:dyDescent="0.2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8"/>
      <c r="N153" s="88"/>
      <c r="O153" s="8"/>
      <c r="P153" s="8"/>
      <c r="Q153" s="89"/>
      <c r="R153" s="89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</row>
    <row r="154" spans="1:33" ht="24" customHeight="1" x14ac:dyDescent="0.2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8"/>
      <c r="N154" s="88"/>
      <c r="O154" s="8"/>
      <c r="P154" s="8"/>
      <c r="Q154" s="89"/>
      <c r="R154" s="89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</row>
    <row r="155" spans="1:33" ht="24" customHeight="1" x14ac:dyDescent="0.2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8"/>
      <c r="N155" s="88"/>
      <c r="O155" s="8"/>
      <c r="P155" s="8"/>
      <c r="Q155" s="89"/>
      <c r="R155" s="89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</row>
    <row r="156" spans="1:33" ht="24" customHeight="1" x14ac:dyDescent="0.2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8"/>
      <c r="N156" s="88"/>
      <c r="O156" s="8"/>
      <c r="P156" s="8"/>
      <c r="Q156" s="89"/>
      <c r="R156" s="89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</row>
    <row r="157" spans="1:33" ht="24" customHeight="1" x14ac:dyDescent="0.2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8"/>
      <c r="N157" s="88"/>
      <c r="O157" s="8"/>
      <c r="P157" s="8"/>
      <c r="Q157" s="89"/>
      <c r="R157" s="89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</row>
    <row r="158" spans="1:33" ht="24" customHeight="1" x14ac:dyDescent="0.2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8"/>
      <c r="N158" s="88"/>
      <c r="O158" s="8"/>
      <c r="P158" s="8"/>
      <c r="Q158" s="89"/>
      <c r="R158" s="89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</row>
    <row r="159" spans="1:33" ht="24" customHeight="1" x14ac:dyDescent="0.2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8"/>
      <c r="N159" s="88"/>
      <c r="O159" s="8"/>
      <c r="P159" s="8"/>
      <c r="Q159" s="89"/>
      <c r="R159" s="89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</row>
    <row r="160" spans="1:33" ht="24" customHeight="1" x14ac:dyDescent="0.2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8"/>
      <c r="N160" s="88"/>
      <c r="O160" s="8"/>
      <c r="P160" s="8"/>
      <c r="Q160" s="89"/>
      <c r="R160" s="89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</row>
    <row r="161" spans="1:33" ht="24" customHeight="1" x14ac:dyDescent="0.2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8"/>
      <c r="N161" s="88"/>
      <c r="O161" s="8"/>
      <c r="P161" s="8"/>
      <c r="Q161" s="89"/>
      <c r="R161" s="89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</row>
    <row r="162" spans="1:33" ht="24" customHeight="1" x14ac:dyDescent="0.2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8"/>
      <c r="N162" s="88"/>
      <c r="O162" s="8"/>
      <c r="P162" s="8"/>
      <c r="Q162" s="89"/>
      <c r="R162" s="89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</row>
    <row r="163" spans="1:33" ht="24" customHeight="1" x14ac:dyDescent="0.2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8"/>
      <c r="N163" s="88"/>
      <c r="O163" s="8"/>
      <c r="P163" s="8"/>
      <c r="Q163" s="89"/>
      <c r="R163" s="89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</row>
    <row r="164" spans="1:33" ht="24" customHeight="1" x14ac:dyDescent="0.2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8"/>
      <c r="N164" s="88"/>
      <c r="O164" s="8"/>
      <c r="P164" s="8"/>
      <c r="Q164" s="89"/>
      <c r="R164" s="89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</row>
    <row r="165" spans="1:33" ht="24" customHeight="1" x14ac:dyDescent="0.2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8"/>
      <c r="N165" s="88"/>
      <c r="O165" s="8"/>
      <c r="P165" s="8"/>
      <c r="Q165" s="89"/>
      <c r="R165" s="89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</row>
    <row r="166" spans="1:33" ht="24" customHeight="1" x14ac:dyDescent="0.2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8"/>
      <c r="N166" s="88"/>
      <c r="O166" s="8"/>
      <c r="P166" s="8"/>
      <c r="Q166" s="89"/>
      <c r="R166" s="89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</row>
    <row r="167" spans="1:33" ht="24" customHeight="1" x14ac:dyDescent="0.2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8"/>
      <c r="N167" s="88"/>
      <c r="O167" s="8"/>
      <c r="P167" s="8"/>
      <c r="Q167" s="89"/>
      <c r="R167" s="89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</row>
    <row r="168" spans="1:33" ht="24" customHeight="1" x14ac:dyDescent="0.2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8"/>
      <c r="N168" s="88"/>
      <c r="O168" s="8"/>
      <c r="P168" s="8"/>
      <c r="Q168" s="89"/>
      <c r="R168" s="89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</row>
    <row r="169" spans="1:33" ht="24" customHeight="1" x14ac:dyDescent="0.2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8"/>
      <c r="N169" s="88"/>
      <c r="O169" s="8"/>
      <c r="P169" s="8"/>
      <c r="Q169" s="89"/>
      <c r="R169" s="89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</row>
    <row r="170" spans="1:33" ht="24" customHeight="1" x14ac:dyDescent="0.2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8"/>
      <c r="N170" s="88"/>
      <c r="O170" s="8"/>
      <c r="P170" s="8"/>
      <c r="Q170" s="89"/>
      <c r="R170" s="89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</row>
    <row r="171" spans="1:33" ht="24" customHeight="1" x14ac:dyDescent="0.2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8"/>
      <c r="N171" s="88"/>
      <c r="O171" s="8"/>
      <c r="P171" s="8"/>
      <c r="Q171" s="89"/>
      <c r="R171" s="89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</row>
    <row r="172" spans="1:33" ht="24" customHeight="1" x14ac:dyDescent="0.2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8"/>
      <c r="N172" s="88"/>
      <c r="O172" s="8"/>
      <c r="P172" s="8"/>
      <c r="Q172" s="89"/>
      <c r="R172" s="89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</row>
    <row r="173" spans="1:33" ht="24" customHeight="1" x14ac:dyDescent="0.2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8"/>
      <c r="N173" s="88"/>
      <c r="O173" s="8"/>
      <c r="P173" s="8"/>
      <c r="Q173" s="89"/>
      <c r="R173" s="89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</row>
    <row r="174" spans="1:33" ht="24" customHeight="1" x14ac:dyDescent="0.2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8"/>
      <c r="N174" s="88"/>
      <c r="O174" s="8"/>
      <c r="P174" s="8"/>
      <c r="Q174" s="89"/>
      <c r="R174" s="89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</row>
    <row r="175" spans="1:33" ht="24" customHeight="1" x14ac:dyDescent="0.2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8"/>
      <c r="N175" s="88"/>
      <c r="O175" s="8"/>
      <c r="P175" s="8"/>
      <c r="Q175" s="89"/>
      <c r="R175" s="89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</row>
    <row r="176" spans="1:33" ht="24" customHeight="1" x14ac:dyDescent="0.2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8"/>
      <c r="N176" s="88"/>
      <c r="O176" s="8"/>
      <c r="P176" s="8"/>
      <c r="Q176" s="89"/>
      <c r="R176" s="89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</row>
    <row r="177" spans="1:33" ht="24" customHeight="1" x14ac:dyDescent="0.2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8"/>
      <c r="N177" s="88"/>
      <c r="O177" s="8"/>
      <c r="P177" s="8"/>
      <c r="Q177" s="89"/>
      <c r="R177" s="89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</row>
    <row r="178" spans="1:33" ht="24" customHeight="1" x14ac:dyDescent="0.2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8"/>
      <c r="N178" s="88"/>
      <c r="O178" s="8"/>
      <c r="P178" s="8"/>
      <c r="Q178" s="89"/>
      <c r="R178" s="89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</row>
    <row r="179" spans="1:33" ht="24" customHeight="1" x14ac:dyDescent="0.2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8"/>
      <c r="N179" s="88"/>
      <c r="O179" s="8"/>
      <c r="P179" s="8"/>
      <c r="Q179" s="89"/>
      <c r="R179" s="89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</row>
    <row r="180" spans="1:33" ht="24" customHeight="1" x14ac:dyDescent="0.2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8"/>
      <c r="N180" s="88"/>
      <c r="O180" s="8"/>
      <c r="P180" s="8"/>
      <c r="Q180" s="89"/>
      <c r="R180" s="89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</row>
    <row r="181" spans="1:33" ht="24" customHeight="1" x14ac:dyDescent="0.2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8"/>
      <c r="N181" s="88"/>
      <c r="O181" s="8"/>
      <c r="P181" s="8"/>
      <c r="Q181" s="89"/>
      <c r="R181" s="89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</row>
    <row r="182" spans="1:33" ht="24" customHeight="1" x14ac:dyDescent="0.2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8"/>
      <c r="N182" s="88"/>
      <c r="O182" s="8"/>
      <c r="P182" s="8"/>
      <c r="Q182" s="89"/>
      <c r="R182" s="89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</row>
    <row r="183" spans="1:33" ht="24" customHeight="1" x14ac:dyDescent="0.2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8"/>
      <c r="N183" s="88"/>
      <c r="O183" s="8"/>
      <c r="P183" s="8"/>
      <c r="Q183" s="89"/>
      <c r="R183" s="89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</row>
    <row r="184" spans="1:33" ht="24" customHeight="1" x14ac:dyDescent="0.2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8"/>
      <c r="N184" s="88"/>
      <c r="O184" s="8"/>
      <c r="P184" s="8"/>
      <c r="Q184" s="89"/>
      <c r="R184" s="89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</row>
    <row r="185" spans="1:33" ht="24" customHeight="1" x14ac:dyDescent="0.2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8"/>
      <c r="N185" s="88"/>
      <c r="O185" s="8"/>
      <c r="P185" s="8"/>
      <c r="Q185" s="89"/>
      <c r="R185" s="89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</row>
    <row r="186" spans="1:33" ht="24" customHeight="1" x14ac:dyDescent="0.2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8"/>
      <c r="N186" s="88"/>
      <c r="O186" s="8"/>
      <c r="P186" s="8"/>
      <c r="Q186" s="89"/>
      <c r="R186" s="89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</row>
    <row r="187" spans="1:33" ht="24" customHeight="1" x14ac:dyDescent="0.2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8"/>
      <c r="N187" s="88"/>
      <c r="O187" s="8"/>
      <c r="P187" s="8"/>
      <c r="Q187" s="89"/>
      <c r="R187" s="89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</row>
    <row r="188" spans="1:33" ht="24" customHeight="1" x14ac:dyDescent="0.2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8"/>
      <c r="N188" s="88"/>
      <c r="O188" s="8"/>
      <c r="P188" s="8"/>
      <c r="Q188" s="89"/>
      <c r="R188" s="89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</row>
    <row r="189" spans="1:33" ht="24" customHeight="1" x14ac:dyDescent="0.2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8"/>
      <c r="N189" s="88"/>
      <c r="O189" s="8"/>
      <c r="P189" s="8"/>
      <c r="Q189" s="89"/>
      <c r="R189" s="89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</row>
    <row r="190" spans="1:33" ht="24" customHeight="1" x14ac:dyDescent="0.2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8"/>
      <c r="N190" s="88"/>
      <c r="O190" s="8"/>
      <c r="P190" s="8"/>
      <c r="Q190" s="89"/>
      <c r="R190" s="89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</row>
    <row r="191" spans="1:33" ht="24" customHeight="1" x14ac:dyDescent="0.2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8"/>
      <c r="N191" s="88"/>
      <c r="O191" s="8"/>
      <c r="P191" s="8"/>
      <c r="Q191" s="89"/>
      <c r="R191" s="89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</row>
    <row r="192" spans="1:33" ht="24" customHeight="1" x14ac:dyDescent="0.2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8"/>
      <c r="N192" s="88"/>
      <c r="O192" s="8"/>
      <c r="P192" s="8"/>
      <c r="Q192" s="89"/>
      <c r="R192" s="89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</row>
    <row r="193" spans="1:33" ht="24" customHeight="1" x14ac:dyDescent="0.2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8"/>
      <c r="N193" s="88"/>
      <c r="O193" s="8"/>
      <c r="P193" s="8"/>
      <c r="Q193" s="89"/>
      <c r="R193" s="89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</row>
    <row r="194" spans="1:33" ht="24" customHeight="1" x14ac:dyDescent="0.2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8"/>
      <c r="N194" s="88"/>
      <c r="O194" s="8"/>
      <c r="P194" s="8"/>
      <c r="Q194" s="89"/>
      <c r="R194" s="89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</row>
    <row r="195" spans="1:33" ht="24" customHeight="1" x14ac:dyDescent="0.2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8"/>
      <c r="N195" s="88"/>
      <c r="O195" s="8"/>
      <c r="P195" s="8"/>
      <c r="Q195" s="89"/>
      <c r="R195" s="89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</row>
    <row r="196" spans="1:33" ht="24" customHeight="1" x14ac:dyDescent="0.2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8"/>
      <c r="N196" s="88"/>
      <c r="O196" s="8"/>
      <c r="P196" s="8"/>
      <c r="Q196" s="89"/>
      <c r="R196" s="89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</row>
    <row r="197" spans="1:33" ht="24" customHeight="1" x14ac:dyDescent="0.2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8"/>
      <c r="N197" s="88"/>
      <c r="O197" s="8"/>
      <c r="P197" s="8"/>
      <c r="Q197" s="89"/>
      <c r="R197" s="89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</row>
    <row r="198" spans="1:33" ht="24" customHeight="1" x14ac:dyDescent="0.2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8"/>
      <c r="N198" s="88"/>
      <c r="O198" s="8"/>
      <c r="P198" s="8"/>
      <c r="Q198" s="89"/>
      <c r="R198" s="89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</row>
    <row r="199" spans="1:33" ht="24" customHeight="1" x14ac:dyDescent="0.2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8"/>
      <c r="N199" s="88"/>
      <c r="O199" s="8"/>
      <c r="P199" s="8"/>
      <c r="Q199" s="89"/>
      <c r="R199" s="89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</row>
    <row r="200" spans="1:33" ht="24" customHeight="1" x14ac:dyDescent="0.2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8"/>
      <c r="N200" s="88"/>
      <c r="O200" s="8"/>
      <c r="P200" s="8"/>
      <c r="Q200" s="89"/>
      <c r="R200" s="89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</row>
    <row r="201" spans="1:33" ht="24" customHeight="1" x14ac:dyDescent="0.2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8"/>
      <c r="N201" s="88"/>
      <c r="O201" s="8"/>
      <c r="P201" s="8"/>
      <c r="Q201" s="89"/>
      <c r="R201" s="89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</row>
    <row r="202" spans="1:33" ht="24" customHeight="1" x14ac:dyDescent="0.2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8"/>
      <c r="N202" s="88"/>
      <c r="O202" s="8"/>
      <c r="P202" s="8"/>
      <c r="Q202" s="89"/>
      <c r="R202" s="89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</row>
    <row r="203" spans="1:33" ht="24" customHeight="1" x14ac:dyDescent="0.2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8"/>
      <c r="N203" s="88"/>
      <c r="O203" s="8"/>
      <c r="P203" s="8"/>
      <c r="Q203" s="89"/>
      <c r="R203" s="89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</row>
    <row r="204" spans="1:33" ht="24" customHeight="1" x14ac:dyDescent="0.2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8"/>
      <c r="N204" s="88"/>
      <c r="O204" s="8"/>
      <c r="P204" s="8"/>
      <c r="Q204" s="89"/>
      <c r="R204" s="89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</row>
    <row r="205" spans="1:33" ht="24" customHeight="1" x14ac:dyDescent="0.2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8"/>
      <c r="N205" s="88"/>
      <c r="O205" s="8"/>
      <c r="P205" s="8"/>
      <c r="Q205" s="89"/>
      <c r="R205" s="89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</row>
    <row r="206" spans="1:33" ht="24" customHeight="1" x14ac:dyDescent="0.2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8"/>
      <c r="N206" s="88"/>
      <c r="O206" s="8"/>
      <c r="P206" s="8"/>
      <c r="Q206" s="89"/>
      <c r="R206" s="89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</row>
    <row r="207" spans="1:33" ht="24" customHeight="1" x14ac:dyDescent="0.2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8"/>
      <c r="N207" s="88"/>
      <c r="O207" s="8"/>
      <c r="P207" s="8"/>
      <c r="Q207" s="89"/>
      <c r="R207" s="89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</row>
    <row r="208" spans="1:33" ht="24" customHeight="1" x14ac:dyDescent="0.2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8"/>
      <c r="N208" s="88"/>
      <c r="O208" s="8"/>
      <c r="P208" s="8"/>
      <c r="Q208" s="89"/>
      <c r="R208" s="89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</row>
    <row r="209" spans="1:33" ht="24" customHeight="1" x14ac:dyDescent="0.2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8"/>
      <c r="N209" s="88"/>
      <c r="O209" s="8"/>
      <c r="P209" s="8"/>
      <c r="Q209" s="89"/>
      <c r="R209" s="89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</row>
    <row r="210" spans="1:33" ht="24" customHeight="1" x14ac:dyDescent="0.2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8"/>
      <c r="N210" s="88"/>
      <c r="O210" s="8"/>
      <c r="P210" s="8"/>
      <c r="Q210" s="89"/>
      <c r="R210" s="89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</row>
    <row r="211" spans="1:33" ht="24" customHeight="1" x14ac:dyDescent="0.2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8"/>
      <c r="N211" s="88"/>
      <c r="O211" s="8"/>
      <c r="P211" s="8"/>
      <c r="Q211" s="89"/>
      <c r="R211" s="89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</row>
    <row r="212" spans="1:33" ht="24" customHeight="1" x14ac:dyDescent="0.2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8"/>
      <c r="N212" s="88"/>
      <c r="O212" s="8"/>
      <c r="P212" s="8"/>
      <c r="Q212" s="89"/>
      <c r="R212" s="89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</row>
    <row r="213" spans="1:33" ht="24" customHeight="1" x14ac:dyDescent="0.2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8"/>
      <c r="N213" s="88"/>
      <c r="O213" s="8"/>
      <c r="P213" s="8"/>
      <c r="Q213" s="89"/>
      <c r="R213" s="89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</row>
    <row r="214" spans="1:33" ht="24" customHeight="1" x14ac:dyDescent="0.2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8"/>
      <c r="N214" s="88"/>
      <c r="O214" s="8"/>
      <c r="P214" s="8"/>
      <c r="Q214" s="89"/>
      <c r="R214" s="89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</row>
    <row r="215" spans="1:33" ht="24" customHeight="1" x14ac:dyDescent="0.2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8"/>
      <c r="N215" s="88"/>
      <c r="O215" s="8"/>
      <c r="P215" s="8"/>
      <c r="Q215" s="89"/>
      <c r="R215" s="89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</row>
    <row r="216" spans="1:33" ht="24" customHeight="1" x14ac:dyDescent="0.2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8"/>
      <c r="N216" s="88"/>
      <c r="O216" s="8"/>
      <c r="P216" s="8"/>
      <c r="Q216" s="89"/>
      <c r="R216" s="89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</row>
    <row r="217" spans="1:33" ht="24" customHeight="1" x14ac:dyDescent="0.2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8"/>
      <c r="N217" s="88"/>
      <c r="O217" s="8"/>
      <c r="P217" s="8"/>
      <c r="Q217" s="89"/>
      <c r="R217" s="89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</row>
    <row r="218" spans="1:33" ht="24" customHeight="1" x14ac:dyDescent="0.2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8"/>
      <c r="N218" s="88"/>
      <c r="O218" s="8"/>
      <c r="P218" s="8"/>
      <c r="Q218" s="89"/>
      <c r="R218" s="89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</row>
    <row r="219" spans="1:33" ht="24" customHeight="1" x14ac:dyDescent="0.2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8"/>
      <c r="N219" s="88"/>
      <c r="O219" s="8"/>
      <c r="P219" s="8"/>
      <c r="Q219" s="89"/>
      <c r="R219" s="89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</row>
    <row r="220" spans="1:33" ht="24" customHeight="1" x14ac:dyDescent="0.2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8"/>
      <c r="N220" s="88"/>
      <c r="O220" s="8"/>
      <c r="P220" s="8"/>
      <c r="Q220" s="89"/>
      <c r="R220" s="89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</row>
    <row r="221" spans="1:33" ht="24" customHeight="1" x14ac:dyDescent="0.2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8"/>
      <c r="N221" s="88"/>
      <c r="O221" s="8"/>
      <c r="P221" s="8"/>
      <c r="Q221" s="89"/>
      <c r="R221" s="89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</row>
    <row r="222" spans="1:33" ht="24" customHeight="1" x14ac:dyDescent="0.2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8"/>
      <c r="N222" s="88"/>
      <c r="O222" s="8"/>
      <c r="P222" s="8"/>
      <c r="Q222" s="89"/>
      <c r="R222" s="89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</row>
    <row r="223" spans="1:33" ht="24" customHeight="1" x14ac:dyDescent="0.2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8"/>
      <c r="N223" s="88"/>
      <c r="O223" s="8"/>
      <c r="P223" s="8"/>
      <c r="Q223" s="89"/>
      <c r="R223" s="89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</row>
    <row r="224" spans="1:33" ht="24" customHeight="1" x14ac:dyDescent="0.2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8"/>
      <c r="N224" s="88"/>
      <c r="O224" s="8"/>
      <c r="P224" s="8"/>
      <c r="Q224" s="89"/>
      <c r="R224" s="89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</row>
    <row r="225" spans="1:33" ht="24" customHeight="1" x14ac:dyDescent="0.2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8"/>
      <c r="N225" s="88"/>
      <c r="O225" s="8"/>
      <c r="P225" s="8"/>
      <c r="Q225" s="89"/>
      <c r="R225" s="89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</row>
    <row r="226" spans="1:33" ht="24" customHeight="1" x14ac:dyDescent="0.2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8"/>
      <c r="N226" s="88"/>
      <c r="O226" s="8"/>
      <c r="P226" s="8"/>
      <c r="Q226" s="89"/>
      <c r="R226" s="89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</row>
    <row r="227" spans="1:33" ht="24" customHeight="1" x14ac:dyDescent="0.2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8"/>
      <c r="N227" s="88"/>
      <c r="O227" s="8"/>
      <c r="P227" s="8"/>
      <c r="Q227" s="89"/>
      <c r="R227" s="89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</row>
    <row r="228" spans="1:33" ht="24" customHeight="1" x14ac:dyDescent="0.2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8"/>
      <c r="N228" s="88"/>
      <c r="O228" s="8"/>
      <c r="P228" s="8"/>
      <c r="Q228" s="89"/>
      <c r="R228" s="89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</row>
    <row r="229" spans="1:33" ht="24" customHeight="1" x14ac:dyDescent="0.2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8"/>
      <c r="N229" s="88"/>
      <c r="O229" s="8"/>
      <c r="P229" s="8"/>
      <c r="Q229" s="89"/>
      <c r="R229" s="89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</row>
    <row r="230" spans="1:33" ht="24" customHeight="1" x14ac:dyDescent="0.2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8"/>
      <c r="N230" s="88"/>
      <c r="O230" s="8"/>
      <c r="P230" s="8"/>
      <c r="Q230" s="89"/>
      <c r="R230" s="89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</row>
    <row r="231" spans="1:33" ht="24" customHeight="1" x14ac:dyDescent="0.2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8"/>
      <c r="N231" s="88"/>
      <c r="O231" s="8"/>
      <c r="P231" s="8"/>
      <c r="Q231" s="89"/>
      <c r="R231" s="89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</row>
    <row r="232" spans="1:33" ht="24" customHeight="1" x14ac:dyDescent="0.2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8"/>
      <c r="N232" s="88"/>
      <c r="O232" s="8"/>
      <c r="P232" s="8"/>
      <c r="Q232" s="89"/>
      <c r="R232" s="89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</row>
    <row r="233" spans="1:33" ht="24" customHeight="1" x14ac:dyDescent="0.2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8"/>
      <c r="N233" s="88"/>
      <c r="O233" s="8"/>
      <c r="P233" s="8"/>
      <c r="Q233" s="89"/>
      <c r="R233" s="89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</row>
    <row r="234" spans="1:33" ht="24" customHeight="1" x14ac:dyDescent="0.2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8"/>
      <c r="N234" s="88"/>
      <c r="O234" s="8"/>
      <c r="P234" s="8"/>
      <c r="Q234" s="89"/>
      <c r="R234" s="89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</row>
    <row r="235" spans="1:33" ht="24" customHeight="1" x14ac:dyDescent="0.2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8"/>
      <c r="N235" s="88"/>
      <c r="O235" s="8"/>
      <c r="P235" s="8"/>
      <c r="Q235" s="89"/>
      <c r="R235" s="89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</row>
    <row r="236" spans="1:33" ht="24" customHeight="1" x14ac:dyDescent="0.2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8"/>
      <c r="N236" s="88"/>
      <c r="O236" s="8"/>
      <c r="P236" s="8"/>
      <c r="Q236" s="89"/>
      <c r="R236" s="89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</row>
    <row r="237" spans="1:33" ht="24" customHeight="1" x14ac:dyDescent="0.2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8"/>
      <c r="N237" s="88"/>
      <c r="O237" s="8"/>
      <c r="P237" s="8"/>
      <c r="Q237" s="89"/>
      <c r="R237" s="89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</row>
    <row r="238" spans="1:33" ht="24" customHeight="1" x14ac:dyDescent="0.2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8"/>
      <c r="N238" s="88"/>
      <c r="O238" s="8"/>
      <c r="P238" s="8"/>
      <c r="Q238" s="89"/>
      <c r="R238" s="89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</row>
    <row r="239" spans="1:33" ht="24" customHeight="1" x14ac:dyDescent="0.2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8"/>
      <c r="N239" s="88"/>
      <c r="O239" s="8"/>
      <c r="P239" s="8"/>
      <c r="Q239" s="89"/>
      <c r="R239" s="89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</row>
    <row r="240" spans="1:33" ht="24" customHeight="1" x14ac:dyDescent="0.2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8"/>
      <c r="N240" s="88"/>
      <c r="O240" s="8"/>
      <c r="P240" s="8"/>
      <c r="Q240" s="89"/>
      <c r="R240" s="89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</row>
    <row r="241" spans="1:33" ht="24" customHeight="1" x14ac:dyDescent="0.2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8"/>
      <c r="N241" s="88"/>
      <c r="O241" s="8"/>
      <c r="P241" s="8"/>
      <c r="Q241" s="89"/>
      <c r="R241" s="89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</row>
    <row r="242" spans="1:33" ht="24" customHeight="1" x14ac:dyDescent="0.2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8"/>
      <c r="N242" s="88"/>
      <c r="O242" s="8"/>
      <c r="P242" s="8"/>
      <c r="Q242" s="89"/>
      <c r="R242" s="89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</row>
    <row r="243" spans="1:33" ht="24" customHeight="1" x14ac:dyDescent="0.2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8"/>
      <c r="N243" s="88"/>
      <c r="O243" s="8"/>
      <c r="P243" s="8"/>
      <c r="Q243" s="89"/>
      <c r="R243" s="89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</row>
    <row r="244" spans="1:33" ht="24" customHeight="1" x14ac:dyDescent="0.2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8"/>
      <c r="N244" s="88"/>
      <c r="O244" s="8"/>
      <c r="P244" s="8"/>
      <c r="Q244" s="89"/>
      <c r="R244" s="89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</row>
    <row r="245" spans="1:33" ht="24" customHeight="1" x14ac:dyDescent="0.2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8"/>
      <c r="N245" s="88"/>
      <c r="O245" s="8"/>
      <c r="P245" s="8"/>
      <c r="Q245" s="89"/>
      <c r="R245" s="89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</row>
    <row r="246" spans="1:33" ht="24" customHeight="1" x14ac:dyDescent="0.2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8"/>
      <c r="N246" s="88"/>
      <c r="O246" s="8"/>
      <c r="P246" s="8"/>
      <c r="Q246" s="89"/>
      <c r="R246" s="89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</row>
    <row r="247" spans="1:33" ht="24" customHeight="1" x14ac:dyDescent="0.2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8"/>
      <c r="N247" s="88"/>
      <c r="O247" s="8"/>
      <c r="P247" s="8"/>
      <c r="Q247" s="89"/>
      <c r="R247" s="89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</row>
    <row r="248" spans="1:33" ht="24" customHeight="1" x14ac:dyDescent="0.2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8"/>
      <c r="N248" s="88"/>
      <c r="O248" s="8"/>
      <c r="P248" s="8"/>
      <c r="Q248" s="89"/>
      <c r="R248" s="89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</row>
    <row r="249" spans="1:33" ht="24" customHeight="1" x14ac:dyDescent="0.2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8"/>
      <c r="N249" s="88"/>
      <c r="O249" s="8"/>
      <c r="P249" s="8"/>
      <c r="Q249" s="89"/>
      <c r="R249" s="89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</row>
    <row r="250" spans="1:33" ht="24" customHeight="1" x14ac:dyDescent="0.2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8"/>
      <c r="N250" s="88"/>
      <c r="O250" s="8"/>
      <c r="P250" s="8"/>
      <c r="Q250" s="89"/>
      <c r="R250" s="89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</row>
    <row r="251" spans="1:33" ht="24" customHeight="1" x14ac:dyDescent="0.2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8"/>
      <c r="N251" s="88"/>
      <c r="O251" s="8"/>
      <c r="P251" s="8"/>
      <c r="Q251" s="89"/>
      <c r="R251" s="89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</row>
    <row r="252" spans="1:33" ht="24" customHeight="1" x14ac:dyDescent="0.2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8"/>
      <c r="N252" s="88"/>
      <c r="O252" s="8"/>
      <c r="P252" s="8"/>
      <c r="Q252" s="89"/>
      <c r="R252" s="89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</row>
    <row r="253" spans="1:33" ht="24" customHeight="1" x14ac:dyDescent="0.2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8"/>
      <c r="N253" s="88"/>
      <c r="O253" s="8"/>
      <c r="P253" s="8"/>
      <c r="Q253" s="89"/>
      <c r="R253" s="89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</row>
    <row r="254" spans="1:33" ht="24" customHeight="1" x14ac:dyDescent="0.2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8"/>
      <c r="N254" s="88"/>
      <c r="O254" s="8"/>
      <c r="P254" s="8"/>
      <c r="Q254" s="89"/>
      <c r="R254" s="89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</row>
    <row r="255" spans="1:33" ht="24" customHeight="1" x14ac:dyDescent="0.2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8"/>
      <c r="N255" s="88"/>
      <c r="O255" s="8"/>
      <c r="P255" s="8"/>
      <c r="Q255" s="89"/>
      <c r="R255" s="89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</row>
    <row r="256" spans="1:33" ht="24" customHeight="1" x14ac:dyDescent="0.2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8"/>
      <c r="N256" s="88"/>
      <c r="O256" s="8"/>
      <c r="P256" s="8"/>
      <c r="Q256" s="89"/>
      <c r="R256" s="89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</row>
    <row r="257" spans="1:33" ht="24" customHeight="1" x14ac:dyDescent="0.2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8"/>
      <c r="N257" s="88"/>
      <c r="O257" s="8"/>
      <c r="P257" s="8"/>
      <c r="Q257" s="89"/>
      <c r="R257" s="89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</row>
    <row r="258" spans="1:33" ht="24" customHeight="1" x14ac:dyDescent="0.2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8"/>
      <c r="N258" s="88"/>
      <c r="O258" s="8"/>
      <c r="P258" s="8"/>
      <c r="Q258" s="89"/>
      <c r="R258" s="89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</row>
    <row r="259" spans="1:33" ht="24" customHeight="1" x14ac:dyDescent="0.2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8"/>
      <c r="N259" s="88"/>
      <c r="O259" s="8"/>
      <c r="P259" s="8"/>
      <c r="Q259" s="89"/>
      <c r="R259" s="89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</row>
    <row r="260" spans="1:33" ht="24" customHeight="1" x14ac:dyDescent="0.2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8"/>
      <c r="N260" s="88"/>
      <c r="O260" s="8"/>
      <c r="P260" s="8"/>
      <c r="Q260" s="89"/>
      <c r="R260" s="89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</row>
    <row r="261" spans="1:33" ht="24" customHeight="1" x14ac:dyDescent="0.2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8"/>
      <c r="N261" s="88"/>
      <c r="O261" s="8"/>
      <c r="P261" s="8"/>
      <c r="Q261" s="89"/>
      <c r="R261" s="89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</row>
    <row r="262" spans="1:33" ht="24" customHeight="1" x14ac:dyDescent="0.2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8"/>
      <c r="N262" s="88"/>
      <c r="O262" s="8"/>
      <c r="P262" s="8"/>
      <c r="Q262" s="89"/>
      <c r="R262" s="89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</row>
    <row r="263" spans="1:33" ht="24" customHeight="1" x14ac:dyDescent="0.2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8"/>
      <c r="N263" s="88"/>
      <c r="O263" s="8"/>
      <c r="P263" s="8"/>
      <c r="Q263" s="89"/>
      <c r="R263" s="89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</row>
    <row r="264" spans="1:33" ht="24" customHeight="1" x14ac:dyDescent="0.2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8"/>
      <c r="N264" s="88"/>
      <c r="O264" s="8"/>
      <c r="P264" s="8"/>
      <c r="Q264" s="89"/>
      <c r="R264" s="89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</row>
    <row r="265" spans="1:33" ht="24" customHeight="1" x14ac:dyDescent="0.2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8"/>
      <c r="N265" s="88"/>
      <c r="O265" s="8"/>
      <c r="P265" s="8"/>
      <c r="Q265" s="89"/>
      <c r="R265" s="89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</row>
    <row r="266" spans="1:33" ht="24" customHeight="1" x14ac:dyDescent="0.2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8"/>
      <c r="N266" s="88"/>
      <c r="O266" s="8"/>
      <c r="P266" s="8"/>
      <c r="Q266" s="89"/>
      <c r="R266" s="89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</row>
    <row r="267" spans="1:33" ht="24" customHeight="1" x14ac:dyDescent="0.2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8"/>
      <c r="N267" s="88"/>
      <c r="O267" s="8"/>
      <c r="P267" s="8"/>
      <c r="Q267" s="89"/>
      <c r="R267" s="89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</row>
    <row r="268" spans="1:33" ht="24" customHeight="1" x14ac:dyDescent="0.2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8"/>
      <c r="N268" s="88"/>
      <c r="O268" s="8"/>
      <c r="P268" s="8"/>
      <c r="Q268" s="89"/>
      <c r="R268" s="89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</row>
    <row r="269" spans="1:33" ht="24" customHeight="1" x14ac:dyDescent="0.2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8"/>
      <c r="N269" s="88"/>
      <c r="O269" s="8"/>
      <c r="P269" s="8"/>
      <c r="Q269" s="89"/>
      <c r="R269" s="89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</row>
    <row r="270" spans="1:33" ht="24" customHeight="1" x14ac:dyDescent="0.2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8"/>
      <c r="N270" s="88"/>
      <c r="O270" s="8"/>
      <c r="P270" s="8"/>
      <c r="Q270" s="89"/>
      <c r="R270" s="89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</row>
    <row r="271" spans="1:33" ht="24" customHeight="1" x14ac:dyDescent="0.2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8"/>
      <c r="N271" s="88"/>
      <c r="O271" s="8"/>
      <c r="P271" s="8"/>
      <c r="Q271" s="89"/>
      <c r="R271" s="89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</row>
    <row r="272" spans="1:33" ht="24" customHeight="1" x14ac:dyDescent="0.2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8"/>
      <c r="N272" s="88"/>
      <c r="O272" s="8"/>
      <c r="P272" s="8"/>
      <c r="Q272" s="89"/>
      <c r="R272" s="89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</row>
    <row r="273" spans="1:33" ht="24" customHeight="1" x14ac:dyDescent="0.2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8"/>
      <c r="N273" s="88"/>
      <c r="O273" s="8"/>
      <c r="P273" s="8"/>
      <c r="Q273" s="89"/>
      <c r="R273" s="89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</row>
    <row r="274" spans="1:33" ht="24" customHeight="1" x14ac:dyDescent="0.2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8"/>
      <c r="N274" s="88"/>
      <c r="O274" s="8"/>
      <c r="P274" s="8"/>
      <c r="Q274" s="89"/>
      <c r="R274" s="89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</row>
    <row r="275" spans="1:33" ht="24" customHeight="1" x14ac:dyDescent="0.2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8"/>
      <c r="N275" s="88"/>
      <c r="O275" s="8"/>
      <c r="P275" s="8"/>
      <c r="Q275" s="89"/>
      <c r="R275" s="89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</row>
    <row r="276" spans="1:33" ht="24" customHeight="1" x14ac:dyDescent="0.2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8"/>
      <c r="N276" s="88"/>
      <c r="O276" s="8"/>
      <c r="P276" s="8"/>
      <c r="Q276" s="89"/>
      <c r="R276" s="89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</row>
    <row r="277" spans="1:33" ht="24" customHeight="1" x14ac:dyDescent="0.2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8"/>
      <c r="N277" s="88"/>
      <c r="O277" s="8"/>
      <c r="P277" s="8"/>
      <c r="Q277" s="89"/>
      <c r="R277" s="89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</row>
    <row r="278" spans="1:33" ht="24" customHeight="1" x14ac:dyDescent="0.2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8"/>
      <c r="N278" s="88"/>
      <c r="O278" s="8"/>
      <c r="P278" s="8"/>
      <c r="Q278" s="89"/>
      <c r="R278" s="89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</row>
    <row r="279" spans="1:33" ht="24" customHeight="1" x14ac:dyDescent="0.2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8"/>
      <c r="N279" s="88"/>
      <c r="O279" s="8"/>
      <c r="P279" s="8"/>
      <c r="Q279" s="89"/>
      <c r="R279" s="89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</row>
    <row r="280" spans="1:33" ht="24" customHeight="1" x14ac:dyDescent="0.2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8"/>
      <c r="N280" s="88"/>
      <c r="O280" s="8"/>
      <c r="P280" s="8"/>
      <c r="Q280" s="89"/>
      <c r="R280" s="89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</row>
    <row r="281" spans="1:33" ht="24" customHeight="1" x14ac:dyDescent="0.2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8"/>
      <c r="N281" s="88"/>
      <c r="O281" s="8"/>
      <c r="P281" s="8"/>
      <c r="Q281" s="89"/>
      <c r="R281" s="89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</row>
    <row r="282" spans="1:33" ht="24" customHeight="1" x14ac:dyDescent="0.2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8"/>
      <c r="N282" s="88"/>
      <c r="O282" s="8"/>
      <c r="P282" s="8"/>
      <c r="Q282" s="89"/>
      <c r="R282" s="89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</row>
    <row r="283" spans="1:33" ht="24" customHeight="1" x14ac:dyDescent="0.2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8"/>
      <c r="N283" s="88"/>
      <c r="O283" s="8"/>
      <c r="P283" s="8"/>
      <c r="Q283" s="89"/>
      <c r="R283" s="89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</row>
    <row r="284" spans="1:33" ht="24" customHeight="1" x14ac:dyDescent="0.2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8"/>
      <c r="N284" s="88"/>
      <c r="O284" s="8"/>
      <c r="P284" s="8"/>
      <c r="Q284" s="89"/>
      <c r="R284" s="89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</row>
    <row r="285" spans="1:33" ht="24" customHeight="1" x14ac:dyDescent="0.2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8"/>
      <c r="N285" s="88"/>
      <c r="O285" s="8"/>
      <c r="P285" s="8"/>
      <c r="Q285" s="89"/>
      <c r="R285" s="89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</row>
    <row r="286" spans="1:33" ht="24" customHeight="1" x14ac:dyDescent="0.2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8"/>
      <c r="N286" s="88"/>
      <c r="O286" s="8"/>
      <c r="P286" s="8"/>
      <c r="Q286" s="89"/>
      <c r="R286" s="89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</row>
    <row r="287" spans="1:33" ht="24" customHeight="1" x14ac:dyDescent="0.2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8"/>
      <c r="N287" s="88"/>
      <c r="O287" s="8"/>
      <c r="P287" s="8"/>
      <c r="Q287" s="89"/>
      <c r="R287" s="89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</row>
    <row r="288" spans="1:33" ht="24" customHeight="1" x14ac:dyDescent="0.2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8"/>
      <c r="N288" s="88"/>
      <c r="O288" s="8"/>
      <c r="P288" s="8"/>
      <c r="Q288" s="89"/>
      <c r="R288" s="89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</row>
    <row r="289" spans="1:33" ht="24" customHeight="1" x14ac:dyDescent="0.2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8"/>
      <c r="N289" s="88"/>
      <c r="O289" s="8"/>
      <c r="P289" s="8"/>
      <c r="Q289" s="89"/>
      <c r="R289" s="89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</row>
    <row r="290" spans="1:33" ht="24" customHeight="1" x14ac:dyDescent="0.2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8"/>
      <c r="N290" s="88"/>
      <c r="O290" s="8"/>
      <c r="P290" s="8"/>
      <c r="Q290" s="89"/>
      <c r="R290" s="89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</row>
    <row r="291" spans="1:33" ht="24" customHeight="1" x14ac:dyDescent="0.2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8"/>
      <c r="N291" s="88"/>
      <c r="O291" s="8"/>
      <c r="P291" s="8"/>
      <c r="Q291" s="89"/>
      <c r="R291" s="89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</row>
    <row r="292" spans="1:33" ht="24" customHeight="1" x14ac:dyDescent="0.2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8"/>
      <c r="N292" s="88"/>
      <c r="O292" s="8"/>
      <c r="P292" s="8"/>
      <c r="Q292" s="89"/>
      <c r="R292" s="89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</row>
    <row r="293" spans="1:33" ht="24" customHeight="1" x14ac:dyDescent="0.2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8"/>
      <c r="N293" s="88"/>
      <c r="O293" s="8"/>
      <c r="P293" s="8"/>
      <c r="Q293" s="89"/>
      <c r="R293" s="89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</row>
    <row r="294" spans="1:33" ht="24" customHeight="1" x14ac:dyDescent="0.2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8"/>
      <c r="N294" s="88"/>
      <c r="O294" s="8"/>
      <c r="P294" s="8"/>
      <c r="Q294" s="89"/>
      <c r="R294" s="89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</row>
    <row r="295" spans="1:33" ht="24" customHeight="1" x14ac:dyDescent="0.2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8"/>
      <c r="N295" s="88"/>
      <c r="O295" s="8"/>
      <c r="P295" s="8"/>
      <c r="Q295" s="89"/>
      <c r="R295" s="89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</row>
    <row r="296" spans="1:33" ht="24" customHeight="1" x14ac:dyDescent="0.2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8"/>
      <c r="N296" s="88"/>
      <c r="O296" s="8"/>
      <c r="P296" s="8"/>
      <c r="Q296" s="89"/>
      <c r="R296" s="89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</row>
    <row r="297" spans="1:33" ht="24" customHeight="1" x14ac:dyDescent="0.2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8"/>
      <c r="N297" s="88"/>
      <c r="O297" s="8"/>
      <c r="P297" s="8"/>
      <c r="Q297" s="89"/>
      <c r="R297" s="89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</row>
    <row r="298" spans="1:33" ht="24" customHeight="1" x14ac:dyDescent="0.2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8"/>
      <c r="N298" s="88"/>
      <c r="O298" s="8"/>
      <c r="P298" s="8"/>
      <c r="Q298" s="89"/>
      <c r="R298" s="89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</row>
    <row r="299" spans="1:33" ht="24" customHeight="1" x14ac:dyDescent="0.2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8"/>
      <c r="N299" s="88"/>
      <c r="O299" s="8"/>
      <c r="P299" s="8"/>
      <c r="Q299" s="89"/>
      <c r="R299" s="89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</row>
    <row r="300" spans="1:33" ht="24" customHeight="1" x14ac:dyDescent="0.2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8"/>
      <c r="N300" s="88"/>
      <c r="O300" s="8"/>
      <c r="P300" s="8"/>
      <c r="Q300" s="89"/>
      <c r="R300" s="89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</row>
    <row r="301" spans="1:33" ht="24" customHeight="1" x14ac:dyDescent="0.2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8"/>
      <c r="N301" s="88"/>
      <c r="O301" s="8"/>
      <c r="P301" s="8"/>
      <c r="Q301" s="89"/>
      <c r="R301" s="89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</row>
    <row r="302" spans="1:33" ht="24" customHeight="1" x14ac:dyDescent="0.2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8"/>
      <c r="N302" s="88"/>
      <c r="O302" s="8"/>
      <c r="P302" s="8"/>
      <c r="Q302" s="89"/>
      <c r="R302" s="89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</row>
    <row r="303" spans="1:33" ht="24" customHeight="1" x14ac:dyDescent="0.2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8"/>
      <c r="N303" s="88"/>
      <c r="O303" s="8"/>
      <c r="P303" s="8"/>
      <c r="Q303" s="89"/>
      <c r="R303" s="89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</row>
    <row r="304" spans="1:33" ht="24" customHeight="1" x14ac:dyDescent="0.2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8"/>
      <c r="N304" s="88"/>
      <c r="O304" s="8"/>
      <c r="P304" s="8"/>
      <c r="Q304" s="89"/>
      <c r="R304" s="89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</row>
    <row r="305" spans="1:33" ht="24" customHeight="1" x14ac:dyDescent="0.2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8"/>
      <c r="N305" s="88"/>
      <c r="O305" s="8"/>
      <c r="P305" s="8"/>
      <c r="Q305" s="89"/>
      <c r="R305" s="89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</row>
    <row r="306" spans="1:33" ht="24" customHeight="1" x14ac:dyDescent="0.2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8"/>
      <c r="N306" s="88"/>
      <c r="O306" s="8"/>
      <c r="P306" s="8"/>
      <c r="Q306" s="89"/>
      <c r="R306" s="89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</row>
    <row r="307" spans="1:33" ht="24" customHeight="1" x14ac:dyDescent="0.2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8"/>
      <c r="N307" s="88"/>
      <c r="O307" s="8"/>
      <c r="P307" s="8"/>
      <c r="Q307" s="89"/>
      <c r="R307" s="89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</row>
    <row r="308" spans="1:33" ht="24" customHeight="1" x14ac:dyDescent="0.2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8"/>
      <c r="N308" s="88"/>
      <c r="O308" s="8"/>
      <c r="P308" s="8"/>
      <c r="Q308" s="89"/>
      <c r="R308" s="89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</row>
    <row r="309" spans="1:33" ht="24" customHeight="1" x14ac:dyDescent="0.2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8"/>
      <c r="N309" s="88"/>
      <c r="O309" s="8"/>
      <c r="P309" s="8"/>
      <c r="Q309" s="89"/>
      <c r="R309" s="89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</row>
    <row r="310" spans="1:33" ht="24" customHeight="1" x14ac:dyDescent="0.2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8"/>
      <c r="N310" s="88"/>
      <c r="O310" s="8"/>
      <c r="P310" s="8"/>
      <c r="Q310" s="89"/>
      <c r="R310" s="89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</row>
    <row r="311" spans="1:33" ht="24" customHeight="1" x14ac:dyDescent="0.2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8"/>
      <c r="N311" s="88"/>
      <c r="O311" s="8"/>
      <c r="P311" s="8"/>
      <c r="Q311" s="89"/>
      <c r="R311" s="89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</row>
    <row r="312" spans="1:33" ht="24" customHeight="1" x14ac:dyDescent="0.2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8"/>
      <c r="N312" s="88"/>
      <c r="O312" s="8"/>
      <c r="P312" s="8"/>
      <c r="Q312" s="89"/>
      <c r="R312" s="89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</row>
    <row r="313" spans="1:33" ht="24" customHeight="1" x14ac:dyDescent="0.2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8"/>
      <c r="N313" s="88"/>
      <c r="O313" s="8"/>
      <c r="P313" s="8"/>
      <c r="Q313" s="89"/>
      <c r="R313" s="89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</row>
    <row r="314" spans="1:33" ht="12.75" x14ac:dyDescent="0.2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8"/>
      <c r="N314" s="88"/>
      <c r="O314" s="8"/>
      <c r="P314" s="8"/>
      <c r="Q314" s="89"/>
      <c r="R314" s="89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</row>
    <row r="315" spans="1:33" ht="12.75" x14ac:dyDescent="0.2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8"/>
      <c r="N315" s="88"/>
      <c r="O315" s="8"/>
      <c r="P315" s="8"/>
      <c r="Q315" s="89"/>
      <c r="R315" s="89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</row>
    <row r="316" spans="1:33" ht="12.75" x14ac:dyDescent="0.2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8"/>
      <c r="N316" s="88"/>
      <c r="O316" s="8"/>
      <c r="P316" s="8"/>
      <c r="Q316" s="89"/>
      <c r="R316" s="89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</row>
    <row r="317" spans="1:33" ht="12.75" x14ac:dyDescent="0.2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8"/>
      <c r="N317" s="88"/>
      <c r="O317" s="8"/>
      <c r="P317" s="8"/>
      <c r="Q317" s="89"/>
      <c r="R317" s="89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</row>
    <row r="318" spans="1:33" ht="12.75" x14ac:dyDescent="0.2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8"/>
      <c r="N318" s="88"/>
      <c r="O318" s="8"/>
      <c r="P318" s="8"/>
      <c r="Q318" s="89"/>
      <c r="R318" s="89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</row>
    <row r="319" spans="1:33" ht="12.75" x14ac:dyDescent="0.2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8"/>
      <c r="N319" s="88"/>
      <c r="O319" s="8"/>
      <c r="P319" s="8"/>
      <c r="Q319" s="89"/>
      <c r="R319" s="89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</row>
    <row r="320" spans="1:33" ht="12.75" x14ac:dyDescent="0.2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8"/>
      <c r="N320" s="88"/>
      <c r="O320" s="8"/>
      <c r="P320" s="8"/>
      <c r="Q320" s="89"/>
      <c r="R320" s="89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</row>
    <row r="321" spans="1:33" ht="12.75" x14ac:dyDescent="0.2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8"/>
      <c r="N321" s="88"/>
      <c r="O321" s="8"/>
      <c r="P321" s="8"/>
      <c r="Q321" s="89"/>
      <c r="R321" s="89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</row>
    <row r="322" spans="1:33" ht="12.75" x14ac:dyDescent="0.2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8"/>
      <c r="N322" s="88"/>
      <c r="O322" s="8"/>
      <c r="P322" s="8"/>
      <c r="Q322" s="89"/>
      <c r="R322" s="89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</row>
    <row r="323" spans="1:33" ht="12.75" x14ac:dyDescent="0.2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8"/>
      <c r="N323" s="88"/>
      <c r="O323" s="8"/>
      <c r="P323" s="8"/>
      <c r="Q323" s="89"/>
      <c r="R323" s="89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</row>
    <row r="324" spans="1:33" ht="12.75" x14ac:dyDescent="0.2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8"/>
      <c r="N324" s="88"/>
      <c r="O324" s="8"/>
      <c r="P324" s="8"/>
      <c r="Q324" s="89"/>
      <c r="R324" s="89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</row>
    <row r="325" spans="1:33" ht="12.75" x14ac:dyDescent="0.2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8"/>
      <c r="N325" s="88"/>
      <c r="O325" s="8"/>
      <c r="P325" s="8"/>
      <c r="Q325" s="89"/>
      <c r="R325" s="89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</row>
    <row r="326" spans="1:33" ht="12.75" x14ac:dyDescent="0.2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8"/>
      <c r="N326" s="88"/>
      <c r="O326" s="8"/>
      <c r="P326" s="8"/>
      <c r="Q326" s="89"/>
      <c r="R326" s="89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</row>
    <row r="327" spans="1:33" ht="12.75" x14ac:dyDescent="0.2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8"/>
      <c r="N327" s="88"/>
      <c r="O327" s="8"/>
      <c r="P327" s="8"/>
      <c r="Q327" s="89"/>
      <c r="R327" s="89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</row>
    <row r="328" spans="1:33" ht="12.75" x14ac:dyDescent="0.2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8"/>
      <c r="N328" s="88"/>
      <c r="O328" s="8"/>
      <c r="P328" s="8"/>
      <c r="Q328" s="89"/>
      <c r="R328" s="89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</row>
    <row r="329" spans="1:33" ht="12.75" x14ac:dyDescent="0.2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8"/>
      <c r="N329" s="88"/>
      <c r="O329" s="8"/>
      <c r="P329" s="8"/>
      <c r="Q329" s="89"/>
      <c r="R329" s="89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</row>
    <row r="330" spans="1:33" ht="12.75" x14ac:dyDescent="0.2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8"/>
      <c r="N330" s="88"/>
      <c r="O330" s="8"/>
      <c r="P330" s="8"/>
      <c r="Q330" s="89"/>
      <c r="R330" s="89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</row>
    <row r="331" spans="1:33" ht="12.75" x14ac:dyDescent="0.2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8"/>
      <c r="N331" s="88"/>
      <c r="O331" s="8"/>
      <c r="P331" s="8"/>
      <c r="Q331" s="89"/>
      <c r="R331" s="89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</row>
    <row r="332" spans="1:33" ht="12.75" x14ac:dyDescent="0.2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8"/>
      <c r="N332" s="88"/>
      <c r="O332" s="8"/>
      <c r="P332" s="8"/>
      <c r="Q332" s="89"/>
      <c r="R332" s="89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</row>
    <row r="333" spans="1:33" ht="12.75" x14ac:dyDescent="0.2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8"/>
      <c r="N333" s="88"/>
      <c r="O333" s="8"/>
      <c r="P333" s="8"/>
      <c r="Q333" s="89"/>
      <c r="R333" s="89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</row>
    <row r="334" spans="1:33" ht="12.75" x14ac:dyDescent="0.2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8"/>
      <c r="N334" s="88"/>
      <c r="O334" s="8"/>
      <c r="P334" s="8"/>
      <c r="Q334" s="89"/>
      <c r="R334" s="89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</row>
    <row r="335" spans="1:33" ht="12.75" x14ac:dyDescent="0.2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8"/>
      <c r="N335" s="88"/>
      <c r="O335" s="8"/>
      <c r="P335" s="8"/>
      <c r="Q335" s="89"/>
      <c r="R335" s="89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</row>
    <row r="336" spans="1:33" ht="12.75" x14ac:dyDescent="0.2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8"/>
      <c r="N336" s="88"/>
      <c r="O336" s="8"/>
      <c r="P336" s="8"/>
      <c r="Q336" s="89"/>
      <c r="R336" s="89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</row>
    <row r="337" spans="1:33" ht="12.75" x14ac:dyDescent="0.2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8"/>
      <c r="N337" s="88"/>
      <c r="O337" s="8"/>
      <c r="P337" s="8"/>
      <c r="Q337" s="89"/>
      <c r="R337" s="89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</row>
    <row r="338" spans="1:33" ht="12.75" x14ac:dyDescent="0.2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8"/>
      <c r="N338" s="88"/>
      <c r="O338" s="8"/>
      <c r="P338" s="8"/>
      <c r="Q338" s="89"/>
      <c r="R338" s="89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</row>
    <row r="339" spans="1:33" ht="12.75" x14ac:dyDescent="0.2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8"/>
      <c r="N339" s="88"/>
      <c r="O339" s="8"/>
      <c r="P339" s="8"/>
      <c r="Q339" s="89"/>
      <c r="R339" s="89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</row>
    <row r="340" spans="1:33" ht="12.75" x14ac:dyDescent="0.2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8"/>
      <c r="N340" s="88"/>
      <c r="O340" s="8"/>
      <c r="P340" s="8"/>
      <c r="Q340" s="89"/>
      <c r="R340" s="89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</row>
    <row r="341" spans="1:33" ht="12.75" x14ac:dyDescent="0.2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8"/>
      <c r="N341" s="88"/>
      <c r="O341" s="8"/>
      <c r="P341" s="8"/>
      <c r="Q341" s="89"/>
      <c r="R341" s="89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</row>
    <row r="342" spans="1:33" ht="12.75" x14ac:dyDescent="0.2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8"/>
      <c r="N342" s="88"/>
      <c r="O342" s="8"/>
      <c r="P342" s="8"/>
      <c r="Q342" s="89"/>
      <c r="R342" s="89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</row>
    <row r="343" spans="1:33" ht="12.75" x14ac:dyDescent="0.2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8"/>
      <c r="N343" s="88"/>
      <c r="O343" s="8"/>
      <c r="P343" s="8"/>
      <c r="Q343" s="89"/>
      <c r="R343" s="89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</row>
    <row r="344" spans="1:33" ht="12.75" x14ac:dyDescent="0.2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8"/>
      <c r="N344" s="88"/>
      <c r="O344" s="8"/>
      <c r="P344" s="8"/>
      <c r="Q344" s="89"/>
      <c r="R344" s="89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</row>
    <row r="345" spans="1:33" ht="12.75" x14ac:dyDescent="0.2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8"/>
      <c r="N345" s="88"/>
      <c r="O345" s="8"/>
      <c r="P345" s="8"/>
      <c r="Q345" s="89"/>
      <c r="R345" s="89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</row>
    <row r="346" spans="1:33" ht="12.75" x14ac:dyDescent="0.2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8"/>
      <c r="N346" s="88"/>
      <c r="O346" s="8"/>
      <c r="P346" s="8"/>
      <c r="Q346" s="89"/>
      <c r="R346" s="89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</row>
    <row r="347" spans="1:33" ht="12.75" x14ac:dyDescent="0.2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8"/>
      <c r="N347" s="88"/>
      <c r="O347" s="8"/>
      <c r="P347" s="8"/>
      <c r="Q347" s="89"/>
      <c r="R347" s="89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</row>
    <row r="348" spans="1:33" ht="12.75" x14ac:dyDescent="0.2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8"/>
      <c r="N348" s="88"/>
      <c r="O348" s="8"/>
      <c r="P348" s="8"/>
      <c r="Q348" s="89"/>
      <c r="R348" s="89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</row>
    <row r="349" spans="1:33" ht="12.75" x14ac:dyDescent="0.2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8"/>
      <c r="N349" s="88"/>
      <c r="O349" s="8"/>
      <c r="P349" s="8"/>
      <c r="Q349" s="89"/>
      <c r="R349" s="89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</row>
    <row r="350" spans="1:33" ht="12.75" x14ac:dyDescent="0.2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8"/>
      <c r="N350" s="88"/>
      <c r="O350" s="8"/>
      <c r="P350" s="8"/>
      <c r="Q350" s="89"/>
      <c r="R350" s="89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</row>
    <row r="351" spans="1:33" ht="12.75" x14ac:dyDescent="0.2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8"/>
      <c r="N351" s="88"/>
      <c r="O351" s="8"/>
      <c r="P351" s="8"/>
      <c r="Q351" s="89"/>
      <c r="R351" s="89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</row>
    <row r="352" spans="1:33" ht="12.75" x14ac:dyDescent="0.2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8"/>
      <c r="N352" s="88"/>
      <c r="O352" s="8"/>
      <c r="P352" s="8"/>
      <c r="Q352" s="89"/>
      <c r="R352" s="89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</row>
    <row r="353" spans="1:33" ht="12.75" x14ac:dyDescent="0.2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8"/>
      <c r="N353" s="88"/>
      <c r="O353" s="8"/>
      <c r="P353" s="8"/>
      <c r="Q353" s="89"/>
      <c r="R353" s="89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</row>
    <row r="354" spans="1:33" ht="12.75" x14ac:dyDescent="0.2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8"/>
      <c r="N354" s="88"/>
      <c r="O354" s="8"/>
      <c r="P354" s="8"/>
      <c r="Q354" s="89"/>
      <c r="R354" s="89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</row>
    <row r="355" spans="1:33" ht="12.75" x14ac:dyDescent="0.2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8"/>
      <c r="N355" s="88"/>
      <c r="O355" s="8"/>
      <c r="P355" s="8"/>
      <c r="Q355" s="89"/>
      <c r="R355" s="89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</row>
    <row r="356" spans="1:33" ht="12.75" x14ac:dyDescent="0.2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8"/>
      <c r="N356" s="88"/>
      <c r="O356" s="8"/>
      <c r="P356" s="8"/>
      <c r="Q356" s="89"/>
      <c r="R356" s="89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</row>
    <row r="357" spans="1:33" ht="12.75" x14ac:dyDescent="0.2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8"/>
      <c r="N357" s="88"/>
      <c r="O357" s="8"/>
      <c r="P357" s="8"/>
      <c r="Q357" s="89"/>
      <c r="R357" s="89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</row>
    <row r="358" spans="1:33" ht="12.75" x14ac:dyDescent="0.2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8"/>
      <c r="N358" s="88"/>
      <c r="O358" s="8"/>
      <c r="P358" s="8"/>
      <c r="Q358" s="89"/>
      <c r="R358" s="89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</row>
    <row r="359" spans="1:33" ht="12.75" x14ac:dyDescent="0.2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8"/>
      <c r="N359" s="88"/>
      <c r="O359" s="8"/>
      <c r="P359" s="8"/>
      <c r="Q359" s="89"/>
      <c r="R359" s="89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</row>
    <row r="360" spans="1:33" ht="12.75" x14ac:dyDescent="0.2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8"/>
      <c r="N360" s="88"/>
      <c r="O360" s="8"/>
      <c r="P360" s="8"/>
      <c r="Q360" s="89"/>
      <c r="R360" s="89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</row>
    <row r="361" spans="1:33" ht="12.75" x14ac:dyDescent="0.2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8"/>
      <c r="N361" s="88"/>
      <c r="O361" s="8"/>
      <c r="P361" s="8"/>
      <c r="Q361" s="89"/>
      <c r="R361" s="89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</row>
    <row r="362" spans="1:33" ht="12.75" x14ac:dyDescent="0.2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8"/>
      <c r="N362" s="88"/>
      <c r="O362" s="8"/>
      <c r="P362" s="8"/>
      <c r="Q362" s="89"/>
      <c r="R362" s="89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</row>
    <row r="363" spans="1:33" ht="12.75" x14ac:dyDescent="0.2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8"/>
      <c r="N363" s="88"/>
      <c r="O363" s="8"/>
      <c r="P363" s="8"/>
      <c r="Q363" s="89"/>
      <c r="R363" s="89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</row>
    <row r="364" spans="1:33" ht="12.75" x14ac:dyDescent="0.2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8"/>
      <c r="N364" s="88"/>
      <c r="O364" s="8"/>
      <c r="P364" s="8"/>
      <c r="Q364" s="89"/>
      <c r="R364" s="89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</row>
    <row r="365" spans="1:33" ht="12.75" x14ac:dyDescent="0.2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8"/>
      <c r="N365" s="88"/>
      <c r="O365" s="8"/>
      <c r="P365" s="8"/>
      <c r="Q365" s="89"/>
      <c r="R365" s="89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</row>
    <row r="366" spans="1:33" ht="12.75" x14ac:dyDescent="0.2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8"/>
      <c r="N366" s="88"/>
      <c r="O366" s="8"/>
      <c r="P366" s="8"/>
      <c r="Q366" s="89"/>
      <c r="R366" s="89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</row>
    <row r="367" spans="1:33" ht="12.75" x14ac:dyDescent="0.2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8"/>
      <c r="N367" s="88"/>
      <c r="O367" s="8"/>
      <c r="P367" s="8"/>
      <c r="Q367" s="89"/>
      <c r="R367" s="89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</row>
    <row r="368" spans="1:33" ht="12.75" x14ac:dyDescent="0.2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8"/>
      <c r="N368" s="88"/>
      <c r="O368" s="8"/>
      <c r="P368" s="8"/>
      <c r="Q368" s="89"/>
      <c r="R368" s="89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</row>
    <row r="369" spans="1:33" ht="12.75" x14ac:dyDescent="0.2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8"/>
      <c r="N369" s="88"/>
      <c r="O369" s="8"/>
      <c r="P369" s="8"/>
      <c r="Q369" s="89"/>
      <c r="R369" s="89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</row>
    <row r="370" spans="1:33" ht="12.75" x14ac:dyDescent="0.2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8"/>
      <c r="N370" s="88"/>
      <c r="O370" s="8"/>
      <c r="P370" s="8"/>
      <c r="Q370" s="89"/>
      <c r="R370" s="89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</row>
    <row r="371" spans="1:33" ht="12.75" x14ac:dyDescent="0.2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8"/>
      <c r="N371" s="88"/>
      <c r="O371" s="8"/>
      <c r="P371" s="8"/>
      <c r="Q371" s="89"/>
      <c r="R371" s="89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</row>
    <row r="372" spans="1:33" ht="12.75" x14ac:dyDescent="0.2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8"/>
      <c r="N372" s="88"/>
      <c r="O372" s="8"/>
      <c r="P372" s="8"/>
      <c r="Q372" s="89"/>
      <c r="R372" s="89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</row>
    <row r="373" spans="1:33" ht="12.75" x14ac:dyDescent="0.2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8"/>
      <c r="N373" s="88"/>
      <c r="O373" s="8"/>
      <c r="P373" s="8"/>
      <c r="Q373" s="89"/>
      <c r="R373" s="89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</row>
    <row r="374" spans="1:33" ht="12.75" x14ac:dyDescent="0.2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8"/>
      <c r="N374" s="88"/>
      <c r="O374" s="8"/>
      <c r="P374" s="8"/>
      <c r="Q374" s="89"/>
      <c r="R374" s="89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</row>
    <row r="375" spans="1:33" ht="12.75" x14ac:dyDescent="0.2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8"/>
      <c r="N375" s="88"/>
      <c r="O375" s="8"/>
      <c r="P375" s="8"/>
      <c r="Q375" s="89"/>
      <c r="R375" s="89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</row>
    <row r="376" spans="1:33" ht="12.75" x14ac:dyDescent="0.2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8"/>
      <c r="N376" s="88"/>
      <c r="O376" s="8"/>
      <c r="P376" s="8"/>
      <c r="Q376" s="89"/>
      <c r="R376" s="89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</row>
    <row r="377" spans="1:33" ht="12.75" x14ac:dyDescent="0.2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8"/>
      <c r="N377" s="88"/>
      <c r="O377" s="8"/>
      <c r="P377" s="8"/>
      <c r="Q377" s="89"/>
      <c r="R377" s="89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</row>
    <row r="378" spans="1:33" ht="12.75" x14ac:dyDescent="0.2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8"/>
      <c r="N378" s="88"/>
      <c r="O378" s="8"/>
      <c r="P378" s="8"/>
      <c r="Q378" s="89"/>
      <c r="R378" s="89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</row>
    <row r="379" spans="1:33" ht="12.75" x14ac:dyDescent="0.2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8"/>
      <c r="N379" s="88"/>
      <c r="O379" s="8"/>
      <c r="P379" s="8"/>
      <c r="Q379" s="89"/>
      <c r="R379" s="89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</row>
    <row r="380" spans="1:33" ht="12.75" x14ac:dyDescent="0.2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8"/>
      <c r="N380" s="88"/>
      <c r="O380" s="8"/>
      <c r="P380" s="8"/>
      <c r="Q380" s="89"/>
      <c r="R380" s="89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</row>
    <row r="381" spans="1:33" ht="12.75" x14ac:dyDescent="0.2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8"/>
      <c r="N381" s="88"/>
      <c r="O381" s="8"/>
      <c r="P381" s="8"/>
      <c r="Q381" s="89"/>
      <c r="R381" s="89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</row>
    <row r="382" spans="1:33" ht="12.75" x14ac:dyDescent="0.2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8"/>
      <c r="N382" s="88"/>
      <c r="O382" s="8"/>
      <c r="P382" s="8"/>
      <c r="Q382" s="89"/>
      <c r="R382" s="89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</row>
    <row r="383" spans="1:33" ht="12.75" x14ac:dyDescent="0.2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8"/>
      <c r="N383" s="88"/>
      <c r="O383" s="8"/>
      <c r="P383" s="8"/>
      <c r="Q383" s="89"/>
      <c r="R383" s="89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</row>
    <row r="384" spans="1:33" ht="12.75" x14ac:dyDescent="0.2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8"/>
      <c r="N384" s="88"/>
      <c r="O384" s="8"/>
      <c r="P384" s="8"/>
      <c r="Q384" s="89"/>
      <c r="R384" s="89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</row>
    <row r="385" spans="1:33" ht="12.75" x14ac:dyDescent="0.2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8"/>
      <c r="N385" s="88"/>
      <c r="O385" s="8"/>
      <c r="P385" s="8"/>
      <c r="Q385" s="89"/>
      <c r="R385" s="89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</row>
    <row r="386" spans="1:33" ht="12.75" x14ac:dyDescent="0.2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8"/>
      <c r="N386" s="88"/>
      <c r="O386" s="8"/>
      <c r="P386" s="8"/>
      <c r="Q386" s="89"/>
      <c r="R386" s="89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</row>
    <row r="387" spans="1:33" ht="12.75" x14ac:dyDescent="0.2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8"/>
      <c r="N387" s="88"/>
      <c r="O387" s="8"/>
      <c r="P387" s="8"/>
      <c r="Q387" s="89"/>
      <c r="R387" s="89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</row>
    <row r="388" spans="1:33" ht="12.75" x14ac:dyDescent="0.2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8"/>
      <c r="N388" s="88"/>
      <c r="O388" s="8"/>
      <c r="P388" s="8"/>
      <c r="Q388" s="89"/>
      <c r="R388" s="89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</row>
    <row r="389" spans="1:33" ht="12.75" x14ac:dyDescent="0.2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8"/>
      <c r="N389" s="88"/>
      <c r="O389" s="8"/>
      <c r="P389" s="8"/>
      <c r="Q389" s="89"/>
      <c r="R389" s="89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</row>
    <row r="390" spans="1:33" ht="12.75" x14ac:dyDescent="0.2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8"/>
      <c r="N390" s="88"/>
      <c r="O390" s="8"/>
      <c r="P390" s="8"/>
      <c r="Q390" s="89"/>
      <c r="R390" s="89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</row>
    <row r="391" spans="1:33" ht="12.75" x14ac:dyDescent="0.2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8"/>
      <c r="N391" s="88"/>
      <c r="O391" s="8"/>
      <c r="P391" s="8"/>
      <c r="Q391" s="89"/>
      <c r="R391" s="89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</row>
    <row r="392" spans="1:33" ht="12.75" x14ac:dyDescent="0.2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8"/>
      <c r="N392" s="88"/>
      <c r="O392" s="8"/>
      <c r="P392" s="8"/>
      <c r="Q392" s="89"/>
      <c r="R392" s="89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</row>
    <row r="393" spans="1:33" ht="12.75" x14ac:dyDescent="0.2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8"/>
      <c r="N393" s="88"/>
      <c r="O393" s="8"/>
      <c r="P393" s="8"/>
      <c r="Q393" s="89"/>
      <c r="R393" s="89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</row>
    <row r="394" spans="1:33" ht="12.75" x14ac:dyDescent="0.2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8"/>
      <c r="N394" s="88"/>
      <c r="O394" s="8"/>
      <c r="P394" s="8"/>
      <c r="Q394" s="89"/>
      <c r="R394" s="89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</row>
    <row r="395" spans="1:33" ht="12.75" x14ac:dyDescent="0.2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8"/>
      <c r="N395" s="88"/>
      <c r="O395" s="8"/>
      <c r="P395" s="8"/>
      <c r="Q395" s="89"/>
      <c r="R395" s="89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</row>
    <row r="396" spans="1:33" ht="12.75" x14ac:dyDescent="0.2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8"/>
      <c r="N396" s="88"/>
      <c r="O396" s="8"/>
      <c r="P396" s="8"/>
      <c r="Q396" s="89"/>
      <c r="R396" s="89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</row>
    <row r="397" spans="1:33" ht="12.75" x14ac:dyDescent="0.2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8"/>
      <c r="N397" s="88"/>
      <c r="O397" s="8"/>
      <c r="P397" s="8"/>
      <c r="Q397" s="89"/>
      <c r="R397" s="89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</row>
    <row r="398" spans="1:33" ht="12.75" x14ac:dyDescent="0.2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8"/>
      <c r="N398" s="88"/>
      <c r="O398" s="8"/>
      <c r="P398" s="8"/>
      <c r="Q398" s="89"/>
      <c r="R398" s="89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</row>
    <row r="399" spans="1:33" ht="12.75" x14ac:dyDescent="0.2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8"/>
      <c r="N399" s="88"/>
      <c r="O399" s="8"/>
      <c r="P399" s="8"/>
      <c r="Q399" s="89"/>
      <c r="R399" s="89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</row>
    <row r="400" spans="1:33" ht="12.75" x14ac:dyDescent="0.2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8"/>
      <c r="N400" s="88"/>
      <c r="O400" s="8"/>
      <c r="P400" s="8"/>
      <c r="Q400" s="89"/>
      <c r="R400" s="89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</row>
    <row r="401" spans="1:33" ht="12.75" x14ac:dyDescent="0.2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8"/>
      <c r="N401" s="88"/>
      <c r="O401" s="8"/>
      <c r="P401" s="8"/>
      <c r="Q401" s="89"/>
      <c r="R401" s="89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</row>
    <row r="402" spans="1:33" ht="12.75" x14ac:dyDescent="0.2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8"/>
      <c r="N402" s="88"/>
      <c r="O402" s="8"/>
      <c r="P402" s="8"/>
      <c r="Q402" s="89"/>
      <c r="R402" s="89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</row>
    <row r="403" spans="1:33" ht="12.75" x14ac:dyDescent="0.2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8"/>
      <c r="N403" s="88"/>
      <c r="O403" s="8"/>
      <c r="P403" s="8"/>
      <c r="Q403" s="89"/>
      <c r="R403" s="89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</row>
    <row r="404" spans="1:33" ht="12.75" x14ac:dyDescent="0.2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8"/>
      <c r="N404" s="88"/>
      <c r="O404" s="8"/>
      <c r="P404" s="8"/>
      <c r="Q404" s="89"/>
      <c r="R404" s="89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</row>
    <row r="405" spans="1:33" ht="12.75" x14ac:dyDescent="0.2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8"/>
      <c r="N405" s="88"/>
      <c r="O405" s="8"/>
      <c r="P405" s="8"/>
      <c r="Q405" s="89"/>
      <c r="R405" s="89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</row>
    <row r="406" spans="1:33" ht="12.75" x14ac:dyDescent="0.2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8"/>
      <c r="N406" s="88"/>
      <c r="O406" s="8"/>
      <c r="P406" s="8"/>
      <c r="Q406" s="89"/>
      <c r="R406" s="89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</row>
    <row r="407" spans="1:33" ht="12.75" x14ac:dyDescent="0.2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8"/>
      <c r="N407" s="88"/>
      <c r="O407" s="8"/>
      <c r="P407" s="8"/>
      <c r="Q407" s="89"/>
      <c r="R407" s="89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</row>
    <row r="408" spans="1:33" ht="12.75" x14ac:dyDescent="0.2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8"/>
      <c r="N408" s="88"/>
      <c r="O408" s="8"/>
      <c r="P408" s="8"/>
      <c r="Q408" s="89"/>
      <c r="R408" s="89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</row>
    <row r="409" spans="1:33" ht="12.75" x14ac:dyDescent="0.2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8"/>
      <c r="N409" s="88"/>
      <c r="O409" s="8"/>
      <c r="P409" s="8"/>
      <c r="Q409" s="89"/>
      <c r="R409" s="89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</row>
    <row r="410" spans="1:33" ht="12.75" x14ac:dyDescent="0.2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8"/>
      <c r="N410" s="88"/>
      <c r="O410" s="8"/>
      <c r="P410" s="8"/>
      <c r="Q410" s="89"/>
      <c r="R410" s="89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</row>
    <row r="411" spans="1:33" ht="12.75" x14ac:dyDescent="0.2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8"/>
      <c r="N411" s="88"/>
      <c r="O411" s="8"/>
      <c r="P411" s="8"/>
      <c r="Q411" s="89"/>
      <c r="R411" s="89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</row>
    <row r="412" spans="1:33" ht="12.75" x14ac:dyDescent="0.2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8"/>
      <c r="N412" s="88"/>
      <c r="O412" s="8"/>
      <c r="P412" s="8"/>
      <c r="Q412" s="89"/>
      <c r="R412" s="89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</row>
    <row r="413" spans="1:33" ht="12.75" x14ac:dyDescent="0.2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8"/>
      <c r="N413" s="88"/>
      <c r="O413" s="8"/>
      <c r="P413" s="8"/>
      <c r="Q413" s="89"/>
      <c r="R413" s="89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</row>
    <row r="414" spans="1:33" ht="12.75" x14ac:dyDescent="0.2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8"/>
      <c r="N414" s="88"/>
      <c r="O414" s="8"/>
      <c r="P414" s="8"/>
      <c r="Q414" s="89"/>
      <c r="R414" s="89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</row>
    <row r="415" spans="1:33" ht="12.75" x14ac:dyDescent="0.2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8"/>
      <c r="N415" s="88"/>
      <c r="O415" s="8"/>
      <c r="P415" s="8"/>
      <c r="Q415" s="89"/>
      <c r="R415" s="89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</row>
    <row r="416" spans="1:33" ht="12.75" x14ac:dyDescent="0.2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8"/>
      <c r="N416" s="88"/>
      <c r="O416" s="8"/>
      <c r="P416" s="8"/>
      <c r="Q416" s="89"/>
      <c r="R416" s="89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</row>
    <row r="417" spans="1:33" ht="12.75" x14ac:dyDescent="0.2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8"/>
      <c r="N417" s="88"/>
      <c r="O417" s="8"/>
      <c r="P417" s="8"/>
      <c r="Q417" s="89"/>
      <c r="R417" s="89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</row>
    <row r="418" spans="1:33" ht="12.75" x14ac:dyDescent="0.2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8"/>
      <c r="N418" s="88"/>
      <c r="O418" s="8"/>
      <c r="P418" s="8"/>
      <c r="Q418" s="89"/>
      <c r="R418" s="89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</row>
    <row r="419" spans="1:33" ht="12.75" x14ac:dyDescent="0.2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8"/>
      <c r="N419" s="88"/>
      <c r="O419" s="8"/>
      <c r="P419" s="8"/>
      <c r="Q419" s="89"/>
      <c r="R419" s="89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</row>
    <row r="420" spans="1:33" ht="12.75" x14ac:dyDescent="0.2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8"/>
      <c r="N420" s="88"/>
      <c r="O420" s="8"/>
      <c r="P420" s="8"/>
      <c r="Q420" s="89"/>
      <c r="R420" s="89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</row>
    <row r="421" spans="1:33" ht="12.75" x14ac:dyDescent="0.2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8"/>
      <c r="N421" s="88"/>
      <c r="O421" s="8"/>
      <c r="P421" s="8"/>
      <c r="Q421" s="89"/>
      <c r="R421" s="89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</row>
    <row r="422" spans="1:33" ht="12.75" x14ac:dyDescent="0.2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8"/>
      <c r="N422" s="88"/>
      <c r="O422" s="8"/>
      <c r="P422" s="8"/>
      <c r="Q422" s="89"/>
      <c r="R422" s="89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</row>
    <row r="423" spans="1:33" ht="12.75" x14ac:dyDescent="0.2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8"/>
      <c r="N423" s="88"/>
      <c r="O423" s="8"/>
      <c r="P423" s="8"/>
      <c r="Q423" s="89"/>
      <c r="R423" s="89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</row>
    <row r="424" spans="1:33" ht="12.75" x14ac:dyDescent="0.2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8"/>
      <c r="N424" s="88"/>
      <c r="O424" s="8"/>
      <c r="P424" s="8"/>
      <c r="Q424" s="89"/>
      <c r="R424" s="89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</row>
    <row r="425" spans="1:33" ht="12.75" x14ac:dyDescent="0.2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8"/>
      <c r="N425" s="88"/>
      <c r="O425" s="8"/>
      <c r="P425" s="8"/>
      <c r="Q425" s="89"/>
      <c r="R425" s="89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</row>
    <row r="426" spans="1:33" ht="12.75" x14ac:dyDescent="0.2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8"/>
      <c r="N426" s="88"/>
      <c r="O426" s="8"/>
      <c r="P426" s="8"/>
      <c r="Q426" s="89"/>
      <c r="R426" s="89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</row>
    <row r="427" spans="1:33" ht="12.75" x14ac:dyDescent="0.2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8"/>
      <c r="N427" s="88"/>
      <c r="O427" s="8"/>
      <c r="P427" s="8"/>
      <c r="Q427" s="89"/>
      <c r="R427" s="89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</row>
    <row r="428" spans="1:33" ht="12.75" x14ac:dyDescent="0.2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8"/>
      <c r="N428" s="88"/>
      <c r="O428" s="8"/>
      <c r="P428" s="8"/>
      <c r="Q428" s="89"/>
      <c r="R428" s="89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</row>
    <row r="429" spans="1:33" ht="12.75" x14ac:dyDescent="0.2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8"/>
      <c r="N429" s="88"/>
      <c r="O429" s="8"/>
      <c r="P429" s="8"/>
      <c r="Q429" s="89"/>
      <c r="R429" s="89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</row>
    <row r="430" spans="1:33" ht="12.75" x14ac:dyDescent="0.2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8"/>
      <c r="N430" s="88"/>
      <c r="O430" s="8"/>
      <c r="P430" s="8"/>
      <c r="Q430" s="89"/>
      <c r="R430" s="89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</row>
    <row r="431" spans="1:33" ht="12.75" x14ac:dyDescent="0.2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8"/>
      <c r="N431" s="88"/>
      <c r="O431" s="8"/>
      <c r="P431" s="8"/>
      <c r="Q431" s="89"/>
      <c r="R431" s="89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</row>
    <row r="432" spans="1:33" ht="12.75" x14ac:dyDescent="0.2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8"/>
      <c r="N432" s="88"/>
      <c r="O432" s="8"/>
      <c r="P432" s="8"/>
      <c r="Q432" s="89"/>
      <c r="R432" s="89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</row>
    <row r="433" spans="1:33" ht="12.75" x14ac:dyDescent="0.2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8"/>
      <c r="N433" s="88"/>
      <c r="O433" s="8"/>
      <c r="P433" s="8"/>
      <c r="Q433" s="89"/>
      <c r="R433" s="89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</row>
    <row r="434" spans="1:33" ht="12.75" x14ac:dyDescent="0.2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8"/>
      <c r="N434" s="88"/>
      <c r="O434" s="8"/>
      <c r="P434" s="8"/>
      <c r="Q434" s="89"/>
      <c r="R434" s="89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</row>
    <row r="435" spans="1:33" ht="12.75" x14ac:dyDescent="0.2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8"/>
      <c r="N435" s="88"/>
      <c r="O435" s="8"/>
      <c r="P435" s="8"/>
      <c r="Q435" s="89"/>
      <c r="R435" s="89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</row>
    <row r="436" spans="1:33" ht="12.75" x14ac:dyDescent="0.2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8"/>
      <c r="N436" s="88"/>
      <c r="O436" s="8"/>
      <c r="P436" s="8"/>
      <c r="Q436" s="89"/>
      <c r="R436" s="89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</row>
    <row r="437" spans="1:33" ht="12.75" x14ac:dyDescent="0.2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8"/>
      <c r="N437" s="88"/>
      <c r="O437" s="8"/>
      <c r="P437" s="8"/>
      <c r="Q437" s="89"/>
      <c r="R437" s="89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</row>
    <row r="438" spans="1:33" ht="12.75" x14ac:dyDescent="0.2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8"/>
      <c r="N438" s="88"/>
      <c r="O438" s="8"/>
      <c r="P438" s="8"/>
      <c r="Q438" s="89"/>
      <c r="R438" s="89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</row>
    <row r="439" spans="1:33" ht="12.75" x14ac:dyDescent="0.2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8"/>
      <c r="N439" s="88"/>
      <c r="O439" s="8"/>
      <c r="P439" s="8"/>
      <c r="Q439" s="89"/>
      <c r="R439" s="89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</row>
    <row r="440" spans="1:33" ht="12.75" x14ac:dyDescent="0.2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8"/>
      <c r="N440" s="88"/>
      <c r="O440" s="8"/>
      <c r="P440" s="8"/>
      <c r="Q440" s="89"/>
      <c r="R440" s="89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</row>
    <row r="441" spans="1:33" ht="12.75" x14ac:dyDescent="0.2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8"/>
      <c r="N441" s="88"/>
      <c r="O441" s="8"/>
      <c r="P441" s="8"/>
      <c r="Q441" s="89"/>
      <c r="R441" s="89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</row>
    <row r="442" spans="1:33" ht="12.75" x14ac:dyDescent="0.2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8"/>
      <c r="N442" s="88"/>
      <c r="O442" s="8"/>
      <c r="P442" s="8"/>
      <c r="Q442" s="89"/>
      <c r="R442" s="89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</row>
    <row r="443" spans="1:33" ht="12.75" x14ac:dyDescent="0.2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8"/>
      <c r="N443" s="88"/>
      <c r="O443" s="8"/>
      <c r="P443" s="8"/>
      <c r="Q443" s="89"/>
      <c r="R443" s="89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</row>
    <row r="444" spans="1:33" ht="12.75" x14ac:dyDescent="0.2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8"/>
      <c r="N444" s="88"/>
      <c r="O444" s="8"/>
      <c r="P444" s="8"/>
      <c r="Q444" s="89"/>
      <c r="R444" s="89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</row>
    <row r="445" spans="1:33" ht="12.75" x14ac:dyDescent="0.2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8"/>
      <c r="N445" s="88"/>
      <c r="O445" s="8"/>
      <c r="P445" s="8"/>
      <c r="Q445" s="89"/>
      <c r="R445" s="89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</row>
    <row r="446" spans="1:33" ht="12.75" x14ac:dyDescent="0.2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8"/>
      <c r="N446" s="88"/>
      <c r="O446" s="8"/>
      <c r="P446" s="8"/>
      <c r="Q446" s="89"/>
      <c r="R446" s="89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</row>
    <row r="447" spans="1:33" ht="12.75" x14ac:dyDescent="0.2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8"/>
      <c r="N447" s="88"/>
      <c r="O447" s="8"/>
      <c r="P447" s="8"/>
      <c r="Q447" s="89"/>
      <c r="R447" s="89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</row>
    <row r="448" spans="1:33" ht="12.75" x14ac:dyDescent="0.2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8"/>
      <c r="N448" s="88"/>
      <c r="O448" s="8"/>
      <c r="P448" s="8"/>
      <c r="Q448" s="89"/>
      <c r="R448" s="89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</row>
    <row r="449" spans="1:33" ht="12.75" x14ac:dyDescent="0.2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8"/>
      <c r="N449" s="88"/>
      <c r="O449" s="8"/>
      <c r="P449" s="8"/>
      <c r="Q449" s="89"/>
      <c r="R449" s="89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</row>
    <row r="450" spans="1:33" ht="12.75" x14ac:dyDescent="0.2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8"/>
      <c r="N450" s="88"/>
      <c r="O450" s="8"/>
      <c r="P450" s="8"/>
      <c r="Q450" s="89"/>
      <c r="R450" s="89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</row>
    <row r="451" spans="1:33" ht="12.75" x14ac:dyDescent="0.2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8"/>
      <c r="N451" s="88"/>
      <c r="O451" s="8"/>
      <c r="P451" s="8"/>
      <c r="Q451" s="89"/>
      <c r="R451" s="89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</row>
    <row r="452" spans="1:33" ht="12.75" x14ac:dyDescent="0.2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8"/>
      <c r="N452" s="88"/>
      <c r="O452" s="8"/>
      <c r="P452" s="8"/>
      <c r="Q452" s="89"/>
      <c r="R452" s="89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</row>
    <row r="453" spans="1:33" ht="12.75" x14ac:dyDescent="0.2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8"/>
      <c r="N453" s="88"/>
      <c r="O453" s="8"/>
      <c r="P453" s="8"/>
      <c r="Q453" s="89"/>
      <c r="R453" s="89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</row>
    <row r="454" spans="1:33" ht="12.75" x14ac:dyDescent="0.2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8"/>
      <c r="N454" s="88"/>
      <c r="O454" s="8"/>
      <c r="P454" s="8"/>
      <c r="Q454" s="89"/>
      <c r="R454" s="89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</row>
    <row r="455" spans="1:33" ht="12.75" x14ac:dyDescent="0.2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8"/>
      <c r="N455" s="88"/>
      <c r="O455" s="8"/>
      <c r="P455" s="8"/>
      <c r="Q455" s="89"/>
      <c r="R455" s="89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</row>
    <row r="456" spans="1:33" ht="12.75" x14ac:dyDescent="0.2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8"/>
      <c r="N456" s="88"/>
      <c r="O456" s="8"/>
      <c r="P456" s="8"/>
      <c r="Q456" s="89"/>
      <c r="R456" s="89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</row>
    <row r="457" spans="1:33" ht="12.75" x14ac:dyDescent="0.2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8"/>
      <c r="N457" s="88"/>
      <c r="O457" s="8"/>
      <c r="P457" s="8"/>
      <c r="Q457" s="89"/>
      <c r="R457" s="89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</row>
    <row r="458" spans="1:33" ht="12.75" x14ac:dyDescent="0.2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8"/>
      <c r="N458" s="88"/>
      <c r="O458" s="8"/>
      <c r="P458" s="8"/>
      <c r="Q458" s="89"/>
      <c r="R458" s="89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</row>
    <row r="459" spans="1:33" ht="12.75" x14ac:dyDescent="0.2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8"/>
      <c r="N459" s="88"/>
      <c r="O459" s="8"/>
      <c r="P459" s="8"/>
      <c r="Q459" s="89"/>
      <c r="R459" s="89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</row>
    <row r="460" spans="1:33" ht="12.75" x14ac:dyDescent="0.2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8"/>
      <c r="N460" s="88"/>
      <c r="O460" s="8"/>
      <c r="P460" s="8"/>
      <c r="Q460" s="89"/>
      <c r="R460" s="89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</row>
    <row r="461" spans="1:33" ht="12.75" x14ac:dyDescent="0.2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8"/>
      <c r="N461" s="88"/>
      <c r="O461" s="8"/>
      <c r="P461" s="8"/>
      <c r="Q461" s="89"/>
      <c r="R461" s="89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</row>
    <row r="462" spans="1:33" ht="12.75" x14ac:dyDescent="0.2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8"/>
      <c r="N462" s="88"/>
      <c r="O462" s="8"/>
      <c r="P462" s="8"/>
      <c r="Q462" s="89"/>
      <c r="R462" s="89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</row>
    <row r="463" spans="1:33" ht="12.75" x14ac:dyDescent="0.2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8"/>
      <c r="N463" s="88"/>
      <c r="O463" s="8"/>
      <c r="P463" s="8"/>
      <c r="Q463" s="89"/>
      <c r="R463" s="89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</row>
    <row r="464" spans="1:33" ht="12.75" x14ac:dyDescent="0.2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8"/>
      <c r="N464" s="88"/>
      <c r="O464" s="8"/>
      <c r="P464" s="8"/>
      <c r="Q464" s="89"/>
      <c r="R464" s="89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</row>
    <row r="465" spans="1:33" ht="12.75" x14ac:dyDescent="0.2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8"/>
      <c r="N465" s="88"/>
      <c r="O465" s="8"/>
      <c r="P465" s="8"/>
      <c r="Q465" s="89"/>
      <c r="R465" s="89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</row>
    <row r="466" spans="1:33" ht="12.75" x14ac:dyDescent="0.2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8"/>
      <c r="N466" s="88"/>
      <c r="O466" s="8"/>
      <c r="P466" s="8"/>
      <c r="Q466" s="89"/>
      <c r="R466" s="89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</row>
    <row r="467" spans="1:33" ht="12.75" x14ac:dyDescent="0.2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8"/>
      <c r="N467" s="88"/>
      <c r="O467" s="8"/>
      <c r="P467" s="8"/>
      <c r="Q467" s="89"/>
      <c r="R467" s="89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</row>
    <row r="468" spans="1:33" ht="12.75" x14ac:dyDescent="0.2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8"/>
      <c r="N468" s="88"/>
      <c r="O468" s="8"/>
      <c r="P468" s="8"/>
      <c r="Q468" s="89"/>
      <c r="R468" s="89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</row>
    <row r="469" spans="1:33" ht="12.75" x14ac:dyDescent="0.2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8"/>
      <c r="N469" s="88"/>
      <c r="O469" s="8"/>
      <c r="P469" s="8"/>
      <c r="Q469" s="89"/>
      <c r="R469" s="89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</row>
    <row r="470" spans="1:33" ht="12.75" x14ac:dyDescent="0.2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8"/>
      <c r="N470" s="88"/>
      <c r="O470" s="8"/>
      <c r="P470" s="8"/>
      <c r="Q470" s="89"/>
      <c r="R470" s="89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</row>
    <row r="471" spans="1:33" ht="12.75" x14ac:dyDescent="0.2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8"/>
      <c r="N471" s="88"/>
      <c r="O471" s="8"/>
      <c r="P471" s="8"/>
      <c r="Q471" s="89"/>
      <c r="R471" s="89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</row>
    <row r="472" spans="1:33" ht="12.75" x14ac:dyDescent="0.2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8"/>
      <c r="N472" s="88"/>
      <c r="O472" s="8"/>
      <c r="P472" s="8"/>
      <c r="Q472" s="89"/>
      <c r="R472" s="89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</row>
    <row r="473" spans="1:33" ht="12.75" x14ac:dyDescent="0.2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8"/>
      <c r="N473" s="88"/>
      <c r="O473" s="8"/>
      <c r="P473" s="8"/>
      <c r="Q473" s="89"/>
      <c r="R473" s="89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</row>
    <row r="474" spans="1:33" ht="12.75" x14ac:dyDescent="0.2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8"/>
      <c r="N474" s="88"/>
      <c r="O474" s="8"/>
      <c r="P474" s="8"/>
      <c r="Q474" s="89"/>
      <c r="R474" s="89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</row>
    <row r="475" spans="1:33" ht="12.75" x14ac:dyDescent="0.2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8"/>
      <c r="N475" s="88"/>
      <c r="O475" s="8"/>
      <c r="P475" s="8"/>
      <c r="Q475" s="89"/>
      <c r="R475" s="89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</row>
    <row r="476" spans="1:33" ht="12.75" x14ac:dyDescent="0.2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8"/>
      <c r="N476" s="88"/>
      <c r="O476" s="8"/>
      <c r="P476" s="8"/>
      <c r="Q476" s="89"/>
      <c r="R476" s="89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</row>
    <row r="477" spans="1:33" ht="12.75" x14ac:dyDescent="0.2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8"/>
      <c r="N477" s="88"/>
      <c r="O477" s="8"/>
      <c r="P477" s="8"/>
      <c r="Q477" s="89"/>
      <c r="R477" s="89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</row>
    <row r="478" spans="1:33" ht="12.75" x14ac:dyDescent="0.2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8"/>
      <c r="N478" s="88"/>
      <c r="O478" s="8"/>
      <c r="P478" s="8"/>
      <c r="Q478" s="89"/>
      <c r="R478" s="89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</row>
    <row r="479" spans="1:33" ht="12.75" x14ac:dyDescent="0.2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8"/>
      <c r="N479" s="88"/>
      <c r="O479" s="8"/>
      <c r="P479" s="8"/>
      <c r="Q479" s="89"/>
      <c r="R479" s="89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</row>
    <row r="480" spans="1:33" ht="12.75" x14ac:dyDescent="0.2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8"/>
      <c r="N480" s="88"/>
      <c r="O480" s="8"/>
      <c r="P480" s="8"/>
      <c r="Q480" s="89"/>
      <c r="R480" s="89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</row>
    <row r="481" spans="1:33" ht="12.75" x14ac:dyDescent="0.2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8"/>
      <c r="N481" s="88"/>
      <c r="O481" s="8"/>
      <c r="P481" s="8"/>
      <c r="Q481" s="89"/>
      <c r="R481" s="89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</row>
    <row r="482" spans="1:33" ht="12.75" x14ac:dyDescent="0.2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8"/>
      <c r="N482" s="88"/>
      <c r="O482" s="8"/>
      <c r="P482" s="8"/>
      <c r="Q482" s="89"/>
      <c r="R482" s="89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</row>
    <row r="483" spans="1:33" ht="12.75" x14ac:dyDescent="0.2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8"/>
      <c r="N483" s="88"/>
      <c r="O483" s="8"/>
      <c r="P483" s="8"/>
      <c r="Q483" s="89"/>
      <c r="R483" s="89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</row>
    <row r="484" spans="1:33" ht="12.75" x14ac:dyDescent="0.2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8"/>
      <c r="N484" s="88"/>
      <c r="O484" s="8"/>
      <c r="P484" s="8"/>
      <c r="Q484" s="89"/>
      <c r="R484" s="89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</row>
    <row r="485" spans="1:33" ht="12.75" x14ac:dyDescent="0.2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8"/>
      <c r="N485" s="88"/>
      <c r="O485" s="8"/>
      <c r="P485" s="8"/>
      <c r="Q485" s="89"/>
      <c r="R485" s="89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</row>
    <row r="486" spans="1:33" ht="12.75" x14ac:dyDescent="0.2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8"/>
      <c r="N486" s="88"/>
      <c r="O486" s="8"/>
      <c r="P486" s="8"/>
      <c r="Q486" s="89"/>
      <c r="R486" s="89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</row>
    <row r="487" spans="1:33" ht="12.75" x14ac:dyDescent="0.2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8"/>
      <c r="N487" s="88"/>
      <c r="O487" s="8"/>
      <c r="P487" s="8"/>
      <c r="Q487" s="89"/>
      <c r="R487" s="89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</row>
    <row r="488" spans="1:33" ht="12.75" x14ac:dyDescent="0.2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8"/>
      <c r="N488" s="88"/>
      <c r="O488" s="8"/>
      <c r="P488" s="8"/>
      <c r="Q488" s="89"/>
      <c r="R488" s="89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</row>
    <row r="489" spans="1:33" ht="12.75" x14ac:dyDescent="0.2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8"/>
      <c r="N489" s="88"/>
      <c r="O489" s="8"/>
      <c r="P489" s="8"/>
      <c r="Q489" s="89"/>
      <c r="R489" s="89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</row>
    <row r="490" spans="1:33" ht="12.75" x14ac:dyDescent="0.2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8"/>
      <c r="N490" s="88"/>
      <c r="O490" s="8"/>
      <c r="P490" s="8"/>
      <c r="Q490" s="89"/>
      <c r="R490" s="89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</row>
    <row r="491" spans="1:33" ht="12.75" x14ac:dyDescent="0.2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8"/>
      <c r="N491" s="88"/>
      <c r="O491" s="8"/>
      <c r="P491" s="8"/>
      <c r="Q491" s="89"/>
      <c r="R491" s="89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</row>
    <row r="492" spans="1:33" ht="12.75" x14ac:dyDescent="0.2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8"/>
      <c r="N492" s="88"/>
      <c r="O492" s="8"/>
      <c r="P492" s="8"/>
      <c r="Q492" s="89"/>
      <c r="R492" s="89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</row>
    <row r="493" spans="1:33" ht="12.75" x14ac:dyDescent="0.2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8"/>
      <c r="N493" s="88"/>
      <c r="O493" s="8"/>
      <c r="P493" s="8"/>
      <c r="Q493" s="89"/>
      <c r="R493" s="89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</row>
    <row r="494" spans="1:33" ht="12.75" x14ac:dyDescent="0.2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8"/>
      <c r="N494" s="88"/>
      <c r="O494" s="8"/>
      <c r="P494" s="8"/>
      <c r="Q494" s="89"/>
      <c r="R494" s="89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</row>
    <row r="495" spans="1:33" ht="12.75" x14ac:dyDescent="0.2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8"/>
      <c r="N495" s="88"/>
      <c r="O495" s="8"/>
      <c r="P495" s="8"/>
      <c r="Q495" s="89"/>
      <c r="R495" s="89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</row>
    <row r="496" spans="1:33" ht="12.75" x14ac:dyDescent="0.2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8"/>
      <c r="N496" s="88"/>
      <c r="O496" s="8"/>
      <c r="P496" s="8"/>
      <c r="Q496" s="89"/>
      <c r="R496" s="89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</row>
    <row r="497" spans="1:33" ht="12.75" x14ac:dyDescent="0.2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8"/>
      <c r="N497" s="88"/>
      <c r="O497" s="8"/>
      <c r="P497" s="8"/>
      <c r="Q497" s="89"/>
      <c r="R497" s="89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</row>
    <row r="498" spans="1:33" ht="12.75" x14ac:dyDescent="0.2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8"/>
      <c r="N498" s="88"/>
      <c r="O498" s="8"/>
      <c r="P498" s="8"/>
      <c r="Q498" s="89"/>
      <c r="R498" s="89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</row>
    <row r="499" spans="1:33" ht="12.75" x14ac:dyDescent="0.2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8"/>
      <c r="N499" s="88"/>
      <c r="O499" s="8"/>
      <c r="P499" s="8"/>
      <c r="Q499" s="89"/>
      <c r="R499" s="89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</row>
    <row r="500" spans="1:33" ht="12.75" x14ac:dyDescent="0.2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8"/>
      <c r="N500" s="88"/>
      <c r="O500" s="8"/>
      <c r="P500" s="8"/>
      <c r="Q500" s="89"/>
      <c r="R500" s="89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</row>
    <row r="501" spans="1:33" ht="12.75" x14ac:dyDescent="0.2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8"/>
      <c r="N501" s="88"/>
      <c r="O501" s="8"/>
      <c r="P501" s="8"/>
      <c r="Q501" s="89"/>
      <c r="R501" s="89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</row>
    <row r="502" spans="1:33" ht="12.75" x14ac:dyDescent="0.2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8"/>
      <c r="N502" s="88"/>
      <c r="O502" s="8"/>
      <c r="P502" s="8"/>
      <c r="Q502" s="89"/>
      <c r="R502" s="89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</row>
    <row r="503" spans="1:33" ht="12.75" x14ac:dyDescent="0.2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8"/>
      <c r="N503" s="88"/>
      <c r="O503" s="8"/>
      <c r="P503" s="8"/>
      <c r="Q503" s="89"/>
      <c r="R503" s="89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</row>
    <row r="504" spans="1:33" ht="12.75" x14ac:dyDescent="0.2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8"/>
      <c r="N504" s="88"/>
      <c r="O504" s="8"/>
      <c r="P504" s="8"/>
      <c r="Q504" s="89"/>
      <c r="R504" s="89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</row>
    <row r="505" spans="1:33" ht="12.75" x14ac:dyDescent="0.2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8"/>
      <c r="N505" s="88"/>
      <c r="O505" s="8"/>
      <c r="P505" s="8"/>
      <c r="Q505" s="89"/>
      <c r="R505" s="89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</row>
    <row r="506" spans="1:33" ht="12.75" x14ac:dyDescent="0.2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8"/>
      <c r="N506" s="88"/>
      <c r="O506" s="8"/>
      <c r="P506" s="8"/>
      <c r="Q506" s="89"/>
      <c r="R506" s="89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</row>
    <row r="507" spans="1:33" ht="12.75" x14ac:dyDescent="0.2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8"/>
      <c r="N507" s="88"/>
      <c r="O507" s="8"/>
      <c r="P507" s="8"/>
      <c r="Q507" s="89"/>
      <c r="R507" s="89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</row>
    <row r="508" spans="1:33" ht="12.75" x14ac:dyDescent="0.2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8"/>
      <c r="N508" s="88"/>
      <c r="O508" s="8"/>
      <c r="P508" s="8"/>
      <c r="Q508" s="89"/>
      <c r="R508" s="89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</row>
    <row r="509" spans="1:33" ht="12.75" x14ac:dyDescent="0.2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8"/>
      <c r="N509" s="88"/>
      <c r="O509" s="8"/>
      <c r="P509" s="8"/>
      <c r="Q509" s="89"/>
      <c r="R509" s="89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</row>
    <row r="510" spans="1:33" ht="12.75" x14ac:dyDescent="0.2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8"/>
      <c r="N510" s="88"/>
      <c r="O510" s="8"/>
      <c r="P510" s="8"/>
      <c r="Q510" s="89"/>
      <c r="R510" s="89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</row>
    <row r="511" spans="1:33" ht="12.75" x14ac:dyDescent="0.2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8"/>
      <c r="N511" s="88"/>
      <c r="O511" s="8"/>
      <c r="P511" s="8"/>
      <c r="Q511" s="89"/>
      <c r="R511" s="89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</row>
    <row r="512" spans="1:33" ht="12.75" x14ac:dyDescent="0.2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8"/>
      <c r="N512" s="88"/>
      <c r="O512" s="8"/>
      <c r="P512" s="8"/>
      <c r="Q512" s="89"/>
      <c r="R512" s="89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</row>
    <row r="513" spans="1:33" ht="12.75" x14ac:dyDescent="0.2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8"/>
      <c r="N513" s="88"/>
      <c r="O513" s="8"/>
      <c r="P513" s="8"/>
      <c r="Q513" s="89"/>
      <c r="R513" s="89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</row>
    <row r="514" spans="1:33" ht="12.75" x14ac:dyDescent="0.2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8"/>
      <c r="N514" s="88"/>
      <c r="O514" s="8"/>
      <c r="P514" s="8"/>
      <c r="Q514" s="89"/>
      <c r="R514" s="89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</row>
    <row r="515" spans="1:33" ht="12.75" x14ac:dyDescent="0.2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8"/>
      <c r="N515" s="88"/>
      <c r="O515" s="8"/>
      <c r="P515" s="8"/>
      <c r="Q515" s="89"/>
      <c r="R515" s="89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</row>
    <row r="516" spans="1:33" ht="12.75" x14ac:dyDescent="0.2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8"/>
      <c r="N516" s="88"/>
      <c r="O516" s="8"/>
      <c r="P516" s="8"/>
      <c r="Q516" s="89"/>
      <c r="R516" s="89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</row>
    <row r="517" spans="1:33" ht="12.75" x14ac:dyDescent="0.2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8"/>
      <c r="N517" s="88"/>
      <c r="O517" s="8"/>
      <c r="P517" s="8"/>
      <c r="Q517" s="89"/>
      <c r="R517" s="89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</row>
    <row r="518" spans="1:33" ht="12.75" x14ac:dyDescent="0.2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8"/>
      <c r="N518" s="88"/>
      <c r="O518" s="8"/>
      <c r="P518" s="8"/>
      <c r="Q518" s="89"/>
      <c r="R518" s="89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</row>
    <row r="519" spans="1:33" ht="12.75" x14ac:dyDescent="0.2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8"/>
      <c r="N519" s="88"/>
      <c r="O519" s="8"/>
      <c r="P519" s="8"/>
      <c r="Q519" s="89"/>
      <c r="R519" s="89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</row>
    <row r="520" spans="1:33" ht="12.75" x14ac:dyDescent="0.2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8"/>
      <c r="N520" s="88"/>
      <c r="O520" s="8"/>
      <c r="P520" s="8"/>
      <c r="Q520" s="89"/>
      <c r="R520" s="89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</row>
    <row r="521" spans="1:33" ht="12.75" x14ac:dyDescent="0.2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8"/>
      <c r="N521" s="88"/>
      <c r="O521" s="8"/>
      <c r="P521" s="8"/>
      <c r="Q521" s="89"/>
      <c r="R521" s="89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</row>
    <row r="522" spans="1:33" ht="12.75" x14ac:dyDescent="0.2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8"/>
      <c r="N522" s="88"/>
      <c r="O522" s="8"/>
      <c r="P522" s="8"/>
      <c r="Q522" s="89"/>
      <c r="R522" s="89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</row>
    <row r="523" spans="1:33" ht="12.75" x14ac:dyDescent="0.2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8"/>
      <c r="N523" s="88"/>
      <c r="O523" s="8"/>
      <c r="P523" s="8"/>
      <c r="Q523" s="89"/>
      <c r="R523" s="89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</row>
    <row r="524" spans="1:33" ht="12.75" x14ac:dyDescent="0.2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8"/>
      <c r="N524" s="88"/>
      <c r="O524" s="8"/>
      <c r="P524" s="8"/>
      <c r="Q524" s="89"/>
      <c r="R524" s="89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</row>
    <row r="525" spans="1:33" ht="12.75" x14ac:dyDescent="0.2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8"/>
      <c r="N525" s="88"/>
      <c r="O525" s="8"/>
      <c r="P525" s="8"/>
      <c r="Q525" s="89"/>
      <c r="R525" s="89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</row>
    <row r="526" spans="1:33" ht="12.75" x14ac:dyDescent="0.2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8"/>
      <c r="N526" s="88"/>
      <c r="O526" s="8"/>
      <c r="P526" s="8"/>
      <c r="Q526" s="89"/>
      <c r="R526" s="89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</row>
    <row r="527" spans="1:33" ht="12.75" x14ac:dyDescent="0.2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8"/>
      <c r="N527" s="88"/>
      <c r="O527" s="8"/>
      <c r="P527" s="8"/>
      <c r="Q527" s="89"/>
      <c r="R527" s="89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</row>
    <row r="528" spans="1:33" ht="12.75" x14ac:dyDescent="0.2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8"/>
      <c r="N528" s="88"/>
      <c r="O528" s="8"/>
      <c r="P528" s="8"/>
      <c r="Q528" s="89"/>
      <c r="R528" s="89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</row>
    <row r="529" spans="1:33" ht="12.75" x14ac:dyDescent="0.2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8"/>
      <c r="N529" s="88"/>
      <c r="O529" s="8"/>
      <c r="P529" s="8"/>
      <c r="Q529" s="89"/>
      <c r="R529" s="89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</row>
    <row r="530" spans="1:33" ht="12.75" x14ac:dyDescent="0.2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8"/>
      <c r="N530" s="88"/>
      <c r="O530" s="8"/>
      <c r="P530" s="8"/>
      <c r="Q530" s="89"/>
      <c r="R530" s="89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</row>
    <row r="531" spans="1:33" ht="12.75" x14ac:dyDescent="0.2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8"/>
      <c r="N531" s="88"/>
      <c r="O531" s="8"/>
      <c r="P531" s="8"/>
      <c r="Q531" s="89"/>
      <c r="R531" s="89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</row>
    <row r="532" spans="1:33" ht="12.75" x14ac:dyDescent="0.2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8"/>
      <c r="N532" s="88"/>
      <c r="O532" s="8"/>
      <c r="P532" s="8"/>
      <c r="Q532" s="89"/>
      <c r="R532" s="89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</row>
    <row r="533" spans="1:33" ht="12.75" x14ac:dyDescent="0.2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8"/>
      <c r="N533" s="88"/>
      <c r="O533" s="8"/>
      <c r="P533" s="8"/>
      <c r="Q533" s="89"/>
      <c r="R533" s="89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</row>
    <row r="534" spans="1:33" ht="12.75" x14ac:dyDescent="0.2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8"/>
      <c r="N534" s="88"/>
      <c r="O534" s="8"/>
      <c r="P534" s="8"/>
      <c r="Q534" s="89"/>
      <c r="R534" s="89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</row>
    <row r="535" spans="1:33" ht="12.75" x14ac:dyDescent="0.2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8"/>
      <c r="N535" s="88"/>
      <c r="O535" s="8"/>
      <c r="P535" s="8"/>
      <c r="Q535" s="89"/>
      <c r="R535" s="89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</row>
    <row r="536" spans="1:33" ht="12.75" x14ac:dyDescent="0.2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8"/>
      <c r="N536" s="88"/>
      <c r="O536" s="8"/>
      <c r="P536" s="8"/>
      <c r="Q536" s="89"/>
      <c r="R536" s="89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</row>
    <row r="537" spans="1:33" ht="12.75" x14ac:dyDescent="0.2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8"/>
      <c r="N537" s="88"/>
      <c r="O537" s="8"/>
      <c r="P537" s="8"/>
      <c r="Q537" s="89"/>
      <c r="R537" s="89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</row>
    <row r="538" spans="1:33" ht="12.75" x14ac:dyDescent="0.2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8"/>
      <c r="N538" s="88"/>
      <c r="O538" s="8"/>
      <c r="P538" s="8"/>
      <c r="Q538" s="89"/>
      <c r="R538" s="89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</row>
    <row r="539" spans="1:33" ht="12.75" x14ac:dyDescent="0.2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8"/>
      <c r="N539" s="88"/>
      <c r="O539" s="8"/>
      <c r="P539" s="8"/>
      <c r="Q539" s="89"/>
      <c r="R539" s="89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</row>
    <row r="540" spans="1:33" ht="12.75" x14ac:dyDescent="0.2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8"/>
      <c r="N540" s="88"/>
      <c r="O540" s="8"/>
      <c r="P540" s="8"/>
      <c r="Q540" s="89"/>
      <c r="R540" s="89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</row>
    <row r="541" spans="1:33" ht="12.75" x14ac:dyDescent="0.2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8"/>
      <c r="N541" s="88"/>
      <c r="O541" s="8"/>
      <c r="P541" s="8"/>
      <c r="Q541" s="89"/>
      <c r="R541" s="89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</row>
    <row r="542" spans="1:33" ht="12.75" x14ac:dyDescent="0.2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8"/>
      <c r="N542" s="88"/>
      <c r="O542" s="8"/>
      <c r="P542" s="8"/>
      <c r="Q542" s="89"/>
      <c r="R542" s="89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</row>
    <row r="543" spans="1:33" ht="12.75" x14ac:dyDescent="0.2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8"/>
      <c r="N543" s="88"/>
      <c r="O543" s="8"/>
      <c r="P543" s="8"/>
      <c r="Q543" s="89"/>
      <c r="R543" s="89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</row>
    <row r="544" spans="1:33" ht="12.75" x14ac:dyDescent="0.2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8"/>
      <c r="N544" s="88"/>
      <c r="O544" s="8"/>
      <c r="P544" s="8"/>
      <c r="Q544" s="89"/>
      <c r="R544" s="89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</row>
    <row r="545" spans="1:33" ht="12.75" x14ac:dyDescent="0.2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8"/>
      <c r="N545" s="88"/>
      <c r="O545" s="8"/>
      <c r="P545" s="8"/>
      <c r="Q545" s="89"/>
      <c r="R545" s="89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</row>
    <row r="546" spans="1:33" ht="12.75" x14ac:dyDescent="0.2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8"/>
      <c r="N546" s="88"/>
      <c r="O546" s="8"/>
      <c r="P546" s="8"/>
      <c r="Q546" s="89"/>
      <c r="R546" s="89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</row>
    <row r="547" spans="1:33" ht="12.75" x14ac:dyDescent="0.2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8"/>
      <c r="N547" s="88"/>
      <c r="O547" s="8"/>
      <c r="P547" s="8"/>
      <c r="Q547" s="89"/>
      <c r="R547" s="89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</row>
    <row r="548" spans="1:33" ht="12.75" x14ac:dyDescent="0.2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8"/>
      <c r="N548" s="88"/>
      <c r="O548" s="8"/>
      <c r="P548" s="8"/>
      <c r="Q548" s="89"/>
      <c r="R548" s="89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</row>
    <row r="549" spans="1:33" ht="12.75" x14ac:dyDescent="0.2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8"/>
      <c r="N549" s="88"/>
      <c r="O549" s="8"/>
      <c r="P549" s="8"/>
      <c r="Q549" s="89"/>
      <c r="R549" s="89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</row>
    <row r="550" spans="1:33" ht="12.75" x14ac:dyDescent="0.2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8"/>
      <c r="N550" s="88"/>
      <c r="O550" s="8"/>
      <c r="P550" s="8"/>
      <c r="Q550" s="89"/>
      <c r="R550" s="89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</row>
    <row r="551" spans="1:33" ht="12.75" x14ac:dyDescent="0.2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8"/>
      <c r="N551" s="88"/>
      <c r="O551" s="8"/>
      <c r="P551" s="8"/>
      <c r="Q551" s="89"/>
      <c r="R551" s="89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</row>
    <row r="552" spans="1:33" ht="12.75" x14ac:dyDescent="0.2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8"/>
      <c r="N552" s="88"/>
      <c r="O552" s="8"/>
      <c r="P552" s="8"/>
      <c r="Q552" s="89"/>
      <c r="R552" s="89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</row>
    <row r="553" spans="1:33" ht="12.75" x14ac:dyDescent="0.2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8"/>
      <c r="N553" s="88"/>
      <c r="O553" s="8"/>
      <c r="P553" s="8"/>
      <c r="Q553" s="89"/>
      <c r="R553" s="89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</row>
    <row r="554" spans="1:33" ht="12.75" x14ac:dyDescent="0.2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8"/>
      <c r="N554" s="88"/>
      <c r="O554" s="8"/>
      <c r="P554" s="8"/>
      <c r="Q554" s="89"/>
      <c r="R554" s="89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</row>
    <row r="555" spans="1:33" ht="12.75" x14ac:dyDescent="0.2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8"/>
      <c r="N555" s="88"/>
      <c r="O555" s="8"/>
      <c r="P555" s="8"/>
      <c r="Q555" s="89"/>
      <c r="R555" s="89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</row>
    <row r="556" spans="1:33" ht="12.75" x14ac:dyDescent="0.2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8"/>
      <c r="N556" s="88"/>
      <c r="O556" s="8"/>
      <c r="P556" s="8"/>
      <c r="Q556" s="89"/>
      <c r="R556" s="89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</row>
    <row r="557" spans="1:33" ht="12.75" x14ac:dyDescent="0.2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8"/>
      <c r="N557" s="88"/>
      <c r="O557" s="8"/>
      <c r="P557" s="8"/>
      <c r="Q557" s="89"/>
      <c r="R557" s="89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</row>
    <row r="558" spans="1:33" ht="12.75" x14ac:dyDescent="0.2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8"/>
      <c r="N558" s="88"/>
      <c r="O558" s="8"/>
      <c r="P558" s="8"/>
      <c r="Q558" s="89"/>
      <c r="R558" s="89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</row>
    <row r="559" spans="1:33" ht="12.75" x14ac:dyDescent="0.2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8"/>
      <c r="N559" s="88"/>
      <c r="O559" s="8"/>
      <c r="P559" s="8"/>
      <c r="Q559" s="89"/>
      <c r="R559" s="89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</row>
    <row r="560" spans="1:33" ht="12.75" x14ac:dyDescent="0.2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8"/>
      <c r="N560" s="88"/>
      <c r="O560" s="8"/>
      <c r="P560" s="8"/>
      <c r="Q560" s="89"/>
      <c r="R560" s="89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</row>
    <row r="561" spans="1:33" ht="12.75" x14ac:dyDescent="0.2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8"/>
      <c r="N561" s="88"/>
      <c r="O561" s="8"/>
      <c r="P561" s="8"/>
      <c r="Q561" s="89"/>
      <c r="R561" s="89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</row>
    <row r="562" spans="1:33" ht="12.75" x14ac:dyDescent="0.2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8"/>
      <c r="N562" s="88"/>
      <c r="O562" s="8"/>
      <c r="P562" s="8"/>
      <c r="Q562" s="89"/>
      <c r="R562" s="89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</row>
    <row r="563" spans="1:33" ht="12.75" x14ac:dyDescent="0.2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8"/>
      <c r="N563" s="88"/>
      <c r="O563" s="8"/>
      <c r="P563" s="8"/>
      <c r="Q563" s="89"/>
      <c r="R563" s="89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</row>
    <row r="564" spans="1:33" ht="12.75" x14ac:dyDescent="0.2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8"/>
      <c r="N564" s="88"/>
      <c r="O564" s="8"/>
      <c r="P564" s="8"/>
      <c r="Q564" s="89"/>
      <c r="R564" s="89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</row>
    <row r="565" spans="1:33" ht="12.75" x14ac:dyDescent="0.2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8"/>
      <c r="N565" s="88"/>
      <c r="O565" s="8"/>
      <c r="P565" s="8"/>
      <c r="Q565" s="89"/>
      <c r="R565" s="89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</row>
    <row r="566" spans="1:33" ht="12.75" x14ac:dyDescent="0.2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8"/>
      <c r="N566" s="88"/>
      <c r="O566" s="8"/>
      <c r="P566" s="8"/>
      <c r="Q566" s="89"/>
      <c r="R566" s="89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</row>
    <row r="567" spans="1:33" ht="12.75" x14ac:dyDescent="0.2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8"/>
      <c r="N567" s="88"/>
      <c r="O567" s="8"/>
      <c r="P567" s="8"/>
      <c r="Q567" s="89"/>
      <c r="R567" s="89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</row>
    <row r="568" spans="1:33" ht="12.75" x14ac:dyDescent="0.2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8"/>
      <c r="N568" s="88"/>
      <c r="O568" s="8"/>
      <c r="P568" s="8"/>
      <c r="Q568" s="89"/>
      <c r="R568" s="89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</row>
    <row r="569" spans="1:33" ht="12.75" x14ac:dyDescent="0.2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8"/>
      <c r="N569" s="88"/>
      <c r="O569" s="8"/>
      <c r="P569" s="8"/>
      <c r="Q569" s="89"/>
      <c r="R569" s="89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</row>
    <row r="570" spans="1:33" ht="12.75" x14ac:dyDescent="0.2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8"/>
      <c r="N570" s="88"/>
      <c r="O570" s="8"/>
      <c r="P570" s="8"/>
      <c r="Q570" s="89"/>
      <c r="R570" s="89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</row>
    <row r="571" spans="1:33" ht="12.75" x14ac:dyDescent="0.2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8"/>
      <c r="N571" s="88"/>
      <c r="O571" s="8"/>
      <c r="P571" s="8"/>
      <c r="Q571" s="89"/>
      <c r="R571" s="89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</row>
    <row r="572" spans="1:33" ht="12.75" x14ac:dyDescent="0.2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8"/>
      <c r="N572" s="88"/>
      <c r="O572" s="8"/>
      <c r="P572" s="8"/>
      <c r="Q572" s="89"/>
      <c r="R572" s="89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</row>
    <row r="573" spans="1:33" ht="12.75" x14ac:dyDescent="0.2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8"/>
      <c r="N573" s="88"/>
      <c r="O573" s="8"/>
      <c r="P573" s="8"/>
      <c r="Q573" s="89"/>
      <c r="R573" s="89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</row>
    <row r="574" spans="1:33" ht="12.75" x14ac:dyDescent="0.2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8"/>
      <c r="N574" s="88"/>
      <c r="O574" s="8"/>
      <c r="P574" s="8"/>
      <c r="Q574" s="89"/>
      <c r="R574" s="89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</row>
    <row r="575" spans="1:33" ht="12.75" x14ac:dyDescent="0.2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8"/>
      <c r="N575" s="88"/>
      <c r="O575" s="8"/>
      <c r="P575" s="8"/>
      <c r="Q575" s="89"/>
      <c r="R575" s="89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</row>
    <row r="576" spans="1:33" ht="12.75" x14ac:dyDescent="0.2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8"/>
      <c r="N576" s="88"/>
      <c r="O576" s="8"/>
      <c r="P576" s="8"/>
      <c r="Q576" s="89"/>
      <c r="R576" s="89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</row>
    <row r="577" spans="1:33" ht="12.75" x14ac:dyDescent="0.2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8"/>
      <c r="N577" s="88"/>
      <c r="O577" s="8"/>
      <c r="P577" s="8"/>
      <c r="Q577" s="89"/>
      <c r="R577" s="89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</row>
    <row r="578" spans="1:33" ht="12.75" x14ac:dyDescent="0.2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8"/>
      <c r="N578" s="88"/>
      <c r="O578" s="8"/>
      <c r="P578" s="8"/>
      <c r="Q578" s="89"/>
      <c r="R578" s="89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</row>
    <row r="579" spans="1:33" ht="12.75" x14ac:dyDescent="0.2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8"/>
      <c r="N579" s="88"/>
      <c r="O579" s="8"/>
      <c r="P579" s="8"/>
      <c r="Q579" s="89"/>
      <c r="R579" s="89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</row>
    <row r="580" spans="1:33" ht="12.75" x14ac:dyDescent="0.2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8"/>
      <c r="N580" s="88"/>
      <c r="O580" s="8"/>
      <c r="P580" s="8"/>
      <c r="Q580" s="89"/>
      <c r="R580" s="89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</row>
    <row r="581" spans="1:33" ht="12.75" x14ac:dyDescent="0.2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8"/>
      <c r="N581" s="88"/>
      <c r="O581" s="8"/>
      <c r="P581" s="8"/>
      <c r="Q581" s="89"/>
      <c r="R581" s="89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</row>
    <row r="582" spans="1:33" ht="12.75" x14ac:dyDescent="0.2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8"/>
      <c r="N582" s="88"/>
      <c r="O582" s="8"/>
      <c r="P582" s="8"/>
      <c r="Q582" s="89"/>
      <c r="R582" s="89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</row>
    <row r="583" spans="1:33" ht="12.75" x14ac:dyDescent="0.2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8"/>
      <c r="N583" s="88"/>
      <c r="O583" s="8"/>
      <c r="P583" s="8"/>
      <c r="Q583" s="89"/>
      <c r="R583" s="89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</row>
    <row r="584" spans="1:33" ht="12.75" x14ac:dyDescent="0.2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8"/>
      <c r="N584" s="88"/>
      <c r="O584" s="8"/>
      <c r="P584" s="8"/>
      <c r="Q584" s="89"/>
      <c r="R584" s="89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</row>
    <row r="585" spans="1:33" ht="12.75" x14ac:dyDescent="0.2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8"/>
      <c r="N585" s="88"/>
      <c r="O585" s="8"/>
      <c r="P585" s="8"/>
      <c r="Q585" s="89"/>
      <c r="R585" s="89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</row>
    <row r="586" spans="1:33" ht="12.75" x14ac:dyDescent="0.2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8"/>
      <c r="N586" s="88"/>
      <c r="O586" s="8"/>
      <c r="P586" s="8"/>
      <c r="Q586" s="89"/>
      <c r="R586" s="89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</row>
    <row r="587" spans="1:33" ht="12.75" x14ac:dyDescent="0.2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8"/>
      <c r="N587" s="88"/>
      <c r="O587" s="8"/>
      <c r="P587" s="8"/>
      <c r="Q587" s="89"/>
      <c r="R587" s="89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</row>
    <row r="588" spans="1:33" ht="12.75" x14ac:dyDescent="0.2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8"/>
      <c r="N588" s="88"/>
      <c r="O588" s="8"/>
      <c r="P588" s="8"/>
      <c r="Q588" s="89"/>
      <c r="R588" s="89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</row>
    <row r="589" spans="1:33" ht="12.75" x14ac:dyDescent="0.2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8"/>
      <c r="N589" s="88"/>
      <c r="O589" s="8"/>
      <c r="P589" s="8"/>
      <c r="Q589" s="89"/>
      <c r="R589" s="89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</row>
    <row r="590" spans="1:33" ht="12.75" x14ac:dyDescent="0.2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8"/>
      <c r="N590" s="88"/>
      <c r="O590" s="8"/>
      <c r="P590" s="8"/>
      <c r="Q590" s="89"/>
      <c r="R590" s="89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</row>
    <row r="591" spans="1:33" ht="12.75" x14ac:dyDescent="0.2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8"/>
      <c r="N591" s="88"/>
      <c r="O591" s="8"/>
      <c r="P591" s="8"/>
      <c r="Q591" s="89"/>
      <c r="R591" s="89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</row>
    <row r="592" spans="1:33" ht="12.75" x14ac:dyDescent="0.2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8"/>
      <c r="N592" s="88"/>
      <c r="O592" s="8"/>
      <c r="P592" s="8"/>
      <c r="Q592" s="89"/>
      <c r="R592" s="89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</row>
    <row r="593" spans="1:33" ht="12.75" x14ac:dyDescent="0.2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8"/>
      <c r="N593" s="88"/>
      <c r="O593" s="8"/>
      <c r="P593" s="8"/>
      <c r="Q593" s="89"/>
      <c r="R593" s="89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</row>
    <row r="594" spans="1:33" ht="12.75" x14ac:dyDescent="0.2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8"/>
      <c r="N594" s="88"/>
      <c r="O594" s="8"/>
      <c r="P594" s="8"/>
      <c r="Q594" s="89"/>
      <c r="R594" s="89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</row>
    <row r="595" spans="1:33" ht="12.75" x14ac:dyDescent="0.2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8"/>
      <c r="N595" s="88"/>
      <c r="O595" s="8"/>
      <c r="P595" s="8"/>
      <c r="Q595" s="89"/>
      <c r="R595" s="89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</row>
    <row r="596" spans="1:33" ht="12.75" x14ac:dyDescent="0.2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8"/>
      <c r="N596" s="88"/>
      <c r="O596" s="8"/>
      <c r="P596" s="8"/>
      <c r="Q596" s="89"/>
      <c r="R596" s="89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</row>
    <row r="597" spans="1:33" ht="12.75" x14ac:dyDescent="0.2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8"/>
      <c r="N597" s="88"/>
      <c r="O597" s="8"/>
      <c r="P597" s="8"/>
      <c r="Q597" s="89"/>
      <c r="R597" s="89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</row>
    <row r="598" spans="1:33" ht="12.75" x14ac:dyDescent="0.2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8"/>
      <c r="N598" s="88"/>
      <c r="O598" s="8"/>
      <c r="P598" s="8"/>
      <c r="Q598" s="89"/>
      <c r="R598" s="89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</row>
    <row r="599" spans="1:33" ht="12.75" x14ac:dyDescent="0.2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8"/>
      <c r="N599" s="88"/>
      <c r="O599" s="8"/>
      <c r="P599" s="8"/>
      <c r="Q599" s="89"/>
      <c r="R599" s="89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</row>
    <row r="600" spans="1:33" ht="12.75" x14ac:dyDescent="0.2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8"/>
      <c r="N600" s="88"/>
      <c r="O600" s="8"/>
      <c r="P600" s="8"/>
      <c r="Q600" s="89"/>
      <c r="R600" s="89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</row>
    <row r="601" spans="1:33" ht="12.75" x14ac:dyDescent="0.2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8"/>
      <c r="N601" s="88"/>
      <c r="O601" s="8"/>
      <c r="P601" s="8"/>
      <c r="Q601" s="89"/>
      <c r="R601" s="89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</row>
    <row r="602" spans="1:33" ht="12.75" x14ac:dyDescent="0.2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8"/>
      <c r="N602" s="88"/>
      <c r="O602" s="8"/>
      <c r="P602" s="8"/>
      <c r="Q602" s="89"/>
      <c r="R602" s="89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</row>
    <row r="603" spans="1:33" ht="12.75" x14ac:dyDescent="0.2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8"/>
      <c r="N603" s="88"/>
      <c r="O603" s="8"/>
      <c r="P603" s="8"/>
      <c r="Q603" s="89"/>
      <c r="R603" s="89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</row>
    <row r="604" spans="1:33" ht="12.75" x14ac:dyDescent="0.2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8"/>
      <c r="N604" s="88"/>
      <c r="O604" s="8"/>
      <c r="P604" s="8"/>
      <c r="Q604" s="89"/>
      <c r="R604" s="89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</row>
    <row r="605" spans="1:33" ht="12.75" x14ac:dyDescent="0.2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8"/>
      <c r="N605" s="88"/>
      <c r="O605" s="8"/>
      <c r="P605" s="8"/>
      <c r="Q605" s="89"/>
      <c r="R605" s="89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</row>
    <row r="606" spans="1:33" ht="12.75" x14ac:dyDescent="0.2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8"/>
      <c r="N606" s="88"/>
      <c r="O606" s="8"/>
      <c r="P606" s="8"/>
      <c r="Q606" s="89"/>
      <c r="R606" s="89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</row>
    <row r="607" spans="1:33" ht="12.75" x14ac:dyDescent="0.2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8"/>
      <c r="N607" s="88"/>
      <c r="O607" s="8"/>
      <c r="P607" s="8"/>
      <c r="Q607" s="89"/>
      <c r="R607" s="89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</row>
    <row r="608" spans="1:33" ht="12.75" x14ac:dyDescent="0.2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8"/>
      <c r="N608" s="88"/>
      <c r="O608" s="8"/>
      <c r="P608" s="8"/>
      <c r="Q608" s="89"/>
      <c r="R608" s="89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</row>
    <row r="609" spans="1:33" ht="12.75" x14ac:dyDescent="0.2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8"/>
      <c r="N609" s="88"/>
      <c r="O609" s="8"/>
      <c r="P609" s="8"/>
      <c r="Q609" s="89"/>
      <c r="R609" s="89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</row>
    <row r="610" spans="1:33" ht="12.75" x14ac:dyDescent="0.2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8"/>
      <c r="N610" s="88"/>
      <c r="O610" s="8"/>
      <c r="P610" s="8"/>
      <c r="Q610" s="89"/>
      <c r="R610" s="89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</row>
    <row r="611" spans="1:33" ht="12.75" x14ac:dyDescent="0.2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8"/>
      <c r="N611" s="88"/>
      <c r="O611" s="8"/>
      <c r="P611" s="8"/>
      <c r="Q611" s="89"/>
      <c r="R611" s="89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</row>
    <row r="612" spans="1:33" ht="12.75" x14ac:dyDescent="0.2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8"/>
      <c r="N612" s="88"/>
      <c r="O612" s="8"/>
      <c r="P612" s="8"/>
      <c r="Q612" s="89"/>
      <c r="R612" s="89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</row>
    <row r="613" spans="1:33" ht="12.75" x14ac:dyDescent="0.2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8"/>
      <c r="N613" s="88"/>
      <c r="O613" s="8"/>
      <c r="P613" s="8"/>
      <c r="Q613" s="89"/>
      <c r="R613" s="89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</row>
    <row r="614" spans="1:33" ht="12.75" x14ac:dyDescent="0.2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8"/>
      <c r="N614" s="88"/>
      <c r="O614" s="8"/>
      <c r="P614" s="8"/>
      <c r="Q614" s="89"/>
      <c r="R614" s="89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</row>
    <row r="615" spans="1:33" ht="12.75" x14ac:dyDescent="0.2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8"/>
      <c r="N615" s="88"/>
      <c r="O615" s="8"/>
      <c r="P615" s="8"/>
      <c r="Q615" s="89"/>
      <c r="R615" s="89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</row>
    <row r="616" spans="1:33" ht="12.75" x14ac:dyDescent="0.2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8"/>
      <c r="N616" s="88"/>
      <c r="O616" s="8"/>
      <c r="P616" s="8"/>
      <c r="Q616" s="89"/>
      <c r="R616" s="89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</row>
    <row r="617" spans="1:33" ht="12.75" x14ac:dyDescent="0.2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8"/>
      <c r="N617" s="88"/>
      <c r="O617" s="8"/>
      <c r="P617" s="8"/>
      <c r="Q617" s="89"/>
      <c r="R617" s="89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</row>
    <row r="618" spans="1:33" ht="12.75" x14ac:dyDescent="0.2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8"/>
      <c r="N618" s="88"/>
      <c r="O618" s="8"/>
      <c r="P618" s="8"/>
      <c r="Q618" s="89"/>
      <c r="R618" s="89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</row>
    <row r="619" spans="1:33" ht="12.75" x14ac:dyDescent="0.2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8"/>
      <c r="N619" s="88"/>
      <c r="O619" s="8"/>
      <c r="P619" s="8"/>
      <c r="Q619" s="89"/>
      <c r="R619" s="89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</row>
    <row r="620" spans="1:33" ht="12.75" x14ac:dyDescent="0.2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8"/>
      <c r="N620" s="88"/>
      <c r="O620" s="8"/>
      <c r="P620" s="8"/>
      <c r="Q620" s="89"/>
      <c r="R620" s="89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</row>
    <row r="621" spans="1:33" ht="12.75" x14ac:dyDescent="0.2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8"/>
      <c r="N621" s="88"/>
      <c r="O621" s="8"/>
      <c r="P621" s="8"/>
      <c r="Q621" s="89"/>
      <c r="R621" s="89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</row>
    <row r="622" spans="1:33" ht="12.75" x14ac:dyDescent="0.2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8"/>
      <c r="N622" s="88"/>
      <c r="O622" s="8"/>
      <c r="P622" s="8"/>
      <c r="Q622" s="89"/>
      <c r="R622" s="89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</row>
    <row r="623" spans="1:33" ht="12.75" x14ac:dyDescent="0.2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8"/>
      <c r="N623" s="88"/>
      <c r="O623" s="8"/>
      <c r="P623" s="8"/>
      <c r="Q623" s="89"/>
      <c r="R623" s="89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</row>
    <row r="624" spans="1:33" ht="12.75" x14ac:dyDescent="0.2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8"/>
      <c r="N624" s="88"/>
      <c r="O624" s="8"/>
      <c r="P624" s="8"/>
      <c r="Q624" s="89"/>
      <c r="R624" s="89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</row>
    <row r="625" spans="1:33" ht="12.75" x14ac:dyDescent="0.2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8"/>
      <c r="N625" s="88"/>
      <c r="O625" s="8"/>
      <c r="P625" s="8"/>
      <c r="Q625" s="89"/>
      <c r="R625" s="89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</row>
    <row r="626" spans="1:33" ht="12.75" x14ac:dyDescent="0.2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8"/>
      <c r="N626" s="88"/>
      <c r="O626" s="8"/>
      <c r="P626" s="8"/>
      <c r="Q626" s="89"/>
      <c r="R626" s="89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</row>
    <row r="627" spans="1:33" ht="12.75" x14ac:dyDescent="0.2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8"/>
      <c r="N627" s="88"/>
      <c r="O627" s="8"/>
      <c r="P627" s="8"/>
      <c r="Q627" s="89"/>
      <c r="R627" s="89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</row>
    <row r="628" spans="1:33" ht="12.75" x14ac:dyDescent="0.2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8"/>
      <c r="N628" s="88"/>
      <c r="O628" s="8"/>
      <c r="P628" s="8"/>
      <c r="Q628" s="89"/>
      <c r="R628" s="89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</row>
    <row r="629" spans="1:33" ht="12.75" x14ac:dyDescent="0.2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8"/>
      <c r="N629" s="88"/>
      <c r="O629" s="8"/>
      <c r="P629" s="8"/>
      <c r="Q629" s="89"/>
      <c r="R629" s="89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</row>
    <row r="630" spans="1:33" ht="12.75" x14ac:dyDescent="0.2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8"/>
      <c r="N630" s="88"/>
      <c r="O630" s="8"/>
      <c r="P630" s="8"/>
      <c r="Q630" s="89"/>
      <c r="R630" s="89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</row>
    <row r="631" spans="1:33" ht="12.75" x14ac:dyDescent="0.2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8"/>
      <c r="N631" s="88"/>
      <c r="O631" s="8"/>
      <c r="P631" s="8"/>
      <c r="Q631" s="89"/>
      <c r="R631" s="89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</row>
    <row r="632" spans="1:33" ht="12.75" x14ac:dyDescent="0.2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8"/>
      <c r="N632" s="88"/>
      <c r="O632" s="8"/>
      <c r="P632" s="8"/>
      <c r="Q632" s="89"/>
      <c r="R632" s="89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</row>
    <row r="633" spans="1:33" ht="12.75" x14ac:dyDescent="0.2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8"/>
      <c r="N633" s="88"/>
      <c r="O633" s="8"/>
      <c r="P633" s="8"/>
      <c r="Q633" s="89"/>
      <c r="R633" s="89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</row>
    <row r="634" spans="1:33" ht="12.75" x14ac:dyDescent="0.2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8"/>
      <c r="N634" s="88"/>
      <c r="O634" s="8"/>
      <c r="P634" s="8"/>
      <c r="Q634" s="89"/>
      <c r="R634" s="89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</row>
    <row r="635" spans="1:33" ht="12.75" x14ac:dyDescent="0.2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8"/>
      <c r="N635" s="88"/>
      <c r="O635" s="8"/>
      <c r="P635" s="8"/>
      <c r="Q635" s="89"/>
      <c r="R635" s="89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</row>
    <row r="636" spans="1:33" ht="12.75" x14ac:dyDescent="0.2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8"/>
      <c r="N636" s="88"/>
      <c r="O636" s="8"/>
      <c r="P636" s="8"/>
      <c r="Q636" s="89"/>
      <c r="R636" s="89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</row>
    <row r="637" spans="1:33" ht="12.75" x14ac:dyDescent="0.2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8"/>
      <c r="N637" s="88"/>
      <c r="O637" s="8"/>
      <c r="P637" s="8"/>
      <c r="Q637" s="89"/>
      <c r="R637" s="89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</row>
    <row r="638" spans="1:33" ht="12.75" x14ac:dyDescent="0.2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8"/>
      <c r="N638" s="88"/>
      <c r="O638" s="8"/>
      <c r="P638" s="8"/>
      <c r="Q638" s="89"/>
      <c r="R638" s="89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</row>
    <row r="639" spans="1:33" ht="12.75" x14ac:dyDescent="0.2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8"/>
      <c r="N639" s="88"/>
      <c r="O639" s="8"/>
      <c r="P639" s="8"/>
      <c r="Q639" s="89"/>
      <c r="R639" s="89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</row>
    <row r="640" spans="1:33" ht="12.75" x14ac:dyDescent="0.2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8"/>
      <c r="N640" s="88"/>
      <c r="O640" s="8"/>
      <c r="P640" s="8"/>
      <c r="Q640" s="89"/>
      <c r="R640" s="89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</row>
    <row r="641" spans="1:33" ht="12.75" x14ac:dyDescent="0.2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8"/>
      <c r="N641" s="88"/>
      <c r="O641" s="8"/>
      <c r="P641" s="8"/>
      <c r="Q641" s="89"/>
      <c r="R641" s="89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</row>
    <row r="642" spans="1:33" ht="12.75" x14ac:dyDescent="0.2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8"/>
      <c r="N642" s="88"/>
      <c r="O642" s="8"/>
      <c r="P642" s="8"/>
      <c r="Q642" s="89"/>
      <c r="R642" s="89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</row>
    <row r="643" spans="1:33" ht="12.75" x14ac:dyDescent="0.2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8"/>
      <c r="N643" s="88"/>
      <c r="O643" s="8"/>
      <c r="P643" s="8"/>
      <c r="Q643" s="89"/>
      <c r="R643" s="89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</row>
    <row r="644" spans="1:33" ht="12.75" x14ac:dyDescent="0.2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8"/>
      <c r="N644" s="88"/>
      <c r="O644" s="8"/>
      <c r="P644" s="8"/>
      <c r="Q644" s="89"/>
      <c r="R644" s="89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</row>
    <row r="645" spans="1:33" ht="12.75" x14ac:dyDescent="0.2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8"/>
      <c r="N645" s="88"/>
      <c r="O645" s="8"/>
      <c r="P645" s="8"/>
      <c r="Q645" s="89"/>
      <c r="R645" s="89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</row>
    <row r="646" spans="1:33" ht="12.75" x14ac:dyDescent="0.2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8"/>
      <c r="N646" s="88"/>
      <c r="O646" s="8"/>
      <c r="P646" s="8"/>
      <c r="Q646" s="89"/>
      <c r="R646" s="89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</row>
    <row r="647" spans="1:33" ht="12.75" x14ac:dyDescent="0.2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8"/>
      <c r="N647" s="88"/>
      <c r="O647" s="8"/>
      <c r="P647" s="8"/>
      <c r="Q647" s="89"/>
      <c r="R647" s="89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</row>
    <row r="648" spans="1:33" ht="12.75" x14ac:dyDescent="0.2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8"/>
      <c r="N648" s="88"/>
      <c r="O648" s="8"/>
      <c r="P648" s="8"/>
      <c r="Q648" s="89"/>
      <c r="R648" s="89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</row>
    <row r="649" spans="1:33" ht="12.75" x14ac:dyDescent="0.2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8"/>
      <c r="N649" s="88"/>
      <c r="O649" s="8"/>
      <c r="P649" s="8"/>
      <c r="Q649" s="89"/>
      <c r="R649" s="89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</row>
    <row r="650" spans="1:33" ht="12.75" x14ac:dyDescent="0.2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8"/>
      <c r="N650" s="88"/>
      <c r="O650" s="8"/>
      <c r="P650" s="8"/>
      <c r="Q650" s="89"/>
      <c r="R650" s="89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</row>
    <row r="651" spans="1:33" ht="12.75" x14ac:dyDescent="0.2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8"/>
      <c r="N651" s="88"/>
      <c r="O651" s="8"/>
      <c r="P651" s="8"/>
      <c r="Q651" s="89"/>
      <c r="R651" s="89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</row>
    <row r="652" spans="1:33" ht="12.75" x14ac:dyDescent="0.2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8"/>
      <c r="N652" s="88"/>
      <c r="O652" s="8"/>
      <c r="P652" s="8"/>
      <c r="Q652" s="89"/>
      <c r="R652" s="89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</row>
    <row r="653" spans="1:33" ht="12.75" x14ac:dyDescent="0.2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8"/>
      <c r="N653" s="88"/>
      <c r="O653" s="8"/>
      <c r="P653" s="8"/>
      <c r="Q653" s="89"/>
      <c r="R653" s="89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</row>
    <row r="654" spans="1:33" ht="12.75" x14ac:dyDescent="0.2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8"/>
      <c r="N654" s="88"/>
      <c r="O654" s="8"/>
      <c r="P654" s="8"/>
      <c r="Q654" s="89"/>
      <c r="R654" s="89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</row>
    <row r="655" spans="1:33" ht="12.75" x14ac:dyDescent="0.2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8"/>
      <c r="N655" s="88"/>
      <c r="O655" s="8"/>
      <c r="P655" s="8"/>
      <c r="Q655" s="89"/>
      <c r="R655" s="89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</row>
    <row r="656" spans="1:33" ht="12.75" x14ac:dyDescent="0.2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8"/>
      <c r="N656" s="88"/>
      <c r="O656" s="8"/>
      <c r="P656" s="8"/>
      <c r="Q656" s="89"/>
      <c r="R656" s="89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</row>
    <row r="657" spans="1:33" ht="12.75" x14ac:dyDescent="0.2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8"/>
      <c r="N657" s="88"/>
      <c r="O657" s="8"/>
      <c r="P657" s="8"/>
      <c r="Q657" s="89"/>
      <c r="R657" s="89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</row>
    <row r="658" spans="1:33" ht="12.75" x14ac:dyDescent="0.2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8"/>
      <c r="N658" s="88"/>
      <c r="O658" s="8"/>
      <c r="P658" s="8"/>
      <c r="Q658" s="89"/>
      <c r="R658" s="89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</row>
    <row r="659" spans="1:33" ht="12.75" x14ac:dyDescent="0.2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8"/>
      <c r="N659" s="88"/>
      <c r="O659" s="8"/>
      <c r="P659" s="8"/>
      <c r="Q659" s="89"/>
      <c r="R659" s="89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</row>
    <row r="660" spans="1:33" ht="12.75" x14ac:dyDescent="0.2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8"/>
      <c r="N660" s="88"/>
      <c r="O660" s="8"/>
      <c r="P660" s="8"/>
      <c r="Q660" s="89"/>
      <c r="R660" s="89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</row>
    <row r="661" spans="1:33" ht="12.75" x14ac:dyDescent="0.2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8"/>
      <c r="N661" s="88"/>
      <c r="O661" s="8"/>
      <c r="P661" s="8"/>
      <c r="Q661" s="89"/>
      <c r="R661" s="89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</row>
    <row r="662" spans="1:33" ht="12.75" x14ac:dyDescent="0.2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8"/>
      <c r="N662" s="88"/>
      <c r="O662" s="8"/>
      <c r="P662" s="8"/>
      <c r="Q662" s="89"/>
      <c r="R662" s="89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</row>
    <row r="663" spans="1:33" ht="12.75" x14ac:dyDescent="0.2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8"/>
      <c r="N663" s="88"/>
      <c r="O663" s="8"/>
      <c r="P663" s="8"/>
      <c r="Q663" s="89"/>
      <c r="R663" s="89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</row>
    <row r="664" spans="1:33" ht="12.75" x14ac:dyDescent="0.2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8"/>
      <c r="N664" s="88"/>
      <c r="O664" s="8"/>
      <c r="P664" s="8"/>
      <c r="Q664" s="89"/>
      <c r="R664" s="89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</row>
    <row r="665" spans="1:33" ht="12.75" x14ac:dyDescent="0.2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8"/>
      <c r="N665" s="88"/>
      <c r="O665" s="8"/>
      <c r="P665" s="8"/>
      <c r="Q665" s="89"/>
      <c r="R665" s="89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</row>
    <row r="666" spans="1:33" ht="12.75" x14ac:dyDescent="0.2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8"/>
      <c r="N666" s="88"/>
      <c r="O666" s="8"/>
      <c r="P666" s="8"/>
      <c r="Q666" s="89"/>
      <c r="R666" s="89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</row>
    <row r="667" spans="1:33" ht="12.75" x14ac:dyDescent="0.2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8"/>
      <c r="N667" s="88"/>
      <c r="O667" s="8"/>
      <c r="P667" s="8"/>
      <c r="Q667" s="89"/>
      <c r="R667" s="89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</row>
    <row r="668" spans="1:33" ht="12.75" x14ac:dyDescent="0.2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8"/>
      <c r="N668" s="88"/>
      <c r="O668" s="8"/>
      <c r="P668" s="8"/>
      <c r="Q668" s="89"/>
      <c r="R668" s="89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</row>
    <row r="669" spans="1:33" ht="12.75" x14ac:dyDescent="0.2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8"/>
      <c r="N669" s="88"/>
      <c r="O669" s="8"/>
      <c r="P669" s="8"/>
      <c r="Q669" s="89"/>
      <c r="R669" s="89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</row>
    <row r="670" spans="1:33" ht="12.75" x14ac:dyDescent="0.2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8"/>
      <c r="N670" s="88"/>
      <c r="O670" s="8"/>
      <c r="P670" s="8"/>
      <c r="Q670" s="89"/>
      <c r="R670" s="89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</row>
    <row r="671" spans="1:33" ht="12.75" x14ac:dyDescent="0.2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8"/>
      <c r="N671" s="88"/>
      <c r="O671" s="8"/>
      <c r="P671" s="8"/>
      <c r="Q671" s="89"/>
      <c r="R671" s="89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</row>
    <row r="672" spans="1:33" ht="12.75" x14ac:dyDescent="0.2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8"/>
      <c r="N672" s="88"/>
      <c r="O672" s="8"/>
      <c r="P672" s="8"/>
      <c r="Q672" s="89"/>
      <c r="R672" s="89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</row>
    <row r="673" spans="1:33" ht="12.75" x14ac:dyDescent="0.2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8"/>
      <c r="N673" s="88"/>
      <c r="O673" s="8"/>
      <c r="P673" s="8"/>
      <c r="Q673" s="89"/>
      <c r="R673" s="89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</row>
    <row r="674" spans="1:33" ht="12.75" x14ac:dyDescent="0.2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8"/>
      <c r="N674" s="88"/>
      <c r="O674" s="8"/>
      <c r="P674" s="8"/>
      <c r="Q674" s="89"/>
      <c r="R674" s="89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</row>
    <row r="675" spans="1:33" ht="12.75" x14ac:dyDescent="0.2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8"/>
      <c r="N675" s="88"/>
      <c r="O675" s="8"/>
      <c r="P675" s="8"/>
      <c r="Q675" s="89"/>
      <c r="R675" s="89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</row>
    <row r="676" spans="1:33" ht="12.75" x14ac:dyDescent="0.2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8"/>
      <c r="N676" s="88"/>
      <c r="O676" s="8"/>
      <c r="P676" s="8"/>
      <c r="Q676" s="89"/>
      <c r="R676" s="89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</row>
    <row r="677" spans="1:33" ht="12.75" x14ac:dyDescent="0.2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8"/>
      <c r="N677" s="88"/>
      <c r="O677" s="8"/>
      <c r="P677" s="8"/>
      <c r="Q677" s="89"/>
      <c r="R677" s="89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</row>
    <row r="678" spans="1:33" ht="12.75" x14ac:dyDescent="0.2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8"/>
      <c r="N678" s="88"/>
      <c r="O678" s="8"/>
      <c r="P678" s="8"/>
      <c r="Q678" s="89"/>
      <c r="R678" s="89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</row>
    <row r="679" spans="1:33" ht="12.75" x14ac:dyDescent="0.2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8"/>
      <c r="N679" s="88"/>
      <c r="O679" s="8"/>
      <c r="P679" s="8"/>
      <c r="Q679" s="89"/>
      <c r="R679" s="89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</row>
    <row r="680" spans="1:33" ht="12.75" x14ac:dyDescent="0.2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8"/>
      <c r="N680" s="88"/>
      <c r="O680" s="8"/>
      <c r="P680" s="8"/>
      <c r="Q680" s="89"/>
      <c r="R680" s="89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</row>
    <row r="681" spans="1:33" ht="12.75" x14ac:dyDescent="0.2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8"/>
      <c r="N681" s="88"/>
      <c r="O681" s="8"/>
      <c r="P681" s="8"/>
      <c r="Q681" s="89"/>
      <c r="R681" s="89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</row>
    <row r="682" spans="1:33" ht="12.75" x14ac:dyDescent="0.2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8"/>
      <c r="N682" s="88"/>
      <c r="O682" s="8"/>
      <c r="P682" s="8"/>
      <c r="Q682" s="89"/>
      <c r="R682" s="89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</row>
    <row r="683" spans="1:33" ht="12.75" x14ac:dyDescent="0.2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8"/>
      <c r="N683" s="88"/>
      <c r="O683" s="8"/>
      <c r="P683" s="8"/>
      <c r="Q683" s="89"/>
      <c r="R683" s="89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</row>
    <row r="684" spans="1:33" ht="12.75" x14ac:dyDescent="0.2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8"/>
      <c r="N684" s="88"/>
      <c r="O684" s="8"/>
      <c r="P684" s="8"/>
      <c r="Q684" s="89"/>
      <c r="R684" s="89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</row>
    <row r="685" spans="1:33" ht="12.75" x14ac:dyDescent="0.2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8"/>
      <c r="N685" s="88"/>
      <c r="O685" s="8"/>
      <c r="P685" s="8"/>
      <c r="Q685" s="89"/>
      <c r="R685" s="89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</row>
    <row r="686" spans="1:33" ht="12.75" x14ac:dyDescent="0.2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8"/>
      <c r="N686" s="88"/>
      <c r="O686" s="8"/>
      <c r="P686" s="8"/>
      <c r="Q686" s="89"/>
      <c r="R686" s="89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</row>
    <row r="687" spans="1:33" ht="12.75" x14ac:dyDescent="0.2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8"/>
      <c r="N687" s="88"/>
      <c r="O687" s="8"/>
      <c r="P687" s="8"/>
      <c r="Q687" s="89"/>
      <c r="R687" s="89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</row>
    <row r="688" spans="1:33" ht="12.75" x14ac:dyDescent="0.2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8"/>
      <c r="N688" s="88"/>
      <c r="O688" s="8"/>
      <c r="P688" s="8"/>
      <c r="Q688" s="89"/>
      <c r="R688" s="89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</row>
    <row r="689" spans="1:33" ht="12.75" x14ac:dyDescent="0.2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8"/>
      <c r="N689" s="88"/>
      <c r="O689" s="8"/>
      <c r="P689" s="8"/>
      <c r="Q689" s="89"/>
      <c r="R689" s="89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</row>
    <row r="690" spans="1:33" ht="12.75" x14ac:dyDescent="0.2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8"/>
      <c r="N690" s="88"/>
      <c r="O690" s="8"/>
      <c r="P690" s="8"/>
      <c r="Q690" s="89"/>
      <c r="R690" s="89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</row>
    <row r="691" spans="1:33" ht="12.75" x14ac:dyDescent="0.2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8"/>
      <c r="N691" s="88"/>
      <c r="O691" s="8"/>
      <c r="P691" s="8"/>
      <c r="Q691" s="89"/>
      <c r="R691" s="89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</row>
    <row r="692" spans="1:33" ht="12.75" x14ac:dyDescent="0.2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8"/>
      <c r="N692" s="88"/>
      <c r="O692" s="8"/>
      <c r="P692" s="8"/>
      <c r="Q692" s="89"/>
      <c r="R692" s="89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</row>
    <row r="693" spans="1:33" ht="12.75" x14ac:dyDescent="0.2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8"/>
      <c r="N693" s="88"/>
      <c r="O693" s="8"/>
      <c r="P693" s="8"/>
      <c r="Q693" s="89"/>
      <c r="R693" s="89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</row>
    <row r="694" spans="1:33" ht="12.75" x14ac:dyDescent="0.2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8"/>
      <c r="N694" s="88"/>
      <c r="O694" s="8"/>
      <c r="P694" s="8"/>
      <c r="Q694" s="89"/>
      <c r="R694" s="89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</row>
    <row r="695" spans="1:33" ht="12.75" x14ac:dyDescent="0.2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8"/>
      <c r="N695" s="88"/>
      <c r="O695" s="8"/>
      <c r="P695" s="8"/>
      <c r="Q695" s="89"/>
      <c r="R695" s="89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</row>
    <row r="696" spans="1:33" ht="12.75" x14ac:dyDescent="0.2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8"/>
      <c r="N696" s="88"/>
      <c r="O696" s="8"/>
      <c r="P696" s="8"/>
      <c r="Q696" s="89"/>
      <c r="R696" s="89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</row>
    <row r="697" spans="1:33" ht="12.75" x14ac:dyDescent="0.2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8"/>
      <c r="N697" s="88"/>
      <c r="O697" s="8"/>
      <c r="P697" s="8"/>
      <c r="Q697" s="89"/>
      <c r="R697" s="89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</row>
    <row r="698" spans="1:33" ht="12.75" x14ac:dyDescent="0.2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8"/>
      <c r="N698" s="88"/>
      <c r="O698" s="8"/>
      <c r="P698" s="8"/>
      <c r="Q698" s="89"/>
      <c r="R698" s="89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</row>
    <row r="699" spans="1:33" ht="12.75" x14ac:dyDescent="0.2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8"/>
      <c r="N699" s="88"/>
      <c r="O699" s="8"/>
      <c r="P699" s="8"/>
      <c r="Q699" s="89"/>
      <c r="R699" s="89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</row>
    <row r="700" spans="1:33" ht="12.75" x14ac:dyDescent="0.2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8"/>
      <c r="N700" s="88"/>
      <c r="O700" s="8"/>
      <c r="P700" s="8"/>
      <c r="Q700" s="89"/>
      <c r="R700" s="89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</row>
    <row r="701" spans="1:33" ht="12.75" x14ac:dyDescent="0.2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8"/>
      <c r="N701" s="88"/>
      <c r="O701" s="8"/>
      <c r="P701" s="8"/>
      <c r="Q701" s="89"/>
      <c r="R701" s="89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</row>
    <row r="702" spans="1:33" ht="12.75" x14ac:dyDescent="0.2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8"/>
      <c r="N702" s="88"/>
      <c r="O702" s="8"/>
      <c r="P702" s="8"/>
      <c r="Q702" s="89"/>
      <c r="R702" s="89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</row>
    <row r="703" spans="1:33" ht="12.75" x14ac:dyDescent="0.2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8"/>
      <c r="N703" s="88"/>
      <c r="O703" s="8"/>
      <c r="P703" s="8"/>
      <c r="Q703" s="89"/>
      <c r="R703" s="89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</row>
    <row r="704" spans="1:33" ht="12.75" x14ac:dyDescent="0.2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8"/>
      <c r="N704" s="88"/>
      <c r="O704" s="8"/>
      <c r="P704" s="8"/>
      <c r="Q704" s="89"/>
      <c r="R704" s="89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</row>
    <row r="705" spans="1:33" ht="12.75" x14ac:dyDescent="0.2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8"/>
      <c r="N705" s="88"/>
      <c r="O705" s="8"/>
      <c r="P705" s="8"/>
      <c r="Q705" s="89"/>
      <c r="R705" s="89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</row>
    <row r="706" spans="1:33" ht="12.75" x14ac:dyDescent="0.2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8"/>
      <c r="N706" s="88"/>
      <c r="O706" s="8"/>
      <c r="P706" s="8"/>
      <c r="Q706" s="89"/>
      <c r="R706" s="89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</row>
    <row r="707" spans="1:33" ht="12.75" x14ac:dyDescent="0.2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8"/>
      <c r="N707" s="88"/>
      <c r="O707" s="8"/>
      <c r="P707" s="8"/>
      <c r="Q707" s="89"/>
      <c r="R707" s="89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</row>
    <row r="708" spans="1:33" ht="12.75" x14ac:dyDescent="0.2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8"/>
      <c r="N708" s="88"/>
      <c r="O708" s="8"/>
      <c r="P708" s="8"/>
      <c r="Q708" s="89"/>
      <c r="R708" s="89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</row>
    <row r="709" spans="1:33" ht="12.75" x14ac:dyDescent="0.2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8"/>
      <c r="N709" s="88"/>
      <c r="O709" s="8"/>
      <c r="P709" s="8"/>
      <c r="Q709" s="89"/>
      <c r="R709" s="89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</row>
    <row r="710" spans="1:33" ht="12.75" x14ac:dyDescent="0.2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8"/>
      <c r="N710" s="88"/>
      <c r="O710" s="8"/>
      <c r="P710" s="8"/>
      <c r="Q710" s="89"/>
      <c r="R710" s="89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</row>
    <row r="711" spans="1:33" ht="12.75" x14ac:dyDescent="0.2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8"/>
      <c r="N711" s="88"/>
      <c r="O711" s="8"/>
      <c r="P711" s="8"/>
      <c r="Q711" s="89"/>
      <c r="R711" s="89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</row>
    <row r="712" spans="1:33" ht="12.75" x14ac:dyDescent="0.2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8"/>
      <c r="N712" s="88"/>
      <c r="O712" s="8"/>
      <c r="P712" s="8"/>
      <c r="Q712" s="89"/>
      <c r="R712" s="89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</row>
    <row r="713" spans="1:33" ht="12.75" x14ac:dyDescent="0.2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8"/>
      <c r="N713" s="88"/>
      <c r="O713" s="8"/>
      <c r="P713" s="8"/>
      <c r="Q713" s="89"/>
      <c r="R713" s="89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</row>
    <row r="714" spans="1:33" ht="12.75" x14ac:dyDescent="0.2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8"/>
      <c r="N714" s="88"/>
      <c r="O714" s="8"/>
      <c r="P714" s="8"/>
      <c r="Q714" s="89"/>
      <c r="R714" s="89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</row>
    <row r="715" spans="1:33" ht="12.75" x14ac:dyDescent="0.2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8"/>
      <c r="N715" s="88"/>
      <c r="O715" s="8"/>
      <c r="P715" s="8"/>
      <c r="Q715" s="89"/>
      <c r="R715" s="89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</row>
    <row r="716" spans="1:33" ht="12.75" x14ac:dyDescent="0.2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8"/>
      <c r="N716" s="88"/>
      <c r="O716" s="8"/>
      <c r="P716" s="8"/>
      <c r="Q716" s="89"/>
      <c r="R716" s="89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</row>
    <row r="717" spans="1:33" ht="12.75" x14ac:dyDescent="0.2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8"/>
      <c r="N717" s="88"/>
      <c r="O717" s="8"/>
      <c r="P717" s="8"/>
      <c r="Q717" s="89"/>
      <c r="R717" s="89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</row>
    <row r="718" spans="1:33" ht="12.75" x14ac:dyDescent="0.2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8"/>
      <c r="N718" s="88"/>
      <c r="O718" s="8"/>
      <c r="P718" s="8"/>
      <c r="Q718" s="89"/>
      <c r="R718" s="89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</row>
    <row r="719" spans="1:33" ht="12.75" x14ac:dyDescent="0.2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8"/>
      <c r="N719" s="88"/>
      <c r="O719" s="8"/>
      <c r="P719" s="8"/>
      <c r="Q719" s="89"/>
      <c r="R719" s="89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</row>
    <row r="720" spans="1:33" ht="12.75" x14ac:dyDescent="0.2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8"/>
      <c r="N720" s="88"/>
      <c r="O720" s="8"/>
      <c r="P720" s="8"/>
      <c r="Q720" s="89"/>
      <c r="R720" s="89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</row>
    <row r="721" spans="1:33" ht="12.75" x14ac:dyDescent="0.2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8"/>
      <c r="N721" s="88"/>
      <c r="O721" s="8"/>
      <c r="P721" s="8"/>
      <c r="Q721" s="89"/>
      <c r="R721" s="89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</row>
    <row r="722" spans="1:33" ht="12.75" x14ac:dyDescent="0.2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8"/>
      <c r="N722" s="88"/>
      <c r="O722" s="8"/>
      <c r="P722" s="8"/>
      <c r="Q722" s="89"/>
      <c r="R722" s="89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</row>
    <row r="723" spans="1:33" ht="12.75" x14ac:dyDescent="0.2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8"/>
      <c r="N723" s="88"/>
      <c r="O723" s="8"/>
      <c r="P723" s="8"/>
      <c r="Q723" s="89"/>
      <c r="R723" s="89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</row>
    <row r="724" spans="1:33" ht="12.75" x14ac:dyDescent="0.2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8"/>
      <c r="N724" s="88"/>
      <c r="O724" s="8"/>
      <c r="P724" s="8"/>
      <c r="Q724" s="89"/>
      <c r="R724" s="89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</row>
    <row r="725" spans="1:33" ht="12.75" x14ac:dyDescent="0.2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8"/>
      <c r="N725" s="88"/>
      <c r="O725" s="8"/>
      <c r="P725" s="8"/>
      <c r="Q725" s="89"/>
      <c r="R725" s="89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</row>
    <row r="726" spans="1:33" ht="12.75" x14ac:dyDescent="0.2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8"/>
      <c r="N726" s="88"/>
      <c r="O726" s="8"/>
      <c r="P726" s="8"/>
      <c r="Q726" s="89"/>
      <c r="R726" s="89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</row>
    <row r="727" spans="1:33" ht="12.75" x14ac:dyDescent="0.2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8"/>
      <c r="N727" s="88"/>
      <c r="O727" s="8"/>
      <c r="P727" s="8"/>
      <c r="Q727" s="89"/>
      <c r="R727" s="89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</row>
    <row r="728" spans="1:33" ht="12.75" x14ac:dyDescent="0.2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8"/>
      <c r="N728" s="88"/>
      <c r="O728" s="8"/>
      <c r="P728" s="8"/>
      <c r="Q728" s="89"/>
      <c r="R728" s="89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</row>
    <row r="729" spans="1:33" ht="12.75" x14ac:dyDescent="0.2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8"/>
      <c r="N729" s="88"/>
      <c r="O729" s="8"/>
      <c r="P729" s="8"/>
      <c r="Q729" s="89"/>
      <c r="R729" s="89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</row>
    <row r="730" spans="1:33" ht="12.75" x14ac:dyDescent="0.2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8"/>
      <c r="N730" s="88"/>
      <c r="O730" s="8"/>
      <c r="P730" s="8"/>
      <c r="Q730" s="89"/>
      <c r="R730" s="89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</row>
    <row r="731" spans="1:33" ht="12.75" x14ac:dyDescent="0.2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8"/>
      <c r="N731" s="88"/>
      <c r="O731" s="8"/>
      <c r="P731" s="8"/>
      <c r="Q731" s="89"/>
      <c r="R731" s="89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</row>
    <row r="732" spans="1:33" ht="12.75" x14ac:dyDescent="0.2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8"/>
      <c r="N732" s="88"/>
      <c r="O732" s="8"/>
      <c r="P732" s="8"/>
      <c r="Q732" s="89"/>
      <c r="R732" s="89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</row>
    <row r="733" spans="1:33" ht="12.75" x14ac:dyDescent="0.2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8"/>
      <c r="N733" s="88"/>
      <c r="O733" s="8"/>
      <c r="P733" s="8"/>
      <c r="Q733" s="89"/>
      <c r="R733" s="89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</row>
    <row r="734" spans="1:33" ht="12.75" x14ac:dyDescent="0.2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8"/>
      <c r="N734" s="88"/>
      <c r="O734" s="8"/>
      <c r="P734" s="8"/>
      <c r="Q734" s="89"/>
      <c r="R734" s="89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</row>
    <row r="735" spans="1:33" ht="12.75" x14ac:dyDescent="0.2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8"/>
      <c r="N735" s="88"/>
      <c r="O735" s="8"/>
      <c r="P735" s="8"/>
      <c r="Q735" s="89"/>
      <c r="R735" s="89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</row>
    <row r="736" spans="1:33" ht="12.75" x14ac:dyDescent="0.2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8"/>
      <c r="N736" s="88"/>
      <c r="O736" s="8"/>
      <c r="P736" s="8"/>
      <c r="Q736" s="89"/>
      <c r="R736" s="89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</row>
    <row r="737" spans="1:33" ht="12.75" x14ac:dyDescent="0.2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8"/>
      <c r="N737" s="88"/>
      <c r="O737" s="8"/>
      <c r="P737" s="8"/>
      <c r="Q737" s="89"/>
      <c r="R737" s="89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</row>
    <row r="738" spans="1:33" ht="12.75" x14ac:dyDescent="0.2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8"/>
      <c r="N738" s="88"/>
      <c r="O738" s="8"/>
      <c r="P738" s="8"/>
      <c r="Q738" s="89"/>
      <c r="R738" s="89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</row>
    <row r="739" spans="1:33" ht="12.75" x14ac:dyDescent="0.2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8"/>
      <c r="N739" s="88"/>
      <c r="O739" s="8"/>
      <c r="P739" s="8"/>
      <c r="Q739" s="89"/>
      <c r="R739" s="89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</row>
    <row r="740" spans="1:33" ht="12.75" x14ac:dyDescent="0.2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8"/>
      <c r="N740" s="88"/>
      <c r="O740" s="8"/>
      <c r="P740" s="8"/>
      <c r="Q740" s="89"/>
      <c r="R740" s="89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</row>
    <row r="741" spans="1:33" ht="12.75" x14ac:dyDescent="0.2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8"/>
      <c r="N741" s="88"/>
      <c r="O741" s="8"/>
      <c r="P741" s="8"/>
      <c r="Q741" s="89"/>
      <c r="R741" s="89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</row>
    <row r="742" spans="1:33" ht="12.75" x14ac:dyDescent="0.2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8"/>
      <c r="N742" s="88"/>
      <c r="O742" s="8"/>
      <c r="P742" s="8"/>
      <c r="Q742" s="89"/>
      <c r="R742" s="89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</row>
    <row r="743" spans="1:33" ht="12.75" x14ac:dyDescent="0.2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8"/>
      <c r="N743" s="88"/>
      <c r="O743" s="8"/>
      <c r="P743" s="8"/>
      <c r="Q743" s="89"/>
      <c r="R743" s="89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</row>
    <row r="744" spans="1:33" ht="12.75" x14ac:dyDescent="0.2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8"/>
      <c r="N744" s="88"/>
      <c r="O744" s="8"/>
      <c r="P744" s="8"/>
      <c r="Q744" s="89"/>
      <c r="R744" s="89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</row>
    <row r="745" spans="1:33" ht="12.75" x14ac:dyDescent="0.2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8"/>
      <c r="N745" s="88"/>
      <c r="O745" s="8"/>
      <c r="P745" s="8"/>
      <c r="Q745" s="89"/>
      <c r="R745" s="89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</row>
    <row r="746" spans="1:33" ht="12.75" x14ac:dyDescent="0.2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8"/>
      <c r="N746" s="88"/>
      <c r="O746" s="8"/>
      <c r="P746" s="8"/>
      <c r="Q746" s="89"/>
      <c r="R746" s="89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</row>
    <row r="747" spans="1:33" ht="12.75" x14ac:dyDescent="0.2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8"/>
      <c r="N747" s="88"/>
      <c r="O747" s="8"/>
      <c r="P747" s="8"/>
      <c r="Q747" s="89"/>
      <c r="R747" s="89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</row>
    <row r="748" spans="1:33" ht="12.75" x14ac:dyDescent="0.2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8"/>
      <c r="N748" s="88"/>
      <c r="O748" s="8"/>
      <c r="P748" s="8"/>
      <c r="Q748" s="89"/>
      <c r="R748" s="89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</row>
    <row r="749" spans="1:33" ht="12.75" x14ac:dyDescent="0.2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8"/>
      <c r="N749" s="88"/>
      <c r="O749" s="8"/>
      <c r="P749" s="8"/>
      <c r="Q749" s="89"/>
      <c r="R749" s="89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</row>
    <row r="750" spans="1:33" ht="12.75" x14ac:dyDescent="0.2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8"/>
      <c r="N750" s="88"/>
      <c r="O750" s="8"/>
      <c r="P750" s="8"/>
      <c r="Q750" s="89"/>
      <c r="R750" s="89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</row>
    <row r="751" spans="1:33" ht="12.75" x14ac:dyDescent="0.2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8"/>
      <c r="N751" s="88"/>
      <c r="O751" s="8"/>
      <c r="P751" s="8"/>
      <c r="Q751" s="89"/>
      <c r="R751" s="89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</row>
    <row r="752" spans="1:33" ht="12.75" x14ac:dyDescent="0.2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8"/>
      <c r="N752" s="88"/>
      <c r="O752" s="8"/>
      <c r="P752" s="8"/>
      <c r="Q752" s="89"/>
      <c r="R752" s="89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</row>
    <row r="753" spans="1:33" ht="12.75" x14ac:dyDescent="0.2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8"/>
      <c r="N753" s="88"/>
      <c r="O753" s="8"/>
      <c r="P753" s="8"/>
      <c r="Q753" s="89"/>
      <c r="R753" s="89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</row>
    <row r="754" spans="1:33" ht="12.75" x14ac:dyDescent="0.2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8"/>
      <c r="N754" s="88"/>
      <c r="O754" s="8"/>
      <c r="P754" s="8"/>
      <c r="Q754" s="89"/>
      <c r="R754" s="89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</row>
    <row r="755" spans="1:33" ht="12.75" x14ac:dyDescent="0.2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8"/>
      <c r="N755" s="88"/>
      <c r="O755" s="8"/>
      <c r="P755" s="8"/>
      <c r="Q755" s="89"/>
      <c r="R755" s="89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</row>
    <row r="756" spans="1:33" ht="12.75" x14ac:dyDescent="0.2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8"/>
      <c r="N756" s="88"/>
      <c r="O756" s="8"/>
      <c r="P756" s="8"/>
      <c r="Q756" s="89"/>
      <c r="R756" s="89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</row>
    <row r="757" spans="1:33" ht="12.75" x14ac:dyDescent="0.2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8"/>
      <c r="N757" s="88"/>
      <c r="O757" s="8"/>
      <c r="P757" s="8"/>
      <c r="Q757" s="89"/>
      <c r="R757" s="89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</row>
    <row r="758" spans="1:33" ht="12.75" x14ac:dyDescent="0.2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8"/>
      <c r="N758" s="88"/>
      <c r="O758" s="8"/>
      <c r="P758" s="8"/>
      <c r="Q758" s="89"/>
      <c r="R758" s="89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</row>
    <row r="759" spans="1:33" ht="12.75" x14ac:dyDescent="0.2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8"/>
      <c r="N759" s="88"/>
      <c r="O759" s="8"/>
      <c r="P759" s="8"/>
      <c r="Q759" s="89"/>
      <c r="R759" s="89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</row>
    <row r="760" spans="1:33" ht="12.75" x14ac:dyDescent="0.2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8"/>
      <c r="N760" s="88"/>
      <c r="O760" s="8"/>
      <c r="P760" s="8"/>
      <c r="Q760" s="89"/>
      <c r="R760" s="89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</row>
    <row r="761" spans="1:33" ht="12.75" x14ac:dyDescent="0.2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8"/>
      <c r="N761" s="88"/>
      <c r="O761" s="8"/>
      <c r="P761" s="8"/>
      <c r="Q761" s="89"/>
      <c r="R761" s="89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</row>
    <row r="762" spans="1:33" ht="12.75" x14ac:dyDescent="0.2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8"/>
      <c r="N762" s="88"/>
      <c r="O762" s="8"/>
      <c r="P762" s="8"/>
      <c r="Q762" s="89"/>
      <c r="R762" s="89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</row>
    <row r="763" spans="1:33" ht="12.75" x14ac:dyDescent="0.2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8"/>
      <c r="N763" s="88"/>
      <c r="O763" s="8"/>
      <c r="P763" s="8"/>
      <c r="Q763" s="89"/>
      <c r="R763" s="89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</row>
    <row r="764" spans="1:33" ht="12.75" x14ac:dyDescent="0.2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8"/>
      <c r="N764" s="88"/>
      <c r="O764" s="8"/>
      <c r="P764" s="8"/>
      <c r="Q764" s="89"/>
      <c r="R764" s="89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</row>
    <row r="765" spans="1:33" ht="12.75" x14ac:dyDescent="0.2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8"/>
      <c r="N765" s="88"/>
      <c r="O765" s="8"/>
      <c r="P765" s="8"/>
      <c r="Q765" s="89"/>
      <c r="R765" s="89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</row>
    <row r="766" spans="1:33" ht="12.75" x14ac:dyDescent="0.2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8"/>
      <c r="N766" s="88"/>
      <c r="O766" s="8"/>
      <c r="P766" s="8"/>
      <c r="Q766" s="89"/>
      <c r="R766" s="89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</row>
    <row r="767" spans="1:33" ht="12.75" x14ac:dyDescent="0.2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8"/>
      <c r="N767" s="88"/>
      <c r="O767" s="8"/>
      <c r="P767" s="8"/>
      <c r="Q767" s="89"/>
      <c r="R767" s="89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</row>
    <row r="768" spans="1:33" ht="12.75" x14ac:dyDescent="0.2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8"/>
      <c r="N768" s="88"/>
      <c r="O768" s="8"/>
      <c r="P768" s="8"/>
      <c r="Q768" s="89"/>
      <c r="R768" s="89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</row>
    <row r="769" spans="1:33" ht="12.75" x14ac:dyDescent="0.2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8"/>
      <c r="N769" s="88"/>
      <c r="O769" s="8"/>
      <c r="P769" s="8"/>
      <c r="Q769" s="89"/>
      <c r="R769" s="89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</row>
    <row r="770" spans="1:33" ht="12.75" x14ac:dyDescent="0.2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8"/>
      <c r="N770" s="88"/>
      <c r="O770" s="8"/>
      <c r="P770" s="8"/>
      <c r="Q770" s="89"/>
      <c r="R770" s="89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</row>
    <row r="771" spans="1:33" ht="12.75" x14ac:dyDescent="0.2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8"/>
      <c r="N771" s="88"/>
      <c r="O771" s="8"/>
      <c r="P771" s="8"/>
      <c r="Q771" s="89"/>
      <c r="R771" s="89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</row>
    <row r="772" spans="1:33" ht="12.75" x14ac:dyDescent="0.2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8"/>
      <c r="N772" s="88"/>
      <c r="O772" s="8"/>
      <c r="P772" s="8"/>
      <c r="Q772" s="89"/>
      <c r="R772" s="89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</row>
    <row r="773" spans="1:33" ht="12.75" x14ac:dyDescent="0.2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8"/>
      <c r="N773" s="88"/>
      <c r="O773" s="8"/>
      <c r="P773" s="8"/>
      <c r="Q773" s="89"/>
      <c r="R773" s="89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</row>
    <row r="774" spans="1:33" ht="12.75" x14ac:dyDescent="0.2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8"/>
      <c r="N774" s="88"/>
      <c r="O774" s="8"/>
      <c r="P774" s="8"/>
      <c r="Q774" s="89"/>
      <c r="R774" s="89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</row>
    <row r="775" spans="1:33" ht="12.75" x14ac:dyDescent="0.2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8"/>
      <c r="N775" s="88"/>
      <c r="O775" s="8"/>
      <c r="P775" s="8"/>
      <c r="Q775" s="89"/>
      <c r="R775" s="89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</row>
    <row r="776" spans="1:33" ht="12.75" x14ac:dyDescent="0.2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8"/>
      <c r="N776" s="88"/>
      <c r="O776" s="8"/>
      <c r="P776" s="8"/>
      <c r="Q776" s="89"/>
      <c r="R776" s="89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</row>
    <row r="777" spans="1:33" ht="12.75" x14ac:dyDescent="0.2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8"/>
      <c r="N777" s="88"/>
      <c r="O777" s="8"/>
      <c r="P777" s="8"/>
      <c r="Q777" s="89"/>
      <c r="R777" s="89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</row>
    <row r="778" spans="1:33" ht="12.75" x14ac:dyDescent="0.2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8"/>
      <c r="N778" s="88"/>
      <c r="O778" s="8"/>
      <c r="P778" s="8"/>
      <c r="Q778" s="89"/>
      <c r="R778" s="89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</row>
    <row r="779" spans="1:33" ht="12.75" x14ac:dyDescent="0.2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8"/>
      <c r="N779" s="88"/>
      <c r="O779" s="8"/>
      <c r="P779" s="8"/>
      <c r="Q779" s="89"/>
      <c r="R779" s="89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</row>
    <row r="780" spans="1:33" ht="12.75" x14ac:dyDescent="0.2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8"/>
      <c r="N780" s="88"/>
      <c r="O780" s="8"/>
      <c r="P780" s="8"/>
      <c r="Q780" s="89"/>
      <c r="R780" s="89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</row>
    <row r="781" spans="1:33" ht="12.75" x14ac:dyDescent="0.2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8"/>
      <c r="N781" s="88"/>
      <c r="O781" s="8"/>
      <c r="P781" s="8"/>
      <c r="Q781" s="89"/>
      <c r="R781" s="89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</row>
    <row r="782" spans="1:33" ht="12.75" x14ac:dyDescent="0.2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8"/>
      <c r="N782" s="88"/>
      <c r="O782" s="8"/>
      <c r="P782" s="8"/>
      <c r="Q782" s="89"/>
      <c r="R782" s="89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</row>
    <row r="783" spans="1:33" ht="12.75" x14ac:dyDescent="0.2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8"/>
      <c r="N783" s="88"/>
      <c r="O783" s="8"/>
      <c r="P783" s="8"/>
      <c r="Q783" s="89"/>
      <c r="R783" s="89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</row>
    <row r="784" spans="1:33" ht="12.75" x14ac:dyDescent="0.2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8"/>
      <c r="N784" s="88"/>
      <c r="O784" s="8"/>
      <c r="P784" s="8"/>
      <c r="Q784" s="89"/>
      <c r="R784" s="89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</row>
    <row r="785" spans="1:33" ht="12.75" x14ac:dyDescent="0.2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8"/>
      <c r="N785" s="88"/>
      <c r="O785" s="8"/>
      <c r="P785" s="8"/>
      <c r="Q785" s="89"/>
      <c r="R785" s="89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</row>
    <row r="786" spans="1:33" ht="12.75" x14ac:dyDescent="0.2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8"/>
      <c r="N786" s="88"/>
      <c r="O786" s="8"/>
      <c r="P786" s="8"/>
      <c r="Q786" s="89"/>
      <c r="R786" s="89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</row>
    <row r="787" spans="1:33" ht="12.75" x14ac:dyDescent="0.2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8"/>
      <c r="N787" s="88"/>
      <c r="O787" s="8"/>
      <c r="P787" s="8"/>
      <c r="Q787" s="89"/>
      <c r="R787" s="89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</row>
    <row r="788" spans="1:33" ht="12.75" x14ac:dyDescent="0.2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8"/>
      <c r="N788" s="88"/>
      <c r="O788" s="8"/>
      <c r="P788" s="8"/>
      <c r="Q788" s="89"/>
      <c r="R788" s="89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</row>
    <row r="789" spans="1:33" ht="12.75" x14ac:dyDescent="0.2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8"/>
      <c r="N789" s="88"/>
      <c r="O789" s="8"/>
      <c r="P789" s="8"/>
      <c r="Q789" s="89"/>
      <c r="R789" s="89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</row>
    <row r="790" spans="1:33" ht="12.75" x14ac:dyDescent="0.2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8"/>
      <c r="N790" s="88"/>
      <c r="O790" s="8"/>
      <c r="P790" s="8"/>
      <c r="Q790" s="89"/>
      <c r="R790" s="89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</row>
    <row r="791" spans="1:33" ht="12.75" x14ac:dyDescent="0.2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8"/>
      <c r="N791" s="88"/>
      <c r="O791" s="8"/>
      <c r="P791" s="8"/>
      <c r="Q791" s="89"/>
      <c r="R791" s="89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</row>
    <row r="792" spans="1:33" ht="12.75" x14ac:dyDescent="0.2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8"/>
      <c r="N792" s="88"/>
      <c r="O792" s="8"/>
      <c r="P792" s="8"/>
      <c r="Q792" s="89"/>
      <c r="R792" s="89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</row>
    <row r="793" spans="1:33" ht="12.75" x14ac:dyDescent="0.2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8"/>
      <c r="N793" s="88"/>
      <c r="O793" s="8"/>
      <c r="P793" s="8"/>
      <c r="Q793" s="89"/>
      <c r="R793" s="89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</row>
    <row r="794" spans="1:33" ht="12.75" x14ac:dyDescent="0.2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8"/>
      <c r="N794" s="88"/>
      <c r="O794" s="8"/>
      <c r="P794" s="8"/>
      <c r="Q794" s="89"/>
      <c r="R794" s="89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</row>
    <row r="795" spans="1:33" ht="12.75" x14ac:dyDescent="0.2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8"/>
      <c r="N795" s="88"/>
      <c r="O795" s="8"/>
      <c r="P795" s="8"/>
      <c r="Q795" s="89"/>
      <c r="R795" s="89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</row>
    <row r="796" spans="1:33" ht="12.75" x14ac:dyDescent="0.2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8"/>
      <c r="N796" s="88"/>
      <c r="O796" s="8"/>
      <c r="P796" s="8"/>
      <c r="Q796" s="89"/>
      <c r="R796" s="89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</row>
    <row r="797" spans="1:33" ht="12.75" x14ac:dyDescent="0.2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8"/>
      <c r="N797" s="88"/>
      <c r="O797" s="8"/>
      <c r="P797" s="8"/>
      <c r="Q797" s="89"/>
      <c r="R797" s="89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</row>
    <row r="798" spans="1:33" ht="12.75" x14ac:dyDescent="0.2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8"/>
      <c r="N798" s="88"/>
      <c r="O798" s="8"/>
      <c r="P798" s="8"/>
      <c r="Q798" s="89"/>
      <c r="R798" s="89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</row>
    <row r="799" spans="1:33" ht="12.75" x14ac:dyDescent="0.2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8"/>
      <c r="N799" s="88"/>
      <c r="O799" s="8"/>
      <c r="P799" s="8"/>
      <c r="Q799" s="89"/>
      <c r="R799" s="89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</row>
    <row r="800" spans="1:33" ht="12.75" x14ac:dyDescent="0.2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8"/>
      <c r="N800" s="88"/>
      <c r="O800" s="8"/>
      <c r="P800" s="8"/>
      <c r="Q800" s="89"/>
      <c r="R800" s="89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</row>
    <row r="801" spans="1:33" ht="12.75" x14ac:dyDescent="0.2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8"/>
      <c r="N801" s="88"/>
      <c r="O801" s="8"/>
      <c r="P801" s="8"/>
      <c r="Q801" s="89"/>
      <c r="R801" s="89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</row>
    <row r="802" spans="1:33" ht="12.75" x14ac:dyDescent="0.2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8"/>
      <c r="N802" s="88"/>
      <c r="O802" s="8"/>
      <c r="P802" s="8"/>
      <c r="Q802" s="89"/>
      <c r="R802" s="89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</row>
    <row r="803" spans="1:33" ht="12.75" x14ac:dyDescent="0.2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8"/>
      <c r="N803" s="88"/>
      <c r="O803" s="8"/>
      <c r="P803" s="8"/>
      <c r="Q803" s="89"/>
      <c r="R803" s="89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</row>
    <row r="804" spans="1:33" ht="12.75" x14ac:dyDescent="0.2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8"/>
      <c r="N804" s="88"/>
      <c r="O804" s="8"/>
      <c r="P804" s="8"/>
      <c r="Q804" s="89"/>
      <c r="R804" s="89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</row>
    <row r="805" spans="1:33" ht="12.75" x14ac:dyDescent="0.2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8"/>
      <c r="N805" s="88"/>
      <c r="O805" s="8"/>
      <c r="P805" s="8"/>
      <c r="Q805" s="89"/>
      <c r="R805" s="89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</row>
    <row r="806" spans="1:33" ht="12.75" x14ac:dyDescent="0.2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8"/>
      <c r="N806" s="88"/>
      <c r="O806" s="8"/>
      <c r="P806" s="8"/>
      <c r="Q806" s="89"/>
      <c r="R806" s="89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</row>
    <row r="807" spans="1:33" ht="12.75" x14ac:dyDescent="0.2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8"/>
      <c r="N807" s="88"/>
      <c r="O807" s="8"/>
      <c r="P807" s="8"/>
      <c r="Q807" s="89"/>
      <c r="R807" s="89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</row>
    <row r="808" spans="1:33" ht="12.75" x14ac:dyDescent="0.2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8"/>
      <c r="N808" s="88"/>
      <c r="O808" s="8"/>
      <c r="P808" s="8"/>
      <c r="Q808" s="89"/>
      <c r="R808" s="89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</row>
    <row r="809" spans="1:33" ht="12.75" x14ac:dyDescent="0.2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8"/>
      <c r="N809" s="88"/>
      <c r="O809" s="8"/>
      <c r="P809" s="8"/>
      <c r="Q809" s="89"/>
      <c r="R809" s="89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</row>
    <row r="810" spans="1:33" ht="12.75" x14ac:dyDescent="0.2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8"/>
      <c r="N810" s="88"/>
      <c r="O810" s="8"/>
      <c r="P810" s="8"/>
      <c r="Q810" s="89"/>
      <c r="R810" s="89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</row>
    <row r="811" spans="1:33" ht="12.75" x14ac:dyDescent="0.2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8"/>
      <c r="N811" s="88"/>
      <c r="O811" s="8"/>
      <c r="P811" s="8"/>
      <c r="Q811" s="89"/>
      <c r="R811" s="89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</row>
    <row r="812" spans="1:33" ht="12.75" x14ac:dyDescent="0.2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8"/>
      <c r="N812" s="88"/>
      <c r="O812" s="8"/>
      <c r="P812" s="8"/>
      <c r="Q812" s="89"/>
      <c r="R812" s="89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</row>
    <row r="813" spans="1:33" ht="12.75" x14ac:dyDescent="0.2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8"/>
      <c r="N813" s="88"/>
      <c r="O813" s="8"/>
      <c r="P813" s="8"/>
      <c r="Q813" s="89"/>
      <c r="R813" s="89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</row>
    <row r="814" spans="1:33" ht="12.75" x14ac:dyDescent="0.2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8"/>
      <c r="N814" s="88"/>
      <c r="O814" s="8"/>
      <c r="P814" s="8"/>
      <c r="Q814" s="89"/>
      <c r="R814" s="89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</row>
    <row r="815" spans="1:33" ht="12.75" x14ac:dyDescent="0.2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8"/>
      <c r="N815" s="88"/>
      <c r="O815" s="8"/>
      <c r="P815" s="8"/>
      <c r="Q815" s="89"/>
      <c r="R815" s="89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</row>
    <row r="816" spans="1:33" ht="12.75" x14ac:dyDescent="0.2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8"/>
      <c r="N816" s="88"/>
      <c r="O816" s="8"/>
      <c r="P816" s="8"/>
      <c r="Q816" s="89"/>
      <c r="R816" s="89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</row>
    <row r="817" spans="1:33" ht="12.75" x14ac:dyDescent="0.2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8"/>
      <c r="N817" s="88"/>
      <c r="O817" s="8"/>
      <c r="P817" s="8"/>
      <c r="Q817" s="89"/>
      <c r="R817" s="89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</row>
    <row r="818" spans="1:33" ht="12.75" x14ac:dyDescent="0.2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8"/>
      <c r="N818" s="88"/>
      <c r="O818" s="8"/>
      <c r="P818" s="8"/>
      <c r="Q818" s="89"/>
      <c r="R818" s="89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</row>
    <row r="819" spans="1:33" ht="12.75" x14ac:dyDescent="0.2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8"/>
      <c r="N819" s="88"/>
      <c r="O819" s="8"/>
      <c r="P819" s="8"/>
      <c r="Q819" s="89"/>
      <c r="R819" s="89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</row>
    <row r="820" spans="1:33" ht="12.75" x14ac:dyDescent="0.2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8"/>
      <c r="N820" s="88"/>
      <c r="O820" s="8"/>
      <c r="P820" s="8"/>
      <c r="Q820" s="89"/>
      <c r="R820" s="89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</row>
    <row r="821" spans="1:33" ht="12.75" x14ac:dyDescent="0.2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8"/>
      <c r="N821" s="88"/>
      <c r="O821" s="8"/>
      <c r="P821" s="8"/>
      <c r="Q821" s="89"/>
      <c r="R821" s="89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</row>
    <row r="822" spans="1:33" ht="12.75" x14ac:dyDescent="0.2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8"/>
      <c r="N822" s="88"/>
      <c r="O822" s="8"/>
      <c r="P822" s="8"/>
      <c r="Q822" s="89"/>
      <c r="R822" s="89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</row>
    <row r="823" spans="1:33" ht="12.75" x14ac:dyDescent="0.2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8"/>
      <c r="N823" s="88"/>
      <c r="O823" s="8"/>
      <c r="P823" s="8"/>
      <c r="Q823" s="89"/>
      <c r="R823" s="89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</row>
    <row r="824" spans="1:33" ht="12.75" x14ac:dyDescent="0.2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8"/>
      <c r="N824" s="88"/>
      <c r="O824" s="8"/>
      <c r="P824" s="8"/>
      <c r="Q824" s="89"/>
      <c r="R824" s="89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</row>
    <row r="825" spans="1:33" ht="12.75" x14ac:dyDescent="0.2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8"/>
      <c r="N825" s="88"/>
      <c r="O825" s="8"/>
      <c r="P825" s="8"/>
      <c r="Q825" s="89"/>
      <c r="R825" s="89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</row>
    <row r="826" spans="1:33" ht="12.75" x14ac:dyDescent="0.2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8"/>
      <c r="N826" s="88"/>
      <c r="O826" s="8"/>
      <c r="P826" s="8"/>
      <c r="Q826" s="89"/>
      <c r="R826" s="89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</row>
    <row r="827" spans="1:33" ht="12.75" x14ac:dyDescent="0.2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8"/>
      <c r="N827" s="88"/>
      <c r="O827" s="8"/>
      <c r="P827" s="8"/>
      <c r="Q827" s="89"/>
      <c r="R827" s="89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</row>
    <row r="828" spans="1:33" ht="12.75" x14ac:dyDescent="0.2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8"/>
      <c r="N828" s="88"/>
      <c r="O828" s="8"/>
      <c r="P828" s="8"/>
      <c r="Q828" s="89"/>
      <c r="R828" s="89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</row>
    <row r="829" spans="1:33" ht="12.75" x14ac:dyDescent="0.2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8"/>
      <c r="N829" s="88"/>
      <c r="O829" s="8"/>
      <c r="P829" s="8"/>
      <c r="Q829" s="89"/>
      <c r="R829" s="89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</row>
    <row r="830" spans="1:33" ht="12.75" x14ac:dyDescent="0.2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8"/>
      <c r="N830" s="88"/>
      <c r="O830" s="8"/>
      <c r="P830" s="8"/>
      <c r="Q830" s="89"/>
      <c r="R830" s="89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</row>
    <row r="831" spans="1:33" ht="12.75" x14ac:dyDescent="0.2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8"/>
      <c r="N831" s="88"/>
      <c r="O831" s="8"/>
      <c r="P831" s="8"/>
      <c r="Q831" s="89"/>
      <c r="R831" s="89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</row>
    <row r="832" spans="1:33" ht="12.75" x14ac:dyDescent="0.2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8"/>
      <c r="N832" s="88"/>
      <c r="O832" s="8"/>
      <c r="P832" s="8"/>
      <c r="Q832" s="89"/>
      <c r="R832" s="89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</row>
    <row r="833" spans="1:33" ht="12.75" x14ac:dyDescent="0.2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8"/>
      <c r="N833" s="88"/>
      <c r="O833" s="8"/>
      <c r="P833" s="8"/>
      <c r="Q833" s="89"/>
      <c r="R833" s="89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</row>
    <row r="834" spans="1:33" ht="12.75" x14ac:dyDescent="0.2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8"/>
      <c r="N834" s="88"/>
      <c r="O834" s="8"/>
      <c r="P834" s="8"/>
      <c r="Q834" s="89"/>
      <c r="R834" s="89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</row>
    <row r="835" spans="1:33" ht="12.75" x14ac:dyDescent="0.2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8"/>
      <c r="N835" s="88"/>
      <c r="O835" s="8"/>
      <c r="P835" s="8"/>
      <c r="Q835" s="89"/>
      <c r="R835" s="89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</row>
    <row r="836" spans="1:33" ht="12.75" x14ac:dyDescent="0.2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8"/>
      <c r="N836" s="88"/>
      <c r="O836" s="8"/>
      <c r="P836" s="8"/>
      <c r="Q836" s="89"/>
      <c r="R836" s="89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</row>
    <row r="837" spans="1:33" ht="12.75" x14ac:dyDescent="0.2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8"/>
      <c r="N837" s="88"/>
      <c r="O837" s="8"/>
      <c r="P837" s="8"/>
      <c r="Q837" s="89"/>
      <c r="R837" s="89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</row>
    <row r="838" spans="1:33" ht="12.75" x14ac:dyDescent="0.2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8"/>
      <c r="N838" s="88"/>
      <c r="O838" s="8"/>
      <c r="P838" s="8"/>
      <c r="Q838" s="89"/>
      <c r="R838" s="89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</row>
    <row r="839" spans="1:33" ht="12.75" x14ac:dyDescent="0.2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8"/>
      <c r="N839" s="88"/>
      <c r="O839" s="8"/>
      <c r="P839" s="8"/>
      <c r="Q839" s="89"/>
      <c r="R839" s="89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</row>
    <row r="840" spans="1:33" ht="12.75" x14ac:dyDescent="0.2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8"/>
      <c r="N840" s="88"/>
      <c r="O840" s="8"/>
      <c r="P840" s="8"/>
      <c r="Q840" s="89"/>
      <c r="R840" s="89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</row>
    <row r="841" spans="1:33" ht="12.75" x14ac:dyDescent="0.2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8"/>
      <c r="N841" s="88"/>
      <c r="O841" s="8"/>
      <c r="P841" s="8"/>
      <c r="Q841" s="89"/>
      <c r="R841" s="89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</row>
    <row r="842" spans="1:33" ht="12.75" x14ac:dyDescent="0.2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8"/>
      <c r="N842" s="88"/>
      <c r="O842" s="8"/>
      <c r="P842" s="8"/>
      <c r="Q842" s="89"/>
      <c r="R842" s="89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</row>
    <row r="843" spans="1:33" ht="12.75" x14ac:dyDescent="0.2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8"/>
      <c r="N843" s="88"/>
      <c r="O843" s="8"/>
      <c r="P843" s="8"/>
      <c r="Q843" s="89"/>
      <c r="R843" s="89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</row>
    <row r="844" spans="1:33" ht="12.75" x14ac:dyDescent="0.2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8"/>
      <c r="N844" s="88"/>
      <c r="O844" s="8"/>
      <c r="P844" s="8"/>
      <c r="Q844" s="89"/>
      <c r="R844" s="89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</row>
    <row r="845" spans="1:33" ht="12.75" x14ac:dyDescent="0.2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8"/>
      <c r="N845" s="88"/>
      <c r="O845" s="8"/>
      <c r="P845" s="8"/>
      <c r="Q845" s="89"/>
      <c r="R845" s="89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</row>
    <row r="846" spans="1:33" ht="12.75" x14ac:dyDescent="0.2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8"/>
      <c r="N846" s="88"/>
      <c r="O846" s="8"/>
      <c r="P846" s="8"/>
      <c r="Q846" s="89"/>
      <c r="R846" s="89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</row>
    <row r="847" spans="1:33" ht="12.75" x14ac:dyDescent="0.2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8"/>
      <c r="N847" s="88"/>
      <c r="O847" s="8"/>
      <c r="P847" s="8"/>
      <c r="Q847" s="89"/>
      <c r="R847" s="89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</row>
    <row r="848" spans="1:33" ht="12.75" x14ac:dyDescent="0.2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8"/>
      <c r="N848" s="88"/>
      <c r="O848" s="8"/>
      <c r="P848" s="8"/>
      <c r="Q848" s="89"/>
      <c r="R848" s="89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</row>
    <row r="849" spans="1:33" ht="12.75" x14ac:dyDescent="0.2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8"/>
      <c r="N849" s="88"/>
      <c r="O849" s="8"/>
      <c r="P849" s="8"/>
      <c r="Q849" s="89"/>
      <c r="R849" s="89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</row>
    <row r="850" spans="1:33" ht="12.75" x14ac:dyDescent="0.2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8"/>
      <c r="N850" s="88"/>
      <c r="O850" s="8"/>
      <c r="P850" s="8"/>
      <c r="Q850" s="89"/>
      <c r="R850" s="89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</row>
    <row r="851" spans="1:33" ht="12.75" x14ac:dyDescent="0.2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8"/>
      <c r="N851" s="88"/>
      <c r="O851" s="8"/>
      <c r="P851" s="8"/>
      <c r="Q851" s="89"/>
      <c r="R851" s="89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</row>
    <row r="852" spans="1:33" ht="12.75" x14ac:dyDescent="0.2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8"/>
      <c r="N852" s="88"/>
      <c r="O852" s="8"/>
      <c r="P852" s="8"/>
      <c r="Q852" s="89"/>
      <c r="R852" s="89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</row>
    <row r="853" spans="1:33" ht="12.75" x14ac:dyDescent="0.2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8"/>
      <c r="N853" s="88"/>
      <c r="O853" s="8"/>
      <c r="P853" s="8"/>
      <c r="Q853" s="89"/>
      <c r="R853" s="89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</row>
    <row r="854" spans="1:33" ht="12.75" x14ac:dyDescent="0.2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8"/>
      <c r="N854" s="88"/>
      <c r="O854" s="8"/>
      <c r="P854" s="8"/>
      <c r="Q854" s="89"/>
      <c r="R854" s="89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</row>
    <row r="855" spans="1:33" ht="12.75" x14ac:dyDescent="0.2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8"/>
      <c r="N855" s="88"/>
      <c r="O855" s="8"/>
      <c r="P855" s="8"/>
      <c r="Q855" s="89"/>
      <c r="R855" s="89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</row>
    <row r="856" spans="1:33" ht="12.75" x14ac:dyDescent="0.2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8"/>
      <c r="N856" s="88"/>
      <c r="O856" s="8"/>
      <c r="P856" s="8"/>
      <c r="Q856" s="89"/>
      <c r="R856" s="89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</row>
    <row r="857" spans="1:33" ht="12.75" x14ac:dyDescent="0.2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8"/>
      <c r="N857" s="88"/>
      <c r="O857" s="8"/>
      <c r="P857" s="8"/>
      <c r="Q857" s="89"/>
      <c r="R857" s="89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</row>
    <row r="858" spans="1:33" ht="12.75" x14ac:dyDescent="0.2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8"/>
      <c r="N858" s="88"/>
      <c r="O858" s="8"/>
      <c r="P858" s="8"/>
      <c r="Q858" s="89"/>
      <c r="R858" s="89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</row>
    <row r="859" spans="1:33" ht="12.75" x14ac:dyDescent="0.2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8"/>
      <c r="N859" s="88"/>
      <c r="O859" s="8"/>
      <c r="P859" s="8"/>
      <c r="Q859" s="89"/>
      <c r="R859" s="89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</row>
    <row r="860" spans="1:33" ht="12.75" x14ac:dyDescent="0.2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8"/>
      <c r="N860" s="88"/>
      <c r="O860" s="8"/>
      <c r="P860" s="8"/>
      <c r="Q860" s="89"/>
      <c r="R860" s="89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</row>
    <row r="861" spans="1:33" ht="12.75" x14ac:dyDescent="0.2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8"/>
      <c r="N861" s="88"/>
      <c r="O861" s="8"/>
      <c r="P861" s="8"/>
      <c r="Q861" s="89"/>
      <c r="R861" s="89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</row>
    <row r="862" spans="1:33" ht="12.75" x14ac:dyDescent="0.2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8"/>
      <c r="N862" s="88"/>
      <c r="O862" s="8"/>
      <c r="P862" s="8"/>
      <c r="Q862" s="89"/>
      <c r="R862" s="89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</row>
    <row r="863" spans="1:33" ht="12.75" x14ac:dyDescent="0.2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8"/>
      <c r="N863" s="88"/>
      <c r="O863" s="8"/>
      <c r="P863" s="8"/>
      <c r="Q863" s="89"/>
      <c r="R863" s="89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</row>
    <row r="864" spans="1:33" ht="12.75" x14ac:dyDescent="0.2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8"/>
      <c r="N864" s="88"/>
      <c r="O864" s="8"/>
      <c r="P864" s="8"/>
      <c r="Q864" s="89"/>
      <c r="R864" s="89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</row>
    <row r="865" spans="1:33" ht="12.75" x14ac:dyDescent="0.2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8"/>
      <c r="N865" s="88"/>
      <c r="O865" s="8"/>
      <c r="P865" s="8"/>
      <c r="Q865" s="89"/>
      <c r="R865" s="89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</row>
    <row r="866" spans="1:33" ht="12.75" x14ac:dyDescent="0.2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8"/>
      <c r="N866" s="88"/>
      <c r="O866" s="8"/>
      <c r="P866" s="8"/>
      <c r="Q866" s="89"/>
      <c r="R866" s="89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</row>
    <row r="867" spans="1:33" ht="12.75" x14ac:dyDescent="0.2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8"/>
      <c r="N867" s="88"/>
      <c r="O867" s="8"/>
      <c r="P867" s="8"/>
      <c r="Q867" s="89"/>
      <c r="R867" s="89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</row>
    <row r="868" spans="1:33" ht="12.75" x14ac:dyDescent="0.2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8"/>
      <c r="N868" s="88"/>
      <c r="O868" s="8"/>
      <c r="P868" s="8"/>
      <c r="Q868" s="89"/>
      <c r="R868" s="89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</row>
    <row r="869" spans="1:33" ht="12.75" x14ac:dyDescent="0.2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8"/>
      <c r="N869" s="88"/>
      <c r="O869" s="8"/>
      <c r="P869" s="8"/>
      <c r="Q869" s="89"/>
      <c r="R869" s="89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</row>
    <row r="870" spans="1:33" ht="12.75" x14ac:dyDescent="0.2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8"/>
      <c r="N870" s="88"/>
      <c r="O870" s="8"/>
      <c r="P870" s="8"/>
      <c r="Q870" s="89"/>
      <c r="R870" s="89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</row>
    <row r="871" spans="1:33" ht="12.75" x14ac:dyDescent="0.2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8"/>
      <c r="N871" s="88"/>
      <c r="O871" s="8"/>
      <c r="P871" s="8"/>
      <c r="Q871" s="89"/>
      <c r="R871" s="89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</row>
    <row r="872" spans="1:33" ht="12.75" x14ac:dyDescent="0.2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8"/>
      <c r="N872" s="88"/>
      <c r="O872" s="8"/>
      <c r="P872" s="8"/>
      <c r="Q872" s="89"/>
      <c r="R872" s="89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</row>
    <row r="873" spans="1:33" ht="12.75" x14ac:dyDescent="0.2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8"/>
      <c r="N873" s="88"/>
      <c r="O873" s="8"/>
      <c r="P873" s="8"/>
      <c r="Q873" s="89"/>
      <c r="R873" s="89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</row>
    <row r="874" spans="1:33" ht="12.75" x14ac:dyDescent="0.2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8"/>
      <c r="N874" s="88"/>
      <c r="O874" s="8"/>
      <c r="P874" s="8"/>
      <c r="Q874" s="89"/>
      <c r="R874" s="89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</row>
    <row r="875" spans="1:33" ht="12.75" x14ac:dyDescent="0.2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8"/>
      <c r="N875" s="88"/>
      <c r="O875" s="8"/>
      <c r="P875" s="8"/>
      <c r="Q875" s="89"/>
      <c r="R875" s="89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</row>
    <row r="876" spans="1:33" ht="12.75" x14ac:dyDescent="0.2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8"/>
      <c r="N876" s="88"/>
      <c r="O876" s="8"/>
      <c r="P876" s="8"/>
      <c r="Q876" s="89"/>
      <c r="R876" s="89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</row>
    <row r="877" spans="1:33" ht="12.75" x14ac:dyDescent="0.2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8"/>
      <c r="N877" s="88"/>
      <c r="O877" s="8"/>
      <c r="P877" s="8"/>
      <c r="Q877" s="89"/>
      <c r="R877" s="89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</row>
    <row r="878" spans="1:33" ht="12.75" x14ac:dyDescent="0.2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8"/>
      <c r="N878" s="88"/>
      <c r="O878" s="8"/>
      <c r="P878" s="8"/>
      <c r="Q878" s="89"/>
      <c r="R878" s="89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</row>
    <row r="879" spans="1:33" ht="12.75" x14ac:dyDescent="0.2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8"/>
      <c r="N879" s="88"/>
      <c r="O879" s="8"/>
      <c r="P879" s="8"/>
      <c r="Q879" s="89"/>
      <c r="R879" s="89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</row>
    <row r="880" spans="1:33" ht="12.75" x14ac:dyDescent="0.2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8"/>
      <c r="N880" s="88"/>
      <c r="O880" s="8"/>
      <c r="P880" s="8"/>
      <c r="Q880" s="89"/>
      <c r="R880" s="89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</row>
    <row r="881" spans="1:33" ht="12.75" x14ac:dyDescent="0.2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8"/>
      <c r="N881" s="88"/>
      <c r="O881" s="8"/>
      <c r="P881" s="8"/>
      <c r="Q881" s="89"/>
      <c r="R881" s="89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</row>
    <row r="882" spans="1:33" ht="12.75" x14ac:dyDescent="0.2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8"/>
      <c r="N882" s="88"/>
      <c r="O882" s="8"/>
      <c r="P882" s="8"/>
      <c r="Q882" s="89"/>
      <c r="R882" s="89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</row>
    <row r="883" spans="1:33" ht="12.75" x14ac:dyDescent="0.2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8"/>
      <c r="N883" s="88"/>
      <c r="O883" s="8"/>
      <c r="P883" s="8"/>
      <c r="Q883" s="89"/>
      <c r="R883" s="89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</row>
    <row r="884" spans="1:33" ht="12.75" x14ac:dyDescent="0.2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8"/>
      <c r="N884" s="88"/>
      <c r="O884" s="8"/>
      <c r="P884" s="8"/>
      <c r="Q884" s="89"/>
      <c r="R884" s="89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</row>
    <row r="885" spans="1:33" ht="12.75" x14ac:dyDescent="0.2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8"/>
      <c r="N885" s="88"/>
      <c r="O885" s="8"/>
      <c r="P885" s="8"/>
      <c r="Q885" s="89"/>
      <c r="R885" s="89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</row>
    <row r="886" spans="1:33" ht="12.75" x14ac:dyDescent="0.2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8"/>
      <c r="N886" s="88"/>
      <c r="O886" s="8"/>
      <c r="P886" s="8"/>
      <c r="Q886" s="89"/>
      <c r="R886" s="89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</row>
    <row r="887" spans="1:33" ht="12.75" x14ac:dyDescent="0.2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8"/>
      <c r="N887" s="88"/>
      <c r="O887" s="8"/>
      <c r="P887" s="8"/>
      <c r="Q887" s="89"/>
      <c r="R887" s="89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</row>
    <row r="888" spans="1:33" ht="12.75" x14ac:dyDescent="0.2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8"/>
      <c r="N888" s="88"/>
      <c r="O888" s="8"/>
      <c r="P888" s="8"/>
      <c r="Q888" s="89"/>
      <c r="R888" s="89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</row>
    <row r="889" spans="1:33" ht="12.75" x14ac:dyDescent="0.2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8"/>
      <c r="N889" s="88"/>
      <c r="O889" s="8"/>
      <c r="P889" s="8"/>
      <c r="Q889" s="89"/>
      <c r="R889" s="89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</row>
    <row r="890" spans="1:33" ht="12.75" x14ac:dyDescent="0.2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8"/>
      <c r="N890" s="88"/>
      <c r="O890" s="8"/>
      <c r="P890" s="8"/>
      <c r="Q890" s="89"/>
      <c r="R890" s="89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</row>
    <row r="891" spans="1:33" ht="12.75" x14ac:dyDescent="0.2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8"/>
      <c r="N891" s="88"/>
      <c r="O891" s="8"/>
      <c r="P891" s="8"/>
      <c r="Q891" s="89"/>
      <c r="R891" s="89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</row>
    <row r="892" spans="1:33" ht="12.75" x14ac:dyDescent="0.2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8"/>
      <c r="N892" s="88"/>
      <c r="O892" s="8"/>
      <c r="P892" s="8"/>
      <c r="Q892" s="89"/>
      <c r="R892" s="89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</row>
    <row r="893" spans="1:33" ht="12.75" x14ac:dyDescent="0.2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8"/>
      <c r="N893" s="88"/>
      <c r="O893" s="8"/>
      <c r="P893" s="8"/>
      <c r="Q893" s="89"/>
      <c r="R893" s="89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</row>
    <row r="894" spans="1:33" ht="12.75" x14ac:dyDescent="0.2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8"/>
      <c r="N894" s="88"/>
      <c r="O894" s="8"/>
      <c r="P894" s="8"/>
      <c r="Q894" s="89"/>
      <c r="R894" s="89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</row>
    <row r="895" spans="1:33" ht="12.75" x14ac:dyDescent="0.2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8"/>
      <c r="N895" s="88"/>
      <c r="O895" s="8"/>
      <c r="P895" s="8"/>
      <c r="Q895" s="89"/>
      <c r="R895" s="89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</row>
    <row r="896" spans="1:33" ht="12.75" x14ac:dyDescent="0.2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8"/>
      <c r="N896" s="88"/>
      <c r="O896" s="8"/>
      <c r="P896" s="8"/>
      <c r="Q896" s="89"/>
      <c r="R896" s="89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</row>
    <row r="897" spans="1:33" ht="12.75" x14ac:dyDescent="0.2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8"/>
      <c r="N897" s="88"/>
      <c r="O897" s="8"/>
      <c r="P897" s="8"/>
      <c r="Q897" s="89"/>
      <c r="R897" s="89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</row>
    <row r="898" spans="1:33" ht="12.75" x14ac:dyDescent="0.2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8"/>
      <c r="N898" s="88"/>
      <c r="O898" s="8"/>
      <c r="P898" s="8"/>
      <c r="Q898" s="89"/>
      <c r="R898" s="89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</row>
    <row r="899" spans="1:33" ht="12.75" x14ac:dyDescent="0.2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8"/>
      <c r="N899" s="88"/>
      <c r="O899" s="8"/>
      <c r="P899" s="8"/>
      <c r="Q899" s="89"/>
      <c r="R899" s="89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</row>
    <row r="900" spans="1:33" ht="12.75" x14ac:dyDescent="0.2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8"/>
      <c r="N900" s="88"/>
      <c r="O900" s="8"/>
      <c r="P900" s="8"/>
      <c r="Q900" s="89"/>
      <c r="R900" s="89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</row>
    <row r="901" spans="1:33" ht="12.75" x14ac:dyDescent="0.2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8"/>
      <c r="N901" s="88"/>
      <c r="O901" s="8"/>
      <c r="P901" s="8"/>
      <c r="Q901" s="89"/>
      <c r="R901" s="89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</row>
    <row r="902" spans="1:33" ht="12.75" x14ac:dyDescent="0.2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8"/>
      <c r="N902" s="88"/>
      <c r="O902" s="8"/>
      <c r="P902" s="8"/>
      <c r="Q902" s="89"/>
      <c r="R902" s="89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</row>
    <row r="903" spans="1:33" ht="12.75" x14ac:dyDescent="0.2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8"/>
      <c r="N903" s="88"/>
      <c r="O903" s="8"/>
      <c r="P903" s="8"/>
      <c r="Q903" s="89"/>
      <c r="R903" s="89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</row>
    <row r="904" spans="1:33" ht="12.75" x14ac:dyDescent="0.2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8"/>
      <c r="N904" s="88"/>
      <c r="O904" s="8"/>
      <c r="P904" s="8"/>
      <c r="Q904" s="89"/>
      <c r="R904" s="89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</row>
    <row r="905" spans="1:33" ht="12.75" x14ac:dyDescent="0.2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8"/>
      <c r="N905" s="88"/>
      <c r="O905" s="8"/>
      <c r="P905" s="8"/>
      <c r="Q905" s="89"/>
      <c r="R905" s="89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</row>
    <row r="906" spans="1:33" ht="12.75" x14ac:dyDescent="0.2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8"/>
      <c r="N906" s="88"/>
      <c r="O906" s="8"/>
      <c r="P906" s="8"/>
      <c r="Q906" s="89"/>
      <c r="R906" s="89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</row>
    <row r="907" spans="1:33" ht="12.75" x14ac:dyDescent="0.2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8"/>
      <c r="N907" s="88"/>
      <c r="O907" s="8"/>
      <c r="P907" s="8"/>
      <c r="Q907" s="89"/>
      <c r="R907" s="89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</row>
    <row r="908" spans="1:33" ht="12.75" x14ac:dyDescent="0.2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8"/>
      <c r="N908" s="88"/>
      <c r="O908" s="8"/>
      <c r="P908" s="8"/>
      <c r="Q908" s="89"/>
      <c r="R908" s="89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</row>
    <row r="909" spans="1:33" ht="12.75" x14ac:dyDescent="0.2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8"/>
      <c r="N909" s="88"/>
      <c r="O909" s="8"/>
      <c r="P909" s="8"/>
      <c r="Q909" s="89"/>
      <c r="R909" s="89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</row>
    <row r="910" spans="1:33" ht="12.75" x14ac:dyDescent="0.2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8"/>
      <c r="N910" s="88"/>
      <c r="O910" s="8"/>
      <c r="P910" s="8"/>
      <c r="Q910" s="89"/>
      <c r="R910" s="89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</row>
    <row r="911" spans="1:33" ht="12.75" x14ac:dyDescent="0.2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8"/>
      <c r="N911" s="88"/>
      <c r="O911" s="8"/>
      <c r="P911" s="8"/>
      <c r="Q911" s="89"/>
      <c r="R911" s="89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</row>
    <row r="912" spans="1:33" ht="12.75" x14ac:dyDescent="0.2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8"/>
      <c r="N912" s="88"/>
      <c r="O912" s="8"/>
      <c r="P912" s="8"/>
      <c r="Q912" s="89"/>
      <c r="R912" s="89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</row>
    <row r="913" spans="1:33" ht="12.75" x14ac:dyDescent="0.2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8"/>
      <c r="N913" s="88"/>
      <c r="O913" s="8"/>
      <c r="P913" s="8"/>
      <c r="Q913" s="89"/>
      <c r="R913" s="89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</row>
    <row r="914" spans="1:33" ht="12.75" x14ac:dyDescent="0.2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8"/>
      <c r="N914" s="88"/>
      <c r="O914" s="8"/>
      <c r="P914" s="8"/>
      <c r="Q914" s="89"/>
      <c r="R914" s="89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</row>
    <row r="915" spans="1:33" ht="12.75" x14ac:dyDescent="0.2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8"/>
      <c r="N915" s="88"/>
      <c r="O915" s="8"/>
      <c r="P915" s="8"/>
      <c r="Q915" s="89"/>
      <c r="R915" s="89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</row>
    <row r="916" spans="1:33" ht="12.75" x14ac:dyDescent="0.2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8"/>
      <c r="N916" s="88"/>
      <c r="O916" s="8"/>
      <c r="P916" s="8"/>
      <c r="Q916" s="89"/>
      <c r="R916" s="89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</row>
    <row r="917" spans="1:33" ht="12.75" x14ac:dyDescent="0.2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8"/>
      <c r="N917" s="88"/>
      <c r="O917" s="8"/>
      <c r="P917" s="8"/>
      <c r="Q917" s="89"/>
      <c r="R917" s="89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</row>
    <row r="918" spans="1:33" ht="12.75" x14ac:dyDescent="0.2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8"/>
      <c r="N918" s="88"/>
      <c r="O918" s="8"/>
      <c r="P918" s="8"/>
      <c r="Q918" s="89"/>
      <c r="R918" s="89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</row>
    <row r="919" spans="1:33" ht="12.75" x14ac:dyDescent="0.2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8"/>
      <c r="N919" s="88"/>
      <c r="O919" s="8"/>
      <c r="P919" s="8"/>
      <c r="Q919" s="89"/>
      <c r="R919" s="89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</row>
    <row r="920" spans="1:33" ht="12.75" x14ac:dyDescent="0.2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8"/>
      <c r="N920" s="88"/>
      <c r="O920" s="8"/>
      <c r="P920" s="8"/>
      <c r="Q920" s="89"/>
      <c r="R920" s="89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</row>
    <row r="921" spans="1:33" ht="12.75" x14ac:dyDescent="0.2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8"/>
      <c r="N921" s="88"/>
      <c r="O921" s="8"/>
      <c r="P921" s="8"/>
      <c r="Q921" s="89"/>
      <c r="R921" s="89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</row>
    <row r="922" spans="1:33" ht="12.75" x14ac:dyDescent="0.2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8"/>
      <c r="N922" s="88"/>
      <c r="O922" s="8"/>
      <c r="P922" s="8"/>
      <c r="Q922" s="89"/>
      <c r="R922" s="89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</row>
    <row r="923" spans="1:33" ht="12.75" x14ac:dyDescent="0.2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8"/>
      <c r="N923" s="88"/>
      <c r="O923" s="8"/>
      <c r="P923" s="8"/>
      <c r="Q923" s="89"/>
      <c r="R923" s="89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</row>
    <row r="924" spans="1:33" ht="12.75" x14ac:dyDescent="0.2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8"/>
      <c r="N924" s="88"/>
      <c r="O924" s="8"/>
      <c r="P924" s="8"/>
      <c r="Q924" s="89"/>
      <c r="R924" s="89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</row>
    <row r="925" spans="1:33" ht="12.75" x14ac:dyDescent="0.2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8"/>
      <c r="N925" s="88"/>
      <c r="O925" s="8"/>
      <c r="P925" s="8"/>
      <c r="Q925" s="89"/>
      <c r="R925" s="89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</row>
    <row r="926" spans="1:33" ht="12.75" x14ac:dyDescent="0.2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8"/>
      <c r="N926" s="88"/>
      <c r="O926" s="8"/>
      <c r="P926" s="8"/>
      <c r="Q926" s="89"/>
      <c r="R926" s="89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</row>
    <row r="927" spans="1:33" ht="12.75" x14ac:dyDescent="0.2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8"/>
      <c r="N927" s="88"/>
      <c r="O927" s="8"/>
      <c r="P927" s="8"/>
      <c r="Q927" s="89"/>
      <c r="R927" s="89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</row>
    <row r="928" spans="1:33" ht="12.75" x14ac:dyDescent="0.2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8"/>
      <c r="N928" s="88"/>
      <c r="O928" s="8"/>
      <c r="P928" s="8"/>
      <c r="Q928" s="89"/>
      <c r="R928" s="89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</row>
    <row r="929" spans="1:33" ht="12.75" x14ac:dyDescent="0.2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8"/>
      <c r="N929" s="88"/>
      <c r="O929" s="8"/>
      <c r="P929" s="8"/>
      <c r="Q929" s="89"/>
      <c r="R929" s="89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</row>
    <row r="930" spans="1:33" ht="12.75" x14ac:dyDescent="0.2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8"/>
      <c r="N930" s="88"/>
      <c r="O930" s="8"/>
      <c r="P930" s="8"/>
      <c r="Q930" s="89"/>
      <c r="R930" s="89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</row>
    <row r="931" spans="1:33" ht="12.75" x14ac:dyDescent="0.2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8"/>
      <c r="N931" s="88"/>
      <c r="O931" s="8"/>
      <c r="P931" s="8"/>
      <c r="Q931" s="89"/>
      <c r="R931" s="89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</row>
    <row r="932" spans="1:33" ht="12.75" x14ac:dyDescent="0.2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8"/>
      <c r="N932" s="88"/>
      <c r="O932" s="8"/>
      <c r="P932" s="8"/>
      <c r="Q932" s="89"/>
      <c r="R932" s="89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</row>
    <row r="933" spans="1:33" ht="12.75" x14ac:dyDescent="0.2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8"/>
      <c r="N933" s="88"/>
      <c r="O933" s="8"/>
      <c r="P933" s="8"/>
      <c r="Q933" s="89"/>
      <c r="R933" s="89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</row>
    <row r="934" spans="1:33" ht="12.75" x14ac:dyDescent="0.2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8"/>
      <c r="N934" s="88"/>
      <c r="O934" s="8"/>
      <c r="P934" s="8"/>
      <c r="Q934" s="89"/>
      <c r="R934" s="89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</row>
    <row r="935" spans="1:33" ht="12.75" x14ac:dyDescent="0.2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8"/>
      <c r="N935" s="88"/>
      <c r="O935" s="8"/>
      <c r="P935" s="8"/>
      <c r="Q935" s="89"/>
      <c r="R935" s="89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</row>
    <row r="936" spans="1:33" ht="12.75" x14ac:dyDescent="0.2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8"/>
      <c r="N936" s="88"/>
      <c r="O936" s="8"/>
      <c r="P936" s="8"/>
      <c r="Q936" s="89"/>
      <c r="R936" s="89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</row>
    <row r="937" spans="1:33" ht="12.75" x14ac:dyDescent="0.2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8"/>
      <c r="N937" s="88"/>
      <c r="O937" s="8"/>
      <c r="P937" s="8"/>
      <c r="Q937" s="89"/>
      <c r="R937" s="89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</row>
    <row r="938" spans="1:33" ht="12.75" x14ac:dyDescent="0.2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8"/>
      <c r="N938" s="88"/>
      <c r="O938" s="8"/>
      <c r="P938" s="8"/>
      <c r="Q938" s="89"/>
      <c r="R938" s="89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</row>
    <row r="939" spans="1:33" ht="12.75" x14ac:dyDescent="0.2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8"/>
      <c r="N939" s="88"/>
      <c r="O939" s="8"/>
      <c r="P939" s="8"/>
      <c r="Q939" s="89"/>
      <c r="R939" s="89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</row>
    <row r="940" spans="1:33" ht="12.75" x14ac:dyDescent="0.2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8"/>
      <c r="N940" s="88"/>
      <c r="O940" s="8"/>
      <c r="P940" s="8"/>
      <c r="Q940" s="89"/>
      <c r="R940" s="89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</row>
    <row r="941" spans="1:33" ht="12.75" x14ac:dyDescent="0.2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8"/>
      <c r="N941" s="88"/>
      <c r="O941" s="8"/>
      <c r="P941" s="8"/>
      <c r="Q941" s="89"/>
      <c r="R941" s="89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</row>
    <row r="942" spans="1:33" ht="12.75" x14ac:dyDescent="0.2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8"/>
      <c r="N942" s="88"/>
      <c r="O942" s="8"/>
      <c r="P942" s="8"/>
      <c r="Q942" s="89"/>
      <c r="R942" s="89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</row>
    <row r="943" spans="1:33" ht="12.75" x14ac:dyDescent="0.2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8"/>
      <c r="N943" s="88"/>
      <c r="O943" s="8"/>
      <c r="P943" s="8"/>
      <c r="Q943" s="89"/>
      <c r="R943" s="89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</row>
    <row r="944" spans="1:33" ht="12.75" x14ac:dyDescent="0.2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8"/>
      <c r="N944" s="88"/>
      <c r="O944" s="8"/>
      <c r="P944" s="8"/>
      <c r="Q944" s="89"/>
      <c r="R944" s="89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</row>
    <row r="945" spans="1:33" ht="12.75" x14ac:dyDescent="0.2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8"/>
      <c r="N945" s="88"/>
      <c r="O945" s="8"/>
      <c r="P945" s="8"/>
      <c r="Q945" s="89"/>
      <c r="R945" s="89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</row>
    <row r="946" spans="1:33" ht="12.75" x14ac:dyDescent="0.2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8"/>
      <c r="N946" s="88"/>
      <c r="O946" s="8"/>
      <c r="P946" s="8"/>
      <c r="Q946" s="89"/>
      <c r="R946" s="89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</row>
    <row r="947" spans="1:33" ht="12.75" x14ac:dyDescent="0.2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8"/>
      <c r="N947" s="88"/>
      <c r="O947" s="8"/>
      <c r="P947" s="8"/>
      <c r="Q947" s="89"/>
      <c r="R947" s="89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</row>
    <row r="948" spans="1:33" ht="12.75" x14ac:dyDescent="0.2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8"/>
      <c r="N948" s="88"/>
      <c r="O948" s="8"/>
      <c r="P948" s="8"/>
      <c r="Q948" s="89"/>
      <c r="R948" s="89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</row>
    <row r="949" spans="1:33" ht="12.75" x14ac:dyDescent="0.2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8"/>
      <c r="N949" s="88"/>
      <c r="O949" s="8"/>
      <c r="P949" s="8"/>
      <c r="Q949" s="89"/>
      <c r="R949" s="89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</row>
    <row r="950" spans="1:33" ht="12.75" x14ac:dyDescent="0.2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8"/>
      <c r="N950" s="88"/>
      <c r="O950" s="8"/>
      <c r="P950" s="8"/>
      <c r="Q950" s="89"/>
      <c r="R950" s="89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</row>
    <row r="951" spans="1:33" ht="12.75" x14ac:dyDescent="0.2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8"/>
      <c r="N951" s="88"/>
      <c r="O951" s="8"/>
      <c r="P951" s="8"/>
      <c r="Q951" s="89"/>
      <c r="R951" s="89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</row>
    <row r="952" spans="1:33" ht="12.75" x14ac:dyDescent="0.2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8"/>
      <c r="N952" s="88"/>
      <c r="O952" s="8"/>
      <c r="P952" s="8"/>
      <c r="Q952" s="89"/>
      <c r="R952" s="89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</row>
    <row r="953" spans="1:33" ht="12.75" x14ac:dyDescent="0.2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8"/>
      <c r="N953" s="88"/>
      <c r="O953" s="8"/>
      <c r="P953" s="8"/>
      <c r="Q953" s="89"/>
      <c r="R953" s="89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</row>
    <row r="954" spans="1:33" ht="12.75" x14ac:dyDescent="0.2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8"/>
      <c r="N954" s="88"/>
      <c r="O954" s="8"/>
      <c r="P954" s="8"/>
      <c r="Q954" s="89"/>
      <c r="R954" s="89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</row>
    <row r="955" spans="1:33" ht="12.75" x14ac:dyDescent="0.2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8"/>
      <c r="N955" s="88"/>
      <c r="O955" s="8"/>
      <c r="P955" s="8"/>
      <c r="Q955" s="89"/>
      <c r="R955" s="89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</row>
    <row r="956" spans="1:33" ht="12.75" x14ac:dyDescent="0.2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8"/>
      <c r="N956" s="88"/>
      <c r="O956" s="8"/>
      <c r="P956" s="8"/>
      <c r="Q956" s="89"/>
      <c r="R956" s="89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</row>
    <row r="957" spans="1:33" ht="12.75" x14ac:dyDescent="0.2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8"/>
      <c r="N957" s="88"/>
      <c r="O957" s="8"/>
      <c r="P957" s="8"/>
      <c r="Q957" s="89"/>
      <c r="R957" s="89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</row>
    <row r="958" spans="1:33" ht="12.75" x14ac:dyDescent="0.2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8"/>
      <c r="N958" s="88"/>
      <c r="O958" s="8"/>
      <c r="P958" s="8"/>
      <c r="Q958" s="89"/>
      <c r="R958" s="89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</row>
    <row r="959" spans="1:33" ht="12.75" x14ac:dyDescent="0.2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8"/>
      <c r="N959" s="88"/>
      <c r="O959" s="8"/>
      <c r="P959" s="8"/>
      <c r="Q959" s="89"/>
      <c r="R959" s="89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</row>
    <row r="960" spans="1:33" ht="12.75" x14ac:dyDescent="0.2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8"/>
      <c r="N960" s="88"/>
      <c r="O960" s="8"/>
      <c r="P960" s="8"/>
      <c r="Q960" s="89"/>
      <c r="R960" s="89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</row>
    <row r="961" spans="1:33" ht="12.75" x14ac:dyDescent="0.2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8"/>
      <c r="N961" s="88"/>
      <c r="O961" s="8"/>
      <c r="P961" s="8"/>
      <c r="Q961" s="89"/>
      <c r="R961" s="89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</row>
    <row r="962" spans="1:33" ht="12.75" x14ac:dyDescent="0.2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8"/>
      <c r="N962" s="88"/>
      <c r="O962" s="8"/>
      <c r="P962" s="8"/>
      <c r="Q962" s="89"/>
      <c r="R962" s="89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</row>
    <row r="963" spans="1:33" ht="12.75" x14ac:dyDescent="0.2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8"/>
      <c r="N963" s="88"/>
      <c r="O963" s="8"/>
      <c r="P963" s="8"/>
      <c r="Q963" s="89"/>
      <c r="R963" s="89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</row>
    <row r="964" spans="1:33" ht="12.75" x14ac:dyDescent="0.2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8"/>
      <c r="N964" s="88"/>
      <c r="O964" s="8"/>
      <c r="P964" s="8"/>
      <c r="Q964" s="89"/>
      <c r="R964" s="89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</row>
    <row r="965" spans="1:33" ht="12.75" x14ac:dyDescent="0.2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8"/>
      <c r="N965" s="88"/>
      <c r="O965" s="8"/>
      <c r="P965" s="8"/>
      <c r="Q965" s="89"/>
      <c r="R965" s="89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</row>
    <row r="966" spans="1:33" ht="12.75" x14ac:dyDescent="0.2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8"/>
      <c r="N966" s="88"/>
      <c r="O966" s="8"/>
      <c r="P966" s="8"/>
      <c r="Q966" s="89"/>
      <c r="R966" s="89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</row>
    <row r="967" spans="1:33" ht="12.75" x14ac:dyDescent="0.2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8"/>
      <c r="N967" s="88"/>
      <c r="O967" s="8"/>
      <c r="P967" s="8"/>
      <c r="Q967" s="89"/>
      <c r="R967" s="89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</row>
    <row r="968" spans="1:33" ht="12.75" x14ac:dyDescent="0.2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8"/>
      <c r="N968" s="88"/>
      <c r="O968" s="8"/>
      <c r="P968" s="8"/>
      <c r="Q968" s="89"/>
      <c r="R968" s="89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</row>
    <row r="969" spans="1:33" ht="12.75" x14ac:dyDescent="0.2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8"/>
      <c r="N969" s="88"/>
      <c r="O969" s="8"/>
      <c r="P969" s="8"/>
      <c r="Q969" s="89"/>
      <c r="R969" s="89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</row>
    <row r="970" spans="1:33" ht="12.75" x14ac:dyDescent="0.2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8"/>
      <c r="N970" s="88"/>
      <c r="O970" s="8"/>
      <c r="P970" s="8"/>
      <c r="Q970" s="89"/>
      <c r="R970" s="89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</row>
    <row r="971" spans="1:33" ht="12.75" x14ac:dyDescent="0.2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8"/>
      <c r="N971" s="88"/>
      <c r="O971" s="8"/>
      <c r="P971" s="8"/>
      <c r="Q971" s="89"/>
      <c r="R971" s="89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</row>
    <row r="972" spans="1:33" ht="12.75" x14ac:dyDescent="0.2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8"/>
      <c r="N972" s="88"/>
      <c r="O972" s="8"/>
      <c r="P972" s="8"/>
      <c r="Q972" s="89"/>
      <c r="R972" s="89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</row>
    <row r="973" spans="1:33" ht="12.75" x14ac:dyDescent="0.2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8"/>
      <c r="N973" s="88"/>
      <c r="O973" s="8"/>
      <c r="P973" s="8"/>
      <c r="Q973" s="89"/>
      <c r="R973" s="89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</row>
    <row r="974" spans="1:33" ht="12.75" x14ac:dyDescent="0.2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8"/>
      <c r="N974" s="88"/>
      <c r="O974" s="8"/>
      <c r="P974" s="8"/>
      <c r="Q974" s="89"/>
      <c r="R974" s="89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</row>
    <row r="975" spans="1:33" ht="12.75" x14ac:dyDescent="0.2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8"/>
      <c r="N975" s="88"/>
      <c r="O975" s="8"/>
      <c r="P975" s="8"/>
      <c r="Q975" s="89"/>
      <c r="R975" s="89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</row>
    <row r="976" spans="1:33" ht="12.75" x14ac:dyDescent="0.2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8"/>
      <c r="N976" s="88"/>
      <c r="O976" s="8"/>
      <c r="P976" s="8"/>
      <c r="Q976" s="89"/>
      <c r="R976" s="89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</row>
    <row r="977" spans="1:33" ht="12.75" x14ac:dyDescent="0.2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8"/>
      <c r="N977" s="88"/>
      <c r="O977" s="8"/>
      <c r="P977" s="8"/>
      <c r="Q977" s="89"/>
      <c r="R977" s="89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</row>
    <row r="978" spans="1:33" ht="12.75" x14ac:dyDescent="0.2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8"/>
      <c r="N978" s="88"/>
      <c r="O978" s="8"/>
      <c r="P978" s="8"/>
      <c r="Q978" s="89"/>
      <c r="R978" s="89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</row>
    <row r="979" spans="1:33" ht="12.75" x14ac:dyDescent="0.2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8"/>
      <c r="N979" s="88"/>
      <c r="O979" s="8"/>
      <c r="P979" s="8"/>
      <c r="Q979" s="89"/>
      <c r="R979" s="89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</row>
    <row r="980" spans="1:33" ht="12.75" x14ac:dyDescent="0.2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8"/>
      <c r="N980" s="88"/>
      <c r="O980" s="8"/>
      <c r="P980" s="8"/>
      <c r="Q980" s="89"/>
      <c r="R980" s="89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</row>
    <row r="981" spans="1:33" ht="12.75" x14ac:dyDescent="0.2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8"/>
      <c r="N981" s="88"/>
      <c r="O981" s="8"/>
      <c r="P981" s="8"/>
      <c r="Q981" s="89"/>
      <c r="R981" s="89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</row>
    <row r="982" spans="1:33" ht="12.75" x14ac:dyDescent="0.2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8"/>
      <c r="N982" s="88"/>
      <c r="O982" s="8"/>
      <c r="P982" s="8"/>
      <c r="Q982" s="89"/>
      <c r="R982" s="89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</row>
    <row r="983" spans="1:33" ht="12.75" x14ac:dyDescent="0.2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8"/>
      <c r="N983" s="88"/>
      <c r="O983" s="8"/>
      <c r="P983" s="8"/>
      <c r="Q983" s="89"/>
      <c r="R983" s="89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</row>
    <row r="984" spans="1:33" ht="12.75" x14ac:dyDescent="0.2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8"/>
      <c r="N984" s="88"/>
      <c r="O984" s="8"/>
      <c r="P984" s="8"/>
      <c r="Q984" s="89"/>
      <c r="R984" s="89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</row>
    <row r="985" spans="1:33" ht="12.75" x14ac:dyDescent="0.2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8"/>
      <c r="N985" s="88"/>
      <c r="O985" s="8"/>
      <c r="P985" s="8"/>
      <c r="Q985" s="89"/>
      <c r="R985" s="89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</row>
    <row r="986" spans="1:33" ht="12.75" x14ac:dyDescent="0.2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8"/>
      <c r="N986" s="88"/>
      <c r="O986" s="8"/>
      <c r="P986" s="8"/>
      <c r="Q986" s="89"/>
      <c r="R986" s="89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</row>
    <row r="987" spans="1:33" ht="12.75" x14ac:dyDescent="0.2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8"/>
      <c r="N987" s="88"/>
      <c r="O987" s="8"/>
      <c r="P987" s="8"/>
      <c r="Q987" s="89"/>
      <c r="R987" s="89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</row>
    <row r="988" spans="1:33" ht="12.75" x14ac:dyDescent="0.2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8"/>
      <c r="N988" s="88"/>
      <c r="O988" s="8"/>
      <c r="P988" s="8"/>
      <c r="Q988" s="89"/>
      <c r="R988" s="89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</row>
    <row r="989" spans="1:33" ht="12.75" x14ac:dyDescent="0.2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8"/>
      <c r="N989" s="88"/>
      <c r="O989" s="8"/>
      <c r="P989" s="8"/>
      <c r="Q989" s="89"/>
      <c r="R989" s="89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</row>
    <row r="990" spans="1:33" ht="12.75" x14ac:dyDescent="0.2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8"/>
      <c r="N990" s="88"/>
      <c r="O990" s="8"/>
      <c r="P990" s="8"/>
      <c r="Q990" s="89"/>
      <c r="R990" s="89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</row>
    <row r="991" spans="1:33" ht="12.75" x14ac:dyDescent="0.2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8"/>
      <c r="N991" s="88"/>
      <c r="O991" s="8"/>
      <c r="P991" s="8"/>
      <c r="Q991" s="89"/>
      <c r="R991" s="89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</row>
    <row r="992" spans="1:33" ht="12.75" x14ac:dyDescent="0.2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8"/>
      <c r="N992" s="88"/>
      <c r="O992" s="8"/>
      <c r="P992" s="8"/>
      <c r="Q992" s="89"/>
      <c r="R992" s="89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</row>
    <row r="993" spans="1:33" ht="12.75" x14ac:dyDescent="0.2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8"/>
      <c r="N993" s="88"/>
      <c r="O993" s="8"/>
      <c r="P993" s="8"/>
      <c r="Q993" s="89"/>
      <c r="R993" s="89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</row>
    <row r="994" spans="1:33" ht="12.75" x14ac:dyDescent="0.2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8"/>
      <c r="N994" s="88"/>
      <c r="O994" s="8"/>
      <c r="P994" s="8"/>
      <c r="Q994" s="89"/>
      <c r="R994" s="89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</row>
    <row r="995" spans="1:33" ht="12.75" x14ac:dyDescent="0.2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8"/>
      <c r="N995" s="88"/>
      <c r="O995" s="8"/>
      <c r="P995" s="8"/>
      <c r="Q995" s="89"/>
      <c r="R995" s="89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</row>
    <row r="996" spans="1:33" ht="12.75" x14ac:dyDescent="0.2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8"/>
      <c r="N996" s="88"/>
      <c r="O996" s="8"/>
      <c r="P996" s="8"/>
      <c r="Q996" s="89"/>
      <c r="R996" s="89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</row>
    <row r="997" spans="1:33" ht="12.75" x14ac:dyDescent="0.2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8"/>
      <c r="N997" s="88"/>
      <c r="O997" s="8"/>
      <c r="P997" s="8"/>
      <c r="Q997" s="89"/>
      <c r="R997" s="89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</row>
    <row r="998" spans="1:33" ht="12.75" x14ac:dyDescent="0.2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8"/>
      <c r="N998" s="88"/>
      <c r="O998" s="8"/>
      <c r="P998" s="8"/>
      <c r="Q998" s="89"/>
      <c r="R998" s="89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</row>
    <row r="999" spans="1:33" ht="12.75" x14ac:dyDescent="0.2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8"/>
      <c r="N999" s="88"/>
      <c r="O999" s="8"/>
      <c r="P999" s="8"/>
      <c r="Q999" s="89"/>
      <c r="R999" s="89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</row>
    <row r="1000" spans="1:33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</row>
  </sheetData>
  <mergeCells count="28">
    <mergeCell ref="C2:AG2"/>
    <mergeCell ref="D3:R3"/>
    <mergeCell ref="S3:U4"/>
    <mergeCell ref="V3:X4"/>
    <mergeCell ref="Y3:AA4"/>
    <mergeCell ref="AB3:AG4"/>
    <mergeCell ref="H4:R4"/>
    <mergeCell ref="Z5:AA5"/>
    <mergeCell ref="AB5:AC5"/>
    <mergeCell ref="AD5:AG5"/>
    <mergeCell ref="C4:E4"/>
    <mergeCell ref="F4:G4"/>
    <mergeCell ref="H5:I5"/>
    <mergeCell ref="J5:L5"/>
    <mergeCell ref="Q5:R5"/>
    <mergeCell ref="T5:U5"/>
    <mergeCell ref="W5:X5"/>
    <mergeCell ref="C5:C6"/>
    <mergeCell ref="D5:D6"/>
    <mergeCell ref="E5:E6"/>
    <mergeCell ref="A52:B52"/>
    <mergeCell ref="A74:B74"/>
    <mergeCell ref="A89:B89"/>
    <mergeCell ref="A104:B104"/>
    <mergeCell ref="A2:B6"/>
    <mergeCell ref="A7:B7"/>
    <mergeCell ref="A13:B13"/>
    <mergeCell ref="A31:B3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0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1" manualBreakCount="1">
    <brk id="1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X1000"/>
  <sheetViews>
    <sheetView view="pageBreakPreview" zoomScale="60" zoomScaleNormal="70" workbookViewId="0">
      <pane xSplit="2" ySplit="7" topLeftCell="C8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22.5703125" bestFit="1" customWidth="1"/>
    <col min="4" max="4" width="19.7109375" bestFit="1" customWidth="1"/>
    <col min="5" max="5" width="13.42578125" bestFit="1" customWidth="1"/>
    <col min="6" max="6" width="20.140625" bestFit="1" customWidth="1"/>
    <col min="7" max="7" width="13.85546875" bestFit="1" customWidth="1"/>
    <col min="8" max="8" width="18.5703125" bestFit="1" customWidth="1"/>
    <col min="9" max="9" width="11.5703125" bestFit="1" customWidth="1"/>
    <col min="10" max="10" width="18.5703125" bestFit="1" customWidth="1"/>
    <col min="11" max="11" width="11.5703125" bestFit="1" customWidth="1"/>
    <col min="12" max="12" width="12" bestFit="1" customWidth="1"/>
    <col min="13" max="13" width="16.7109375" bestFit="1" customWidth="1"/>
    <col min="14" max="14" width="18.85546875" bestFit="1" customWidth="1"/>
    <col min="15" max="15" width="19" bestFit="1" customWidth="1"/>
    <col min="16" max="16" width="16.85546875" bestFit="1" customWidth="1"/>
    <col min="17" max="17" width="12.42578125" bestFit="1" customWidth="1"/>
    <col min="18" max="18" width="10.85546875" bestFit="1" customWidth="1"/>
    <col min="19" max="19" width="10.7109375" bestFit="1" customWidth="1"/>
    <col min="20" max="20" width="12.42578125" bestFit="1" customWidth="1"/>
    <col min="21" max="21" width="10.7109375" bestFit="1" customWidth="1"/>
    <col min="22" max="22" width="12.42578125" bestFit="1" customWidth="1"/>
    <col min="23" max="23" width="10.7109375" bestFit="1" customWidth="1"/>
    <col min="24" max="24" width="12.42578125" bestFit="1" customWidth="1"/>
    <col min="25" max="25" width="13.42578125" bestFit="1" customWidth="1"/>
    <col min="26" max="27" width="12.42578125" bestFit="1" customWidth="1"/>
    <col min="28" max="28" width="20" bestFit="1" customWidth="1"/>
    <col min="29" max="29" width="13.42578125" bestFit="1" customWidth="1"/>
    <col min="30" max="30" width="10.7109375" bestFit="1" customWidth="1"/>
    <col min="31" max="31" width="12.42578125" bestFit="1" customWidth="1"/>
    <col min="32" max="32" width="13.42578125" bestFit="1" customWidth="1"/>
    <col min="33" max="33" width="10.7109375" bestFit="1" customWidth="1"/>
    <col min="34" max="34" width="12.42578125" bestFit="1" customWidth="1"/>
    <col min="35" max="35" width="20" bestFit="1" customWidth="1"/>
    <col min="36" max="36" width="13.42578125" bestFit="1" customWidth="1"/>
    <col min="37" max="37" width="8.28515625" bestFit="1" customWidth="1"/>
    <col min="38" max="38" width="12.42578125" bestFit="1" customWidth="1"/>
    <col min="39" max="39" width="20" bestFit="1" customWidth="1"/>
    <col min="40" max="40" width="13.42578125" bestFit="1" customWidth="1"/>
    <col min="41" max="41" width="7.140625" bestFit="1" customWidth="1"/>
    <col min="42" max="42" width="12.42578125" bestFit="1" customWidth="1"/>
    <col min="43" max="43" width="13.42578125" bestFit="1" customWidth="1"/>
    <col min="44" max="44" width="10.7109375" bestFit="1" customWidth="1"/>
    <col min="45" max="45" width="12.42578125" bestFit="1" customWidth="1"/>
    <col min="46" max="46" width="24.85546875" bestFit="1" customWidth="1"/>
    <col min="47" max="47" width="13.42578125" bestFit="1" customWidth="1"/>
    <col min="48" max="48" width="8.28515625" bestFit="1" customWidth="1"/>
    <col min="49" max="49" width="12.42578125" bestFit="1" customWidth="1"/>
    <col min="50" max="50" width="24.85546875" bestFit="1" customWidth="1"/>
  </cols>
  <sheetData>
    <row r="1" spans="1:50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</row>
    <row r="2" spans="1:50" ht="24" customHeight="1" x14ac:dyDescent="0.2">
      <c r="A2" s="198" t="s">
        <v>1</v>
      </c>
      <c r="B2" s="199"/>
      <c r="C2" s="193" t="s">
        <v>144</v>
      </c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3"/>
    </row>
    <row r="3" spans="1:50" ht="30" customHeight="1" x14ac:dyDescent="0.2">
      <c r="A3" s="200"/>
      <c r="B3" s="199"/>
      <c r="C3" s="10"/>
      <c r="D3" s="194" t="s">
        <v>3</v>
      </c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90" t="s">
        <v>145</v>
      </c>
      <c r="T3" s="191"/>
      <c r="U3" s="191"/>
      <c r="V3" s="191"/>
      <c r="W3" s="191"/>
      <c r="X3" s="180"/>
      <c r="Y3" s="203" t="s">
        <v>146</v>
      </c>
      <c r="Z3" s="185"/>
      <c r="AA3" s="185"/>
      <c r="AB3" s="185"/>
      <c r="AC3" s="185"/>
      <c r="AD3" s="185"/>
      <c r="AE3" s="183"/>
      <c r="AF3" s="203" t="s">
        <v>147</v>
      </c>
      <c r="AG3" s="185"/>
      <c r="AH3" s="185"/>
      <c r="AI3" s="185"/>
      <c r="AJ3" s="185"/>
      <c r="AK3" s="185"/>
      <c r="AL3" s="183"/>
      <c r="AM3" s="203" t="s">
        <v>148</v>
      </c>
      <c r="AN3" s="185"/>
      <c r="AO3" s="185"/>
      <c r="AP3" s="183"/>
      <c r="AQ3" s="197" t="s">
        <v>149</v>
      </c>
      <c r="AR3" s="185"/>
      <c r="AS3" s="185"/>
      <c r="AT3" s="183"/>
      <c r="AU3" s="197" t="s">
        <v>150</v>
      </c>
      <c r="AV3" s="185"/>
      <c r="AW3" s="185"/>
      <c r="AX3" s="183"/>
    </row>
    <row r="4" spans="1:50" ht="67.5" customHeight="1" x14ac:dyDescent="0.3">
      <c r="A4" s="200"/>
      <c r="B4" s="199"/>
      <c r="C4" s="184" t="s">
        <v>8</v>
      </c>
      <c r="D4" s="185"/>
      <c r="E4" s="183"/>
      <c r="F4" s="195" t="s">
        <v>9</v>
      </c>
      <c r="G4" s="183"/>
      <c r="H4" s="196" t="s">
        <v>10</v>
      </c>
      <c r="I4" s="185"/>
      <c r="J4" s="185"/>
      <c r="K4" s="185"/>
      <c r="L4" s="185"/>
      <c r="M4" s="185"/>
      <c r="N4" s="185"/>
      <c r="O4" s="185"/>
      <c r="P4" s="185"/>
      <c r="Q4" s="185"/>
      <c r="R4" s="183"/>
      <c r="S4" s="185"/>
      <c r="T4" s="185"/>
      <c r="U4" s="185"/>
      <c r="V4" s="185"/>
      <c r="W4" s="185"/>
      <c r="X4" s="183"/>
      <c r="Y4" s="203" t="s">
        <v>151</v>
      </c>
      <c r="Z4" s="185"/>
      <c r="AA4" s="183"/>
      <c r="AB4" s="98" t="s">
        <v>152</v>
      </c>
      <c r="AC4" s="203" t="s">
        <v>153</v>
      </c>
      <c r="AD4" s="185"/>
      <c r="AE4" s="183"/>
      <c r="AF4" s="203" t="s">
        <v>151</v>
      </c>
      <c r="AG4" s="185"/>
      <c r="AH4" s="183"/>
      <c r="AI4" s="98" t="s">
        <v>154</v>
      </c>
      <c r="AJ4" s="203" t="s">
        <v>155</v>
      </c>
      <c r="AK4" s="185"/>
      <c r="AL4" s="183"/>
      <c r="AM4" s="98" t="s">
        <v>156</v>
      </c>
      <c r="AN4" s="203" t="s">
        <v>157</v>
      </c>
      <c r="AO4" s="185"/>
      <c r="AP4" s="183"/>
      <c r="AQ4" s="197" t="s">
        <v>158</v>
      </c>
      <c r="AR4" s="185"/>
      <c r="AS4" s="183"/>
      <c r="AT4" s="99" t="s">
        <v>159</v>
      </c>
      <c r="AU4" s="197" t="s">
        <v>160</v>
      </c>
      <c r="AV4" s="185"/>
      <c r="AW4" s="183"/>
      <c r="AX4" s="99" t="s">
        <v>161</v>
      </c>
    </row>
    <row r="5" spans="1:50" ht="37.5" customHeight="1" x14ac:dyDescent="0.3">
      <c r="A5" s="200"/>
      <c r="B5" s="199"/>
      <c r="C5" s="242" t="s">
        <v>11</v>
      </c>
      <c r="D5" s="243" t="s">
        <v>12</v>
      </c>
      <c r="E5" s="244" t="s">
        <v>13</v>
      </c>
      <c r="F5" s="92" t="s">
        <v>14</v>
      </c>
      <c r="G5" s="92" t="s">
        <v>15</v>
      </c>
      <c r="H5" s="246" t="s">
        <v>16</v>
      </c>
      <c r="I5" s="245"/>
      <c r="J5" s="254" t="s">
        <v>17</v>
      </c>
      <c r="K5" s="248"/>
      <c r="L5" s="245"/>
      <c r="M5" s="249" t="s">
        <v>18</v>
      </c>
      <c r="N5" s="249" t="s">
        <v>19</v>
      </c>
      <c r="O5" s="249" t="s">
        <v>20</v>
      </c>
      <c r="P5" s="249" t="s">
        <v>21</v>
      </c>
      <c r="Q5" s="250" t="s">
        <v>15</v>
      </c>
      <c r="R5" s="245"/>
      <c r="S5" s="188" t="s">
        <v>22</v>
      </c>
      <c r="T5" s="183"/>
      <c r="U5" s="204" t="s">
        <v>23</v>
      </c>
      <c r="V5" s="185"/>
      <c r="W5" s="185"/>
      <c r="X5" s="183"/>
      <c r="Y5" s="12" t="s">
        <v>22</v>
      </c>
      <c r="Z5" s="192" t="s">
        <v>23</v>
      </c>
      <c r="AA5" s="183"/>
      <c r="AB5" s="100" t="s">
        <v>23</v>
      </c>
      <c r="AC5" s="12" t="s">
        <v>22</v>
      </c>
      <c r="AD5" s="192" t="s">
        <v>23</v>
      </c>
      <c r="AE5" s="183"/>
      <c r="AF5" s="12" t="s">
        <v>22</v>
      </c>
      <c r="AG5" s="192" t="s">
        <v>23</v>
      </c>
      <c r="AH5" s="183"/>
      <c r="AI5" s="101" t="s">
        <v>23</v>
      </c>
      <c r="AJ5" s="12" t="s">
        <v>22</v>
      </c>
      <c r="AK5" s="192" t="s">
        <v>23</v>
      </c>
      <c r="AL5" s="183"/>
      <c r="AM5" s="100" t="s">
        <v>23</v>
      </c>
      <c r="AN5" s="12" t="s">
        <v>22</v>
      </c>
      <c r="AO5" s="192" t="s">
        <v>23</v>
      </c>
      <c r="AP5" s="183"/>
      <c r="AQ5" s="12" t="s">
        <v>22</v>
      </c>
      <c r="AR5" s="192" t="s">
        <v>23</v>
      </c>
      <c r="AS5" s="183"/>
      <c r="AT5" s="101" t="s">
        <v>23</v>
      </c>
      <c r="AU5" s="12" t="s">
        <v>22</v>
      </c>
      <c r="AV5" s="192" t="s">
        <v>23</v>
      </c>
      <c r="AW5" s="183"/>
      <c r="AX5" s="101" t="s">
        <v>23</v>
      </c>
    </row>
    <row r="6" spans="1:50" ht="40.5" customHeight="1" x14ac:dyDescent="0.3">
      <c r="A6" s="201"/>
      <c r="B6" s="202"/>
      <c r="C6" s="245"/>
      <c r="D6" s="245"/>
      <c r="E6" s="245"/>
      <c r="F6" s="13"/>
      <c r="G6" s="13"/>
      <c r="H6" s="102" t="s">
        <v>24</v>
      </c>
      <c r="I6" s="256" t="s">
        <v>25</v>
      </c>
      <c r="J6" s="93" t="s">
        <v>24</v>
      </c>
      <c r="K6" s="255" t="s">
        <v>25</v>
      </c>
      <c r="L6" s="255" t="s">
        <v>26</v>
      </c>
      <c r="M6" s="104" t="s">
        <v>24</v>
      </c>
      <c r="N6" s="104" t="s">
        <v>24</v>
      </c>
      <c r="O6" s="104" t="s">
        <v>24</v>
      </c>
      <c r="P6" s="104" t="s">
        <v>24</v>
      </c>
      <c r="Q6" s="105" t="s">
        <v>24</v>
      </c>
      <c r="R6" s="106" t="s">
        <v>27</v>
      </c>
      <c r="S6" s="20" t="s">
        <v>28</v>
      </c>
      <c r="T6" s="20" t="s">
        <v>143</v>
      </c>
      <c r="U6" s="21" t="s">
        <v>28</v>
      </c>
      <c r="V6" s="22" t="s">
        <v>27</v>
      </c>
      <c r="W6" s="21" t="s">
        <v>143</v>
      </c>
      <c r="X6" s="22" t="s">
        <v>27</v>
      </c>
      <c r="Y6" s="20" t="s">
        <v>143</v>
      </c>
      <c r="Z6" s="21" t="s">
        <v>143</v>
      </c>
      <c r="AA6" s="22" t="s">
        <v>27</v>
      </c>
      <c r="AB6" s="21" t="s">
        <v>28</v>
      </c>
      <c r="AC6" s="20" t="s">
        <v>28</v>
      </c>
      <c r="AD6" s="21" t="s">
        <v>28</v>
      </c>
      <c r="AE6" s="22" t="s">
        <v>27</v>
      </c>
      <c r="AF6" s="20" t="s">
        <v>143</v>
      </c>
      <c r="AG6" s="21" t="s">
        <v>143</v>
      </c>
      <c r="AH6" s="22" t="s">
        <v>27</v>
      </c>
      <c r="AI6" s="21" t="s">
        <v>28</v>
      </c>
      <c r="AJ6" s="20" t="s">
        <v>28</v>
      </c>
      <c r="AK6" s="21" t="s">
        <v>28</v>
      </c>
      <c r="AL6" s="22" t="s">
        <v>27</v>
      </c>
      <c r="AM6" s="21" t="s">
        <v>28</v>
      </c>
      <c r="AN6" s="20" t="s">
        <v>28</v>
      </c>
      <c r="AO6" s="21" t="s">
        <v>28</v>
      </c>
      <c r="AP6" s="22" t="s">
        <v>27</v>
      </c>
      <c r="AQ6" s="20" t="s">
        <v>143</v>
      </c>
      <c r="AR6" s="21" t="s">
        <v>143</v>
      </c>
      <c r="AS6" s="22" t="s">
        <v>27</v>
      </c>
      <c r="AT6" s="21" t="s">
        <v>28</v>
      </c>
      <c r="AU6" s="20" t="s">
        <v>143</v>
      </c>
      <c r="AV6" s="21" t="s">
        <v>143</v>
      </c>
      <c r="AW6" s="22" t="s">
        <v>27</v>
      </c>
      <c r="AX6" s="21" t="s">
        <v>28</v>
      </c>
    </row>
    <row r="7" spans="1:50" ht="24" customHeight="1" x14ac:dyDescent="0.3">
      <c r="A7" s="175" t="s">
        <v>252</v>
      </c>
      <c r="B7" s="176"/>
      <c r="C7" s="107">
        <f t="shared" ref="C7:H7" ca="1" si="0">C8+C9</f>
        <v>41714300</v>
      </c>
      <c r="D7" s="108">
        <f t="shared" ca="1" si="0"/>
        <v>41629300</v>
      </c>
      <c r="E7" s="109">
        <f t="shared" ca="1" si="0"/>
        <v>85000</v>
      </c>
      <c r="F7" s="109">
        <f t="shared" ca="1" si="0"/>
        <v>41629300</v>
      </c>
      <c r="G7" s="109">
        <f t="shared" ca="1" si="0"/>
        <v>85000</v>
      </c>
      <c r="H7" s="110">
        <f t="shared" ca="1" si="0"/>
        <v>11743800.860000001</v>
      </c>
      <c r="I7" s="111">
        <f t="shared" ref="I7:I116" ca="1" si="1">IF(D7&gt;0,H7*100/D7,0)</f>
        <v>28.210421169704997</v>
      </c>
      <c r="J7" s="110">
        <f ca="1">J8+J9</f>
        <v>11658800.860000001</v>
      </c>
      <c r="K7" s="111">
        <f t="shared" ref="K7:K10" ca="1" si="2">IF(D7&gt;0,J7*100/D7,0)</f>
        <v>28.00623805829068</v>
      </c>
      <c r="L7" s="111">
        <f t="shared" ref="L7:L10" ca="1" si="3">IF(F7&gt;0,J7*100/F7,0)</f>
        <v>28.00623805829068</v>
      </c>
      <c r="M7" s="110">
        <f t="shared" ref="M7:Q7" ca="1" si="4">M8+M9</f>
        <v>5315683.12</v>
      </c>
      <c r="N7" s="110">
        <f t="shared" ca="1" si="4"/>
        <v>2616435</v>
      </c>
      <c r="O7" s="110">
        <f t="shared" ca="1" si="4"/>
        <v>1460312.34</v>
      </c>
      <c r="P7" s="110">
        <f t="shared" ca="1" si="4"/>
        <v>2266370.4000000004</v>
      </c>
      <c r="Q7" s="110">
        <f t="shared" ca="1" si="4"/>
        <v>85000</v>
      </c>
      <c r="R7" s="112">
        <f ca="1">IF(E7&gt;0,Q7*100/E7,0)</f>
        <v>100</v>
      </c>
      <c r="S7" s="29">
        <f t="shared" ref="S7:U7" ca="1" si="5">S8</f>
        <v>4566</v>
      </c>
      <c r="T7" s="29">
        <f t="shared" ca="1" si="5"/>
        <v>45000</v>
      </c>
      <c r="U7" s="30">
        <f t="shared" ca="1" si="5"/>
        <v>4617</v>
      </c>
      <c r="V7" s="31">
        <f t="shared" ref="V7:V88" ca="1" si="6">IF(S7&gt;0,U7*100/S7,0)</f>
        <v>101.11695137976346</v>
      </c>
      <c r="W7" s="30">
        <f ca="1">W8</f>
        <v>4210</v>
      </c>
      <c r="X7" s="31">
        <f t="shared" ref="X7:X88" ca="1" si="7">IF(T7&gt;0,W7*100/T7,0)</f>
        <v>9.3555555555555561</v>
      </c>
      <c r="Y7" s="29">
        <f t="shared" ref="Y7:Z7" ca="1" si="8">Y8</f>
        <v>40500</v>
      </c>
      <c r="Z7" s="30">
        <f t="shared" ca="1" si="8"/>
        <v>39823.360000000001</v>
      </c>
      <c r="AA7" s="31">
        <f t="shared" ref="AA7:AA8" ca="1" si="9">IF(Y7&gt;0,Z7*100/Y7,0)</f>
        <v>98.329283950617281</v>
      </c>
      <c r="AB7" s="30">
        <f t="shared" ref="AB7:AD7" ca="1" si="10">AB8</f>
        <v>2524</v>
      </c>
      <c r="AC7" s="29">
        <f t="shared" ca="1" si="10"/>
        <v>4050</v>
      </c>
      <c r="AD7" s="30">
        <f t="shared" ca="1" si="10"/>
        <v>4099</v>
      </c>
      <c r="AE7" s="31">
        <f t="shared" ref="AE7:AE8" ca="1" si="11">IF(AC7&gt;0,AD7*100/AC7,0)</f>
        <v>101.20987654320987</v>
      </c>
      <c r="AF7" s="29">
        <f t="shared" ref="AF7:AG7" ca="1" si="12">AF8</f>
        <v>4500</v>
      </c>
      <c r="AG7" s="30">
        <f t="shared" ca="1" si="12"/>
        <v>4249</v>
      </c>
      <c r="AH7" s="31">
        <f t="shared" ref="AH7:AH8" ca="1" si="13">IF(AF7&gt;0,AG7*100/AF7,0)</f>
        <v>94.422222222222217</v>
      </c>
      <c r="AI7" s="30">
        <f t="shared" ref="AI7:AK7" ca="1" si="14">AI8</f>
        <v>267</v>
      </c>
      <c r="AJ7" s="29">
        <f t="shared" ca="1" si="14"/>
        <v>450</v>
      </c>
      <c r="AK7" s="30">
        <f t="shared" ca="1" si="14"/>
        <v>455</v>
      </c>
      <c r="AL7" s="31">
        <f t="shared" ref="AL7:AL8" ca="1" si="15">IF(AJ7&gt;0,AK7*100/AJ7,0)</f>
        <v>101.11111111111111</v>
      </c>
      <c r="AM7" s="30">
        <f t="shared" ref="AM7:AO7" ca="1" si="16">AM8</f>
        <v>46</v>
      </c>
      <c r="AN7" s="29">
        <f t="shared" ca="1" si="16"/>
        <v>66</v>
      </c>
      <c r="AO7" s="30">
        <f t="shared" ca="1" si="16"/>
        <v>63</v>
      </c>
      <c r="AP7" s="31">
        <f t="shared" ref="AP7:AP8" ca="1" si="17">IF(AN7&gt;0,AO7*100/AN7,0)</f>
        <v>95.454545454545453</v>
      </c>
      <c r="AQ7" s="29">
        <f t="shared" ref="AQ7:AR7" ca="1" si="18">AQ8</f>
        <v>40500</v>
      </c>
      <c r="AR7" s="30">
        <f t="shared" ca="1" si="18"/>
        <v>3690</v>
      </c>
      <c r="AS7" s="31">
        <f t="shared" ref="AS7:AS8" ca="1" si="19">IF(AQ7&gt;0,AR7*100/AQ7,0)</f>
        <v>9.1111111111111107</v>
      </c>
      <c r="AT7" s="30">
        <f t="shared" ref="AT7:AV7" ca="1" si="20">AT8</f>
        <v>1620</v>
      </c>
      <c r="AU7" s="29">
        <f t="shared" ca="1" si="20"/>
        <v>4500</v>
      </c>
      <c r="AV7" s="30">
        <f t="shared" ca="1" si="20"/>
        <v>520</v>
      </c>
      <c r="AW7" s="31">
        <f t="shared" ref="AW7:AW8" ca="1" si="21">IF(AU7&gt;0,AV7*100/AU7,0)</f>
        <v>11.555555555555555</v>
      </c>
      <c r="AX7" s="30">
        <f ca="1">AX8</f>
        <v>245</v>
      </c>
    </row>
    <row r="8" spans="1:50" ht="28.5" customHeight="1" x14ac:dyDescent="0.3">
      <c r="A8" s="32" t="s">
        <v>30</v>
      </c>
      <c r="B8" s="33"/>
      <c r="C8" s="113">
        <f t="shared" ref="C8:H8" ca="1" si="22">+C13+C31+C52+C74</f>
        <v>39661090</v>
      </c>
      <c r="D8" s="113">
        <f t="shared" ca="1" si="22"/>
        <v>39661090</v>
      </c>
      <c r="E8" s="113">
        <f t="shared" ca="1" si="22"/>
        <v>0</v>
      </c>
      <c r="F8" s="113">
        <f t="shared" ca="1" si="22"/>
        <v>39661090</v>
      </c>
      <c r="G8" s="113">
        <f t="shared" ca="1" si="22"/>
        <v>0</v>
      </c>
      <c r="H8" s="113">
        <f t="shared" ca="1" si="22"/>
        <v>10708941.310000001</v>
      </c>
      <c r="I8" s="114">
        <f t="shared" ca="1" si="1"/>
        <v>27.001127074419792</v>
      </c>
      <c r="J8" s="113">
        <f ca="1">+J13+J31+J52+J74</f>
        <v>10708941.310000001</v>
      </c>
      <c r="K8" s="114">
        <f t="shared" ca="1" si="2"/>
        <v>27.001127074419792</v>
      </c>
      <c r="L8" s="114">
        <f t="shared" ca="1" si="3"/>
        <v>27.001127074419792</v>
      </c>
      <c r="M8" s="113">
        <f t="shared" ref="M8:U8" ca="1" si="23">+M13+M31+M52+M74</f>
        <v>5315683.12</v>
      </c>
      <c r="N8" s="113">
        <f t="shared" ca="1" si="23"/>
        <v>2616435</v>
      </c>
      <c r="O8" s="113">
        <f t="shared" ca="1" si="23"/>
        <v>1460312.34</v>
      </c>
      <c r="P8" s="113">
        <f t="shared" ca="1" si="23"/>
        <v>1316510.8500000001</v>
      </c>
      <c r="Q8" s="113">
        <f t="shared" ca="1" si="23"/>
        <v>0</v>
      </c>
      <c r="R8" s="115">
        <f t="shared" ca="1" si="23"/>
        <v>0</v>
      </c>
      <c r="S8" s="34">
        <f t="shared" ca="1" si="23"/>
        <v>4566</v>
      </c>
      <c r="T8" s="34">
        <f t="shared" ca="1" si="23"/>
        <v>45000</v>
      </c>
      <c r="U8" s="34">
        <f t="shared" ca="1" si="23"/>
        <v>4617</v>
      </c>
      <c r="V8" s="37">
        <f t="shared" ca="1" si="6"/>
        <v>101.11695137976346</v>
      </c>
      <c r="W8" s="34">
        <f ca="1">+W13+W31+W52+W74</f>
        <v>4210</v>
      </c>
      <c r="X8" s="37">
        <f t="shared" ca="1" si="7"/>
        <v>9.3555555555555561</v>
      </c>
      <c r="Y8" s="34">
        <f t="shared" ref="Y8:Z8" ca="1" si="24">+Y13+Y31+Y52+Y74</f>
        <v>40500</v>
      </c>
      <c r="Z8" s="34">
        <f t="shared" ca="1" si="24"/>
        <v>39823.360000000001</v>
      </c>
      <c r="AA8" s="37">
        <f t="shared" ca="1" si="9"/>
        <v>98.329283950617281</v>
      </c>
      <c r="AB8" s="34">
        <f t="shared" ref="AB8:AD8" ca="1" si="25">+AB13+AB31+AB52+AB74</f>
        <v>2524</v>
      </c>
      <c r="AC8" s="34">
        <f t="shared" ca="1" si="25"/>
        <v>4050</v>
      </c>
      <c r="AD8" s="34">
        <f t="shared" ca="1" si="25"/>
        <v>4099</v>
      </c>
      <c r="AE8" s="37">
        <f t="shared" ca="1" si="11"/>
        <v>101.20987654320987</v>
      </c>
      <c r="AF8" s="34">
        <f t="shared" ref="AF8:AG8" ca="1" si="26">+AF13+AF31+AF52+AF74</f>
        <v>4500</v>
      </c>
      <c r="AG8" s="34">
        <f t="shared" ca="1" si="26"/>
        <v>4249</v>
      </c>
      <c r="AH8" s="37">
        <f t="shared" ca="1" si="13"/>
        <v>94.422222222222217</v>
      </c>
      <c r="AI8" s="34">
        <f t="shared" ref="AI8:AK8" ca="1" si="27">+AI13+AI31+AI52+AI74</f>
        <v>267</v>
      </c>
      <c r="AJ8" s="34">
        <f t="shared" ca="1" si="27"/>
        <v>450</v>
      </c>
      <c r="AK8" s="34">
        <f t="shared" ca="1" si="27"/>
        <v>455</v>
      </c>
      <c r="AL8" s="37">
        <f t="shared" ca="1" si="15"/>
        <v>101.11111111111111</v>
      </c>
      <c r="AM8" s="34">
        <f t="shared" ref="AM8:AO8" ca="1" si="28">+AM13+AM31+AM52+AM74</f>
        <v>46</v>
      </c>
      <c r="AN8" s="34">
        <f t="shared" ca="1" si="28"/>
        <v>66</v>
      </c>
      <c r="AO8" s="34">
        <f t="shared" ca="1" si="28"/>
        <v>63</v>
      </c>
      <c r="AP8" s="37">
        <f t="shared" ca="1" si="17"/>
        <v>95.454545454545453</v>
      </c>
      <c r="AQ8" s="34">
        <f t="shared" ref="AQ8:AR8" ca="1" si="29">+AQ13+AQ31+AQ52+AQ74</f>
        <v>40500</v>
      </c>
      <c r="AR8" s="34">
        <f t="shared" ca="1" si="29"/>
        <v>3690</v>
      </c>
      <c r="AS8" s="37">
        <f t="shared" ca="1" si="19"/>
        <v>9.1111111111111107</v>
      </c>
      <c r="AT8" s="34">
        <f t="shared" ref="AT8:AV8" ca="1" si="30">+AT13+AT31+AT52+AT74</f>
        <v>1620</v>
      </c>
      <c r="AU8" s="34">
        <f t="shared" ca="1" si="30"/>
        <v>4500</v>
      </c>
      <c r="AV8" s="34">
        <f t="shared" ca="1" si="30"/>
        <v>520</v>
      </c>
      <c r="AW8" s="37">
        <f t="shared" ca="1" si="21"/>
        <v>11.555555555555555</v>
      </c>
      <c r="AX8" s="34">
        <f ca="1">+AX13+AX31+AX52+AX74</f>
        <v>245</v>
      </c>
    </row>
    <row r="9" spans="1:50" ht="28.5" customHeight="1" x14ac:dyDescent="0.3">
      <c r="A9" s="38" t="s">
        <v>253</v>
      </c>
      <c r="B9" s="39"/>
      <c r="C9" s="94">
        <f t="shared" ref="C9:G9" ca="1" si="31">+C10+C11</f>
        <v>2053210</v>
      </c>
      <c r="D9" s="94">
        <f t="shared" ca="1" si="31"/>
        <v>1968210</v>
      </c>
      <c r="E9" s="94">
        <f t="shared" ca="1" si="31"/>
        <v>85000</v>
      </c>
      <c r="F9" s="94">
        <f t="shared" ca="1" si="31"/>
        <v>1968210</v>
      </c>
      <c r="G9" s="94">
        <f t="shared" ca="1" si="31"/>
        <v>85000</v>
      </c>
      <c r="H9" s="94">
        <f ca="1">H10+H11</f>
        <v>1034859.55</v>
      </c>
      <c r="I9" s="95">
        <f t="shared" ca="1" si="1"/>
        <v>52.578716193902075</v>
      </c>
      <c r="J9" s="94">
        <f ca="1">J10+J11</f>
        <v>949859.55</v>
      </c>
      <c r="K9" s="95">
        <f t="shared" ca="1" si="2"/>
        <v>48.26007133385157</v>
      </c>
      <c r="L9" s="95">
        <f t="shared" ca="1" si="3"/>
        <v>48.26007133385157</v>
      </c>
      <c r="M9" s="94">
        <v>0</v>
      </c>
      <c r="N9" s="94">
        <v>0</v>
      </c>
      <c r="O9" s="94">
        <v>0</v>
      </c>
      <c r="P9" s="94">
        <f t="shared" ref="P9:Q9" ca="1" si="32">P10+P11</f>
        <v>949859.55</v>
      </c>
      <c r="Q9" s="94">
        <f t="shared" ca="1" si="32"/>
        <v>85000</v>
      </c>
      <c r="R9" s="96">
        <f t="shared" ref="R9:R11" ca="1" si="33">IF(E9&gt;0,Q9*100/E9,0)</f>
        <v>100</v>
      </c>
      <c r="S9" s="43"/>
      <c r="T9" s="43"/>
      <c r="U9" s="43"/>
      <c r="V9" s="116">
        <f t="shared" si="6"/>
        <v>0</v>
      </c>
      <c r="W9" s="43"/>
      <c r="X9" s="116">
        <f t="shared" si="7"/>
        <v>0</v>
      </c>
      <c r="Y9" s="43"/>
      <c r="Z9" s="43"/>
      <c r="AA9" s="116"/>
      <c r="AB9" s="43"/>
      <c r="AC9" s="43"/>
      <c r="AD9" s="43"/>
      <c r="AE9" s="116"/>
      <c r="AF9" s="43"/>
      <c r="AG9" s="43"/>
      <c r="AH9" s="116"/>
      <c r="AI9" s="43"/>
      <c r="AJ9" s="43"/>
      <c r="AK9" s="43"/>
      <c r="AL9" s="116"/>
      <c r="AM9" s="43"/>
      <c r="AN9" s="43"/>
      <c r="AO9" s="43"/>
      <c r="AP9" s="116"/>
      <c r="AQ9" s="43"/>
      <c r="AR9" s="43"/>
      <c r="AS9" s="116"/>
      <c r="AT9" s="43"/>
      <c r="AU9" s="43"/>
      <c r="AV9" s="43"/>
      <c r="AW9" s="116"/>
      <c r="AX9" s="43"/>
    </row>
    <row r="10" spans="1:50" ht="28.5" hidden="1" customHeight="1" x14ac:dyDescent="0.3">
      <c r="A10" s="38" t="s">
        <v>31</v>
      </c>
      <c r="B10" s="45"/>
      <c r="C10" s="94">
        <f ca="1">D10+E10</f>
        <v>2053210</v>
      </c>
      <c r="D10" s="94">
        <f ca="1">IFERROR(__xludf.DUMMYFUNCTION("IMPORTRANGE(""https://docs.google.com/spreadsheets/d/1QqKyyYR6Q21VydFLVH3TRQUabQu_ym0Zz7PgGX0-kHA/edit?usp=sharing"",""แผน!FS11"")"),1968210)</f>
        <v>1968210</v>
      </c>
      <c r="E10" s="94">
        <f ca="1">IFERROR(__xludf.DUMMYFUNCTION("IMPORTRANGE(""https://docs.google.com/spreadsheets/d/1QqKyyYR6Q21VydFLVH3TRQUabQu_ym0Zz7PgGX0-kHA/edit?usp=sharing"",""แผน!FV11"")"),85000)</f>
        <v>85000</v>
      </c>
      <c r="F10" s="94">
        <f ca="1">IFERROR(__xludf.DUMMYFUNCTION("IMPORTRANGE(""https://docs.google.com/spreadsheets/d/1vlyYR5_sXdhqA0JyobsBDu7xVmIqJT30I2qHLqWgZQ4/edit?usp=sharing"",""ทั้งประเทศ!M471"")"),1968210)</f>
        <v>1968210</v>
      </c>
      <c r="G10" s="94">
        <f ca="1">IFERROR(__xludf.DUMMYFUNCTION("IMPORTRANGE(""https://docs.google.com/spreadsheets/d/1vlyYR5_sXdhqA0JyobsBDu7xVmIqJT30I2qHLqWgZQ4/edit?usp=sharing"",""ทั้งประเทศ!M478"")"),85000)</f>
        <v>85000</v>
      </c>
      <c r="H10" s="94">
        <f t="shared" ref="H10:H116" ca="1" si="34">J10+Q10</f>
        <v>1034859.55</v>
      </c>
      <c r="I10" s="95">
        <f t="shared" ca="1" si="1"/>
        <v>52.578716193902075</v>
      </c>
      <c r="J10" s="94">
        <f ca="1">M10+N10+O10+P10</f>
        <v>949859.55</v>
      </c>
      <c r="K10" s="95">
        <f t="shared" ca="1" si="2"/>
        <v>48.26007133385157</v>
      </c>
      <c r="L10" s="95">
        <f t="shared" ca="1" si="3"/>
        <v>48.26007133385157</v>
      </c>
      <c r="M10" s="94">
        <v>0</v>
      </c>
      <c r="N10" s="94">
        <v>0</v>
      </c>
      <c r="O10" s="94">
        <v>0</v>
      </c>
      <c r="P10" s="94">
        <f ca="1">IFERROR(__xludf.DUMMYFUNCTION("IMPORTRANGE(""https://docs.google.com/spreadsheets/d/1WhzDrMlrZfqSjGYJh0xYjRtGVhp5LiCqlO7EaAHfOOk/edit?usp=sharing"",""sheet1!W6"")"),949859.55)</f>
        <v>949859.55</v>
      </c>
      <c r="Q10" s="96">
        <f ca="1">IFERROR(__xludf.DUMMYFUNCTION("IMPORTRANGE(""https://docs.google.com/spreadsheets/d/1WhzDrMlrZfqSjGYJh0xYjRtGVhp5LiCqlO7EaAHfOOk/edit?usp=sharing"",""sheet1!Y6"")"),85000)</f>
        <v>85000</v>
      </c>
      <c r="R10" s="96">
        <f t="shared" ca="1" si="33"/>
        <v>100</v>
      </c>
      <c r="S10" s="43"/>
      <c r="T10" s="43"/>
      <c r="U10" s="43"/>
      <c r="V10" s="116">
        <f t="shared" si="6"/>
        <v>0</v>
      </c>
      <c r="W10" s="43"/>
      <c r="X10" s="116">
        <f t="shared" si="7"/>
        <v>0</v>
      </c>
      <c r="Y10" s="43"/>
      <c r="Z10" s="43"/>
      <c r="AA10" s="116"/>
      <c r="AB10" s="43"/>
      <c r="AC10" s="43"/>
      <c r="AD10" s="43"/>
      <c r="AE10" s="116"/>
      <c r="AF10" s="43"/>
      <c r="AG10" s="43"/>
      <c r="AH10" s="116"/>
      <c r="AI10" s="43"/>
      <c r="AJ10" s="43"/>
      <c r="AK10" s="43"/>
      <c r="AL10" s="116"/>
      <c r="AM10" s="43"/>
      <c r="AN10" s="43"/>
      <c r="AO10" s="43"/>
      <c r="AP10" s="116"/>
      <c r="AQ10" s="43"/>
      <c r="AR10" s="43"/>
      <c r="AS10" s="116"/>
      <c r="AT10" s="43"/>
      <c r="AU10" s="43"/>
      <c r="AV10" s="43"/>
      <c r="AW10" s="116"/>
      <c r="AX10" s="43"/>
    </row>
    <row r="11" spans="1:50" ht="28.5" hidden="1" customHeight="1" x14ac:dyDescent="0.3">
      <c r="A11" s="46" t="s">
        <v>32</v>
      </c>
      <c r="B11" s="45"/>
      <c r="C11" s="94">
        <f>+C104</f>
        <v>0</v>
      </c>
      <c r="D11" s="94">
        <v>0</v>
      </c>
      <c r="E11" s="94">
        <v>0</v>
      </c>
      <c r="F11" s="94">
        <v>0</v>
      </c>
      <c r="G11" s="94">
        <v>0</v>
      </c>
      <c r="H11" s="94">
        <f t="shared" si="34"/>
        <v>0</v>
      </c>
      <c r="I11" s="95">
        <f t="shared" si="1"/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P11" s="94">
        <v>0</v>
      </c>
      <c r="Q11" s="96">
        <v>0</v>
      </c>
      <c r="R11" s="96">
        <f t="shared" si="33"/>
        <v>0</v>
      </c>
      <c r="S11" s="43"/>
      <c r="T11" s="43"/>
      <c r="U11" s="43"/>
      <c r="V11" s="116">
        <f t="shared" si="6"/>
        <v>0</v>
      </c>
      <c r="W11" s="43"/>
      <c r="X11" s="116">
        <f t="shared" si="7"/>
        <v>0</v>
      </c>
      <c r="Y11" s="43"/>
      <c r="Z11" s="43"/>
      <c r="AA11" s="116"/>
      <c r="AB11" s="43"/>
      <c r="AC11" s="43"/>
      <c r="AD11" s="43"/>
      <c r="AE11" s="116"/>
      <c r="AF11" s="43"/>
      <c r="AG11" s="43"/>
      <c r="AH11" s="116"/>
      <c r="AI11" s="43"/>
      <c r="AJ11" s="43"/>
      <c r="AK11" s="43"/>
      <c r="AL11" s="116"/>
      <c r="AM11" s="43"/>
      <c r="AN11" s="43"/>
      <c r="AO11" s="43"/>
      <c r="AP11" s="116"/>
      <c r="AQ11" s="43"/>
      <c r="AR11" s="43"/>
      <c r="AS11" s="116"/>
      <c r="AT11" s="43"/>
      <c r="AU11" s="43"/>
      <c r="AV11" s="43"/>
      <c r="AW11" s="116"/>
      <c r="AX11" s="43"/>
    </row>
    <row r="12" spans="1:50" ht="28.5" hidden="1" customHeight="1" x14ac:dyDescent="0.3">
      <c r="A12" s="47" t="s">
        <v>33</v>
      </c>
      <c r="B12" s="48"/>
      <c r="C12" s="49">
        <v>0</v>
      </c>
      <c r="D12" s="49">
        <v>0</v>
      </c>
      <c r="E12" s="49">
        <v>0</v>
      </c>
      <c r="F12" s="50"/>
      <c r="G12" s="50"/>
      <c r="H12" s="49">
        <f t="shared" si="34"/>
        <v>0</v>
      </c>
      <c r="I12" s="51">
        <f t="shared" si="1"/>
        <v>0</v>
      </c>
      <c r="J12" s="49">
        <v>0</v>
      </c>
      <c r="K12" s="50"/>
      <c r="L12" s="50"/>
      <c r="M12" s="49">
        <v>0</v>
      </c>
      <c r="N12" s="49">
        <v>0</v>
      </c>
      <c r="O12" s="49">
        <v>0</v>
      </c>
      <c r="P12" s="49">
        <v>0</v>
      </c>
      <c r="Q12" s="52">
        <v>0</v>
      </c>
      <c r="R12" s="52"/>
      <c r="S12" s="49">
        <v>0</v>
      </c>
      <c r="T12" s="49">
        <v>0</v>
      </c>
      <c r="U12" s="49">
        <v>0</v>
      </c>
      <c r="V12" s="53">
        <f t="shared" si="6"/>
        <v>0</v>
      </c>
      <c r="W12" s="49">
        <v>0</v>
      </c>
      <c r="X12" s="53">
        <f t="shared" si="7"/>
        <v>0</v>
      </c>
      <c r="Y12" s="49">
        <v>0</v>
      </c>
      <c r="Z12" s="49">
        <v>0</v>
      </c>
      <c r="AA12" s="53">
        <f t="shared" ref="AA12:AA88" si="35">IF(Y12&gt;0,Z12*100/Y12,0)</f>
        <v>0</v>
      </c>
      <c r="AB12" s="49">
        <v>0</v>
      </c>
      <c r="AC12" s="49">
        <v>0</v>
      </c>
      <c r="AD12" s="49">
        <v>0</v>
      </c>
      <c r="AE12" s="53">
        <f t="shared" ref="AE12:AE88" si="36">IF(AC12&gt;0,AD12*100/AC12,0)</f>
        <v>0</v>
      </c>
      <c r="AF12" s="49">
        <v>0</v>
      </c>
      <c r="AG12" s="49">
        <v>0</v>
      </c>
      <c r="AH12" s="53">
        <f t="shared" ref="AH12:AH88" si="37">IF(AF12&gt;0,AG12*100/AF12,0)</f>
        <v>0</v>
      </c>
      <c r="AI12" s="49">
        <v>0</v>
      </c>
      <c r="AJ12" s="49">
        <v>0</v>
      </c>
      <c r="AK12" s="49">
        <v>0</v>
      </c>
      <c r="AL12" s="53">
        <f t="shared" ref="AL12:AL88" si="38">IF(AJ12&gt;0,AK12*100/AJ12,0)</f>
        <v>0</v>
      </c>
      <c r="AM12" s="49">
        <v>0</v>
      </c>
      <c r="AN12" s="49">
        <v>0</v>
      </c>
      <c r="AO12" s="49">
        <v>0</v>
      </c>
      <c r="AP12" s="53">
        <f t="shared" ref="AP12:AP88" si="39">IF(AN12&gt;0,AO12*100/AN12,0)</f>
        <v>0</v>
      </c>
      <c r="AQ12" s="49">
        <v>0</v>
      </c>
      <c r="AR12" s="49">
        <v>0</v>
      </c>
      <c r="AS12" s="53">
        <f t="shared" ref="AS12:AS88" si="40">IF(AQ12&gt;0,AR12*100/AQ12,0)</f>
        <v>0</v>
      </c>
      <c r="AT12" s="49">
        <v>0</v>
      </c>
      <c r="AU12" s="49">
        <v>0</v>
      </c>
      <c r="AV12" s="49">
        <v>0</v>
      </c>
      <c r="AW12" s="53">
        <f t="shared" ref="AW12:AW88" si="41">IF(AU12&gt;0,AV12*100/AU12,0)</f>
        <v>0</v>
      </c>
      <c r="AX12" s="49">
        <v>0</v>
      </c>
    </row>
    <row r="13" spans="1:50" ht="28.5" customHeight="1" x14ac:dyDescent="0.3">
      <c r="A13" s="177" t="s">
        <v>34</v>
      </c>
      <c r="B13" s="178"/>
      <c r="C13" s="34">
        <f t="shared" ref="C13:G13" ca="1" si="42">SUM(C14:C30)</f>
        <v>11550678</v>
      </c>
      <c r="D13" s="34">
        <f t="shared" ca="1" si="42"/>
        <v>11550678</v>
      </c>
      <c r="E13" s="34">
        <f t="shared" ca="1" si="42"/>
        <v>0</v>
      </c>
      <c r="F13" s="34">
        <f t="shared" ca="1" si="42"/>
        <v>11550678</v>
      </c>
      <c r="G13" s="34">
        <f t="shared" ca="1" si="42"/>
        <v>0</v>
      </c>
      <c r="H13" s="34">
        <f t="shared" ca="1" si="34"/>
        <v>2475524.1999999997</v>
      </c>
      <c r="I13" s="35">
        <f t="shared" ca="1" si="1"/>
        <v>21.431851879171074</v>
      </c>
      <c r="J13" s="34">
        <f ca="1">SUM(J14:J30)</f>
        <v>2475524.1999999997</v>
      </c>
      <c r="K13" s="35">
        <f t="shared" ref="K13:K88" ca="1" si="43">IF(D13&gt;0,J13*100/D13,0)</f>
        <v>21.431851879171074</v>
      </c>
      <c r="L13" s="35">
        <f t="shared" ref="L13:L88" ca="1" si="44">IF(F13&gt;0,J13*100/F13,0)</f>
        <v>21.431851879171074</v>
      </c>
      <c r="M13" s="34">
        <f t="shared" ref="M13:Q13" ca="1" si="45">SUM(M14:M30)</f>
        <v>1632814.1</v>
      </c>
      <c r="N13" s="34">
        <f t="shared" ca="1" si="45"/>
        <v>47000</v>
      </c>
      <c r="O13" s="34">
        <f t="shared" ca="1" si="45"/>
        <v>432021.6</v>
      </c>
      <c r="P13" s="34">
        <f t="shared" ca="1" si="45"/>
        <v>363688.5</v>
      </c>
      <c r="Q13" s="36">
        <f t="shared" ca="1" si="45"/>
        <v>0</v>
      </c>
      <c r="R13" s="36">
        <f t="shared" ref="R13:R116" ca="1" si="46">IF(E13&gt;0,Q13*100/E13,0)</f>
        <v>0</v>
      </c>
      <c r="S13" s="34">
        <f t="shared" ref="S13:U13" ca="1" si="47">SUM(S14:S30)</f>
        <v>1327</v>
      </c>
      <c r="T13" s="34">
        <f t="shared" ca="1" si="47"/>
        <v>13100</v>
      </c>
      <c r="U13" s="34">
        <f t="shared" ca="1" si="47"/>
        <v>1346</v>
      </c>
      <c r="V13" s="37">
        <f t="shared" ca="1" si="6"/>
        <v>101.43180105501131</v>
      </c>
      <c r="W13" s="34">
        <f ca="1">SUM(W14:W30)</f>
        <v>1350</v>
      </c>
      <c r="X13" s="37">
        <f t="shared" ca="1" si="7"/>
        <v>10.305343511450381</v>
      </c>
      <c r="Y13" s="34">
        <f t="shared" ref="Y13:Z13" ca="1" si="48">SUM(Y14:Y30)</f>
        <v>11790</v>
      </c>
      <c r="Z13" s="34">
        <f t="shared" ca="1" si="48"/>
        <v>11790</v>
      </c>
      <c r="AA13" s="37">
        <f t="shared" ca="1" si="35"/>
        <v>100</v>
      </c>
      <c r="AB13" s="34">
        <f t="shared" ref="AB13:AD13" ca="1" si="49">SUM(AB14:AB30)</f>
        <v>913</v>
      </c>
      <c r="AC13" s="34">
        <f t="shared" ca="1" si="49"/>
        <v>1179</v>
      </c>
      <c r="AD13" s="34">
        <f t="shared" ca="1" si="49"/>
        <v>1199</v>
      </c>
      <c r="AE13" s="37">
        <f t="shared" ca="1" si="36"/>
        <v>101.696352841391</v>
      </c>
      <c r="AF13" s="34">
        <f t="shared" ref="AF13:AG13" ca="1" si="50">SUM(AF14:AF30)</f>
        <v>1310</v>
      </c>
      <c r="AG13" s="34">
        <f t="shared" ca="1" si="50"/>
        <v>1310</v>
      </c>
      <c r="AH13" s="37">
        <f t="shared" ca="1" si="37"/>
        <v>100</v>
      </c>
      <c r="AI13" s="34">
        <f t="shared" ref="AI13:AK13" ca="1" si="51">SUM(AI14:AI30)</f>
        <v>76</v>
      </c>
      <c r="AJ13" s="34">
        <f t="shared" ca="1" si="51"/>
        <v>131</v>
      </c>
      <c r="AK13" s="34">
        <f t="shared" ca="1" si="51"/>
        <v>131</v>
      </c>
      <c r="AL13" s="37">
        <f t="shared" ca="1" si="38"/>
        <v>100</v>
      </c>
      <c r="AM13" s="34">
        <f t="shared" ref="AM13:AO13" ca="1" si="52">SUM(AM14:AM30)</f>
        <v>20</v>
      </c>
      <c r="AN13" s="34">
        <f t="shared" ca="1" si="52"/>
        <v>17</v>
      </c>
      <c r="AO13" s="34">
        <f t="shared" ca="1" si="52"/>
        <v>16</v>
      </c>
      <c r="AP13" s="37">
        <f t="shared" ca="1" si="39"/>
        <v>94.117647058823536</v>
      </c>
      <c r="AQ13" s="34">
        <f t="shared" ref="AQ13:AR13" ca="1" si="53">SUM(AQ14:AQ30)</f>
        <v>11790</v>
      </c>
      <c r="AR13" s="34">
        <f t="shared" ca="1" si="53"/>
        <v>1170</v>
      </c>
      <c r="AS13" s="37">
        <f t="shared" ca="1" si="40"/>
        <v>9.9236641221374047</v>
      </c>
      <c r="AT13" s="34">
        <f t="shared" ref="AT13:AV13" ca="1" si="54">SUM(AT14:AT30)</f>
        <v>0</v>
      </c>
      <c r="AU13" s="34">
        <f t="shared" ca="1" si="54"/>
        <v>1310</v>
      </c>
      <c r="AV13" s="34">
        <f t="shared" ca="1" si="54"/>
        <v>180</v>
      </c>
      <c r="AW13" s="37">
        <f t="shared" ca="1" si="41"/>
        <v>13.740458015267176</v>
      </c>
      <c r="AX13" s="34">
        <f ca="1">SUM(AX14:AX30)</f>
        <v>5</v>
      </c>
    </row>
    <row r="14" spans="1:50" ht="24" customHeight="1" x14ac:dyDescent="0.3">
      <c r="A14" s="54">
        <v>1</v>
      </c>
      <c r="B14" s="55" t="s">
        <v>35</v>
      </c>
      <c r="C14" s="56">
        <f t="shared" ref="C14:C30" ca="1" si="55">D14+E14</f>
        <v>1167958</v>
      </c>
      <c r="D14" s="57">
        <f ca="1">IFERROR(__xludf.DUMMYFUNCTION("IMPORTRANGE(""https://docs.google.com/spreadsheets/d/1KxicF4apzSqm0-jIpmueT4kyZtE-Cwn5zskl7GD4loQ/edit?usp=sharing"",""กำแพงเพชร!L472"")"),1167958)</f>
        <v>1167958</v>
      </c>
      <c r="E14" s="57">
        <f ca="1">IFERROR(__xludf.DUMMYFUNCTION("IMPORTRANGE(""https://docs.google.com/spreadsheets/d/1KxicF4apzSqm0-jIpmueT4kyZtE-Cwn5zskl7GD4loQ/edit?usp=sharing"",""กำแพงเพชร!L479"")"),0)</f>
        <v>0</v>
      </c>
      <c r="F14" s="57">
        <f ca="1">IFERROR(__xludf.DUMMYFUNCTION("IMPORTRANGE(""https://docs.google.com/spreadsheets/d/1KxicF4apzSqm0-jIpmueT4kyZtE-Cwn5zskl7GD4loQ/edit?usp=sharing"",""กำแพงเพชร!M472"")"),1167958)</f>
        <v>1167958</v>
      </c>
      <c r="G14" s="57">
        <f ca="1">IFERROR(__xludf.DUMMYFUNCTION("IMPORTRANGE(""https://docs.google.com/spreadsheets/d/1KxicF4apzSqm0-jIpmueT4kyZtE-Cwn5zskl7GD4loQ/edit?usp=sharing"",""กำแพงเพชร!M479"")"),0)</f>
        <v>0</v>
      </c>
      <c r="H14" s="58">
        <f t="shared" ca="1" si="34"/>
        <v>249681</v>
      </c>
      <c r="I14" s="59">
        <f t="shared" ca="1" si="1"/>
        <v>21.377566659075068</v>
      </c>
      <c r="J14" s="60">
        <f t="shared" ref="J14:J30" ca="1" si="56">M14+N14+O14+P14</f>
        <v>249681</v>
      </c>
      <c r="K14" s="61">
        <f t="shared" ca="1" si="43"/>
        <v>21.377566659075068</v>
      </c>
      <c r="L14" s="61">
        <f t="shared" ca="1" si="44"/>
        <v>21.377566659075068</v>
      </c>
      <c r="M14" s="57">
        <f ca="1">IFERROR(__xludf.DUMMYFUNCTION("IMPORTRANGE(""https://docs.google.com/spreadsheets/d/1KxicF4apzSqm0-jIpmueT4kyZtE-Cwn5zskl7GD4loQ/edit?usp=sharing"",""กำแพงเพชร!N473"")"),155253)</f>
        <v>155253</v>
      </c>
      <c r="N14" s="57">
        <f ca="1">IFERROR(__xludf.DUMMYFUNCTION("IMPORTRANGE(""https://docs.google.com/spreadsheets/d/1KxicF4apzSqm0-jIpmueT4kyZtE-Cwn5zskl7GD4loQ/edit?usp=sharing"",""กำแพงเพชร!N474"")"),0)</f>
        <v>0</v>
      </c>
      <c r="O14" s="57">
        <f ca="1">IFERROR(__xludf.DUMMYFUNCTION("IMPORTRANGE(""https://docs.google.com/spreadsheets/d/1KxicF4apzSqm0-jIpmueT4kyZtE-Cwn5zskl7GD4loQ/edit?usp=sharing"",""กำแพงเพชร!N475"")"),65000)</f>
        <v>65000</v>
      </c>
      <c r="P14" s="57">
        <f ca="1">IFERROR(__xludf.DUMMYFUNCTION("IMPORTRANGE(""https://docs.google.com/spreadsheets/d/1KxicF4apzSqm0-jIpmueT4kyZtE-Cwn5zskl7GD4loQ/edit?usp=sharing"",""กำแพงเพชร!N476"")"),29428)</f>
        <v>29428</v>
      </c>
      <c r="Q14" s="62">
        <f ca="1">IFERROR(__xludf.DUMMYFUNCTION("IMPORTRANGE(""https://docs.google.com/spreadsheets/d/1KxicF4apzSqm0-jIpmueT4kyZtE-Cwn5zskl7GD4loQ/edit?usp=sharing"",""กำแพงเพชร!N479"")"),0)</f>
        <v>0</v>
      </c>
      <c r="R14" s="62">
        <f t="shared" ca="1" si="46"/>
        <v>0</v>
      </c>
      <c r="S14" s="57">
        <f ca="1">IFERROR(__xludf.DUMMYFUNCTION("IMPORTRANGE(""https://docs.google.com/spreadsheets/d/1KxicF4apzSqm0-jIpmueT4kyZtE-Cwn5zskl7GD4loQ/edit?usp=sharing"",""กำแพงเพชร!I465"")"),131)</f>
        <v>131</v>
      </c>
      <c r="T14" s="57">
        <f ca="1">IFERROR(__xludf.DUMMYFUNCTION("IMPORTRANGE(""https://docs.google.com/spreadsheets/d/1KxicF4apzSqm0-jIpmueT4kyZtE-Cwn5zskl7GD4loQ/edit?usp=sharing"",""กำแพงเพชร!I466"")"),1300)</f>
        <v>1300</v>
      </c>
      <c r="U14" s="57">
        <f ca="1">IFERROR(__xludf.DUMMYFUNCTION("IMPORTRANGE(""https://docs.google.com/spreadsheets/d/1KxicF4apzSqm0-jIpmueT4kyZtE-Cwn5zskl7GD4loQ/edit?usp=sharing"",""กำแพงเพชร!J465"")"),131)</f>
        <v>131</v>
      </c>
      <c r="V14" s="63">
        <f t="shared" ca="1" si="6"/>
        <v>100</v>
      </c>
      <c r="W14" s="57">
        <f ca="1">IFERROR(__xludf.DUMMYFUNCTION("IMPORTRANGE(""https://docs.google.com/spreadsheets/d/1KxicF4apzSqm0-jIpmueT4kyZtE-Cwn5zskl7GD4loQ/edit?usp=sharing"",""กำแพงเพชร!J466"")"),0)</f>
        <v>0</v>
      </c>
      <c r="X14" s="63">
        <f t="shared" ca="1" si="7"/>
        <v>0</v>
      </c>
      <c r="Y14" s="57">
        <f ca="1">IFERROR(__xludf.DUMMYFUNCTION("IMPORTRANGE(""https://docs.google.com/spreadsheets/d/1KxicF4apzSqm0-jIpmueT4kyZtE-Cwn5zskl7GD4loQ/edit?usp=sharing"",""กำแพงเพชร!I483"")"),1170)</f>
        <v>1170</v>
      </c>
      <c r="Z14" s="57">
        <f ca="1">IFERROR(__xludf.DUMMYFUNCTION("IMPORTRANGE(""https://docs.google.com/spreadsheets/d/1KxicF4apzSqm0-jIpmueT4kyZtE-Cwn5zskl7GD4loQ/edit?usp=sharing"",""กำแพงเพชร!J483"")"),1170)</f>
        <v>1170</v>
      </c>
      <c r="AA14" s="63">
        <f t="shared" ca="1" si="35"/>
        <v>100</v>
      </c>
      <c r="AB14" s="57">
        <f ca="1">IFERROR(__xludf.DUMMYFUNCTION("IMPORTRANGE(""https://docs.google.com/spreadsheets/d/1KxicF4apzSqm0-jIpmueT4kyZtE-Cwn5zskl7GD4loQ/edit?usp=sharing"",""กำแพงเพชร!J484"")"),117)</f>
        <v>117</v>
      </c>
      <c r="AC14" s="57">
        <f ca="1">IFERROR(__xludf.DUMMYFUNCTION("IMPORTRANGE(""https://docs.google.com/spreadsheets/d/1KxicF4apzSqm0-jIpmueT4kyZtE-Cwn5zskl7GD4loQ/edit?usp=sharing"",""กำแพงเพชร!I485"")"),117)</f>
        <v>117</v>
      </c>
      <c r="AD14" s="57">
        <f ca="1">IFERROR(__xludf.DUMMYFUNCTION("IMPORTRANGE(""https://docs.google.com/spreadsheets/d/1KxicF4apzSqm0-jIpmueT4kyZtE-Cwn5zskl7GD4loQ/edit?usp=sharing"",""กำแพงเพชร!J485"")"),117)</f>
        <v>117</v>
      </c>
      <c r="AE14" s="63">
        <f t="shared" ca="1" si="36"/>
        <v>100</v>
      </c>
      <c r="AF14" s="57">
        <f ca="1">IFERROR(__xludf.DUMMYFUNCTION("IMPORTRANGE(""https://docs.google.com/spreadsheets/d/1KxicF4apzSqm0-jIpmueT4kyZtE-Cwn5zskl7GD4loQ/edit?usp=sharing"",""กำแพงเพชร!I487"")"),130)</f>
        <v>130</v>
      </c>
      <c r="AG14" s="57">
        <f ca="1">IFERROR(__xludf.DUMMYFUNCTION("IMPORTRANGE(""https://docs.google.com/spreadsheets/d/1KxicF4apzSqm0-jIpmueT4kyZtE-Cwn5zskl7GD4loQ/edit?usp=sharing"",""กำแพงเพชร!J487"")"),130)</f>
        <v>130</v>
      </c>
      <c r="AH14" s="63">
        <f t="shared" ca="1" si="37"/>
        <v>100</v>
      </c>
      <c r="AI14" s="57">
        <f ca="1">IFERROR(__xludf.DUMMYFUNCTION("IMPORTRANGE(""https://docs.google.com/spreadsheets/d/1KxicF4apzSqm0-jIpmueT4kyZtE-Cwn5zskl7GD4loQ/edit?usp=sharing"",""กำแพงเพชร!J488"")"),0)</f>
        <v>0</v>
      </c>
      <c r="AJ14" s="57">
        <f ca="1">IFERROR(__xludf.DUMMYFUNCTION("IMPORTRANGE(""https://docs.google.com/spreadsheets/d/1KxicF4apzSqm0-jIpmueT4kyZtE-Cwn5zskl7GD4loQ/edit?usp=sharing"",""กำแพงเพชร!I489"")"),13)</f>
        <v>13</v>
      </c>
      <c r="AK14" s="57">
        <f ca="1">IFERROR(__xludf.DUMMYFUNCTION("IMPORTRANGE(""https://docs.google.com/spreadsheets/d/1KxicF4apzSqm0-jIpmueT4kyZtE-Cwn5zskl7GD4loQ/edit?usp=sharing"",""กำแพงเพชร!J489"")"),13)</f>
        <v>13</v>
      </c>
      <c r="AL14" s="63">
        <f t="shared" ca="1" si="38"/>
        <v>100</v>
      </c>
      <c r="AM14" s="57">
        <f ca="1">IFERROR(__xludf.DUMMYFUNCTION("IMPORTRANGE(""https://docs.google.com/spreadsheets/d/1KxicF4apzSqm0-jIpmueT4kyZtE-Cwn5zskl7GD4loQ/edit?usp=sharing"",""กำแพงเพชร!J491"")"),1)</f>
        <v>1</v>
      </c>
      <c r="AN14" s="57">
        <f ca="1">IFERROR(__xludf.DUMMYFUNCTION("IMPORTRANGE(""https://docs.google.com/spreadsheets/d/1KxicF4apzSqm0-jIpmueT4kyZtE-Cwn5zskl7GD4loQ/edit?usp=sharing"",""กำแพงเพชร!I492"")"),1)</f>
        <v>1</v>
      </c>
      <c r="AO14" s="57">
        <f ca="1">IFERROR(__xludf.DUMMYFUNCTION("IMPORTRANGE(""https://docs.google.com/spreadsheets/d/1KxicF4apzSqm0-jIpmueT4kyZtE-Cwn5zskl7GD4loQ/edit?usp=sharing"",""กำแพงเพชร!J492"")"),1)</f>
        <v>1</v>
      </c>
      <c r="AP14" s="63">
        <f t="shared" ca="1" si="39"/>
        <v>100</v>
      </c>
      <c r="AQ14" s="57">
        <f ca="1">IFERROR(__xludf.DUMMYFUNCTION("IMPORTRANGE(""https://docs.google.com/spreadsheets/d/1KxicF4apzSqm0-jIpmueT4kyZtE-Cwn5zskl7GD4loQ/edit?usp=sharing"",""กำแพงเพชร!I495"")"),1170)</f>
        <v>1170</v>
      </c>
      <c r="AR14" s="57">
        <f ca="1">IFERROR(__xludf.DUMMYFUNCTION("IMPORTRANGE(""https://docs.google.com/spreadsheets/d/1KxicF4apzSqm0-jIpmueT4kyZtE-Cwn5zskl7GD4loQ/edit?usp=sharing"",""กำแพงเพชร!J495"")"),0)</f>
        <v>0</v>
      </c>
      <c r="AS14" s="63">
        <f t="shared" ca="1" si="40"/>
        <v>0</v>
      </c>
      <c r="AT14" s="57">
        <f ca="1">IFERROR(__xludf.DUMMYFUNCTION("IMPORTRANGE(""https://docs.google.com/spreadsheets/d/1KxicF4apzSqm0-jIpmueT4kyZtE-Cwn5zskl7GD4loQ/edit?usp=sharing"",""กำแพงเพชร!J496"")"),0)</f>
        <v>0</v>
      </c>
      <c r="AU14" s="57">
        <f ca="1">IFERROR(__xludf.DUMMYFUNCTION("IMPORTRANGE(""https://docs.google.com/spreadsheets/d/1KxicF4apzSqm0-jIpmueT4kyZtE-Cwn5zskl7GD4loQ/edit?usp=sharing"",""กำแพงเพชร!I498"")"),130)</f>
        <v>130</v>
      </c>
      <c r="AV14" s="57">
        <f ca="1">IFERROR(__xludf.DUMMYFUNCTION("IMPORTRANGE(""https://docs.google.com/spreadsheets/d/1KxicF4apzSqm0-jIpmueT4kyZtE-Cwn5zskl7GD4loQ/edit?usp=sharing"",""กำแพงเพชร!J498"")"),0)</f>
        <v>0</v>
      </c>
      <c r="AW14" s="63">
        <f t="shared" ca="1" si="41"/>
        <v>0</v>
      </c>
      <c r="AX14" s="57">
        <f ca="1">IFERROR(__xludf.DUMMYFUNCTION("IMPORTRANGE(""https://docs.google.com/spreadsheets/d/1KxicF4apzSqm0-jIpmueT4kyZtE-Cwn5zskl7GD4loQ/edit?usp=sharing"",""กำแพงเพชร!J499"")"),0)</f>
        <v>0</v>
      </c>
    </row>
    <row r="15" spans="1:50" ht="24" customHeight="1" x14ac:dyDescent="0.3">
      <c r="A15" s="54">
        <v>2</v>
      </c>
      <c r="B15" s="55" t="s">
        <v>36</v>
      </c>
      <c r="C15" s="56">
        <f t="shared" ca="1" si="55"/>
        <v>416253</v>
      </c>
      <c r="D15" s="57">
        <f ca="1">IFERROR(__xludf.DUMMYFUNCTION("IMPORTRANGE(""https://docs.google.com/spreadsheets/d/1ZNYWeiFoFA1K1U4xKWqRX29MBvEyRHXORjo734Gnq_c/edit?usp=sharing"",""เชียงราย!L472"")"),416253)</f>
        <v>416253</v>
      </c>
      <c r="E15" s="64">
        <f ca="1">IFERROR(__xludf.DUMMYFUNCTION("IMPORTRANGE(""https://docs.google.com/spreadsheets/d/1ZNYWeiFoFA1K1U4xKWqRX29MBvEyRHXORjo734Gnq_c/edit?usp=sharing"",""เชียงราย!L479"")"),0)</f>
        <v>0</v>
      </c>
      <c r="F15" s="64">
        <f ca="1">IFERROR(__xludf.DUMMYFUNCTION("IMPORTRANGE(""https://docs.google.com/spreadsheets/d/1ZNYWeiFoFA1K1U4xKWqRX29MBvEyRHXORjo734Gnq_c/edit?usp=sharing"",""เชียงราย!M472"")"),416253)</f>
        <v>416253</v>
      </c>
      <c r="G15" s="64">
        <f ca="1">IFERROR(__xludf.DUMMYFUNCTION("IMPORTRANGE(""https://docs.google.com/spreadsheets/d/1ZNYWeiFoFA1K1U4xKWqRX29MBvEyRHXORjo734Gnq_c/edit?usp=sharing"",""เชียงราย!M479"")"),0)</f>
        <v>0</v>
      </c>
      <c r="H15" s="58">
        <f t="shared" ca="1" si="34"/>
        <v>85670.1</v>
      </c>
      <c r="I15" s="59">
        <f t="shared" ca="1" si="1"/>
        <v>20.581257072021103</v>
      </c>
      <c r="J15" s="60">
        <f t="shared" ca="1" si="56"/>
        <v>85670.1</v>
      </c>
      <c r="K15" s="61">
        <f t="shared" ca="1" si="43"/>
        <v>20.581257072021103</v>
      </c>
      <c r="L15" s="61">
        <f t="shared" ca="1" si="44"/>
        <v>20.581257072021103</v>
      </c>
      <c r="M15" s="64">
        <f ca="1">IFERROR(__xludf.DUMMYFUNCTION("IMPORTRANGE(""https://docs.google.com/spreadsheets/d/1ZNYWeiFoFA1K1U4xKWqRX29MBvEyRHXORjo734Gnq_c/edit?usp=sharing"",""เชียงราย!N473"")"),62020.1)</f>
        <v>62020.1</v>
      </c>
      <c r="N15" s="64">
        <f ca="1">IFERROR(__xludf.DUMMYFUNCTION("IMPORTRANGE(""https://docs.google.com/spreadsheets/d/1ZNYWeiFoFA1K1U4xKWqRX29MBvEyRHXORjo734Gnq_c/edit?usp=sharing"",""เชียงราย!N474"")"),0)</f>
        <v>0</v>
      </c>
      <c r="O15" s="64">
        <f ca="1">IFERROR(__xludf.DUMMYFUNCTION("IMPORTRANGE(""https://docs.google.com/spreadsheets/d/1ZNYWeiFoFA1K1U4xKWqRX29MBvEyRHXORjo734Gnq_c/edit?usp=sharing"",""เชียงราย!N475"")"),0)</f>
        <v>0</v>
      </c>
      <c r="P15" s="64">
        <f ca="1">IFERROR(__xludf.DUMMYFUNCTION("IMPORTRANGE(""https://docs.google.com/spreadsheets/d/1ZNYWeiFoFA1K1U4xKWqRX29MBvEyRHXORjo734Gnq_c/edit?usp=sharing"",""เชียงราย!N476"")"),23650)</f>
        <v>23650</v>
      </c>
      <c r="Q15" s="62">
        <f ca="1">IFERROR(__xludf.DUMMYFUNCTION("IMPORTRANGE(""https://docs.google.com/spreadsheets/d/1ZNYWeiFoFA1K1U4xKWqRX29MBvEyRHXORjo734Gnq_c/edit?usp=sharing"",""เชียงราย!N479"")"),0)</f>
        <v>0</v>
      </c>
      <c r="R15" s="62">
        <f t="shared" ca="1" si="46"/>
        <v>0</v>
      </c>
      <c r="S15" s="57">
        <f ca="1">IFERROR(__xludf.DUMMYFUNCTION("IMPORTRANGE(""https://docs.google.com/spreadsheets/d/1ZNYWeiFoFA1K1U4xKWqRX29MBvEyRHXORjo734Gnq_c/edit?usp=sharing"",""เชียงราย!I465"")"),51)</f>
        <v>51</v>
      </c>
      <c r="T15" s="57">
        <f ca="1">IFERROR(__xludf.DUMMYFUNCTION("IMPORTRANGE(""https://docs.google.com/spreadsheets/d/1ZNYWeiFoFA1K1U4xKWqRX29MBvEyRHXORjo734Gnq_c/edit?usp=sharing"",""เชียงราย!I466"")"),500)</f>
        <v>500</v>
      </c>
      <c r="U15" s="57">
        <f ca="1">IFERROR(__xludf.DUMMYFUNCTION("IMPORTRANGE(""https://docs.google.com/spreadsheets/d/1ZNYWeiFoFA1K1U4xKWqRX29MBvEyRHXORjo734Gnq_c/edit?usp=sharing"",""เชียงราย!J465"")"),71)</f>
        <v>71</v>
      </c>
      <c r="V15" s="63">
        <f t="shared" ca="1" si="6"/>
        <v>139.21568627450981</v>
      </c>
      <c r="W15" s="57">
        <f ca="1">IFERROR(__xludf.DUMMYFUNCTION("IMPORTRANGE(""https://docs.google.com/spreadsheets/d/1ZNYWeiFoFA1K1U4xKWqRX29MBvEyRHXORjo734Gnq_c/edit?usp=sharing"",""เชียงราย!J466"")"),0)</f>
        <v>0</v>
      </c>
      <c r="X15" s="63">
        <f t="shared" ca="1" si="7"/>
        <v>0</v>
      </c>
      <c r="Y15" s="57">
        <f ca="1">IFERROR(__xludf.DUMMYFUNCTION("IMPORTRANGE(""https://docs.google.com/spreadsheets/d/1ZNYWeiFoFA1K1U4xKWqRX29MBvEyRHXORjo734Gnq_c/edit?usp=sharing"",""เชียงราย!I483"")"),450)</f>
        <v>450</v>
      </c>
      <c r="Z15" s="57">
        <f ca="1">IFERROR(__xludf.DUMMYFUNCTION("IMPORTRANGE(""https://docs.google.com/spreadsheets/d/1ZNYWeiFoFA1K1U4xKWqRX29MBvEyRHXORjo734Gnq_c/edit?usp=sharing"",""เชียงราย!J483"")"),450)</f>
        <v>450</v>
      </c>
      <c r="AA15" s="63">
        <f t="shared" ca="1" si="35"/>
        <v>100</v>
      </c>
      <c r="AB15" s="57">
        <f ca="1">IFERROR(__xludf.DUMMYFUNCTION("IMPORTRANGE(""https://docs.google.com/spreadsheets/d/1ZNYWeiFoFA1K1U4xKWqRX29MBvEyRHXORjo734Gnq_c/edit?usp=sharing"",""เชียงราย!J484"")"),65)</f>
        <v>65</v>
      </c>
      <c r="AC15" s="57">
        <f ca="1">IFERROR(__xludf.DUMMYFUNCTION("IMPORTRANGE(""https://docs.google.com/spreadsheets/d/1ZNYWeiFoFA1K1U4xKWqRX29MBvEyRHXORjo734Gnq_c/edit?usp=sharing"",""เชียงราย!I485"")"),45)</f>
        <v>45</v>
      </c>
      <c r="AD15" s="57">
        <f ca="1">IFERROR(__xludf.DUMMYFUNCTION("IMPORTRANGE(""https://docs.google.com/spreadsheets/d/1ZNYWeiFoFA1K1U4xKWqRX29MBvEyRHXORjo734Gnq_c/edit?usp=sharing"",""เชียงราย!J485"")"),65)</f>
        <v>65</v>
      </c>
      <c r="AE15" s="63">
        <f t="shared" ca="1" si="36"/>
        <v>144.44444444444446</v>
      </c>
      <c r="AF15" s="57">
        <f ca="1">IFERROR(__xludf.DUMMYFUNCTION("IMPORTRANGE(""https://docs.google.com/spreadsheets/d/1ZNYWeiFoFA1K1U4xKWqRX29MBvEyRHXORjo734Gnq_c/edit?usp=sharing"",""เชียงราย!I487"")"),50)</f>
        <v>50</v>
      </c>
      <c r="AG15" s="57">
        <f ca="1">IFERROR(__xludf.DUMMYFUNCTION("IMPORTRANGE(""https://docs.google.com/spreadsheets/d/1ZNYWeiFoFA1K1U4xKWqRX29MBvEyRHXORjo734Gnq_c/edit?usp=sharing"",""เชียงราย!J487"")"),50)</f>
        <v>50</v>
      </c>
      <c r="AH15" s="63">
        <f t="shared" ca="1" si="37"/>
        <v>100</v>
      </c>
      <c r="AI15" s="57">
        <f ca="1">IFERROR(__xludf.DUMMYFUNCTION("IMPORTRANGE(""https://docs.google.com/spreadsheets/d/1ZNYWeiFoFA1K1U4xKWqRX29MBvEyRHXORjo734Gnq_c/edit?usp=sharing"",""เชียงราย!J488"")"),5)</f>
        <v>5</v>
      </c>
      <c r="AJ15" s="57">
        <f ca="1">IFERROR(__xludf.DUMMYFUNCTION("IMPORTRANGE(""https://docs.google.com/spreadsheets/d/1ZNYWeiFoFA1K1U4xKWqRX29MBvEyRHXORjo734Gnq_c/edit?usp=sharing"",""เชียงราย!I489"")"),5)</f>
        <v>5</v>
      </c>
      <c r="AK15" s="57">
        <f ca="1">IFERROR(__xludf.DUMMYFUNCTION("IMPORTRANGE(""https://docs.google.com/spreadsheets/d/1ZNYWeiFoFA1K1U4xKWqRX29MBvEyRHXORjo734Gnq_c/edit?usp=sharing"",""เชียงราย!J489"")"),5)</f>
        <v>5</v>
      </c>
      <c r="AL15" s="63">
        <f t="shared" ca="1" si="38"/>
        <v>100</v>
      </c>
      <c r="AM15" s="57">
        <f ca="1">IFERROR(__xludf.DUMMYFUNCTION("IMPORTRANGE(""https://docs.google.com/spreadsheets/d/1ZNYWeiFoFA1K1U4xKWqRX29MBvEyRHXORjo734Gnq_c/edit?usp=sharing"",""เชียงราย!J491"")"),1)</f>
        <v>1</v>
      </c>
      <c r="AN15" s="57">
        <f ca="1">IFERROR(__xludf.DUMMYFUNCTION("IMPORTRANGE(""https://docs.google.com/spreadsheets/d/1ZNYWeiFoFA1K1U4xKWqRX29MBvEyRHXORjo734Gnq_c/edit?usp=sharing"",""เชียงราย!I492"")"),1)</f>
        <v>1</v>
      </c>
      <c r="AO15" s="57">
        <f ca="1">IFERROR(__xludf.DUMMYFUNCTION("IMPORTRANGE(""https://docs.google.com/spreadsheets/d/1ZNYWeiFoFA1K1U4xKWqRX29MBvEyRHXORjo734Gnq_c/edit?usp=sharing"",""เชียงราย!J492"")"),1)</f>
        <v>1</v>
      </c>
      <c r="AP15" s="63">
        <f t="shared" ca="1" si="39"/>
        <v>100</v>
      </c>
      <c r="AQ15" s="57">
        <f ca="1">IFERROR(__xludf.DUMMYFUNCTION("IMPORTRANGE(""https://docs.google.com/spreadsheets/d/1ZNYWeiFoFA1K1U4xKWqRX29MBvEyRHXORjo734Gnq_c/edit?usp=sharing"",""เชียงราย!I495"")"),450)</f>
        <v>450</v>
      </c>
      <c r="AR15" s="57">
        <f ca="1">IFERROR(__xludf.DUMMYFUNCTION("IMPORTRANGE(""https://docs.google.com/spreadsheets/d/1ZNYWeiFoFA1K1U4xKWqRX29MBvEyRHXORjo734Gnq_c/edit?usp=sharing"",""เชียงราย!J495"")"),0)</f>
        <v>0</v>
      </c>
      <c r="AS15" s="63">
        <f t="shared" ca="1" si="40"/>
        <v>0</v>
      </c>
      <c r="AT15" s="57">
        <f ca="1">IFERROR(__xludf.DUMMYFUNCTION("IMPORTRANGE(""https://docs.google.com/spreadsheets/d/1ZNYWeiFoFA1K1U4xKWqRX29MBvEyRHXORjo734Gnq_c/edit?usp=sharing"",""เชียงราย!J496"")"),0)</f>
        <v>0</v>
      </c>
      <c r="AU15" s="57">
        <f ca="1">IFERROR(__xludf.DUMMYFUNCTION("IMPORTRANGE(""https://docs.google.com/spreadsheets/d/1ZNYWeiFoFA1K1U4xKWqRX29MBvEyRHXORjo734Gnq_c/edit?usp=sharing"",""เชียงราย!I498"")"),50)</f>
        <v>50</v>
      </c>
      <c r="AV15" s="57">
        <f ca="1">IFERROR(__xludf.DUMMYFUNCTION("IMPORTRANGE(""https://docs.google.com/spreadsheets/d/1ZNYWeiFoFA1K1U4xKWqRX29MBvEyRHXORjo734Gnq_c/edit?usp=sharing"",""เชียงราย!J498"")"),0)</f>
        <v>0</v>
      </c>
      <c r="AW15" s="63">
        <f t="shared" ca="1" si="41"/>
        <v>0</v>
      </c>
      <c r="AX15" s="57">
        <f ca="1">IFERROR(__xludf.DUMMYFUNCTION("IMPORTRANGE(""https://docs.google.com/spreadsheets/d/1ZNYWeiFoFA1K1U4xKWqRX29MBvEyRHXORjo734Gnq_c/edit?usp=sharing"",""เชียงราย!J499"")"),0)</f>
        <v>0</v>
      </c>
    </row>
    <row r="16" spans="1:50" ht="24" customHeight="1" x14ac:dyDescent="0.3">
      <c r="A16" s="54">
        <v>3</v>
      </c>
      <c r="B16" s="55" t="s">
        <v>37</v>
      </c>
      <c r="C16" s="56">
        <f t="shared" ca="1" si="55"/>
        <v>1171728</v>
      </c>
      <c r="D16" s="57">
        <f ca="1">IFERROR(__xludf.DUMMYFUNCTION("IMPORTRANGE(""https://docs.google.com/spreadsheets/d/1Jgv0Y7YlHDtsiDawwp-uvifEJ8HVaSn0k2aGHG8-hwM/edit?usp=sharing"",""เชียงใหม่!L472"")"),1171728)</f>
        <v>1171728</v>
      </c>
      <c r="E16" s="64">
        <f ca="1">IFERROR(__xludf.DUMMYFUNCTION("IMPORTRANGE(""https://docs.google.com/spreadsheets/d/1Jgv0Y7YlHDtsiDawwp-uvifEJ8HVaSn0k2aGHG8-hwM/edit?usp=sharing"",""เชียงใหม่!L479"")"),0)</f>
        <v>0</v>
      </c>
      <c r="F16" s="64">
        <f ca="1">IFERROR(__xludf.DUMMYFUNCTION("IMPORTRANGE(""https://docs.google.com/spreadsheets/d/1Jgv0Y7YlHDtsiDawwp-uvifEJ8HVaSn0k2aGHG8-hwM/edit?usp=sharing"",""เชียงใหม่!M472"")"),1171728)</f>
        <v>1171728</v>
      </c>
      <c r="G16" s="64">
        <f ca="1">IFERROR(__xludf.DUMMYFUNCTION("IMPORTRANGE(""https://docs.google.com/spreadsheets/d/1Jgv0Y7YlHDtsiDawwp-uvifEJ8HVaSn0k2aGHG8-hwM/edit?usp=sharing"",""เชียงใหม่!M479"")"),0)</f>
        <v>0</v>
      </c>
      <c r="H16" s="58">
        <f t="shared" ca="1" si="34"/>
        <v>252876.24</v>
      </c>
      <c r="I16" s="59">
        <f t="shared" ca="1" si="1"/>
        <v>21.58147966080865</v>
      </c>
      <c r="J16" s="60">
        <f t="shared" ca="1" si="56"/>
        <v>252876.24</v>
      </c>
      <c r="K16" s="61">
        <f t="shared" ca="1" si="43"/>
        <v>21.58147966080865</v>
      </c>
      <c r="L16" s="61">
        <f t="shared" ca="1" si="44"/>
        <v>21.58147966080865</v>
      </c>
      <c r="M16" s="64">
        <f ca="1">IFERROR(__xludf.DUMMYFUNCTION("IMPORTRANGE(""https://docs.google.com/spreadsheets/d/1Jgv0Y7YlHDtsiDawwp-uvifEJ8HVaSn0k2aGHG8-hwM/edit?usp=sharing"",""เชียงใหม่!N473"")"),141503)</f>
        <v>141503</v>
      </c>
      <c r="N16" s="64">
        <f ca="1">IFERROR(__xludf.DUMMYFUNCTION("IMPORTRANGE(""https://docs.google.com/spreadsheets/d/1Jgv0Y7YlHDtsiDawwp-uvifEJ8HVaSn0k2aGHG8-hwM/edit?usp=sharing"",""เชียงใหม่!N474"")"),0)</f>
        <v>0</v>
      </c>
      <c r="O16" s="64">
        <f ca="1">IFERROR(__xludf.DUMMYFUNCTION("IMPORTRANGE(""https://docs.google.com/spreadsheets/d/1Jgv0Y7YlHDtsiDawwp-uvifEJ8HVaSn0k2aGHG8-hwM/edit?usp=sharing"",""เชียงใหม่!N475"")"),77133.24)</f>
        <v>77133.240000000005</v>
      </c>
      <c r="P16" s="64">
        <f ca="1">IFERROR(__xludf.DUMMYFUNCTION("IMPORTRANGE(""https://docs.google.com/spreadsheets/d/1Jgv0Y7YlHDtsiDawwp-uvifEJ8HVaSn0k2aGHG8-hwM/edit?usp=sharing"",""เชียงใหม่!N476"")"),34240)</f>
        <v>34240</v>
      </c>
      <c r="Q16" s="62">
        <f ca="1">IFERROR(__xludf.DUMMYFUNCTION("IMPORTRANGE(""https://docs.google.com/spreadsheets/d/1Jgv0Y7YlHDtsiDawwp-uvifEJ8HVaSn0k2aGHG8-hwM/edit?usp=sharing"",""เชียงใหม่!N479"")"),0)</f>
        <v>0</v>
      </c>
      <c r="R16" s="62">
        <f t="shared" ca="1" si="46"/>
        <v>0</v>
      </c>
      <c r="S16" s="57">
        <f ca="1">IFERROR(__xludf.DUMMYFUNCTION("IMPORTRANGE(""https://docs.google.com/spreadsheets/d/1Jgv0Y7YlHDtsiDawwp-uvifEJ8HVaSn0k2aGHG8-hwM/edit?usp=sharing"",""เชียงใหม่!I465"")"),131)</f>
        <v>131</v>
      </c>
      <c r="T16" s="57">
        <f ca="1">IFERROR(__xludf.DUMMYFUNCTION("IMPORTRANGE(""https://docs.google.com/spreadsheets/d/1Jgv0Y7YlHDtsiDawwp-uvifEJ8HVaSn0k2aGHG8-hwM/edit?usp=sharing"",""เชียงใหม่!I466"")"),1300)</f>
        <v>1300</v>
      </c>
      <c r="U16" s="57">
        <f ca="1">IFERROR(__xludf.DUMMYFUNCTION("IMPORTRANGE(""https://docs.google.com/spreadsheets/d/1Jgv0Y7YlHDtsiDawwp-uvifEJ8HVaSn0k2aGHG8-hwM/edit?usp=sharing"",""เชียงใหม่!J465"")"),131)</f>
        <v>131</v>
      </c>
      <c r="V16" s="63">
        <f t="shared" ca="1" si="6"/>
        <v>100</v>
      </c>
      <c r="W16" s="57">
        <f ca="1">IFERROR(__xludf.DUMMYFUNCTION("IMPORTRANGE(""https://docs.google.com/spreadsheets/d/1Jgv0Y7YlHDtsiDawwp-uvifEJ8HVaSn0k2aGHG8-hwM/edit?usp=sharing"",""เชียงใหม่!J466"")"),0)</f>
        <v>0</v>
      </c>
      <c r="X16" s="63">
        <f t="shared" ca="1" si="7"/>
        <v>0</v>
      </c>
      <c r="Y16" s="57">
        <f ca="1">IFERROR(__xludf.DUMMYFUNCTION("IMPORTRANGE(""https://docs.google.com/spreadsheets/d/1Jgv0Y7YlHDtsiDawwp-uvifEJ8HVaSn0k2aGHG8-hwM/edit?usp=sharing"",""เชียงใหม่!I483"")"),1170)</f>
        <v>1170</v>
      </c>
      <c r="Z16" s="57">
        <f ca="1">IFERROR(__xludf.DUMMYFUNCTION("IMPORTRANGE(""https://docs.google.com/spreadsheets/d/1Jgv0Y7YlHDtsiDawwp-uvifEJ8HVaSn0k2aGHG8-hwM/edit?usp=sharing"",""เชียงใหม่!J483"")"),1170)</f>
        <v>1170</v>
      </c>
      <c r="AA16" s="63">
        <f t="shared" ca="1" si="35"/>
        <v>100</v>
      </c>
      <c r="AB16" s="57">
        <f ca="1">IFERROR(__xludf.DUMMYFUNCTION("IMPORTRANGE(""https://docs.google.com/spreadsheets/d/1Jgv0Y7YlHDtsiDawwp-uvifEJ8HVaSn0k2aGHG8-hwM/edit?usp=sharing"",""เชียงใหม่!J484"")"),125)</f>
        <v>125</v>
      </c>
      <c r="AC16" s="57">
        <f ca="1">IFERROR(__xludf.DUMMYFUNCTION("IMPORTRANGE(""https://docs.google.com/spreadsheets/d/1Jgv0Y7YlHDtsiDawwp-uvifEJ8HVaSn0k2aGHG8-hwM/edit?usp=sharing"",""เชียงใหม่!I485"")"),117)</f>
        <v>117</v>
      </c>
      <c r="AD16" s="57">
        <f ca="1">IFERROR(__xludf.DUMMYFUNCTION("IMPORTRANGE(""https://docs.google.com/spreadsheets/d/1Jgv0Y7YlHDtsiDawwp-uvifEJ8HVaSn0k2aGHG8-hwM/edit?usp=sharing"",""เชียงใหม่!J485"")"),117)</f>
        <v>117</v>
      </c>
      <c r="AE16" s="63">
        <f t="shared" ca="1" si="36"/>
        <v>100</v>
      </c>
      <c r="AF16" s="57">
        <f ca="1">IFERROR(__xludf.DUMMYFUNCTION("IMPORTRANGE(""https://docs.google.com/spreadsheets/d/1Jgv0Y7YlHDtsiDawwp-uvifEJ8HVaSn0k2aGHG8-hwM/edit?usp=sharing"",""เชียงใหม่!I487"")"),130)</f>
        <v>130</v>
      </c>
      <c r="AG16" s="57">
        <f ca="1">IFERROR(__xludf.DUMMYFUNCTION("IMPORTRANGE(""https://docs.google.com/spreadsheets/d/1Jgv0Y7YlHDtsiDawwp-uvifEJ8HVaSn0k2aGHG8-hwM/edit?usp=sharing"",""เชียงใหม่!J487"")"),130)</f>
        <v>130</v>
      </c>
      <c r="AH16" s="63">
        <f t="shared" ca="1" si="37"/>
        <v>100</v>
      </c>
      <c r="AI16" s="57">
        <f ca="1">IFERROR(__xludf.DUMMYFUNCTION("IMPORTRANGE(""https://docs.google.com/spreadsheets/d/1Jgv0Y7YlHDtsiDawwp-uvifEJ8HVaSn0k2aGHG8-hwM/edit?usp=sharing"",""เชียงใหม่!J488"")"),25)</f>
        <v>25</v>
      </c>
      <c r="AJ16" s="57">
        <f ca="1">IFERROR(__xludf.DUMMYFUNCTION("IMPORTRANGE(""https://docs.google.com/spreadsheets/d/1Jgv0Y7YlHDtsiDawwp-uvifEJ8HVaSn0k2aGHG8-hwM/edit?usp=sharing"",""เชียงใหม่!I489"")"),13)</f>
        <v>13</v>
      </c>
      <c r="AK16" s="57">
        <f ca="1">IFERROR(__xludf.DUMMYFUNCTION("IMPORTRANGE(""https://docs.google.com/spreadsheets/d/1Jgv0Y7YlHDtsiDawwp-uvifEJ8HVaSn0k2aGHG8-hwM/edit?usp=sharing"",""เชียงใหม่!J489"")"),13)</f>
        <v>13</v>
      </c>
      <c r="AL16" s="63">
        <f t="shared" ca="1" si="38"/>
        <v>100</v>
      </c>
      <c r="AM16" s="57">
        <f ca="1">IFERROR(__xludf.DUMMYFUNCTION("IMPORTRANGE(""https://docs.google.com/spreadsheets/d/1Jgv0Y7YlHDtsiDawwp-uvifEJ8HVaSn0k2aGHG8-hwM/edit?usp=sharing"",""เชียงใหม่!J491"")"),1)</f>
        <v>1</v>
      </c>
      <c r="AN16" s="57">
        <f ca="1">IFERROR(__xludf.DUMMYFUNCTION("IMPORTRANGE(""https://docs.google.com/spreadsheets/d/1Jgv0Y7YlHDtsiDawwp-uvifEJ8HVaSn0k2aGHG8-hwM/edit?usp=sharing"",""เชียงใหม่!I492"")"),1)</f>
        <v>1</v>
      </c>
      <c r="AO16" s="57">
        <f ca="1">IFERROR(__xludf.DUMMYFUNCTION("IMPORTRANGE(""https://docs.google.com/spreadsheets/d/1Jgv0Y7YlHDtsiDawwp-uvifEJ8HVaSn0k2aGHG8-hwM/edit?usp=sharing"",""เชียงใหม่!J492"")"),1)</f>
        <v>1</v>
      </c>
      <c r="AP16" s="63">
        <f t="shared" ca="1" si="39"/>
        <v>100</v>
      </c>
      <c r="AQ16" s="57">
        <f ca="1">IFERROR(__xludf.DUMMYFUNCTION("IMPORTRANGE(""https://docs.google.com/spreadsheets/d/1Jgv0Y7YlHDtsiDawwp-uvifEJ8HVaSn0k2aGHG8-hwM/edit?usp=sharing"",""เชียงใหม่!I495"")"),1170)</f>
        <v>1170</v>
      </c>
      <c r="AR16" s="57">
        <f ca="1">IFERROR(__xludf.DUMMYFUNCTION("IMPORTRANGE(""https://docs.google.com/spreadsheets/d/1Jgv0Y7YlHDtsiDawwp-uvifEJ8HVaSn0k2aGHG8-hwM/edit?usp=sharing"",""เชียงใหม่!J495"")"),0)</f>
        <v>0</v>
      </c>
      <c r="AS16" s="63">
        <f t="shared" ca="1" si="40"/>
        <v>0</v>
      </c>
      <c r="AT16" s="57">
        <f ca="1">IFERROR(__xludf.DUMMYFUNCTION("IMPORTRANGE(""https://docs.google.com/spreadsheets/d/1Jgv0Y7YlHDtsiDawwp-uvifEJ8HVaSn0k2aGHG8-hwM/edit?usp=sharing"",""เชียงใหม่!J496"")"),0)</f>
        <v>0</v>
      </c>
      <c r="AU16" s="57">
        <f ca="1">IFERROR(__xludf.DUMMYFUNCTION("IMPORTRANGE(""https://docs.google.com/spreadsheets/d/1Jgv0Y7YlHDtsiDawwp-uvifEJ8HVaSn0k2aGHG8-hwM/edit?usp=sharing"",""เชียงใหม่!I498"")"),130)</f>
        <v>130</v>
      </c>
      <c r="AV16" s="57">
        <f ca="1">IFERROR(__xludf.DUMMYFUNCTION("IMPORTRANGE(""https://docs.google.com/spreadsheets/d/1Jgv0Y7YlHDtsiDawwp-uvifEJ8HVaSn0k2aGHG8-hwM/edit?usp=sharing"",""เชียงใหม่!J498"")"),0)</f>
        <v>0</v>
      </c>
      <c r="AW16" s="63">
        <f t="shared" ca="1" si="41"/>
        <v>0</v>
      </c>
      <c r="AX16" s="57">
        <f ca="1">IFERROR(__xludf.DUMMYFUNCTION("IMPORTRANGE(""https://docs.google.com/spreadsheets/d/1Jgv0Y7YlHDtsiDawwp-uvifEJ8HVaSn0k2aGHG8-hwM/edit?usp=sharing"",""เชียงใหม่!J499"")"),0)</f>
        <v>0</v>
      </c>
    </row>
    <row r="17" spans="1:50" ht="24" customHeight="1" x14ac:dyDescent="0.3">
      <c r="A17" s="54">
        <v>4</v>
      </c>
      <c r="B17" s="55" t="s">
        <v>38</v>
      </c>
      <c r="C17" s="56">
        <f t="shared" ca="1" si="55"/>
        <v>410813</v>
      </c>
      <c r="D17" s="57">
        <f ca="1">IFERROR(__xludf.DUMMYFUNCTION("IMPORTRANGE(""https://docs.google.com/spreadsheets/d/1JWG2rZePOz9pe-f-ObA-yDr0VoOX2kSb0qIix2mTUo8/edit?usp=sharing"",""ตาก!L472"")"),410813)</f>
        <v>410813</v>
      </c>
      <c r="E17" s="64">
        <f ca="1">IFERROR(__xludf.DUMMYFUNCTION("IMPORTRANGE(""https://docs.google.com/spreadsheets/d/1JWG2rZePOz9pe-f-ObA-yDr0VoOX2kSb0qIix2mTUo8/edit?usp=sharing"",""ตาก!L479"")"),0)</f>
        <v>0</v>
      </c>
      <c r="F17" s="64">
        <f ca="1">IFERROR(__xludf.DUMMYFUNCTION("IMPORTRANGE(""https://docs.google.com/spreadsheets/d/1JWG2rZePOz9pe-f-ObA-yDr0VoOX2kSb0qIix2mTUo8/edit?usp=sharing"",""ตาก!M472"")"),410813)</f>
        <v>410813</v>
      </c>
      <c r="G17" s="64">
        <f ca="1">IFERROR(__xludf.DUMMYFUNCTION("IMPORTRANGE(""https://docs.google.com/spreadsheets/d/1JWG2rZePOz9pe-f-ObA-yDr0VoOX2kSb0qIix2mTUo8/edit?usp=sharing"",""ตาก!M479"")"),0)</f>
        <v>0</v>
      </c>
      <c r="H17" s="58">
        <f t="shared" ca="1" si="34"/>
        <v>82688</v>
      </c>
      <c r="I17" s="59">
        <f t="shared" ca="1" si="1"/>
        <v>20.127892739518956</v>
      </c>
      <c r="J17" s="60">
        <f t="shared" ca="1" si="56"/>
        <v>82688</v>
      </c>
      <c r="K17" s="61">
        <f t="shared" ca="1" si="43"/>
        <v>20.127892739518956</v>
      </c>
      <c r="L17" s="61">
        <f t="shared" ca="1" si="44"/>
        <v>20.127892739518956</v>
      </c>
      <c r="M17" s="64">
        <f ca="1">IFERROR(__xludf.DUMMYFUNCTION("IMPORTRANGE(""https://docs.google.com/spreadsheets/d/1JWG2rZePOz9pe-f-ObA-yDr0VoOX2kSb0qIix2mTUo8/edit?usp=sharing"",""ตาก!N473"")"),60453)</f>
        <v>60453</v>
      </c>
      <c r="N17" s="64">
        <f ca="1">IFERROR(__xludf.DUMMYFUNCTION("IMPORTRANGE(""https://docs.google.com/spreadsheets/d/1JWG2rZePOz9pe-f-ObA-yDr0VoOX2kSb0qIix2mTUo8/edit?usp=sharing"",""ตาก!N474"")"),0)</f>
        <v>0</v>
      </c>
      <c r="O17" s="64">
        <f ca="1">IFERROR(__xludf.DUMMYFUNCTION("IMPORTRANGE(""https://docs.google.com/spreadsheets/d/1JWG2rZePOz9pe-f-ObA-yDr0VoOX2kSb0qIix2mTUo8/edit?usp=sharing"",""ตาก!N475"")"),0)</f>
        <v>0</v>
      </c>
      <c r="P17" s="64">
        <f ca="1">IFERROR(__xludf.DUMMYFUNCTION("IMPORTRANGE(""https://docs.google.com/spreadsheets/d/1JWG2rZePOz9pe-f-ObA-yDr0VoOX2kSb0qIix2mTUo8/edit?usp=sharing"",""ตาก!N476"")"),22235)</f>
        <v>22235</v>
      </c>
      <c r="Q17" s="62">
        <f ca="1">IFERROR(__xludf.DUMMYFUNCTION("IMPORTRANGE(""https://docs.google.com/spreadsheets/d/1JWG2rZePOz9pe-f-ObA-yDr0VoOX2kSb0qIix2mTUo8/edit?usp=sharing"",""ตาก!N479"")"),0)</f>
        <v>0</v>
      </c>
      <c r="R17" s="62">
        <f t="shared" ca="1" si="46"/>
        <v>0</v>
      </c>
      <c r="S17" s="57">
        <f ca="1">IFERROR(__xludf.DUMMYFUNCTION("IMPORTRANGE(""https://docs.google.com/spreadsheets/d/1JWG2rZePOz9pe-f-ObA-yDr0VoOX2kSb0qIix2mTUo8/edit?usp=sharing"",""ตาก!I465"")"),51)</f>
        <v>51</v>
      </c>
      <c r="T17" s="57">
        <f ca="1">IFERROR(__xludf.DUMMYFUNCTION("IMPORTRANGE(""https://docs.google.com/spreadsheets/d/1JWG2rZePOz9pe-f-ObA-yDr0VoOX2kSb0qIix2mTUo8/edit?usp=sharing"",""ตาก!I466"")"),500)</f>
        <v>500</v>
      </c>
      <c r="U17" s="57">
        <f ca="1">IFERROR(__xludf.DUMMYFUNCTION("IMPORTRANGE(""https://docs.google.com/spreadsheets/d/1JWG2rZePOz9pe-f-ObA-yDr0VoOX2kSb0qIix2mTUo8/edit?usp=sharing"",""ตาก!J465"")"),51)</f>
        <v>51</v>
      </c>
      <c r="V17" s="63">
        <f t="shared" ca="1" si="6"/>
        <v>100</v>
      </c>
      <c r="W17" s="57">
        <f ca="1">IFERROR(__xludf.DUMMYFUNCTION("IMPORTRANGE(""https://docs.google.com/spreadsheets/d/1JWG2rZePOz9pe-f-ObA-yDr0VoOX2kSb0qIix2mTUo8/edit?usp=sharing"",""ตาก!J466"")"),0)</f>
        <v>0</v>
      </c>
      <c r="X17" s="63">
        <f t="shared" ca="1" si="7"/>
        <v>0</v>
      </c>
      <c r="Y17" s="57">
        <f ca="1">IFERROR(__xludf.DUMMYFUNCTION("IMPORTRANGE(""https://docs.google.com/spreadsheets/d/1JWG2rZePOz9pe-f-ObA-yDr0VoOX2kSb0qIix2mTUo8/edit?usp=sharing"",""ตาก!I483"")"),450)</f>
        <v>450</v>
      </c>
      <c r="Z17" s="57">
        <f ca="1">IFERROR(__xludf.DUMMYFUNCTION("IMPORTRANGE(""https://docs.google.com/spreadsheets/d/1JWG2rZePOz9pe-f-ObA-yDr0VoOX2kSb0qIix2mTUo8/edit?usp=sharing"",""ตาก!J483"")"),450)</f>
        <v>450</v>
      </c>
      <c r="AA17" s="63">
        <f t="shared" ca="1" si="35"/>
        <v>100</v>
      </c>
      <c r="AB17" s="57">
        <f ca="1">IFERROR(__xludf.DUMMYFUNCTION("IMPORTRANGE(""https://docs.google.com/spreadsheets/d/1JWG2rZePOz9pe-f-ObA-yDr0VoOX2kSb0qIix2mTUo8/edit?usp=sharing"",""ตาก!J484"")"),45)</f>
        <v>45</v>
      </c>
      <c r="AC17" s="57">
        <f ca="1">IFERROR(__xludf.DUMMYFUNCTION("IMPORTRANGE(""https://docs.google.com/spreadsheets/d/1JWG2rZePOz9pe-f-ObA-yDr0VoOX2kSb0qIix2mTUo8/edit?usp=sharing"",""ตาก!I485"")"),45)</f>
        <v>45</v>
      </c>
      <c r="AD17" s="57">
        <f ca="1">IFERROR(__xludf.DUMMYFUNCTION("IMPORTRANGE(""https://docs.google.com/spreadsheets/d/1JWG2rZePOz9pe-f-ObA-yDr0VoOX2kSb0qIix2mTUo8/edit?usp=sharing"",""ตาก!J485"")"),45)</f>
        <v>45</v>
      </c>
      <c r="AE17" s="63">
        <f t="shared" ca="1" si="36"/>
        <v>100</v>
      </c>
      <c r="AF17" s="57">
        <f ca="1">IFERROR(__xludf.DUMMYFUNCTION("IMPORTRANGE(""https://docs.google.com/spreadsheets/d/1JWG2rZePOz9pe-f-ObA-yDr0VoOX2kSb0qIix2mTUo8/edit?usp=sharing"",""ตาก!I487"")"),50)</f>
        <v>50</v>
      </c>
      <c r="AG17" s="57">
        <f ca="1">IFERROR(__xludf.DUMMYFUNCTION("IMPORTRANGE(""https://docs.google.com/spreadsheets/d/1JWG2rZePOz9pe-f-ObA-yDr0VoOX2kSb0qIix2mTUo8/edit?usp=sharing"",""ตาก!J487"")"),50)</f>
        <v>50</v>
      </c>
      <c r="AH17" s="63">
        <f t="shared" ca="1" si="37"/>
        <v>100</v>
      </c>
      <c r="AI17" s="57">
        <f ca="1">IFERROR(__xludf.DUMMYFUNCTION("IMPORTRANGE(""https://docs.google.com/spreadsheets/d/1JWG2rZePOz9pe-f-ObA-yDr0VoOX2kSb0qIix2mTUo8/edit?usp=sharing"",""ตาก!J488"")"),5)</f>
        <v>5</v>
      </c>
      <c r="AJ17" s="57">
        <f ca="1">IFERROR(__xludf.DUMMYFUNCTION("IMPORTRANGE(""https://docs.google.com/spreadsheets/d/1JWG2rZePOz9pe-f-ObA-yDr0VoOX2kSb0qIix2mTUo8/edit?usp=sharing"",""ตาก!I489"")"),5)</f>
        <v>5</v>
      </c>
      <c r="AK17" s="57">
        <f ca="1">IFERROR(__xludf.DUMMYFUNCTION("IMPORTRANGE(""https://docs.google.com/spreadsheets/d/1JWG2rZePOz9pe-f-ObA-yDr0VoOX2kSb0qIix2mTUo8/edit?usp=sharing"",""ตาก!J489"")"),5)</f>
        <v>5</v>
      </c>
      <c r="AL17" s="63">
        <f t="shared" ca="1" si="38"/>
        <v>100</v>
      </c>
      <c r="AM17" s="57">
        <f ca="1">IFERROR(__xludf.DUMMYFUNCTION("IMPORTRANGE(""https://docs.google.com/spreadsheets/d/1JWG2rZePOz9pe-f-ObA-yDr0VoOX2kSb0qIix2mTUo8/edit?usp=sharing"",""ตาก!J491"")"),10)</f>
        <v>10</v>
      </c>
      <c r="AN17" s="57">
        <f ca="1">IFERROR(__xludf.DUMMYFUNCTION("IMPORTRANGE(""https://docs.google.com/spreadsheets/d/1JWG2rZePOz9pe-f-ObA-yDr0VoOX2kSb0qIix2mTUo8/edit?usp=sharing"",""ตาก!I492"")"),1)</f>
        <v>1</v>
      </c>
      <c r="AO17" s="57">
        <f ca="1">IFERROR(__xludf.DUMMYFUNCTION("IMPORTRANGE(""https://docs.google.com/spreadsheets/d/1JWG2rZePOz9pe-f-ObA-yDr0VoOX2kSb0qIix2mTUo8/edit?usp=sharing"",""ตาก!J492"")"),1)</f>
        <v>1</v>
      </c>
      <c r="AP17" s="63">
        <f t="shared" ca="1" si="39"/>
        <v>100</v>
      </c>
      <c r="AQ17" s="57">
        <f ca="1">IFERROR(__xludf.DUMMYFUNCTION("IMPORTRANGE(""https://docs.google.com/spreadsheets/d/1JWG2rZePOz9pe-f-ObA-yDr0VoOX2kSb0qIix2mTUo8/edit?usp=sharing"",""ตาก!I495"")"),450)</f>
        <v>450</v>
      </c>
      <c r="AR17" s="57">
        <f ca="1">IFERROR(__xludf.DUMMYFUNCTION("IMPORTRANGE(""https://docs.google.com/spreadsheets/d/1JWG2rZePOz9pe-f-ObA-yDr0VoOX2kSb0qIix2mTUo8/edit?usp=sharing"",""ตาก!J495"")"),0)</f>
        <v>0</v>
      </c>
      <c r="AS17" s="63">
        <f t="shared" ca="1" si="40"/>
        <v>0</v>
      </c>
      <c r="AT17" s="57">
        <f ca="1">IFERROR(__xludf.DUMMYFUNCTION("IMPORTRANGE(""https://docs.google.com/spreadsheets/d/1JWG2rZePOz9pe-f-ObA-yDr0VoOX2kSb0qIix2mTUo8/edit?usp=sharing"",""ตาก!J496"")"),0)</f>
        <v>0</v>
      </c>
      <c r="AU17" s="57">
        <f ca="1">IFERROR(__xludf.DUMMYFUNCTION("IMPORTRANGE(""https://docs.google.com/spreadsheets/d/1JWG2rZePOz9pe-f-ObA-yDr0VoOX2kSb0qIix2mTUo8/edit?usp=sharing"",""ตาก!I498"")"),50)</f>
        <v>50</v>
      </c>
      <c r="AV17" s="57">
        <f ca="1">IFERROR(__xludf.DUMMYFUNCTION("IMPORTRANGE(""https://docs.google.com/spreadsheets/d/1JWG2rZePOz9pe-f-ObA-yDr0VoOX2kSb0qIix2mTUo8/edit?usp=sharing"",""ตาก!J498"")"),0)</f>
        <v>0</v>
      </c>
      <c r="AW17" s="63">
        <f t="shared" ca="1" si="41"/>
        <v>0</v>
      </c>
      <c r="AX17" s="57">
        <f ca="1">IFERROR(__xludf.DUMMYFUNCTION("IMPORTRANGE(""https://docs.google.com/spreadsheets/d/1JWG2rZePOz9pe-f-ObA-yDr0VoOX2kSb0qIix2mTUo8/edit?usp=sharing"",""ตาก!J499"")"),0)</f>
        <v>0</v>
      </c>
    </row>
    <row r="18" spans="1:50" ht="24" customHeight="1" x14ac:dyDescent="0.3">
      <c r="A18" s="54">
        <v>5</v>
      </c>
      <c r="B18" s="55" t="s">
        <v>39</v>
      </c>
      <c r="C18" s="56">
        <f t="shared" ca="1" si="55"/>
        <v>1167118</v>
      </c>
      <c r="D18" s="57">
        <f ca="1">IFERROR(__xludf.DUMMYFUNCTION("IMPORTRANGE(""https://docs.google.com/spreadsheets/d/10nSRjK08hx8Y6HgSOQKNw81lyY46Zc7U_Cj72hBMp9U/edit?usp=sharing"",""นครสวรรค์!L472"")"),1167118)</f>
        <v>1167118</v>
      </c>
      <c r="E18" s="64">
        <f ca="1">IFERROR(__xludf.DUMMYFUNCTION("IMPORTRANGE(""https://docs.google.com/spreadsheets/d/10nSRjK08hx8Y6HgSOQKNw81lyY46Zc7U_Cj72hBMp9U/edit?usp=sharing"",""นครสวรรค์!L479"")"),0)</f>
        <v>0</v>
      </c>
      <c r="F18" s="64">
        <f ca="1">IFERROR(__xludf.DUMMYFUNCTION("IMPORTRANGE(""https://docs.google.com/spreadsheets/d/10nSRjK08hx8Y6HgSOQKNw81lyY46Zc7U_Cj72hBMp9U/edit?usp=sharing"",""นครสวรรค์!M472"")"),1167118)</f>
        <v>1167118</v>
      </c>
      <c r="G18" s="64">
        <f ca="1">IFERROR(__xludf.DUMMYFUNCTION("IMPORTRANGE(""https://docs.google.com/spreadsheets/d/10nSRjK08hx8Y6HgSOQKNw81lyY46Zc7U_Cj72hBMp9U/edit?usp=sharing"",""นครสวรรค์!M479"")"),0)</f>
        <v>0</v>
      </c>
      <c r="H18" s="58">
        <f t="shared" ca="1" si="34"/>
        <v>192644</v>
      </c>
      <c r="I18" s="59">
        <f t="shared" ca="1" si="1"/>
        <v>16.505957409619249</v>
      </c>
      <c r="J18" s="60">
        <f t="shared" ca="1" si="56"/>
        <v>192644</v>
      </c>
      <c r="K18" s="61">
        <f t="shared" ca="1" si="43"/>
        <v>16.505957409619249</v>
      </c>
      <c r="L18" s="61">
        <f t="shared" ca="1" si="44"/>
        <v>16.505957409619249</v>
      </c>
      <c r="M18" s="64">
        <f ca="1">IFERROR(__xludf.DUMMYFUNCTION("IMPORTRANGE(""https://docs.google.com/spreadsheets/d/10nSRjK08hx8Y6HgSOQKNw81lyY46Zc7U_Cj72hBMp9U/edit?usp=sharing"",""นครสวรรค์!N473"")"),122865)</f>
        <v>122865</v>
      </c>
      <c r="N18" s="64">
        <f ca="1">IFERROR(__xludf.DUMMYFUNCTION("IMPORTRANGE(""https://docs.google.com/spreadsheets/d/10nSRjK08hx8Y6HgSOQKNw81lyY46Zc7U_Cj72hBMp9U/edit?usp=sharing"",""นครสวรรค์!N474"")"),0)</f>
        <v>0</v>
      </c>
      <c r="O18" s="64">
        <f ca="1">IFERROR(__xludf.DUMMYFUNCTION("IMPORTRANGE(""https://docs.google.com/spreadsheets/d/10nSRjK08hx8Y6HgSOQKNw81lyY46Zc7U_Cj72hBMp9U/edit?usp=sharing"",""นครสวรรค์!N475"")"),47659)</f>
        <v>47659</v>
      </c>
      <c r="P18" s="64">
        <f ca="1">IFERROR(__xludf.DUMMYFUNCTION("IMPORTRANGE(""https://docs.google.com/spreadsheets/d/10nSRjK08hx8Y6HgSOQKNw81lyY46Zc7U_Cj72hBMp9U/edit?usp=sharing"",""นครสวรรค์!N476"")"),22120)</f>
        <v>22120</v>
      </c>
      <c r="Q18" s="62">
        <f ca="1">IFERROR(__xludf.DUMMYFUNCTION("IMPORTRANGE(""https://docs.google.com/spreadsheets/d/10nSRjK08hx8Y6HgSOQKNw81lyY46Zc7U_Cj72hBMp9U/edit?usp=sharing"",""นครสวรรค์!N479"")"),0)</f>
        <v>0</v>
      </c>
      <c r="R18" s="62">
        <f t="shared" ca="1" si="46"/>
        <v>0</v>
      </c>
      <c r="S18" s="57">
        <f ca="1">IFERROR(__xludf.DUMMYFUNCTION("IMPORTRANGE(""https://docs.google.com/spreadsheets/d/10nSRjK08hx8Y6HgSOQKNw81lyY46Zc7U_Cj72hBMp9U/edit?usp=sharing"",""นครสวรรค์!I465"")"),131)</f>
        <v>131</v>
      </c>
      <c r="T18" s="57">
        <f ca="1">IFERROR(__xludf.DUMMYFUNCTION("IMPORTRANGE(""https://docs.google.com/spreadsheets/d/10nSRjK08hx8Y6HgSOQKNw81lyY46Zc7U_Cj72hBMp9U/edit?usp=sharing"",""นครสวรรค์!I466"")"),1300)</f>
        <v>1300</v>
      </c>
      <c r="U18" s="57">
        <f ca="1">IFERROR(__xludf.DUMMYFUNCTION("IMPORTRANGE(""https://docs.google.com/spreadsheets/d/10nSRjK08hx8Y6HgSOQKNw81lyY46Zc7U_Cj72hBMp9U/edit?usp=sharing"",""นครสวรรค์!J465"")"),131)</f>
        <v>131</v>
      </c>
      <c r="V18" s="63">
        <f t="shared" ca="1" si="6"/>
        <v>100</v>
      </c>
      <c r="W18" s="57">
        <f ca="1">IFERROR(__xludf.DUMMYFUNCTION("IMPORTRANGE(""https://docs.google.com/spreadsheets/d/10nSRjK08hx8Y6HgSOQKNw81lyY46Zc7U_Cj72hBMp9U/edit?usp=sharing"",""นครสวรรค์!J466"")"),0)</f>
        <v>0</v>
      </c>
      <c r="X18" s="63">
        <f t="shared" ca="1" si="7"/>
        <v>0</v>
      </c>
      <c r="Y18" s="57">
        <f ca="1">IFERROR(__xludf.DUMMYFUNCTION("IMPORTRANGE(""https://docs.google.com/spreadsheets/d/10nSRjK08hx8Y6HgSOQKNw81lyY46Zc7U_Cj72hBMp9U/edit?usp=sharing"",""นครสวรรค์!I483"")"),1170)</f>
        <v>1170</v>
      </c>
      <c r="Z18" s="57">
        <f ca="1">IFERROR(__xludf.DUMMYFUNCTION("IMPORTRANGE(""https://docs.google.com/spreadsheets/d/10nSRjK08hx8Y6HgSOQKNw81lyY46Zc7U_Cj72hBMp9U/edit?usp=sharing"",""นครสวรรค์!J483"")"),1170)</f>
        <v>1170</v>
      </c>
      <c r="AA18" s="63">
        <f t="shared" ca="1" si="35"/>
        <v>100</v>
      </c>
      <c r="AB18" s="57">
        <f ca="1">IFERROR(__xludf.DUMMYFUNCTION("IMPORTRANGE(""https://docs.google.com/spreadsheets/d/10nSRjK08hx8Y6HgSOQKNw81lyY46Zc7U_Cj72hBMp9U/edit?usp=sharing"",""นครสวรรค์!J484"")"),117)</f>
        <v>117</v>
      </c>
      <c r="AC18" s="57">
        <f ca="1">IFERROR(__xludf.DUMMYFUNCTION("IMPORTRANGE(""https://docs.google.com/spreadsheets/d/10nSRjK08hx8Y6HgSOQKNw81lyY46Zc7U_Cj72hBMp9U/edit?usp=sharing"",""นครสวรรค์!I485"")"),117)</f>
        <v>117</v>
      </c>
      <c r="AD18" s="57">
        <f ca="1">IFERROR(__xludf.DUMMYFUNCTION("IMPORTRANGE(""https://docs.google.com/spreadsheets/d/10nSRjK08hx8Y6HgSOQKNw81lyY46Zc7U_Cj72hBMp9U/edit?usp=sharing"",""นครสวรรค์!J485"")"),117)</f>
        <v>117</v>
      </c>
      <c r="AE18" s="63">
        <f t="shared" ca="1" si="36"/>
        <v>100</v>
      </c>
      <c r="AF18" s="57">
        <f ca="1">IFERROR(__xludf.DUMMYFUNCTION("IMPORTRANGE(""https://docs.google.com/spreadsheets/d/10nSRjK08hx8Y6HgSOQKNw81lyY46Zc7U_Cj72hBMp9U/edit?usp=sharing"",""นครสวรรค์!I487"")"),130)</f>
        <v>130</v>
      </c>
      <c r="AG18" s="57">
        <f ca="1">IFERROR(__xludf.DUMMYFUNCTION("IMPORTRANGE(""https://docs.google.com/spreadsheets/d/10nSRjK08hx8Y6HgSOQKNw81lyY46Zc7U_Cj72hBMp9U/edit?usp=sharing"",""นครสวรรค์!J487"")"),130)</f>
        <v>130</v>
      </c>
      <c r="AH18" s="63">
        <f t="shared" ca="1" si="37"/>
        <v>100</v>
      </c>
      <c r="AI18" s="57">
        <f ca="1">IFERROR(__xludf.DUMMYFUNCTION("IMPORTRANGE(""https://docs.google.com/spreadsheets/d/10nSRjK08hx8Y6HgSOQKNw81lyY46Zc7U_Cj72hBMp9U/edit?usp=sharing"",""นครสวรรค์!J488"")"),13)</f>
        <v>13</v>
      </c>
      <c r="AJ18" s="57">
        <f ca="1">IFERROR(__xludf.DUMMYFUNCTION("IMPORTRANGE(""https://docs.google.com/spreadsheets/d/10nSRjK08hx8Y6HgSOQKNw81lyY46Zc7U_Cj72hBMp9U/edit?usp=sharing"",""นครสวรรค์!I489"")"),13)</f>
        <v>13</v>
      </c>
      <c r="AK18" s="57">
        <f ca="1">IFERROR(__xludf.DUMMYFUNCTION("IMPORTRANGE(""https://docs.google.com/spreadsheets/d/10nSRjK08hx8Y6HgSOQKNw81lyY46Zc7U_Cj72hBMp9U/edit?usp=sharing"",""นครสวรรค์!J489"")"),13)</f>
        <v>13</v>
      </c>
      <c r="AL18" s="63">
        <f t="shared" ca="1" si="38"/>
        <v>100</v>
      </c>
      <c r="AM18" s="57">
        <f ca="1">IFERROR(__xludf.DUMMYFUNCTION("IMPORTRANGE(""https://docs.google.com/spreadsheets/d/10nSRjK08hx8Y6HgSOQKNw81lyY46Zc7U_Cj72hBMp9U/edit?usp=sharing"",""นครสวรรค์!J491"")"),1)</f>
        <v>1</v>
      </c>
      <c r="AN18" s="57">
        <f ca="1">IFERROR(__xludf.DUMMYFUNCTION("IMPORTRANGE(""https://docs.google.com/spreadsheets/d/10nSRjK08hx8Y6HgSOQKNw81lyY46Zc7U_Cj72hBMp9U/edit?usp=sharing"",""นครสวรรค์!I492"")"),1)</f>
        <v>1</v>
      </c>
      <c r="AO18" s="57">
        <f ca="1">IFERROR(__xludf.DUMMYFUNCTION("IMPORTRANGE(""https://docs.google.com/spreadsheets/d/10nSRjK08hx8Y6HgSOQKNw81lyY46Zc7U_Cj72hBMp9U/edit?usp=sharing"",""นครสวรรค์!J492"")"),1)</f>
        <v>1</v>
      </c>
      <c r="AP18" s="63">
        <f t="shared" ca="1" si="39"/>
        <v>100</v>
      </c>
      <c r="AQ18" s="57">
        <f ca="1">IFERROR(__xludf.DUMMYFUNCTION("IMPORTRANGE(""https://docs.google.com/spreadsheets/d/10nSRjK08hx8Y6HgSOQKNw81lyY46Zc7U_Cj72hBMp9U/edit?usp=sharing"",""นครสวรรค์!I495"")"),1170)</f>
        <v>1170</v>
      </c>
      <c r="AR18" s="57">
        <f ca="1">IFERROR(__xludf.DUMMYFUNCTION("IMPORTRANGE(""https://docs.google.com/spreadsheets/d/10nSRjK08hx8Y6HgSOQKNw81lyY46Zc7U_Cj72hBMp9U/edit?usp=sharing"",""นครสวรรค์!J495"")"),0)</f>
        <v>0</v>
      </c>
      <c r="AS18" s="63">
        <f t="shared" ca="1" si="40"/>
        <v>0</v>
      </c>
      <c r="AT18" s="57">
        <f ca="1">IFERROR(__xludf.DUMMYFUNCTION("IMPORTRANGE(""https://docs.google.com/spreadsheets/d/10nSRjK08hx8Y6HgSOQKNw81lyY46Zc7U_Cj72hBMp9U/edit?usp=sharing"",""นครสวรรค์!J496"")"),0)</f>
        <v>0</v>
      </c>
      <c r="AU18" s="57">
        <f ca="1">IFERROR(__xludf.DUMMYFUNCTION("IMPORTRANGE(""https://docs.google.com/spreadsheets/d/10nSRjK08hx8Y6HgSOQKNw81lyY46Zc7U_Cj72hBMp9U/edit?usp=sharing"",""นครสวรรค์!I498"")"),130)</f>
        <v>130</v>
      </c>
      <c r="AV18" s="57">
        <f ca="1">IFERROR(__xludf.DUMMYFUNCTION("IMPORTRANGE(""https://docs.google.com/spreadsheets/d/10nSRjK08hx8Y6HgSOQKNw81lyY46Zc7U_Cj72hBMp9U/edit?usp=sharing"",""นครสวรรค์!J498"")"),0)</f>
        <v>0</v>
      </c>
      <c r="AW18" s="63">
        <f t="shared" ca="1" si="41"/>
        <v>0</v>
      </c>
      <c r="AX18" s="57">
        <f ca="1">IFERROR(__xludf.DUMMYFUNCTION("IMPORTRANGE(""https://docs.google.com/spreadsheets/d/10nSRjK08hx8Y6HgSOQKNw81lyY46Zc7U_Cj72hBMp9U/edit?usp=sharing"",""นครสวรรค์!J499"")"),0)</f>
        <v>0</v>
      </c>
    </row>
    <row r="19" spans="1:50" ht="24" customHeight="1" x14ac:dyDescent="0.3">
      <c r="A19" s="54">
        <v>6</v>
      </c>
      <c r="B19" s="55" t="s">
        <v>40</v>
      </c>
      <c r="C19" s="56">
        <f t="shared" ca="1" si="55"/>
        <v>491293</v>
      </c>
      <c r="D19" s="57">
        <f ca="1">IFERROR(__xludf.DUMMYFUNCTION("IMPORTRANGE(""https://docs.google.com/spreadsheets/d/1gFVb7qd7amutrIxAAoM7lcy35hllxznovot8lyOfvDo/edit?usp=sharing"",""น่าน!L472"")"),491293)</f>
        <v>491293</v>
      </c>
      <c r="E19" s="64">
        <f ca="1">IFERROR(__xludf.DUMMYFUNCTION("IMPORTRANGE(""https://docs.google.com/spreadsheets/d/1gFVb7qd7amutrIxAAoM7lcy35hllxznovot8lyOfvDo/edit?usp=sharing"",""น่าน!L479"")"),0)</f>
        <v>0</v>
      </c>
      <c r="F19" s="64">
        <f ca="1">IFERROR(__xludf.DUMMYFUNCTION("IMPORTRANGE(""https://docs.google.com/spreadsheets/d/1gFVb7qd7amutrIxAAoM7lcy35hllxznovot8lyOfvDo/edit?usp=sharing"",""น่าน!M472"")"),491293)</f>
        <v>491293</v>
      </c>
      <c r="G19" s="64">
        <f ca="1">IFERROR(__xludf.DUMMYFUNCTION("IMPORTRANGE(""https://docs.google.com/spreadsheets/d/1gFVb7qd7amutrIxAAoM7lcy35hllxznovot8lyOfvDo/edit?usp=sharing"",""น่าน!M479"")"),0)</f>
        <v>0</v>
      </c>
      <c r="H19" s="58">
        <f t="shared" ca="1" si="34"/>
        <v>91173</v>
      </c>
      <c r="I19" s="59">
        <f t="shared" ca="1" si="1"/>
        <v>18.557764918287052</v>
      </c>
      <c r="J19" s="60">
        <f t="shared" ca="1" si="56"/>
        <v>91173</v>
      </c>
      <c r="K19" s="61">
        <f t="shared" ca="1" si="43"/>
        <v>18.557764918287052</v>
      </c>
      <c r="L19" s="61">
        <f t="shared" ca="1" si="44"/>
        <v>18.557764918287052</v>
      </c>
      <c r="M19" s="64">
        <f ca="1">IFERROR(__xludf.DUMMYFUNCTION("IMPORTRANGE(""https://docs.google.com/spreadsheets/d/1gFVb7qd7amutrIxAAoM7lcy35hllxznovot8lyOfvDo/edit?usp=sharing"",""น่าน!N473"")"),82273)</f>
        <v>82273</v>
      </c>
      <c r="N19" s="64">
        <f ca="1">IFERROR(__xludf.DUMMYFUNCTION("IMPORTRANGE(""https://docs.google.com/spreadsheets/d/1gFVb7qd7amutrIxAAoM7lcy35hllxznovot8lyOfvDo/edit?usp=sharing"",""น่าน!N474"")"),0)</f>
        <v>0</v>
      </c>
      <c r="O19" s="64">
        <f ca="1">IFERROR(__xludf.DUMMYFUNCTION("IMPORTRANGE(""https://docs.google.com/spreadsheets/d/1gFVb7qd7amutrIxAAoM7lcy35hllxznovot8lyOfvDo/edit?usp=sharing"",""น่าน!N475"")"),0)</f>
        <v>0</v>
      </c>
      <c r="P19" s="64">
        <f ca="1">IFERROR(__xludf.DUMMYFUNCTION("IMPORTRANGE(""https://docs.google.com/spreadsheets/d/1gFVb7qd7amutrIxAAoM7lcy35hllxznovot8lyOfvDo/edit?usp=sharing"",""น่าน!N476"")"),8900)</f>
        <v>8900</v>
      </c>
      <c r="Q19" s="62">
        <f ca="1">IFERROR(__xludf.DUMMYFUNCTION("IMPORTRANGE(""https://docs.google.com/spreadsheets/d/1gFVb7qd7amutrIxAAoM7lcy35hllxznovot8lyOfvDo/edit?usp=sharing"",""น่าน!N479"")"),0)</f>
        <v>0</v>
      </c>
      <c r="R19" s="62">
        <f t="shared" ca="1" si="46"/>
        <v>0</v>
      </c>
      <c r="S19" s="57">
        <f ca="1">IFERROR(__xludf.DUMMYFUNCTION("IMPORTRANGE(""https://docs.google.com/spreadsheets/d/1gFVb7qd7amutrIxAAoM7lcy35hllxznovot8lyOfvDo/edit?usp=sharing"",""น่าน!I465"")"),61)</f>
        <v>61</v>
      </c>
      <c r="T19" s="57">
        <f ca="1">IFERROR(__xludf.DUMMYFUNCTION("IMPORTRANGE(""https://docs.google.com/spreadsheets/d/1gFVb7qd7amutrIxAAoM7lcy35hllxznovot8lyOfvDo/edit?usp=sharing"",""น่าน!I466"")"),600)</f>
        <v>600</v>
      </c>
      <c r="U19" s="57">
        <f ca="1">IFERROR(__xludf.DUMMYFUNCTION("IMPORTRANGE(""https://docs.google.com/spreadsheets/d/1gFVb7qd7amutrIxAAoM7lcy35hllxznovot8lyOfvDo/edit?usp=sharing"",""น่าน!J465"")"),61)</f>
        <v>61</v>
      </c>
      <c r="V19" s="63">
        <f t="shared" ca="1" si="6"/>
        <v>100</v>
      </c>
      <c r="W19" s="57">
        <f ca="1">IFERROR(__xludf.DUMMYFUNCTION("IMPORTRANGE(""https://docs.google.com/spreadsheets/d/1gFVb7qd7amutrIxAAoM7lcy35hllxznovot8lyOfvDo/edit?usp=sharing"",""น่าน!J466"")"),0)</f>
        <v>0</v>
      </c>
      <c r="X19" s="63">
        <f t="shared" ca="1" si="7"/>
        <v>0</v>
      </c>
      <c r="Y19" s="57">
        <f ca="1">IFERROR(__xludf.DUMMYFUNCTION("IMPORTRANGE(""https://docs.google.com/spreadsheets/d/1gFVb7qd7amutrIxAAoM7lcy35hllxznovot8lyOfvDo/edit?usp=sharing"",""น่าน!I483"")"),540)</f>
        <v>540</v>
      </c>
      <c r="Z19" s="57">
        <f ca="1">IFERROR(__xludf.DUMMYFUNCTION("IMPORTRANGE(""https://docs.google.com/spreadsheets/d/1gFVb7qd7amutrIxAAoM7lcy35hllxznovot8lyOfvDo/edit?usp=sharing"",""น่าน!J483"")"),540)</f>
        <v>540</v>
      </c>
      <c r="AA19" s="63">
        <f t="shared" ca="1" si="35"/>
        <v>100</v>
      </c>
      <c r="AB19" s="57">
        <f ca="1">IFERROR(__xludf.DUMMYFUNCTION("IMPORTRANGE(""https://docs.google.com/spreadsheets/d/1gFVb7qd7amutrIxAAoM7lcy35hllxznovot8lyOfvDo/edit?usp=sharing"",""น่าน!J484"")"),54)</f>
        <v>54</v>
      </c>
      <c r="AC19" s="57">
        <f ca="1">IFERROR(__xludf.DUMMYFUNCTION("IMPORTRANGE(""https://docs.google.com/spreadsheets/d/1gFVb7qd7amutrIxAAoM7lcy35hllxznovot8lyOfvDo/edit?usp=sharing"",""น่าน!I485"")"),54)</f>
        <v>54</v>
      </c>
      <c r="AD19" s="57">
        <f ca="1">IFERROR(__xludf.DUMMYFUNCTION("IMPORTRANGE(""https://docs.google.com/spreadsheets/d/1gFVb7qd7amutrIxAAoM7lcy35hllxznovot8lyOfvDo/edit?usp=sharing"",""น่าน!J485"")"),54)</f>
        <v>54</v>
      </c>
      <c r="AE19" s="63">
        <f t="shared" ca="1" si="36"/>
        <v>100</v>
      </c>
      <c r="AF19" s="57">
        <f ca="1">IFERROR(__xludf.DUMMYFUNCTION("IMPORTRANGE(""https://docs.google.com/spreadsheets/d/1gFVb7qd7amutrIxAAoM7lcy35hllxznovot8lyOfvDo/edit?usp=sharing"",""น่าน!I487"")"),60)</f>
        <v>60</v>
      </c>
      <c r="AG19" s="57">
        <f ca="1">IFERROR(__xludf.DUMMYFUNCTION("IMPORTRANGE(""https://docs.google.com/spreadsheets/d/1gFVb7qd7amutrIxAAoM7lcy35hllxznovot8lyOfvDo/edit?usp=sharing"",""น่าน!J487"")"),60)</f>
        <v>60</v>
      </c>
      <c r="AH19" s="63">
        <f t="shared" ca="1" si="37"/>
        <v>100</v>
      </c>
      <c r="AI19" s="57">
        <f ca="1">IFERROR(__xludf.DUMMYFUNCTION("IMPORTRANGE(""https://docs.google.com/spreadsheets/d/1gFVb7qd7amutrIxAAoM7lcy35hllxznovot8lyOfvDo/edit?usp=sharing"",""น่าน!J488"")"),6)</f>
        <v>6</v>
      </c>
      <c r="AJ19" s="57">
        <f ca="1">IFERROR(__xludf.DUMMYFUNCTION("IMPORTRANGE(""https://docs.google.com/spreadsheets/d/1gFVb7qd7amutrIxAAoM7lcy35hllxznovot8lyOfvDo/edit?usp=sharing"",""น่าน!I489"")"),6)</f>
        <v>6</v>
      </c>
      <c r="AK19" s="57">
        <f ca="1">IFERROR(__xludf.DUMMYFUNCTION("IMPORTRANGE(""https://docs.google.com/spreadsheets/d/1gFVb7qd7amutrIxAAoM7lcy35hllxznovot8lyOfvDo/edit?usp=sharing"",""น่าน!J489"")"),6)</f>
        <v>6</v>
      </c>
      <c r="AL19" s="63">
        <f t="shared" ca="1" si="38"/>
        <v>100</v>
      </c>
      <c r="AM19" s="57">
        <f ca="1">IFERROR(__xludf.DUMMYFUNCTION("IMPORTRANGE(""https://docs.google.com/spreadsheets/d/1gFVb7qd7amutrIxAAoM7lcy35hllxznovot8lyOfvDo/edit?usp=sharing"",""น่าน!J491"")"),1)</f>
        <v>1</v>
      </c>
      <c r="AN19" s="57">
        <f ca="1">IFERROR(__xludf.DUMMYFUNCTION("IMPORTRANGE(""https://docs.google.com/spreadsheets/d/1gFVb7qd7amutrIxAAoM7lcy35hllxznovot8lyOfvDo/edit?usp=sharing"",""น่าน!I492"")"),1)</f>
        <v>1</v>
      </c>
      <c r="AO19" s="57">
        <f ca="1">IFERROR(__xludf.DUMMYFUNCTION("IMPORTRANGE(""https://docs.google.com/spreadsheets/d/1gFVb7qd7amutrIxAAoM7lcy35hllxznovot8lyOfvDo/edit?usp=sharing"",""น่าน!J492"")"),1)</f>
        <v>1</v>
      </c>
      <c r="AP19" s="63">
        <f t="shared" ca="1" si="39"/>
        <v>100</v>
      </c>
      <c r="AQ19" s="57">
        <f ca="1">IFERROR(__xludf.DUMMYFUNCTION("IMPORTRANGE(""https://docs.google.com/spreadsheets/d/1gFVb7qd7amutrIxAAoM7lcy35hllxznovot8lyOfvDo/edit?usp=sharing"",""น่าน!I495"")"),540)</f>
        <v>540</v>
      </c>
      <c r="AR19" s="57">
        <f ca="1">IFERROR(__xludf.DUMMYFUNCTION("IMPORTRANGE(""https://docs.google.com/spreadsheets/d/1gFVb7qd7amutrIxAAoM7lcy35hllxznovot8lyOfvDo/edit?usp=sharing"",""น่าน!J495"")"),0)</f>
        <v>0</v>
      </c>
      <c r="AS19" s="63">
        <f t="shared" ca="1" si="40"/>
        <v>0</v>
      </c>
      <c r="AT19" s="57">
        <f ca="1">IFERROR(__xludf.DUMMYFUNCTION("IMPORTRANGE(""https://docs.google.com/spreadsheets/d/1gFVb7qd7amutrIxAAoM7lcy35hllxznovot8lyOfvDo/edit?usp=sharing"",""น่าน!J496"")"),0)</f>
        <v>0</v>
      </c>
      <c r="AU19" s="57">
        <f ca="1">IFERROR(__xludf.DUMMYFUNCTION("IMPORTRANGE(""https://docs.google.com/spreadsheets/d/1gFVb7qd7amutrIxAAoM7lcy35hllxznovot8lyOfvDo/edit?usp=sharing"",""น่าน!I498"")"),60)</f>
        <v>60</v>
      </c>
      <c r="AV19" s="57">
        <f ca="1">IFERROR(__xludf.DUMMYFUNCTION("IMPORTRANGE(""https://docs.google.com/spreadsheets/d/1gFVb7qd7amutrIxAAoM7lcy35hllxznovot8lyOfvDo/edit?usp=sharing"",""น่าน!J498"")"),0)</f>
        <v>0</v>
      </c>
      <c r="AW19" s="63">
        <f t="shared" ca="1" si="41"/>
        <v>0</v>
      </c>
      <c r="AX19" s="57">
        <f ca="1">IFERROR(__xludf.DUMMYFUNCTION("IMPORTRANGE(""https://docs.google.com/spreadsheets/d/1gFVb7qd7amutrIxAAoM7lcy35hllxznovot8lyOfvDo/edit?usp=sharing"",""น่าน!J499"")"),0)</f>
        <v>0</v>
      </c>
    </row>
    <row r="20" spans="1:50" ht="24" customHeight="1" x14ac:dyDescent="0.3">
      <c r="A20" s="54">
        <v>7</v>
      </c>
      <c r="B20" s="55" t="s">
        <v>41</v>
      </c>
      <c r="C20" s="56">
        <f t="shared" ca="1" si="55"/>
        <v>260703</v>
      </c>
      <c r="D20" s="57">
        <f ca="1">IFERROR(__xludf.DUMMYFUNCTION("IMPORTRANGE(""https://docs.google.com/spreadsheets/d/1K0Aa9s-6EuHE5M0FG1F9aHLXRCOV917xvycTdLdct0w/edit?usp=sharing"",""พะเยา!L472"")"),260703)</f>
        <v>260703</v>
      </c>
      <c r="E20" s="64">
        <f ca="1">IFERROR(__xludf.DUMMYFUNCTION("IMPORTRANGE(""https://docs.google.com/spreadsheets/d/1K0Aa9s-6EuHE5M0FG1F9aHLXRCOV917xvycTdLdct0w/edit?usp=sharing"",""พะเยา!L479"")"),0)</f>
        <v>0</v>
      </c>
      <c r="F20" s="64">
        <f ca="1">IFERROR(__xludf.DUMMYFUNCTION("IMPORTRANGE(""https://docs.google.com/spreadsheets/d/1K0Aa9s-6EuHE5M0FG1F9aHLXRCOV917xvycTdLdct0w/edit?usp=sharing"",""พะเยา!M472"")"),260703)</f>
        <v>260703</v>
      </c>
      <c r="G20" s="64">
        <f ca="1">IFERROR(__xludf.DUMMYFUNCTION("IMPORTRANGE(""https://docs.google.com/spreadsheets/d/1K0Aa9s-6EuHE5M0FG1F9aHLXRCOV917xvycTdLdct0w/edit?usp=sharing"",""พะเยา!M479"")"),0)</f>
        <v>0</v>
      </c>
      <c r="H20" s="58">
        <f t="shared" ca="1" si="34"/>
        <v>47940</v>
      </c>
      <c r="I20" s="59">
        <f t="shared" ca="1" si="1"/>
        <v>18.38874121126339</v>
      </c>
      <c r="J20" s="60">
        <f t="shared" ca="1" si="56"/>
        <v>47940</v>
      </c>
      <c r="K20" s="61">
        <f t="shared" ca="1" si="43"/>
        <v>18.38874121126339</v>
      </c>
      <c r="L20" s="61">
        <f t="shared" ca="1" si="44"/>
        <v>18.38874121126339</v>
      </c>
      <c r="M20" s="64">
        <f ca="1">IFERROR(__xludf.DUMMYFUNCTION("IMPORTRANGE(""https://docs.google.com/spreadsheets/d/1K0Aa9s-6EuHE5M0FG1F9aHLXRCOV917xvycTdLdct0w/edit?usp=sharing"",""พะเยา!N473"")"),37450)</f>
        <v>37450</v>
      </c>
      <c r="N20" s="64">
        <f ca="1">IFERROR(__xludf.DUMMYFUNCTION("IMPORTRANGE(""https://docs.google.com/spreadsheets/d/1K0Aa9s-6EuHE5M0FG1F9aHLXRCOV917xvycTdLdct0w/edit?usp=sharing"",""พะเยา!N474"")"),0)</f>
        <v>0</v>
      </c>
      <c r="O20" s="64">
        <f ca="1">IFERROR(__xludf.DUMMYFUNCTION("IMPORTRANGE(""https://docs.google.com/spreadsheets/d/1K0Aa9s-6EuHE5M0FG1F9aHLXRCOV917xvycTdLdct0w/edit?usp=sharing"",""พะเยา!N475"")"),0)</f>
        <v>0</v>
      </c>
      <c r="P20" s="64">
        <f ca="1">IFERROR(__xludf.DUMMYFUNCTION("IMPORTRANGE(""https://docs.google.com/spreadsheets/d/1K0Aa9s-6EuHE5M0FG1F9aHLXRCOV917xvycTdLdct0w/edit?usp=sharing"",""พะเยา!N476"")"),10490)</f>
        <v>10490</v>
      </c>
      <c r="Q20" s="62">
        <f ca="1">IFERROR(__xludf.DUMMYFUNCTION("IMPORTRANGE(""https://docs.google.com/spreadsheets/d/1K0Aa9s-6EuHE5M0FG1F9aHLXRCOV917xvycTdLdct0w/edit?usp=sharing"",""พะเยา!N479"")"),0)</f>
        <v>0</v>
      </c>
      <c r="R20" s="62">
        <f t="shared" ca="1" si="46"/>
        <v>0</v>
      </c>
      <c r="S20" s="57">
        <f ca="1">IFERROR(__xludf.DUMMYFUNCTION("IMPORTRANGE(""https://docs.google.com/spreadsheets/d/1K0Aa9s-6EuHE5M0FG1F9aHLXRCOV917xvycTdLdct0w/edit?usp=sharing"",""พะเยา!I465"")"),31)</f>
        <v>31</v>
      </c>
      <c r="T20" s="57">
        <f ca="1">IFERROR(__xludf.DUMMYFUNCTION("IMPORTRANGE(""https://docs.google.com/spreadsheets/d/1K0Aa9s-6EuHE5M0FG1F9aHLXRCOV917xvycTdLdct0w/edit?usp=sharing"",""พะเยา!I466"")"),300)</f>
        <v>300</v>
      </c>
      <c r="U20" s="57">
        <f ca="1">IFERROR(__xludf.DUMMYFUNCTION("IMPORTRANGE(""https://docs.google.com/spreadsheets/d/1K0Aa9s-6EuHE5M0FG1F9aHLXRCOV917xvycTdLdct0w/edit?usp=sharing"",""พะเยา!J465"")"),31)</f>
        <v>31</v>
      </c>
      <c r="V20" s="63">
        <f t="shared" ca="1" si="6"/>
        <v>100</v>
      </c>
      <c r="W20" s="57">
        <f ca="1">IFERROR(__xludf.DUMMYFUNCTION("IMPORTRANGE(""https://docs.google.com/spreadsheets/d/1K0Aa9s-6EuHE5M0FG1F9aHLXRCOV917xvycTdLdct0w/edit?usp=sharing"",""พะเยา!J466"")"),0)</f>
        <v>0</v>
      </c>
      <c r="X20" s="63">
        <f t="shared" ca="1" si="7"/>
        <v>0</v>
      </c>
      <c r="Y20" s="57">
        <f ca="1">IFERROR(__xludf.DUMMYFUNCTION("IMPORTRANGE(""https://docs.google.com/spreadsheets/d/1K0Aa9s-6EuHE5M0FG1F9aHLXRCOV917xvycTdLdct0w/edit?usp=sharing"",""พะเยา!I483"")"),270)</f>
        <v>270</v>
      </c>
      <c r="Z20" s="57">
        <f ca="1">IFERROR(__xludf.DUMMYFUNCTION("IMPORTRANGE(""https://docs.google.com/spreadsheets/d/1K0Aa9s-6EuHE5M0FG1F9aHLXRCOV917xvycTdLdct0w/edit?usp=sharing"",""พะเยา!J483"")"),270)</f>
        <v>270</v>
      </c>
      <c r="AA20" s="63">
        <f t="shared" ca="1" si="35"/>
        <v>100</v>
      </c>
      <c r="AB20" s="57">
        <f ca="1">IFERROR(__xludf.DUMMYFUNCTION("IMPORTRANGE(""https://docs.google.com/spreadsheets/d/1K0Aa9s-6EuHE5M0FG1F9aHLXRCOV917xvycTdLdct0w/edit?usp=sharing"",""พะเยา!J484"")"),27)</f>
        <v>27</v>
      </c>
      <c r="AC20" s="57">
        <f ca="1">IFERROR(__xludf.DUMMYFUNCTION("IMPORTRANGE(""https://docs.google.com/spreadsheets/d/1K0Aa9s-6EuHE5M0FG1F9aHLXRCOV917xvycTdLdct0w/edit?usp=sharing"",""พะเยา!I485"")"),27)</f>
        <v>27</v>
      </c>
      <c r="AD20" s="57">
        <f ca="1">IFERROR(__xludf.DUMMYFUNCTION("IMPORTRANGE(""https://docs.google.com/spreadsheets/d/1K0Aa9s-6EuHE5M0FG1F9aHLXRCOV917xvycTdLdct0w/edit?usp=sharing"",""พะเยา!J485"")"),27)</f>
        <v>27</v>
      </c>
      <c r="AE20" s="63">
        <f t="shared" ca="1" si="36"/>
        <v>100</v>
      </c>
      <c r="AF20" s="57">
        <f ca="1">IFERROR(__xludf.DUMMYFUNCTION("IMPORTRANGE(""https://docs.google.com/spreadsheets/d/1K0Aa9s-6EuHE5M0FG1F9aHLXRCOV917xvycTdLdct0w/edit?usp=sharing"",""พะเยา!I487"")"),30)</f>
        <v>30</v>
      </c>
      <c r="AG20" s="57">
        <f ca="1">IFERROR(__xludf.DUMMYFUNCTION("IMPORTRANGE(""https://docs.google.com/spreadsheets/d/1K0Aa9s-6EuHE5M0FG1F9aHLXRCOV917xvycTdLdct0w/edit?usp=sharing"",""พะเยา!J487"")"),30)</f>
        <v>30</v>
      </c>
      <c r="AH20" s="63">
        <f t="shared" ca="1" si="37"/>
        <v>100</v>
      </c>
      <c r="AI20" s="57">
        <f ca="1">IFERROR(__xludf.DUMMYFUNCTION("IMPORTRANGE(""https://docs.google.com/spreadsheets/d/1K0Aa9s-6EuHE5M0FG1F9aHLXRCOV917xvycTdLdct0w/edit?usp=sharing"",""พะเยา!J488"")"),3)</f>
        <v>3</v>
      </c>
      <c r="AJ20" s="57">
        <f ca="1">IFERROR(__xludf.DUMMYFUNCTION("IMPORTRANGE(""https://docs.google.com/spreadsheets/d/1K0Aa9s-6EuHE5M0FG1F9aHLXRCOV917xvycTdLdct0w/edit?usp=sharing"",""พะเยา!I489"")"),3)</f>
        <v>3</v>
      </c>
      <c r="AK20" s="57">
        <f ca="1">IFERROR(__xludf.DUMMYFUNCTION("IMPORTRANGE(""https://docs.google.com/spreadsheets/d/1K0Aa9s-6EuHE5M0FG1F9aHLXRCOV917xvycTdLdct0w/edit?usp=sharing"",""พะเยา!J489"")"),3)</f>
        <v>3</v>
      </c>
      <c r="AL20" s="63">
        <f t="shared" ca="1" si="38"/>
        <v>100</v>
      </c>
      <c r="AM20" s="57">
        <f ca="1">IFERROR(__xludf.DUMMYFUNCTION("IMPORTRANGE(""https://docs.google.com/spreadsheets/d/1K0Aa9s-6EuHE5M0FG1F9aHLXRCOV917xvycTdLdct0w/edit?usp=sharing"",""พะเยา!J491"")"),0)</f>
        <v>0</v>
      </c>
      <c r="AN20" s="57">
        <f ca="1">IFERROR(__xludf.DUMMYFUNCTION("IMPORTRANGE(""https://docs.google.com/spreadsheets/d/1K0Aa9s-6EuHE5M0FG1F9aHLXRCOV917xvycTdLdct0w/edit?usp=sharing"",""พะเยา!I492"")"),1)</f>
        <v>1</v>
      </c>
      <c r="AO20" s="57">
        <f ca="1">IFERROR(__xludf.DUMMYFUNCTION("IMPORTRANGE(""https://docs.google.com/spreadsheets/d/1K0Aa9s-6EuHE5M0FG1F9aHLXRCOV917xvycTdLdct0w/edit?usp=sharing"",""พะเยา!J492"")"),1)</f>
        <v>1</v>
      </c>
      <c r="AP20" s="63">
        <f t="shared" ca="1" si="39"/>
        <v>100</v>
      </c>
      <c r="AQ20" s="57">
        <f ca="1">IFERROR(__xludf.DUMMYFUNCTION("IMPORTRANGE(""https://docs.google.com/spreadsheets/d/1K0Aa9s-6EuHE5M0FG1F9aHLXRCOV917xvycTdLdct0w/edit?usp=sharing"",""พะเยา!I495"")"),270)</f>
        <v>270</v>
      </c>
      <c r="AR20" s="57">
        <f ca="1">IFERROR(__xludf.DUMMYFUNCTION("IMPORTRANGE(""https://docs.google.com/spreadsheets/d/1K0Aa9s-6EuHE5M0FG1F9aHLXRCOV917xvycTdLdct0w/edit?usp=sharing"",""พะเยา!J495"")"),0)</f>
        <v>0</v>
      </c>
      <c r="AS20" s="63">
        <f t="shared" ca="1" si="40"/>
        <v>0</v>
      </c>
      <c r="AT20" s="57">
        <f ca="1">IFERROR(__xludf.DUMMYFUNCTION("IMPORTRANGE(""https://docs.google.com/spreadsheets/d/1K0Aa9s-6EuHE5M0FG1F9aHLXRCOV917xvycTdLdct0w/edit?usp=sharing"",""พะเยา!J496"")"),0)</f>
        <v>0</v>
      </c>
      <c r="AU20" s="57">
        <f ca="1">IFERROR(__xludf.DUMMYFUNCTION("IMPORTRANGE(""https://docs.google.com/spreadsheets/d/1K0Aa9s-6EuHE5M0FG1F9aHLXRCOV917xvycTdLdct0w/edit?usp=sharing"",""พะเยา!I498"")"),30)</f>
        <v>30</v>
      </c>
      <c r="AV20" s="57">
        <f ca="1">IFERROR(__xludf.DUMMYFUNCTION("IMPORTRANGE(""https://docs.google.com/spreadsheets/d/1K0Aa9s-6EuHE5M0FG1F9aHLXRCOV917xvycTdLdct0w/edit?usp=sharing"",""พะเยา!J498"")"),0)</f>
        <v>0</v>
      </c>
      <c r="AW20" s="63">
        <f t="shared" ca="1" si="41"/>
        <v>0</v>
      </c>
      <c r="AX20" s="57">
        <f ca="1">IFERROR(__xludf.DUMMYFUNCTION("IMPORTRANGE(""https://docs.google.com/spreadsheets/d/1K0Aa9s-6EuHE5M0FG1F9aHLXRCOV917xvycTdLdct0w/edit?usp=sharing"",""พะเยา!J499"")"),0)</f>
        <v>0</v>
      </c>
    </row>
    <row r="21" spans="1:50" ht="24" customHeight="1" x14ac:dyDescent="0.3">
      <c r="A21" s="54">
        <v>8</v>
      </c>
      <c r="B21" s="55" t="s">
        <v>42</v>
      </c>
      <c r="C21" s="56">
        <f t="shared" ca="1" si="55"/>
        <v>256863</v>
      </c>
      <c r="D21" s="57">
        <f ca="1">IFERROR(__xludf.DUMMYFUNCTION("IMPORTRANGE(""https://docs.google.com/spreadsheets/d/1Y9LPKx95PyL5OKy09d-KbKJSuuEZCFdkhYjwC0XQjBA/edit?usp=sharing"",""พิจิตร!L472"")"),256863)</f>
        <v>256863</v>
      </c>
      <c r="E21" s="64">
        <f ca="1">IFERROR(__xludf.DUMMYFUNCTION("IMPORTRANGE(""https://docs.google.com/spreadsheets/d/1Y9LPKx95PyL5OKy09d-KbKJSuuEZCFdkhYjwC0XQjBA/edit?usp=sharing"",""พิจิตร!L479"")"),0)</f>
        <v>0</v>
      </c>
      <c r="F21" s="64">
        <f ca="1">IFERROR(__xludf.DUMMYFUNCTION("IMPORTRANGE(""https://docs.google.com/spreadsheets/d/1Y9LPKx95PyL5OKy09d-KbKJSuuEZCFdkhYjwC0XQjBA/edit?usp=sharing"",""พิจิตร!M472"")"),256863)</f>
        <v>256863</v>
      </c>
      <c r="G21" s="64">
        <f ca="1">IFERROR(__xludf.DUMMYFUNCTION("IMPORTRANGE(""https://docs.google.com/spreadsheets/d/1Y9LPKx95PyL5OKy09d-KbKJSuuEZCFdkhYjwC0XQjBA/edit?usp=sharing"",""พิจิตร!M479"")"),0)</f>
        <v>0</v>
      </c>
      <c r="H21" s="58">
        <f t="shared" ca="1" si="34"/>
        <v>55246</v>
      </c>
      <c r="I21" s="59">
        <f t="shared" ca="1" si="1"/>
        <v>21.507963389043965</v>
      </c>
      <c r="J21" s="60">
        <f t="shared" ca="1" si="56"/>
        <v>55246</v>
      </c>
      <c r="K21" s="61">
        <f t="shared" ca="1" si="43"/>
        <v>21.507963389043965</v>
      </c>
      <c r="L21" s="61">
        <f t="shared" ca="1" si="44"/>
        <v>21.507963389043965</v>
      </c>
      <c r="M21" s="64">
        <f ca="1">IFERROR(__xludf.DUMMYFUNCTION("IMPORTRANGE(""https://docs.google.com/spreadsheets/d/1Y9LPKx95PyL5OKy09d-KbKJSuuEZCFdkhYjwC0XQjBA/edit?usp=sharing"",""พิจิตร!N473"")"),36753)</f>
        <v>36753</v>
      </c>
      <c r="N21" s="64">
        <f ca="1">IFERROR(__xludf.DUMMYFUNCTION("IMPORTRANGE(""https://docs.google.com/spreadsheets/d/1Y9LPKx95PyL5OKy09d-KbKJSuuEZCFdkhYjwC0XQjBA/edit?usp=sharing"",""พิจิตร!N474"")"),0)</f>
        <v>0</v>
      </c>
      <c r="O21" s="64">
        <f ca="1">IFERROR(__xludf.DUMMYFUNCTION("IMPORTRANGE(""https://docs.google.com/spreadsheets/d/1Y9LPKx95PyL5OKy09d-KbKJSuuEZCFdkhYjwC0XQjBA/edit?usp=sharing"",""พิจิตร!N475"")"),0)</f>
        <v>0</v>
      </c>
      <c r="P21" s="64">
        <f ca="1">IFERROR(__xludf.DUMMYFUNCTION("IMPORTRANGE(""https://docs.google.com/spreadsheets/d/1Y9LPKx95PyL5OKy09d-KbKJSuuEZCFdkhYjwC0XQjBA/edit?usp=sharing"",""พิจิตร!N476"")"),18493)</f>
        <v>18493</v>
      </c>
      <c r="Q21" s="62">
        <f ca="1">IFERROR(__xludf.DUMMYFUNCTION("IMPORTRANGE(""https://docs.google.com/spreadsheets/d/1Y9LPKx95PyL5OKy09d-KbKJSuuEZCFdkhYjwC0XQjBA/edit?usp=sharing"",""พิจิตร!N479"")"),0)</f>
        <v>0</v>
      </c>
      <c r="R21" s="62">
        <f t="shared" ca="1" si="46"/>
        <v>0</v>
      </c>
      <c r="S21" s="57">
        <f ca="1">IFERROR(__xludf.DUMMYFUNCTION("IMPORTRANGE(""https://docs.google.com/spreadsheets/d/1Y9LPKx95PyL5OKy09d-KbKJSuuEZCFdkhYjwC0XQjBA/edit?usp=sharing"",""พิจิตร!I465"")"),31)</f>
        <v>31</v>
      </c>
      <c r="T21" s="57">
        <f ca="1">IFERROR(__xludf.DUMMYFUNCTION("IMPORTRANGE(""https://docs.google.com/spreadsheets/d/1Y9LPKx95PyL5OKy09d-KbKJSuuEZCFdkhYjwC0XQjBA/edit?usp=sharing"",""พิจิตร!I466"")"),300)</f>
        <v>300</v>
      </c>
      <c r="U21" s="57">
        <f ca="1">IFERROR(__xludf.DUMMYFUNCTION("IMPORTRANGE(""https://docs.google.com/spreadsheets/d/1Y9LPKx95PyL5OKy09d-KbKJSuuEZCFdkhYjwC0XQjBA/edit?usp=sharing"",""พิจิตร!J465"")"),31)</f>
        <v>31</v>
      </c>
      <c r="V21" s="63">
        <f t="shared" ca="1" si="6"/>
        <v>100</v>
      </c>
      <c r="W21" s="57">
        <f ca="1">IFERROR(__xludf.DUMMYFUNCTION("IMPORTRANGE(""https://docs.google.com/spreadsheets/d/1Y9LPKx95PyL5OKy09d-KbKJSuuEZCFdkhYjwC0XQjBA/edit?usp=sharing"",""พิจิตร!J466"")"),0)</f>
        <v>0</v>
      </c>
      <c r="X21" s="63">
        <f t="shared" ca="1" si="7"/>
        <v>0</v>
      </c>
      <c r="Y21" s="57">
        <f ca="1">IFERROR(__xludf.DUMMYFUNCTION("IMPORTRANGE(""https://docs.google.com/spreadsheets/d/1Y9LPKx95PyL5OKy09d-KbKJSuuEZCFdkhYjwC0XQjBA/edit?usp=sharing"",""พิจิตร!I483"")"),270)</f>
        <v>270</v>
      </c>
      <c r="Z21" s="57">
        <f ca="1">IFERROR(__xludf.DUMMYFUNCTION("IMPORTRANGE(""https://docs.google.com/spreadsheets/d/1Y9LPKx95PyL5OKy09d-KbKJSuuEZCFdkhYjwC0XQjBA/edit?usp=sharing"",""พิจิตร!J483"")"),270)</f>
        <v>270</v>
      </c>
      <c r="AA21" s="63">
        <f t="shared" ca="1" si="35"/>
        <v>100</v>
      </c>
      <c r="AB21" s="57">
        <f ca="1">IFERROR(__xludf.DUMMYFUNCTION("IMPORTRANGE(""https://docs.google.com/spreadsheets/d/1Y9LPKx95PyL5OKy09d-KbKJSuuEZCFdkhYjwC0XQjBA/edit?usp=sharing"",""พิจิตร!J484"")"),27)</f>
        <v>27</v>
      </c>
      <c r="AC21" s="57">
        <f ca="1">IFERROR(__xludf.DUMMYFUNCTION("IMPORTRANGE(""https://docs.google.com/spreadsheets/d/1Y9LPKx95PyL5OKy09d-KbKJSuuEZCFdkhYjwC0XQjBA/edit?usp=sharing"",""พิจิตร!I485"")"),27)</f>
        <v>27</v>
      </c>
      <c r="AD21" s="57">
        <f ca="1">IFERROR(__xludf.DUMMYFUNCTION("IMPORTRANGE(""https://docs.google.com/spreadsheets/d/1Y9LPKx95PyL5OKy09d-KbKJSuuEZCFdkhYjwC0XQjBA/edit?usp=sharing"",""พิจิตร!J485"")"),27)</f>
        <v>27</v>
      </c>
      <c r="AE21" s="63">
        <f t="shared" ca="1" si="36"/>
        <v>100</v>
      </c>
      <c r="AF21" s="57">
        <f ca="1">IFERROR(__xludf.DUMMYFUNCTION("IMPORTRANGE(""https://docs.google.com/spreadsheets/d/1Y9LPKx95PyL5OKy09d-KbKJSuuEZCFdkhYjwC0XQjBA/edit?usp=sharing"",""พิจิตร!I487"")"),30)</f>
        <v>30</v>
      </c>
      <c r="AG21" s="57">
        <f ca="1">IFERROR(__xludf.DUMMYFUNCTION("IMPORTRANGE(""https://docs.google.com/spreadsheets/d/1Y9LPKx95PyL5OKy09d-KbKJSuuEZCFdkhYjwC0XQjBA/edit?usp=sharing"",""พิจิตร!J487"")"),30)</f>
        <v>30</v>
      </c>
      <c r="AH21" s="63">
        <f t="shared" ca="1" si="37"/>
        <v>100</v>
      </c>
      <c r="AI21" s="57">
        <f ca="1">IFERROR(__xludf.DUMMYFUNCTION("IMPORTRANGE(""https://docs.google.com/spreadsheets/d/1Y9LPKx95PyL5OKy09d-KbKJSuuEZCFdkhYjwC0XQjBA/edit?usp=sharing"",""พิจิตร!J488"")"),3)</f>
        <v>3</v>
      </c>
      <c r="AJ21" s="57">
        <f ca="1">IFERROR(__xludf.DUMMYFUNCTION("IMPORTRANGE(""https://docs.google.com/spreadsheets/d/1Y9LPKx95PyL5OKy09d-KbKJSuuEZCFdkhYjwC0XQjBA/edit?usp=sharing"",""พิจิตร!I489"")"),3)</f>
        <v>3</v>
      </c>
      <c r="AK21" s="57">
        <f ca="1">IFERROR(__xludf.DUMMYFUNCTION("IMPORTRANGE(""https://docs.google.com/spreadsheets/d/1Y9LPKx95PyL5OKy09d-KbKJSuuEZCFdkhYjwC0XQjBA/edit?usp=sharing"",""พิจิตร!J489"")"),3)</f>
        <v>3</v>
      </c>
      <c r="AL21" s="63">
        <f t="shared" ca="1" si="38"/>
        <v>100</v>
      </c>
      <c r="AM21" s="57">
        <f ca="1">IFERROR(__xludf.DUMMYFUNCTION("IMPORTRANGE(""https://docs.google.com/spreadsheets/d/1Y9LPKx95PyL5OKy09d-KbKJSuuEZCFdkhYjwC0XQjBA/edit?usp=sharing"",""พิจิตร!J491"")"),1)</f>
        <v>1</v>
      </c>
      <c r="AN21" s="57">
        <f ca="1">IFERROR(__xludf.DUMMYFUNCTION("IMPORTRANGE(""https://docs.google.com/spreadsheets/d/1Y9LPKx95PyL5OKy09d-KbKJSuuEZCFdkhYjwC0XQjBA/edit?usp=sharing"",""พิจิตร!I492"")"),1)</f>
        <v>1</v>
      </c>
      <c r="AO21" s="57">
        <f ca="1">IFERROR(__xludf.DUMMYFUNCTION("IMPORTRANGE(""https://docs.google.com/spreadsheets/d/1Y9LPKx95PyL5OKy09d-KbKJSuuEZCFdkhYjwC0XQjBA/edit?usp=sharing"",""พิจิตร!J492"")"),1)</f>
        <v>1</v>
      </c>
      <c r="AP21" s="63">
        <f t="shared" ca="1" si="39"/>
        <v>100</v>
      </c>
      <c r="AQ21" s="57">
        <f ca="1">IFERROR(__xludf.DUMMYFUNCTION("IMPORTRANGE(""https://docs.google.com/spreadsheets/d/1Y9LPKx95PyL5OKy09d-KbKJSuuEZCFdkhYjwC0XQjBA/edit?usp=sharing"",""พิจิตร!I495"")"),270)</f>
        <v>270</v>
      </c>
      <c r="AR21" s="57">
        <f ca="1">IFERROR(__xludf.DUMMYFUNCTION("IMPORTRANGE(""https://docs.google.com/spreadsheets/d/1Y9LPKx95PyL5OKy09d-KbKJSuuEZCFdkhYjwC0XQjBA/edit?usp=sharing"",""พิจิตร!J495"")"),0)</f>
        <v>0</v>
      </c>
      <c r="AS21" s="63">
        <f t="shared" ca="1" si="40"/>
        <v>0</v>
      </c>
      <c r="AT21" s="57">
        <f ca="1">IFERROR(__xludf.DUMMYFUNCTION("IMPORTRANGE(""https://docs.google.com/spreadsheets/d/1Y9LPKx95PyL5OKy09d-KbKJSuuEZCFdkhYjwC0XQjBA/edit?usp=sharing"",""พิจิตร!J496"")"),0)</f>
        <v>0</v>
      </c>
      <c r="AU21" s="57">
        <f ca="1">IFERROR(__xludf.DUMMYFUNCTION("IMPORTRANGE(""https://docs.google.com/spreadsheets/d/1Y9LPKx95PyL5OKy09d-KbKJSuuEZCFdkhYjwC0XQjBA/edit?usp=sharing"",""พิจิตร!I498"")"),30)</f>
        <v>30</v>
      </c>
      <c r="AV21" s="57">
        <f ca="1">IFERROR(__xludf.DUMMYFUNCTION("IMPORTRANGE(""https://docs.google.com/spreadsheets/d/1Y9LPKx95PyL5OKy09d-KbKJSuuEZCFdkhYjwC0XQjBA/edit?usp=sharing"",""พิจิตร!J498"")"),0)</f>
        <v>0</v>
      </c>
      <c r="AW21" s="63">
        <f t="shared" ca="1" si="41"/>
        <v>0</v>
      </c>
      <c r="AX21" s="57">
        <f ca="1">IFERROR(__xludf.DUMMYFUNCTION("IMPORTRANGE(""https://docs.google.com/spreadsheets/d/1Y9LPKx95PyL5OKy09d-KbKJSuuEZCFdkhYjwC0XQjBA/edit?usp=sharing"",""พิจิตร!J499"")"),0)</f>
        <v>0</v>
      </c>
    </row>
    <row r="22" spans="1:50" ht="24" customHeight="1" x14ac:dyDescent="0.3">
      <c r="A22" s="54">
        <v>9</v>
      </c>
      <c r="B22" s="55" t="s">
        <v>43</v>
      </c>
      <c r="C22" s="56">
        <f t="shared" ca="1" si="55"/>
        <v>1168098</v>
      </c>
      <c r="D22" s="57">
        <f ca="1">IFERROR(__xludf.DUMMYFUNCTION("IMPORTRANGE(""https://docs.google.com/spreadsheets/d/16OMuOwy2eVqZcYWOouQtTpa8X1L23h4660uVHc0C8os/edit?usp=sharing"",""พิษณุโลก!L472"")"),1168098)</f>
        <v>1168098</v>
      </c>
      <c r="E22" s="64">
        <f ca="1">IFERROR(__xludf.DUMMYFUNCTION("IMPORTRANGE(""https://docs.google.com/spreadsheets/d/16OMuOwy2eVqZcYWOouQtTpa8X1L23h4660uVHc0C8os/edit?usp=sharing"",""พิษณุโลก!L479"")"),0)</f>
        <v>0</v>
      </c>
      <c r="F22" s="64">
        <f ca="1">IFERROR(__xludf.DUMMYFUNCTION("IMPORTRANGE(""https://docs.google.com/spreadsheets/d/16OMuOwy2eVqZcYWOouQtTpa8X1L23h4660uVHc0C8os/edit?usp=sharing"",""พิษณุโลก!M472"")"),1168098)</f>
        <v>1168098</v>
      </c>
      <c r="G22" s="64">
        <f ca="1">IFERROR(__xludf.DUMMYFUNCTION("IMPORTRANGE(""https://docs.google.com/spreadsheets/d/16OMuOwy2eVqZcYWOouQtTpa8X1L23h4660uVHc0C8os/edit?usp=sharing"",""พิษณุโลก!M479"")"),0)</f>
        <v>0</v>
      </c>
      <c r="H22" s="58">
        <f t="shared" ca="1" si="34"/>
        <v>240876.69</v>
      </c>
      <c r="I22" s="59">
        <f t="shared" ca="1" si="1"/>
        <v>20.621274071182384</v>
      </c>
      <c r="J22" s="60">
        <f t="shared" ca="1" si="56"/>
        <v>240876.69</v>
      </c>
      <c r="K22" s="61">
        <f t="shared" ca="1" si="43"/>
        <v>20.621274071182384</v>
      </c>
      <c r="L22" s="61">
        <f t="shared" ca="1" si="44"/>
        <v>20.621274071182384</v>
      </c>
      <c r="M22" s="64">
        <f ca="1">IFERROR(__xludf.DUMMYFUNCTION("IMPORTRANGE(""https://docs.google.com/spreadsheets/d/16OMuOwy2eVqZcYWOouQtTpa8X1L23h4660uVHc0C8os/edit?usp=sharing"",""พิษณุโลก!N473"")"),150450)</f>
        <v>150450</v>
      </c>
      <c r="N22" s="64">
        <f ca="1">IFERROR(__xludf.DUMMYFUNCTION("IMPORTRANGE(""https://docs.google.com/spreadsheets/d/16OMuOwy2eVqZcYWOouQtTpa8X1L23h4660uVHc0C8os/edit?usp=sharing"",""พิษณุโลก!N474"")"),4000)</f>
        <v>4000</v>
      </c>
      <c r="O22" s="64">
        <f ca="1">IFERROR(__xludf.DUMMYFUNCTION("IMPORTRANGE(""https://docs.google.com/spreadsheets/d/16OMuOwy2eVqZcYWOouQtTpa8X1L23h4660uVHc0C8os/edit?usp=sharing"",""พิษณุโลก!N475"")"),61966.69)</f>
        <v>61966.69</v>
      </c>
      <c r="P22" s="64">
        <f ca="1">IFERROR(__xludf.DUMMYFUNCTION("IMPORTRANGE(""https://docs.google.com/spreadsheets/d/16OMuOwy2eVqZcYWOouQtTpa8X1L23h4660uVHc0C8os/edit?usp=sharing"",""พิษณุโลก!N476"")"),24460)</f>
        <v>24460</v>
      </c>
      <c r="Q22" s="62">
        <f ca="1">IFERROR(__xludf.DUMMYFUNCTION("IMPORTRANGE(""https://docs.google.com/spreadsheets/d/16OMuOwy2eVqZcYWOouQtTpa8X1L23h4660uVHc0C8os/edit?usp=sharing"",""พิษณุโลก!N479"")"),0)</f>
        <v>0</v>
      </c>
      <c r="R22" s="62">
        <f t="shared" ca="1" si="46"/>
        <v>0</v>
      </c>
      <c r="S22" s="57">
        <f ca="1">IFERROR(__xludf.DUMMYFUNCTION("IMPORTRANGE(""https://docs.google.com/spreadsheets/d/16OMuOwy2eVqZcYWOouQtTpa8X1L23h4660uVHc0C8os/edit?usp=sharing"",""พิษณุโลก!I465"")"),131)</f>
        <v>131</v>
      </c>
      <c r="T22" s="57">
        <f ca="1">IFERROR(__xludf.DUMMYFUNCTION("IMPORTRANGE(""https://docs.google.com/spreadsheets/d/16OMuOwy2eVqZcYWOouQtTpa8X1L23h4660uVHc0C8os/edit?usp=sharing"",""พิษณุโลก!I466"")"),1300)</f>
        <v>1300</v>
      </c>
      <c r="U22" s="57">
        <f ca="1">IFERROR(__xludf.DUMMYFUNCTION("IMPORTRANGE(""https://docs.google.com/spreadsheets/d/16OMuOwy2eVqZcYWOouQtTpa8X1L23h4660uVHc0C8os/edit?usp=sharing"",""พิษณุโลก!J465"")"),130)</f>
        <v>130</v>
      </c>
      <c r="V22" s="63">
        <f t="shared" ca="1" si="6"/>
        <v>99.236641221374043</v>
      </c>
      <c r="W22" s="57">
        <f ca="1">IFERROR(__xludf.DUMMYFUNCTION("IMPORTRANGE(""https://docs.google.com/spreadsheets/d/16OMuOwy2eVqZcYWOouQtTpa8X1L23h4660uVHc0C8os/edit?usp=sharing"",""พิษณุโลก!J466"")"),0)</f>
        <v>0</v>
      </c>
      <c r="X22" s="63">
        <f t="shared" ca="1" si="7"/>
        <v>0</v>
      </c>
      <c r="Y22" s="57">
        <f ca="1">IFERROR(__xludf.DUMMYFUNCTION("IMPORTRANGE(""https://docs.google.com/spreadsheets/d/16OMuOwy2eVqZcYWOouQtTpa8X1L23h4660uVHc0C8os/edit?usp=sharing"",""พิษณุโลก!I483"")"),1170)</f>
        <v>1170</v>
      </c>
      <c r="Z22" s="57">
        <f ca="1">IFERROR(__xludf.DUMMYFUNCTION("IMPORTRANGE(""https://docs.google.com/spreadsheets/d/16OMuOwy2eVqZcYWOouQtTpa8X1L23h4660uVHc0C8os/edit?usp=sharing"",""พิษณุโลก!J483"")"),1170)</f>
        <v>1170</v>
      </c>
      <c r="AA22" s="63">
        <f t="shared" ca="1" si="35"/>
        <v>100</v>
      </c>
      <c r="AB22" s="57">
        <f ca="1">IFERROR(__xludf.DUMMYFUNCTION("IMPORTRANGE(""https://docs.google.com/spreadsheets/d/16OMuOwy2eVqZcYWOouQtTpa8X1L23h4660uVHc0C8os/edit?usp=sharing"",""พิษณุโลก!J484"")"),117)</f>
        <v>117</v>
      </c>
      <c r="AC22" s="57">
        <f ca="1">IFERROR(__xludf.DUMMYFUNCTION("IMPORTRANGE(""https://docs.google.com/spreadsheets/d/16OMuOwy2eVqZcYWOouQtTpa8X1L23h4660uVHc0C8os/edit?usp=sharing"",""พิษณุโลก!I485"")"),117)</f>
        <v>117</v>
      </c>
      <c r="AD22" s="57">
        <f ca="1">IFERROR(__xludf.DUMMYFUNCTION("IMPORTRANGE(""https://docs.google.com/spreadsheets/d/16OMuOwy2eVqZcYWOouQtTpa8X1L23h4660uVHc0C8os/edit?usp=sharing"",""พิษณุโลก!J485"")"),117)</f>
        <v>117</v>
      </c>
      <c r="AE22" s="63">
        <f t="shared" ca="1" si="36"/>
        <v>100</v>
      </c>
      <c r="AF22" s="57">
        <f ca="1">IFERROR(__xludf.DUMMYFUNCTION("IMPORTRANGE(""https://docs.google.com/spreadsheets/d/16OMuOwy2eVqZcYWOouQtTpa8X1L23h4660uVHc0C8os/edit?usp=sharing"",""พิษณุโลก!I487"")"),130)</f>
        <v>130</v>
      </c>
      <c r="AG22" s="57">
        <f ca="1">IFERROR(__xludf.DUMMYFUNCTION("IMPORTRANGE(""https://docs.google.com/spreadsheets/d/16OMuOwy2eVqZcYWOouQtTpa8X1L23h4660uVHc0C8os/edit?usp=sharing"",""พิษณุโลก!J487"")"),130)</f>
        <v>130</v>
      </c>
      <c r="AH22" s="63">
        <f t="shared" ca="1" si="37"/>
        <v>100</v>
      </c>
      <c r="AI22" s="57">
        <f ca="1">IFERROR(__xludf.DUMMYFUNCTION("IMPORTRANGE(""https://docs.google.com/spreadsheets/d/16OMuOwy2eVqZcYWOouQtTpa8X1L23h4660uVHc0C8os/edit?usp=sharing"",""พิษณุโลก!J488"")"),0)</f>
        <v>0</v>
      </c>
      <c r="AJ22" s="57">
        <f ca="1">IFERROR(__xludf.DUMMYFUNCTION("IMPORTRANGE(""https://docs.google.com/spreadsheets/d/16OMuOwy2eVqZcYWOouQtTpa8X1L23h4660uVHc0C8os/edit?usp=sharing"",""พิษณุโลก!I489"")"),13)</f>
        <v>13</v>
      </c>
      <c r="AK22" s="57">
        <f ca="1">IFERROR(__xludf.DUMMYFUNCTION("IMPORTRANGE(""https://docs.google.com/spreadsheets/d/16OMuOwy2eVqZcYWOouQtTpa8X1L23h4660uVHc0C8os/edit?usp=sharing"",""พิษณุโลก!J489"")"),13)</f>
        <v>13</v>
      </c>
      <c r="AL22" s="63">
        <f t="shared" ca="1" si="38"/>
        <v>100</v>
      </c>
      <c r="AM22" s="57">
        <f ca="1">IFERROR(__xludf.DUMMYFUNCTION("IMPORTRANGE(""https://docs.google.com/spreadsheets/d/16OMuOwy2eVqZcYWOouQtTpa8X1L23h4660uVHc0C8os/edit?usp=sharing"",""พิษณุโลก!J491"")"),0)</f>
        <v>0</v>
      </c>
      <c r="AN22" s="57">
        <f ca="1">IFERROR(__xludf.DUMMYFUNCTION("IMPORTRANGE(""https://docs.google.com/spreadsheets/d/16OMuOwy2eVqZcYWOouQtTpa8X1L23h4660uVHc0C8os/edit?usp=sharing"",""พิษณุโลก!I492"")"),1)</f>
        <v>1</v>
      </c>
      <c r="AO22" s="57">
        <f ca="1">IFERROR(__xludf.DUMMYFUNCTION("IMPORTRANGE(""https://docs.google.com/spreadsheets/d/16OMuOwy2eVqZcYWOouQtTpa8X1L23h4660uVHc0C8os/edit?usp=sharing"",""พิษณุโลก!J492"")"),0)</f>
        <v>0</v>
      </c>
      <c r="AP22" s="63">
        <f t="shared" ca="1" si="39"/>
        <v>0</v>
      </c>
      <c r="AQ22" s="57">
        <f ca="1">IFERROR(__xludf.DUMMYFUNCTION("IMPORTRANGE(""https://docs.google.com/spreadsheets/d/16OMuOwy2eVqZcYWOouQtTpa8X1L23h4660uVHc0C8os/edit?usp=sharing"",""พิษณุโลก!I495"")"),1170)</f>
        <v>1170</v>
      </c>
      <c r="AR22" s="57">
        <f ca="1">IFERROR(__xludf.DUMMYFUNCTION("IMPORTRANGE(""https://docs.google.com/spreadsheets/d/16OMuOwy2eVqZcYWOouQtTpa8X1L23h4660uVHc0C8os/edit?usp=sharing"",""พิษณุโลก!J495"")"),0)</f>
        <v>0</v>
      </c>
      <c r="AS22" s="63">
        <f t="shared" ca="1" si="40"/>
        <v>0</v>
      </c>
      <c r="AT22" s="57">
        <f ca="1">IFERROR(__xludf.DUMMYFUNCTION("IMPORTRANGE(""https://docs.google.com/spreadsheets/d/16OMuOwy2eVqZcYWOouQtTpa8X1L23h4660uVHc0C8os/edit?usp=sharing"",""พิษณุโลก!J496"")"),0)</f>
        <v>0</v>
      </c>
      <c r="AU22" s="57">
        <f ca="1">IFERROR(__xludf.DUMMYFUNCTION("IMPORTRANGE(""https://docs.google.com/spreadsheets/d/16OMuOwy2eVqZcYWOouQtTpa8X1L23h4660uVHc0C8os/edit?usp=sharing"",""พิษณุโลก!I498"")"),130)</f>
        <v>130</v>
      </c>
      <c r="AV22" s="57">
        <f ca="1">IFERROR(__xludf.DUMMYFUNCTION("IMPORTRANGE(""https://docs.google.com/spreadsheets/d/16OMuOwy2eVqZcYWOouQtTpa8X1L23h4660uVHc0C8os/edit?usp=sharing"",""พิษณุโลก!J498"")"),0)</f>
        <v>0</v>
      </c>
      <c r="AW22" s="63">
        <f t="shared" ca="1" si="41"/>
        <v>0</v>
      </c>
      <c r="AX22" s="57">
        <f ca="1">IFERROR(__xludf.DUMMYFUNCTION("IMPORTRANGE(""https://docs.google.com/spreadsheets/d/16OMuOwy2eVqZcYWOouQtTpa8X1L23h4660uVHc0C8os/edit?usp=sharing"",""พิษณุโลก!J499"")"),0)</f>
        <v>0</v>
      </c>
    </row>
    <row r="23" spans="1:50" ht="24" customHeight="1" x14ac:dyDescent="0.3">
      <c r="A23" s="54">
        <v>10</v>
      </c>
      <c r="B23" s="55" t="s">
        <v>44</v>
      </c>
      <c r="C23" s="56">
        <f t="shared" ca="1" si="55"/>
        <v>410323</v>
      </c>
      <c r="D23" s="57">
        <f ca="1">IFERROR(__xludf.DUMMYFUNCTION("IMPORTRANGE(""https://docs.google.com/spreadsheets/d/1GfgTldLG6k77HXaMQzaafODklYuucJZQNs_GAPEfZyY/edit?usp=sharing"",""เพชรบูรณ์!L472"")"),410323)</f>
        <v>410323</v>
      </c>
      <c r="E23" s="64">
        <f ca="1">IFERROR(__xludf.DUMMYFUNCTION("IMPORTRANGE(""https://docs.google.com/spreadsheets/d/1GfgTldLG6k77HXaMQzaafODklYuucJZQNs_GAPEfZyY/edit?usp=sharing"",""เพชรบูรณ์!L479"")"),0)</f>
        <v>0</v>
      </c>
      <c r="F23" s="64">
        <f ca="1">IFERROR(__xludf.DUMMYFUNCTION("IMPORTRANGE(""https://docs.google.com/spreadsheets/d/1GfgTldLG6k77HXaMQzaafODklYuucJZQNs_GAPEfZyY/edit?usp=sharing"",""เพชรบูรณ์!M472"")"),410323)</f>
        <v>410323</v>
      </c>
      <c r="G23" s="64">
        <f ca="1">IFERROR(__xludf.DUMMYFUNCTION("IMPORTRANGE(""https://docs.google.com/spreadsheets/d/1GfgTldLG6k77HXaMQzaafODklYuucJZQNs_GAPEfZyY/edit?usp=sharing"",""เพชรบูรณ์!M479"")"),0)</f>
        <v>0</v>
      </c>
      <c r="H23" s="58">
        <f t="shared" ca="1" si="34"/>
        <v>115540</v>
      </c>
      <c r="I23" s="59">
        <f t="shared" ca="1" si="1"/>
        <v>28.158304555191886</v>
      </c>
      <c r="J23" s="60">
        <f t="shared" ca="1" si="56"/>
        <v>115540</v>
      </c>
      <c r="K23" s="61">
        <f t="shared" ca="1" si="43"/>
        <v>28.158304555191886</v>
      </c>
      <c r="L23" s="61">
        <f t="shared" ca="1" si="44"/>
        <v>28.158304555191886</v>
      </c>
      <c r="M23" s="64">
        <f ca="1">IFERROR(__xludf.DUMMYFUNCTION("IMPORTRANGE(""https://docs.google.com/spreadsheets/d/1GfgTldLG6k77HXaMQzaafODklYuucJZQNs_GAPEfZyY/edit?usp=sharing"",""เพชรบูรณ์!N473"")"),71800)</f>
        <v>71800</v>
      </c>
      <c r="N23" s="64">
        <f ca="1">IFERROR(__xludf.DUMMYFUNCTION("IMPORTRANGE(""https://docs.google.com/spreadsheets/d/1GfgTldLG6k77HXaMQzaafODklYuucJZQNs_GAPEfZyY/edit?usp=sharing"",""เพชรบูรณ์!N474"")"),35000)</f>
        <v>35000</v>
      </c>
      <c r="O23" s="64">
        <f ca="1">IFERROR(__xludf.DUMMYFUNCTION("IMPORTRANGE(""https://docs.google.com/spreadsheets/d/1GfgTldLG6k77HXaMQzaafODklYuucJZQNs_GAPEfZyY/edit?usp=sharing"",""เพชรบูรณ์!N475"")"),0)</f>
        <v>0</v>
      </c>
      <c r="P23" s="64">
        <f ca="1">IFERROR(__xludf.DUMMYFUNCTION("IMPORTRANGE(""https://docs.google.com/spreadsheets/d/1GfgTldLG6k77HXaMQzaafODklYuucJZQNs_GAPEfZyY/edit?usp=sharing"",""เพชรบูรณ์!N476"")"),8740)</f>
        <v>8740</v>
      </c>
      <c r="Q23" s="62">
        <f ca="1">IFERROR(__xludf.DUMMYFUNCTION("IMPORTRANGE(""https://docs.google.com/spreadsheets/d/1GfgTldLG6k77HXaMQzaafODklYuucJZQNs_GAPEfZyY/edit?usp=sharing"",""เพชรบูรณ์!N479"")"),0)</f>
        <v>0</v>
      </c>
      <c r="R23" s="62">
        <f t="shared" ca="1" si="46"/>
        <v>0</v>
      </c>
      <c r="S23" s="57">
        <f ca="1">IFERROR(__xludf.DUMMYFUNCTION("IMPORTRANGE(""https://docs.google.com/spreadsheets/d/1GfgTldLG6k77HXaMQzaafODklYuucJZQNs_GAPEfZyY/edit?usp=sharing"",""เพชรบูรณ์!I465"")"),51)</f>
        <v>51</v>
      </c>
      <c r="T23" s="57">
        <f ca="1">IFERROR(__xludf.DUMMYFUNCTION("IMPORTRANGE(""https://docs.google.com/spreadsheets/d/1GfgTldLG6k77HXaMQzaafODklYuucJZQNs_GAPEfZyY/edit?usp=sharing"",""เพชรบูรณ์!I466"")"),500)</f>
        <v>500</v>
      </c>
      <c r="U23" s="57">
        <f ca="1">IFERROR(__xludf.DUMMYFUNCTION("IMPORTRANGE(""https://docs.google.com/spreadsheets/d/1GfgTldLG6k77HXaMQzaafODklYuucJZQNs_GAPEfZyY/edit?usp=sharing"",""เพชรบูรณ์!J465"")"),51)</f>
        <v>51</v>
      </c>
      <c r="V23" s="63">
        <f t="shared" ca="1" si="6"/>
        <v>100</v>
      </c>
      <c r="W23" s="57">
        <f ca="1">IFERROR(__xludf.DUMMYFUNCTION("IMPORTRANGE(""https://docs.google.com/spreadsheets/d/1GfgTldLG6k77HXaMQzaafODklYuucJZQNs_GAPEfZyY/edit?usp=sharing"",""เพชรบูรณ์!J466"")"),50)</f>
        <v>50</v>
      </c>
      <c r="X23" s="63">
        <f t="shared" ca="1" si="7"/>
        <v>10</v>
      </c>
      <c r="Y23" s="57">
        <f ca="1">IFERROR(__xludf.DUMMYFUNCTION("IMPORTRANGE(""https://docs.google.com/spreadsheets/d/1GfgTldLG6k77HXaMQzaafODklYuucJZQNs_GAPEfZyY/edit?usp=sharing"",""เพชรบูรณ์!I483"")"),450)</f>
        <v>450</v>
      </c>
      <c r="Z23" s="57">
        <f ca="1">IFERROR(__xludf.DUMMYFUNCTION("IMPORTRANGE(""https://docs.google.com/spreadsheets/d/1GfgTldLG6k77HXaMQzaafODklYuucJZQNs_GAPEfZyY/edit?usp=sharing"",""เพชรบูรณ์!J483"")"),450)</f>
        <v>450</v>
      </c>
      <c r="AA23" s="63">
        <f t="shared" ca="1" si="35"/>
        <v>100</v>
      </c>
      <c r="AB23" s="57">
        <f ca="1">IFERROR(__xludf.DUMMYFUNCTION("IMPORTRANGE(""https://docs.google.com/spreadsheets/d/1GfgTldLG6k77HXaMQzaafODklYuucJZQNs_GAPEfZyY/edit?usp=sharing"",""เพชรบูรณ์!J484"")"),45)</f>
        <v>45</v>
      </c>
      <c r="AC23" s="57">
        <f ca="1">IFERROR(__xludf.DUMMYFUNCTION("IMPORTRANGE(""https://docs.google.com/spreadsheets/d/1GfgTldLG6k77HXaMQzaafODklYuucJZQNs_GAPEfZyY/edit?usp=sharing"",""เพชรบูรณ์!I485"")"),45)</f>
        <v>45</v>
      </c>
      <c r="AD23" s="57">
        <f ca="1">IFERROR(__xludf.DUMMYFUNCTION("IMPORTRANGE(""https://docs.google.com/spreadsheets/d/1GfgTldLG6k77HXaMQzaafODklYuucJZQNs_GAPEfZyY/edit?usp=sharing"",""เพชรบูรณ์!J485"")"),45)</f>
        <v>45</v>
      </c>
      <c r="AE23" s="63">
        <f t="shared" ca="1" si="36"/>
        <v>100</v>
      </c>
      <c r="AF23" s="57">
        <f ca="1">IFERROR(__xludf.DUMMYFUNCTION("IMPORTRANGE(""https://docs.google.com/spreadsheets/d/1GfgTldLG6k77HXaMQzaafODklYuucJZQNs_GAPEfZyY/edit?usp=sharing"",""เพชรบูรณ์!I487"")"),50)</f>
        <v>50</v>
      </c>
      <c r="AG23" s="57">
        <f ca="1">IFERROR(__xludf.DUMMYFUNCTION("IMPORTRANGE(""https://docs.google.com/spreadsheets/d/1GfgTldLG6k77HXaMQzaafODklYuucJZQNs_GAPEfZyY/edit?usp=sharing"",""เพชรบูรณ์!J487"")"),50)</f>
        <v>50</v>
      </c>
      <c r="AH23" s="63">
        <f t="shared" ca="1" si="37"/>
        <v>100</v>
      </c>
      <c r="AI23" s="57">
        <f ca="1">IFERROR(__xludf.DUMMYFUNCTION("IMPORTRANGE(""https://docs.google.com/spreadsheets/d/1GfgTldLG6k77HXaMQzaafODklYuucJZQNs_GAPEfZyY/edit?usp=sharing"",""เพชรบูรณ์!J488"")"),5)</f>
        <v>5</v>
      </c>
      <c r="AJ23" s="57">
        <f ca="1">IFERROR(__xludf.DUMMYFUNCTION("IMPORTRANGE(""https://docs.google.com/spreadsheets/d/1GfgTldLG6k77HXaMQzaafODklYuucJZQNs_GAPEfZyY/edit?usp=sharing"",""เพชรบูรณ์!I489"")"),5)</f>
        <v>5</v>
      </c>
      <c r="AK23" s="57">
        <f ca="1">IFERROR(__xludf.DUMMYFUNCTION("IMPORTRANGE(""https://docs.google.com/spreadsheets/d/1GfgTldLG6k77HXaMQzaafODklYuucJZQNs_GAPEfZyY/edit?usp=sharing"",""เพชรบูรณ์!J489"")"),5)</f>
        <v>5</v>
      </c>
      <c r="AL23" s="63">
        <f t="shared" ca="1" si="38"/>
        <v>100</v>
      </c>
      <c r="AM23" s="57">
        <f ca="1">IFERROR(__xludf.DUMMYFUNCTION("IMPORTRANGE(""https://docs.google.com/spreadsheets/d/1GfgTldLG6k77HXaMQzaafODklYuucJZQNs_GAPEfZyY/edit?usp=sharing"",""เพชรบูรณ์!J491"")"),1)</f>
        <v>1</v>
      </c>
      <c r="AN23" s="57">
        <f ca="1">IFERROR(__xludf.DUMMYFUNCTION("IMPORTRANGE(""https://docs.google.com/spreadsheets/d/1GfgTldLG6k77HXaMQzaafODklYuucJZQNs_GAPEfZyY/edit?usp=sharing"",""เพชรบูรณ์!I492"")"),1)</f>
        <v>1</v>
      </c>
      <c r="AO23" s="57">
        <f ca="1">IFERROR(__xludf.DUMMYFUNCTION("IMPORTRANGE(""https://docs.google.com/spreadsheets/d/1GfgTldLG6k77HXaMQzaafODklYuucJZQNs_GAPEfZyY/edit?usp=sharing"",""เพชรบูรณ์!J492"")"),1)</f>
        <v>1</v>
      </c>
      <c r="AP23" s="63">
        <f t="shared" ca="1" si="39"/>
        <v>100</v>
      </c>
      <c r="AQ23" s="57">
        <f ca="1">IFERROR(__xludf.DUMMYFUNCTION("IMPORTRANGE(""https://docs.google.com/spreadsheets/d/1GfgTldLG6k77HXaMQzaafODklYuucJZQNs_GAPEfZyY/edit?usp=sharing"",""เพชรบูรณ์!I495"")"),450)</f>
        <v>450</v>
      </c>
      <c r="AR23" s="57">
        <f ca="1">IFERROR(__xludf.DUMMYFUNCTION("IMPORTRANGE(""https://docs.google.com/spreadsheets/d/1GfgTldLG6k77HXaMQzaafODklYuucJZQNs_GAPEfZyY/edit?usp=sharing"",""เพชรบูรณ์!J495"")"),0)</f>
        <v>0</v>
      </c>
      <c r="AS23" s="63">
        <f t="shared" ca="1" si="40"/>
        <v>0</v>
      </c>
      <c r="AT23" s="57">
        <f ca="1">IFERROR(__xludf.DUMMYFUNCTION("IMPORTRANGE(""https://docs.google.com/spreadsheets/d/1GfgTldLG6k77HXaMQzaafODklYuucJZQNs_GAPEfZyY/edit?usp=sharing"",""เพชรบูรณ์!J496"")"),0)</f>
        <v>0</v>
      </c>
      <c r="AU23" s="57">
        <f ca="1">IFERROR(__xludf.DUMMYFUNCTION("IMPORTRANGE(""https://docs.google.com/spreadsheets/d/1GfgTldLG6k77HXaMQzaafODklYuucJZQNs_GAPEfZyY/edit?usp=sharing"",""เพชรบูรณ์!I498"")"),50)</f>
        <v>50</v>
      </c>
      <c r="AV23" s="57">
        <f ca="1">IFERROR(__xludf.DUMMYFUNCTION("IMPORTRANGE(""https://docs.google.com/spreadsheets/d/1GfgTldLG6k77HXaMQzaafODklYuucJZQNs_GAPEfZyY/edit?usp=sharing"",""เพชรบูรณ์!J498"")"),50)</f>
        <v>50</v>
      </c>
      <c r="AW23" s="63">
        <f t="shared" ca="1" si="41"/>
        <v>100</v>
      </c>
      <c r="AX23" s="57">
        <f ca="1">IFERROR(__xludf.DUMMYFUNCTION("IMPORTRANGE(""https://docs.google.com/spreadsheets/d/1GfgTldLG6k77HXaMQzaafODklYuucJZQNs_GAPEfZyY/edit?usp=sharing"",""เพชรบูรณ์!J499"")"),5)</f>
        <v>5</v>
      </c>
    </row>
    <row r="24" spans="1:50" ht="24" customHeight="1" x14ac:dyDescent="0.3">
      <c r="A24" s="54">
        <v>11</v>
      </c>
      <c r="B24" s="55" t="s">
        <v>45</v>
      </c>
      <c r="C24" s="56">
        <f t="shared" ca="1" si="55"/>
        <v>1170748</v>
      </c>
      <c r="D24" s="57">
        <f ca="1">IFERROR(__xludf.DUMMYFUNCTION("IMPORTRANGE(""https://docs.google.com/spreadsheets/d/1gvTMYAnm7v1yG1BKWFtr0DnaTsq59oW9dwWvFgq6hs0/edit?usp=sharing"",""แพร่!L472"")"),1170748)</f>
        <v>1170748</v>
      </c>
      <c r="E24" s="64">
        <f ca="1">IFERROR(__xludf.DUMMYFUNCTION("IMPORTRANGE(""https://docs.google.com/spreadsheets/d/1gvTMYAnm7v1yG1BKWFtr0DnaTsq59oW9dwWvFgq6hs0/edit?usp=sharing"",""แพร่!L479"")"),0)</f>
        <v>0</v>
      </c>
      <c r="F24" s="64">
        <f ca="1">IFERROR(__xludf.DUMMYFUNCTION("IMPORTRANGE(""https://docs.google.com/spreadsheets/d/1gvTMYAnm7v1yG1BKWFtr0DnaTsq59oW9dwWvFgq6hs0/edit?usp=sharing"",""แพร่!M472"")"),1170748)</f>
        <v>1170748</v>
      </c>
      <c r="G24" s="64">
        <f ca="1">IFERROR(__xludf.DUMMYFUNCTION("IMPORTRANGE(""https://docs.google.com/spreadsheets/d/1gvTMYAnm7v1yG1BKWFtr0DnaTsq59oW9dwWvFgq6hs0/edit?usp=sharing"",""แพร่!M479"")"),0)</f>
        <v>0</v>
      </c>
      <c r="H24" s="58">
        <f t="shared" ca="1" si="34"/>
        <v>316895</v>
      </c>
      <c r="I24" s="59">
        <f t="shared" ca="1" si="1"/>
        <v>27.067737890647688</v>
      </c>
      <c r="J24" s="60">
        <f t="shared" ca="1" si="56"/>
        <v>316895</v>
      </c>
      <c r="K24" s="61">
        <f t="shared" ca="1" si="43"/>
        <v>27.067737890647688</v>
      </c>
      <c r="L24" s="61">
        <f t="shared" ca="1" si="44"/>
        <v>27.067737890647688</v>
      </c>
      <c r="M24" s="64">
        <f ca="1">IFERROR(__xludf.DUMMYFUNCTION("IMPORTRANGE(""https://docs.google.com/spreadsheets/d/1gvTMYAnm7v1yG1BKWFtr0DnaTsq59oW9dwWvFgq6hs0/edit?usp=sharing"",""แพร่!N473"")"),234875)</f>
        <v>234875</v>
      </c>
      <c r="N24" s="64">
        <f ca="1">IFERROR(__xludf.DUMMYFUNCTION("IMPORTRANGE(""https://docs.google.com/spreadsheets/d/1gvTMYAnm7v1yG1BKWFtr0DnaTsq59oW9dwWvFgq6hs0/edit?usp=sharing"",""แพร่!N474"")"),4000)</f>
        <v>4000</v>
      </c>
      <c r="O24" s="64">
        <f ca="1">IFERROR(__xludf.DUMMYFUNCTION("IMPORTRANGE(""https://docs.google.com/spreadsheets/d/1gvTMYAnm7v1yG1BKWFtr0DnaTsq59oW9dwWvFgq6hs0/edit?usp=sharing"",""แพร่!N475"")"),65000)</f>
        <v>65000</v>
      </c>
      <c r="P24" s="64">
        <f ca="1">IFERROR(__xludf.DUMMYFUNCTION("IMPORTRANGE(""https://docs.google.com/spreadsheets/d/1gvTMYAnm7v1yG1BKWFtr0DnaTsq59oW9dwWvFgq6hs0/edit?usp=sharing"",""แพร่!N476"")"),13020)</f>
        <v>13020</v>
      </c>
      <c r="Q24" s="62">
        <f ca="1">IFERROR(__xludf.DUMMYFUNCTION("IMPORTRANGE(""https://docs.google.com/spreadsheets/d/1gvTMYAnm7v1yG1BKWFtr0DnaTsq59oW9dwWvFgq6hs0/edit?usp=sharing"",""แพร่!N479"")"),0)</f>
        <v>0</v>
      </c>
      <c r="R24" s="62">
        <f t="shared" ca="1" si="46"/>
        <v>0</v>
      </c>
      <c r="S24" s="57">
        <f ca="1">IFERROR(__xludf.DUMMYFUNCTION("IMPORTRANGE(""https://docs.google.com/spreadsheets/d/1gvTMYAnm7v1yG1BKWFtr0DnaTsq59oW9dwWvFgq6hs0/edit?usp=sharing"",""แพร่!I465"")"),131)</f>
        <v>131</v>
      </c>
      <c r="T24" s="57">
        <f ca="1">IFERROR(__xludf.DUMMYFUNCTION("IMPORTRANGE(""https://docs.google.com/spreadsheets/d/1gvTMYAnm7v1yG1BKWFtr0DnaTsq59oW9dwWvFgq6hs0/edit?usp=sharing"",""แพร่!I466"")"),1300)</f>
        <v>1300</v>
      </c>
      <c r="U24" s="57">
        <f ca="1">IFERROR(__xludf.DUMMYFUNCTION("IMPORTRANGE(""https://docs.google.com/spreadsheets/d/1gvTMYAnm7v1yG1BKWFtr0DnaTsq59oW9dwWvFgq6hs0/edit?usp=sharing"",""แพร่!J465"")"),131)</f>
        <v>131</v>
      </c>
      <c r="V24" s="63">
        <f t="shared" ca="1" si="6"/>
        <v>100</v>
      </c>
      <c r="W24" s="57">
        <f ca="1">IFERROR(__xludf.DUMMYFUNCTION("IMPORTRANGE(""https://docs.google.com/spreadsheets/d/1gvTMYAnm7v1yG1BKWFtr0DnaTsq59oW9dwWvFgq6hs0/edit?usp=sharing"",""แพร่!J466"")"),1300)</f>
        <v>1300</v>
      </c>
      <c r="X24" s="63">
        <f t="shared" ca="1" si="7"/>
        <v>100</v>
      </c>
      <c r="Y24" s="57">
        <f ca="1">IFERROR(__xludf.DUMMYFUNCTION("IMPORTRANGE(""https://docs.google.com/spreadsheets/d/1gvTMYAnm7v1yG1BKWFtr0DnaTsq59oW9dwWvFgq6hs0/edit?usp=sharing"",""แพร่!I483"")"),1170)</f>
        <v>1170</v>
      </c>
      <c r="Z24" s="57">
        <f ca="1">IFERROR(__xludf.DUMMYFUNCTION("IMPORTRANGE(""https://docs.google.com/spreadsheets/d/1gvTMYAnm7v1yG1BKWFtr0DnaTsq59oW9dwWvFgq6hs0/edit?usp=sharing"",""แพร่!J483"")"),1170)</f>
        <v>1170</v>
      </c>
      <c r="AA24" s="63">
        <f t="shared" ca="1" si="35"/>
        <v>100</v>
      </c>
      <c r="AB24" s="57">
        <f ca="1">IFERROR(__xludf.DUMMYFUNCTION("IMPORTRANGE(""https://docs.google.com/spreadsheets/d/1gvTMYAnm7v1yG1BKWFtr0DnaTsq59oW9dwWvFgq6hs0/edit?usp=sharing"",""แพร่!J484"")"),0)</f>
        <v>0</v>
      </c>
      <c r="AC24" s="57">
        <f ca="1">IFERROR(__xludf.DUMMYFUNCTION("IMPORTRANGE(""https://docs.google.com/spreadsheets/d/1gvTMYAnm7v1yG1BKWFtr0DnaTsq59oW9dwWvFgq6hs0/edit?usp=sharing"",""แพร่!I485"")"),117)</f>
        <v>117</v>
      </c>
      <c r="AD24" s="57">
        <f ca="1">IFERROR(__xludf.DUMMYFUNCTION("IMPORTRANGE(""https://docs.google.com/spreadsheets/d/1gvTMYAnm7v1yG1BKWFtr0DnaTsq59oW9dwWvFgq6hs0/edit?usp=sharing"",""แพร่!J485"")"),117)</f>
        <v>117</v>
      </c>
      <c r="AE24" s="63">
        <f t="shared" ca="1" si="36"/>
        <v>100</v>
      </c>
      <c r="AF24" s="57">
        <f ca="1">IFERROR(__xludf.DUMMYFUNCTION("IMPORTRANGE(""https://docs.google.com/spreadsheets/d/1gvTMYAnm7v1yG1BKWFtr0DnaTsq59oW9dwWvFgq6hs0/edit?usp=sharing"",""แพร่!I487"")"),130)</f>
        <v>130</v>
      </c>
      <c r="AG24" s="57">
        <f ca="1">IFERROR(__xludf.DUMMYFUNCTION("IMPORTRANGE(""https://docs.google.com/spreadsheets/d/1gvTMYAnm7v1yG1BKWFtr0DnaTsq59oW9dwWvFgq6hs0/edit?usp=sharing"",""แพร่!J487"")"),130)</f>
        <v>130</v>
      </c>
      <c r="AH24" s="63">
        <f t="shared" ca="1" si="37"/>
        <v>100</v>
      </c>
      <c r="AI24" s="57">
        <f ca="1">IFERROR(__xludf.DUMMYFUNCTION("IMPORTRANGE(""https://docs.google.com/spreadsheets/d/1gvTMYAnm7v1yG1BKWFtr0DnaTsq59oW9dwWvFgq6hs0/edit?usp=sharing"",""แพร่!J488"")"),0)</f>
        <v>0</v>
      </c>
      <c r="AJ24" s="57">
        <f ca="1">IFERROR(__xludf.DUMMYFUNCTION("IMPORTRANGE(""https://docs.google.com/spreadsheets/d/1gvTMYAnm7v1yG1BKWFtr0DnaTsq59oW9dwWvFgq6hs0/edit?usp=sharing"",""แพร่!I489"")"),13)</f>
        <v>13</v>
      </c>
      <c r="AK24" s="57">
        <f ca="1">IFERROR(__xludf.DUMMYFUNCTION("IMPORTRANGE(""https://docs.google.com/spreadsheets/d/1gvTMYAnm7v1yG1BKWFtr0DnaTsq59oW9dwWvFgq6hs0/edit?usp=sharing"",""แพร่!J489"")"),13)</f>
        <v>13</v>
      </c>
      <c r="AL24" s="63">
        <f t="shared" ca="1" si="38"/>
        <v>100</v>
      </c>
      <c r="AM24" s="57">
        <f ca="1">IFERROR(__xludf.DUMMYFUNCTION("IMPORTRANGE(""https://docs.google.com/spreadsheets/d/1gvTMYAnm7v1yG1BKWFtr0DnaTsq59oW9dwWvFgq6hs0/edit?usp=sharing"",""แพร่!J491"")"),0)</f>
        <v>0</v>
      </c>
      <c r="AN24" s="57">
        <f ca="1">IFERROR(__xludf.DUMMYFUNCTION("IMPORTRANGE(""https://docs.google.com/spreadsheets/d/1gvTMYAnm7v1yG1BKWFtr0DnaTsq59oW9dwWvFgq6hs0/edit?usp=sharing"",""แพร่!I492"")"),1)</f>
        <v>1</v>
      </c>
      <c r="AO24" s="57">
        <f ca="1">IFERROR(__xludf.DUMMYFUNCTION("IMPORTRANGE(""https://docs.google.com/spreadsheets/d/1gvTMYAnm7v1yG1BKWFtr0DnaTsq59oW9dwWvFgq6hs0/edit?usp=sharing"",""แพร่!J492"")"),1)</f>
        <v>1</v>
      </c>
      <c r="AP24" s="63">
        <f t="shared" ca="1" si="39"/>
        <v>100</v>
      </c>
      <c r="AQ24" s="57">
        <f ca="1">IFERROR(__xludf.DUMMYFUNCTION("IMPORTRANGE(""https://docs.google.com/spreadsheets/d/1gvTMYAnm7v1yG1BKWFtr0DnaTsq59oW9dwWvFgq6hs0/edit?usp=sharing"",""แพร่!I495"")"),1170)</f>
        <v>1170</v>
      </c>
      <c r="AR24" s="57">
        <f ca="1">IFERROR(__xludf.DUMMYFUNCTION("IMPORTRANGE(""https://docs.google.com/spreadsheets/d/1gvTMYAnm7v1yG1BKWFtr0DnaTsq59oW9dwWvFgq6hs0/edit?usp=sharing"",""แพร่!J495"")"),1170)</f>
        <v>1170</v>
      </c>
      <c r="AS24" s="63">
        <f t="shared" ca="1" si="40"/>
        <v>100</v>
      </c>
      <c r="AT24" s="57">
        <f ca="1">IFERROR(__xludf.DUMMYFUNCTION("IMPORTRANGE(""https://docs.google.com/spreadsheets/d/1gvTMYAnm7v1yG1BKWFtr0DnaTsq59oW9dwWvFgq6hs0/edit?usp=sharing"",""แพร่!J496"")"),0)</f>
        <v>0</v>
      </c>
      <c r="AU24" s="57">
        <f ca="1">IFERROR(__xludf.DUMMYFUNCTION("IMPORTRANGE(""https://docs.google.com/spreadsheets/d/1gvTMYAnm7v1yG1BKWFtr0DnaTsq59oW9dwWvFgq6hs0/edit?usp=sharing"",""แพร่!I498"")"),130)</f>
        <v>130</v>
      </c>
      <c r="AV24" s="57">
        <f ca="1">IFERROR(__xludf.DUMMYFUNCTION("IMPORTRANGE(""https://docs.google.com/spreadsheets/d/1gvTMYAnm7v1yG1BKWFtr0DnaTsq59oW9dwWvFgq6hs0/edit?usp=sharing"",""แพร่!J498"")"),130)</f>
        <v>130</v>
      </c>
      <c r="AW24" s="63">
        <f t="shared" ca="1" si="41"/>
        <v>100</v>
      </c>
      <c r="AX24" s="57">
        <f ca="1">IFERROR(__xludf.DUMMYFUNCTION("IMPORTRANGE(""https://docs.google.com/spreadsheets/d/1gvTMYAnm7v1yG1BKWFtr0DnaTsq59oW9dwWvFgq6hs0/edit?usp=sharing"",""แพร่!J499"")"),0)</f>
        <v>0</v>
      </c>
    </row>
    <row r="25" spans="1:50" ht="24" customHeight="1" x14ac:dyDescent="0.3">
      <c r="A25" s="54">
        <v>12</v>
      </c>
      <c r="B25" s="55" t="s">
        <v>46</v>
      </c>
      <c r="C25" s="56">
        <f t="shared" ca="1" si="55"/>
        <v>112825</v>
      </c>
      <c r="D25" s="57">
        <f ca="1">IFERROR(__xludf.DUMMYFUNCTION("IMPORTRANGE(""https://docs.google.com/spreadsheets/d/1Wbcosgy-Xa1xXUArJSOenub6EfZHUSzc_bpJFWwQUf0/edit?usp=sharing"",""แม่ฮ่องสอน!L472"")"),112825)</f>
        <v>112825</v>
      </c>
      <c r="E25" s="64">
        <f ca="1">IFERROR(__xludf.DUMMYFUNCTION("IMPORTRANGE(""https://docs.google.com/spreadsheets/d/1Wbcosgy-Xa1xXUArJSOenub6EfZHUSzc_bpJFWwQUf0/edit?usp=sharing"",""แม่ฮ่องสอน!L479"")"),0)</f>
        <v>0</v>
      </c>
      <c r="F25" s="64">
        <f ca="1">IFERROR(__xludf.DUMMYFUNCTION("IMPORTRANGE(""https://docs.google.com/spreadsheets/d/1Wbcosgy-Xa1xXUArJSOenub6EfZHUSzc_bpJFWwQUf0/edit?usp=sharing"",""แม่ฮ่องสอน!M472"")"),112825)</f>
        <v>112825</v>
      </c>
      <c r="G25" s="64">
        <f ca="1">IFERROR(__xludf.DUMMYFUNCTION("IMPORTRANGE(""https://docs.google.com/spreadsheets/d/1Wbcosgy-Xa1xXUArJSOenub6EfZHUSzc_bpJFWwQUf0/edit?usp=sharing"",""แม่ฮ่องสอน!M479"")"),0)</f>
        <v>0</v>
      </c>
      <c r="H25" s="58">
        <f t="shared" ca="1" si="34"/>
        <v>29919</v>
      </c>
      <c r="I25" s="59">
        <f t="shared" ca="1" si="1"/>
        <v>26.51805894083758</v>
      </c>
      <c r="J25" s="60">
        <f t="shared" ca="1" si="56"/>
        <v>29919</v>
      </c>
      <c r="K25" s="61">
        <f t="shared" ca="1" si="43"/>
        <v>26.51805894083758</v>
      </c>
      <c r="L25" s="61">
        <f t="shared" ca="1" si="44"/>
        <v>26.51805894083758</v>
      </c>
      <c r="M25" s="64">
        <f ca="1">IFERROR(__xludf.DUMMYFUNCTION("IMPORTRANGE(""https://docs.google.com/spreadsheets/d/1Wbcosgy-Xa1xXUArJSOenub6EfZHUSzc_bpJFWwQUf0/edit?usp=sharing"",""แม่ฮ่องสอน!N473"")"),13095)</f>
        <v>13095</v>
      </c>
      <c r="N25" s="64">
        <f ca="1">IFERROR(__xludf.DUMMYFUNCTION("IMPORTRANGE(""https://docs.google.com/spreadsheets/d/1Wbcosgy-Xa1xXUArJSOenub6EfZHUSzc_bpJFWwQUf0/edit?usp=sharing"",""แม่ฮ่องสอน!N474"")"),0)</f>
        <v>0</v>
      </c>
      <c r="O25" s="64">
        <f ca="1">IFERROR(__xludf.DUMMYFUNCTION("IMPORTRANGE(""https://docs.google.com/spreadsheets/d/1Wbcosgy-Xa1xXUArJSOenub6EfZHUSzc_bpJFWwQUf0/edit?usp=sharing"",""แม่ฮ่องสอน!N475"")"),0)</f>
        <v>0</v>
      </c>
      <c r="P25" s="64">
        <f ca="1">IFERROR(__xludf.DUMMYFUNCTION("IMPORTRANGE(""https://docs.google.com/spreadsheets/d/1Wbcosgy-Xa1xXUArJSOenub6EfZHUSzc_bpJFWwQUf0/edit?usp=sharing"",""แม่ฮ่องสอน!N476"")"),16824)</f>
        <v>16824</v>
      </c>
      <c r="Q25" s="62">
        <f ca="1">IFERROR(__xludf.DUMMYFUNCTION("IMPORTRANGE(""https://docs.google.com/spreadsheets/d/1Wbcosgy-Xa1xXUArJSOenub6EfZHUSzc_bpJFWwQUf0/edit?usp=sharing"",""แม่ฮ่องสอน!N479"")"),0)</f>
        <v>0</v>
      </c>
      <c r="R25" s="62">
        <f t="shared" ca="1" si="46"/>
        <v>0</v>
      </c>
      <c r="S25" s="57">
        <f ca="1">IFERROR(__xludf.DUMMYFUNCTION("IMPORTRANGE(""https://docs.google.com/spreadsheets/d/1Wbcosgy-Xa1xXUArJSOenub6EfZHUSzc_bpJFWwQUf0/edit?usp=sharing"",""แม่ฮ่องสอน!I465"")"),11)</f>
        <v>11</v>
      </c>
      <c r="T25" s="57">
        <f ca="1">IFERROR(__xludf.DUMMYFUNCTION("IMPORTRANGE(""https://docs.google.com/spreadsheets/d/1Wbcosgy-Xa1xXUArJSOenub6EfZHUSzc_bpJFWwQUf0/edit?usp=sharing"",""แม่ฮ่องสอน!I466"")"),100)</f>
        <v>100</v>
      </c>
      <c r="U25" s="57">
        <f ca="1">IFERROR(__xludf.DUMMYFUNCTION("IMPORTRANGE(""https://docs.google.com/spreadsheets/d/1Wbcosgy-Xa1xXUArJSOenub6EfZHUSzc_bpJFWwQUf0/edit?usp=sharing"",""แม่ฮ่องสอน!J465"")"),11)</f>
        <v>11</v>
      </c>
      <c r="V25" s="63">
        <f t="shared" ca="1" si="6"/>
        <v>100</v>
      </c>
      <c r="W25" s="57">
        <f ca="1">IFERROR(__xludf.DUMMYFUNCTION("IMPORTRANGE(""https://docs.google.com/spreadsheets/d/1Wbcosgy-Xa1xXUArJSOenub6EfZHUSzc_bpJFWwQUf0/edit?usp=sharing"",""แม่ฮ่องสอน!J466"")"),0)</f>
        <v>0</v>
      </c>
      <c r="X25" s="63">
        <f t="shared" ca="1" si="7"/>
        <v>0</v>
      </c>
      <c r="Y25" s="57">
        <f ca="1">IFERROR(__xludf.DUMMYFUNCTION("IMPORTRANGE(""https://docs.google.com/spreadsheets/d/1Wbcosgy-Xa1xXUArJSOenub6EfZHUSzc_bpJFWwQUf0/edit?usp=sharing"",""แม่ฮ่องสอน!I483"")"),90)</f>
        <v>90</v>
      </c>
      <c r="Z25" s="57">
        <f ca="1">IFERROR(__xludf.DUMMYFUNCTION("IMPORTRANGE(""https://docs.google.com/spreadsheets/d/1Wbcosgy-Xa1xXUArJSOenub6EfZHUSzc_bpJFWwQUf0/edit?usp=sharing"",""แม่ฮ่องสอน!J483"")"),90)</f>
        <v>90</v>
      </c>
      <c r="AA25" s="63">
        <f t="shared" ca="1" si="35"/>
        <v>100</v>
      </c>
      <c r="AB25" s="57">
        <f ca="1">IFERROR(__xludf.DUMMYFUNCTION("IMPORTRANGE(""https://docs.google.com/spreadsheets/d/1Wbcosgy-Xa1xXUArJSOenub6EfZHUSzc_bpJFWwQUf0/edit?usp=sharing"",""แม่ฮ่องสอน!J484"")"),0)</f>
        <v>0</v>
      </c>
      <c r="AC25" s="57">
        <f ca="1">IFERROR(__xludf.DUMMYFUNCTION("IMPORTRANGE(""https://docs.google.com/spreadsheets/d/1Wbcosgy-Xa1xXUArJSOenub6EfZHUSzc_bpJFWwQUf0/edit?usp=sharing"",""แม่ฮ่องสอน!I485"")"),9)</f>
        <v>9</v>
      </c>
      <c r="AD25" s="57">
        <f ca="1">IFERROR(__xludf.DUMMYFUNCTION("IMPORTRANGE(""https://docs.google.com/spreadsheets/d/1Wbcosgy-Xa1xXUArJSOenub6EfZHUSzc_bpJFWwQUf0/edit?usp=sharing"",""แม่ฮ่องสอน!J485"")"),9)</f>
        <v>9</v>
      </c>
      <c r="AE25" s="63">
        <f t="shared" ca="1" si="36"/>
        <v>100</v>
      </c>
      <c r="AF25" s="57">
        <f ca="1">IFERROR(__xludf.DUMMYFUNCTION("IMPORTRANGE(""https://docs.google.com/spreadsheets/d/1Wbcosgy-Xa1xXUArJSOenub6EfZHUSzc_bpJFWwQUf0/edit?usp=sharing"",""แม่ฮ่องสอน!I487"")"),10)</f>
        <v>10</v>
      </c>
      <c r="AG25" s="57">
        <f ca="1">IFERROR(__xludf.DUMMYFUNCTION("IMPORTRANGE(""https://docs.google.com/spreadsheets/d/1Wbcosgy-Xa1xXUArJSOenub6EfZHUSzc_bpJFWwQUf0/edit?usp=sharing"",""แม่ฮ่องสอน!J487"")"),10)</f>
        <v>10</v>
      </c>
      <c r="AH25" s="63">
        <f t="shared" ca="1" si="37"/>
        <v>100</v>
      </c>
      <c r="AI25" s="57">
        <f ca="1">IFERROR(__xludf.DUMMYFUNCTION("IMPORTRANGE(""https://docs.google.com/spreadsheets/d/1Wbcosgy-Xa1xXUArJSOenub6EfZHUSzc_bpJFWwQUf0/edit?usp=sharing"",""แม่ฮ่องสอน!J488"")"),0)</f>
        <v>0</v>
      </c>
      <c r="AJ25" s="57">
        <f ca="1">IFERROR(__xludf.DUMMYFUNCTION("IMPORTRANGE(""https://docs.google.com/spreadsheets/d/1Wbcosgy-Xa1xXUArJSOenub6EfZHUSzc_bpJFWwQUf0/edit?usp=sharing"",""แม่ฮ่องสอน!I489"")"),1)</f>
        <v>1</v>
      </c>
      <c r="AK25" s="57">
        <f ca="1">IFERROR(__xludf.DUMMYFUNCTION("IMPORTRANGE(""https://docs.google.com/spreadsheets/d/1Wbcosgy-Xa1xXUArJSOenub6EfZHUSzc_bpJFWwQUf0/edit?usp=sharing"",""แม่ฮ่องสอน!J489"")"),1)</f>
        <v>1</v>
      </c>
      <c r="AL25" s="63">
        <f t="shared" ca="1" si="38"/>
        <v>100</v>
      </c>
      <c r="AM25" s="57">
        <f ca="1">IFERROR(__xludf.DUMMYFUNCTION("IMPORTRANGE(""https://docs.google.com/spreadsheets/d/1Wbcosgy-Xa1xXUArJSOenub6EfZHUSzc_bpJFWwQUf0/edit?usp=sharing"",""แม่ฮ่องสอน!J491"")"),0)</f>
        <v>0</v>
      </c>
      <c r="AN25" s="57">
        <f ca="1">IFERROR(__xludf.DUMMYFUNCTION("IMPORTRANGE(""https://docs.google.com/spreadsheets/d/1Wbcosgy-Xa1xXUArJSOenub6EfZHUSzc_bpJFWwQUf0/edit?usp=sharing"",""แม่ฮ่องสอน!I492"")"),1)</f>
        <v>1</v>
      </c>
      <c r="AO25" s="57">
        <f ca="1">IFERROR(__xludf.DUMMYFUNCTION("IMPORTRANGE(""https://docs.google.com/spreadsheets/d/1Wbcosgy-Xa1xXUArJSOenub6EfZHUSzc_bpJFWwQUf0/edit?usp=sharing"",""แม่ฮ่องสอน!J492"")"),1)</f>
        <v>1</v>
      </c>
      <c r="AP25" s="63">
        <f t="shared" ca="1" si="39"/>
        <v>100</v>
      </c>
      <c r="AQ25" s="57">
        <f ca="1">IFERROR(__xludf.DUMMYFUNCTION("IMPORTRANGE(""https://docs.google.com/spreadsheets/d/1Wbcosgy-Xa1xXUArJSOenub6EfZHUSzc_bpJFWwQUf0/edit?usp=sharing"",""แม่ฮ่องสอน!I495"")"),90)</f>
        <v>90</v>
      </c>
      <c r="AR25" s="57">
        <f ca="1">IFERROR(__xludf.DUMMYFUNCTION("IMPORTRANGE(""https://docs.google.com/spreadsheets/d/1Wbcosgy-Xa1xXUArJSOenub6EfZHUSzc_bpJFWwQUf0/edit?usp=sharing"",""แม่ฮ่องสอน!J495"")"),0)</f>
        <v>0</v>
      </c>
      <c r="AS25" s="63">
        <f t="shared" ca="1" si="40"/>
        <v>0</v>
      </c>
      <c r="AT25" s="57">
        <f ca="1">IFERROR(__xludf.DUMMYFUNCTION("IMPORTRANGE(""https://docs.google.com/spreadsheets/d/1Wbcosgy-Xa1xXUArJSOenub6EfZHUSzc_bpJFWwQUf0/edit?usp=sharing"",""แม่ฮ่องสอน!J496"")"),0)</f>
        <v>0</v>
      </c>
      <c r="AU25" s="57">
        <f ca="1">IFERROR(__xludf.DUMMYFUNCTION("IMPORTRANGE(""https://docs.google.com/spreadsheets/d/1Wbcosgy-Xa1xXUArJSOenub6EfZHUSzc_bpJFWwQUf0/edit?usp=sharing"",""แม่ฮ่องสอน!I498"")"),10)</f>
        <v>10</v>
      </c>
      <c r="AV25" s="57">
        <f ca="1">IFERROR(__xludf.DUMMYFUNCTION("IMPORTRANGE(""https://docs.google.com/spreadsheets/d/1Wbcosgy-Xa1xXUArJSOenub6EfZHUSzc_bpJFWwQUf0/edit?usp=sharing"",""แม่ฮ่องสอน!J498"")"),0)</f>
        <v>0</v>
      </c>
      <c r="AW25" s="63">
        <f t="shared" ca="1" si="41"/>
        <v>0</v>
      </c>
      <c r="AX25" s="57">
        <f ca="1">IFERROR(__xludf.DUMMYFUNCTION("IMPORTRANGE(""https://docs.google.com/spreadsheets/d/1Wbcosgy-Xa1xXUArJSOenub6EfZHUSzc_bpJFWwQUf0/edit?usp=sharing"",""แม่ฮ่องสอน!J499"")"),0)</f>
        <v>0</v>
      </c>
    </row>
    <row r="26" spans="1:50" ht="24" customHeight="1" x14ac:dyDescent="0.3">
      <c r="A26" s="54">
        <v>13</v>
      </c>
      <c r="B26" s="55" t="s">
        <v>47</v>
      </c>
      <c r="C26" s="56">
        <f t="shared" ca="1" si="55"/>
        <v>1171028</v>
      </c>
      <c r="D26" s="57">
        <f ca="1">IFERROR(__xludf.DUMMYFUNCTION("IMPORTRANGE(""https://docs.google.com/spreadsheets/d/1p7ERhsr0qZeSn-KSOdeHS9r0heI-lHtkcn2OH7hP0jQ/edit?usp=sharing"",""ลำปาง!L472"")"),1171028)</f>
        <v>1171028</v>
      </c>
      <c r="E26" s="64">
        <f ca="1">IFERROR(__xludf.DUMMYFUNCTION("IMPORTRANGE(""https://docs.google.com/spreadsheets/d/1p7ERhsr0qZeSn-KSOdeHS9r0heI-lHtkcn2OH7hP0jQ/edit?usp=sharing"",""ลำปาง!L479"")"),0)</f>
        <v>0</v>
      </c>
      <c r="F26" s="64">
        <f ca="1">IFERROR(__xludf.DUMMYFUNCTION("IMPORTRANGE(""https://docs.google.com/spreadsheets/d/1p7ERhsr0qZeSn-KSOdeHS9r0heI-lHtkcn2OH7hP0jQ/edit?usp=sharing"",""ลำปาง!M472"")"),1171028)</f>
        <v>1171028</v>
      </c>
      <c r="G26" s="64">
        <f ca="1">IFERROR(__xludf.DUMMYFUNCTION("IMPORTRANGE(""https://docs.google.com/spreadsheets/d/1p7ERhsr0qZeSn-KSOdeHS9r0heI-lHtkcn2OH7hP0jQ/edit?usp=sharing"",""ลำปาง!M479"")"),0)</f>
        <v>0</v>
      </c>
      <c r="H26" s="58">
        <f t="shared" ca="1" si="34"/>
        <v>248168.66999999998</v>
      </c>
      <c r="I26" s="59">
        <f t="shared" ca="1" si="1"/>
        <v>21.192377125055934</v>
      </c>
      <c r="J26" s="60">
        <f t="shared" ca="1" si="56"/>
        <v>248168.66999999998</v>
      </c>
      <c r="K26" s="61">
        <f t="shared" ca="1" si="43"/>
        <v>21.192377125055934</v>
      </c>
      <c r="L26" s="61">
        <f t="shared" ca="1" si="44"/>
        <v>21.192377125055934</v>
      </c>
      <c r="M26" s="64">
        <f ca="1">IFERROR(__xludf.DUMMYFUNCTION("IMPORTRANGE(""https://docs.google.com/spreadsheets/d/1p7ERhsr0qZeSn-KSOdeHS9r0heI-lHtkcn2OH7hP0jQ/edit?usp=sharing"",""ลำปาง!N473"")"),155253)</f>
        <v>155253</v>
      </c>
      <c r="N26" s="64">
        <f ca="1">IFERROR(__xludf.DUMMYFUNCTION("IMPORTRANGE(""https://docs.google.com/spreadsheets/d/1p7ERhsr0qZeSn-KSOdeHS9r0heI-lHtkcn2OH7hP0jQ/edit?usp=sharing"",""ลำปาง!N474"")"),4000)</f>
        <v>4000</v>
      </c>
      <c r="O26" s="64">
        <f ca="1">IFERROR(__xludf.DUMMYFUNCTION("IMPORTRANGE(""https://docs.google.com/spreadsheets/d/1p7ERhsr0qZeSn-KSOdeHS9r0heI-lHtkcn2OH7hP0jQ/edit?usp=sharing"",""ลำปาง!N475"")"),51566.67)</f>
        <v>51566.67</v>
      </c>
      <c r="P26" s="64">
        <f ca="1">IFERROR(__xludf.DUMMYFUNCTION("IMPORTRANGE(""https://docs.google.com/spreadsheets/d/1p7ERhsr0qZeSn-KSOdeHS9r0heI-lHtkcn2OH7hP0jQ/edit?usp=sharing"",""ลำปาง!N476"")"),37349)</f>
        <v>37349</v>
      </c>
      <c r="Q26" s="62">
        <f ca="1">IFERROR(__xludf.DUMMYFUNCTION("IMPORTRANGE(""https://docs.google.com/spreadsheets/d/1p7ERhsr0qZeSn-KSOdeHS9r0heI-lHtkcn2OH7hP0jQ/edit?usp=sharing"",""ลำปาง!N479"")"),0)</f>
        <v>0</v>
      </c>
      <c r="R26" s="62">
        <f t="shared" ca="1" si="46"/>
        <v>0</v>
      </c>
      <c r="S26" s="57">
        <f ca="1">IFERROR(__xludf.DUMMYFUNCTION("IMPORTRANGE(""https://docs.google.com/spreadsheets/d/1p7ERhsr0qZeSn-KSOdeHS9r0heI-lHtkcn2OH7hP0jQ/edit?usp=sharing"",""ลำปาง!I465"")"),131)</f>
        <v>131</v>
      </c>
      <c r="T26" s="57">
        <f ca="1">IFERROR(__xludf.DUMMYFUNCTION("IMPORTRANGE(""https://docs.google.com/spreadsheets/d/1p7ERhsr0qZeSn-KSOdeHS9r0heI-lHtkcn2OH7hP0jQ/edit?usp=sharing"",""ลำปาง!I466"")"),1300)</f>
        <v>1300</v>
      </c>
      <c r="U26" s="57">
        <f ca="1">IFERROR(__xludf.DUMMYFUNCTION("IMPORTRANGE(""https://docs.google.com/spreadsheets/d/1p7ERhsr0qZeSn-KSOdeHS9r0heI-lHtkcn2OH7hP0jQ/edit?usp=sharing"",""ลำปาง!J465"")"),131)</f>
        <v>131</v>
      </c>
      <c r="V26" s="63">
        <f t="shared" ca="1" si="6"/>
        <v>100</v>
      </c>
      <c r="W26" s="57">
        <f ca="1">IFERROR(__xludf.DUMMYFUNCTION("IMPORTRANGE(""https://docs.google.com/spreadsheets/d/1p7ERhsr0qZeSn-KSOdeHS9r0heI-lHtkcn2OH7hP0jQ/edit?usp=sharing"",""ลำปาง!J466"")"),0)</f>
        <v>0</v>
      </c>
      <c r="X26" s="63">
        <f t="shared" ca="1" si="7"/>
        <v>0</v>
      </c>
      <c r="Y26" s="57">
        <f ca="1">IFERROR(__xludf.DUMMYFUNCTION("IMPORTRANGE(""https://docs.google.com/spreadsheets/d/1p7ERhsr0qZeSn-KSOdeHS9r0heI-lHtkcn2OH7hP0jQ/edit?usp=sharing"",""ลำปาง!I483"")"),1170)</f>
        <v>1170</v>
      </c>
      <c r="Z26" s="57">
        <f ca="1">IFERROR(__xludf.DUMMYFUNCTION("IMPORTRANGE(""https://docs.google.com/spreadsheets/d/1p7ERhsr0qZeSn-KSOdeHS9r0heI-lHtkcn2OH7hP0jQ/edit?usp=sharing"",""ลำปาง!J483"")"),1170)</f>
        <v>1170</v>
      </c>
      <c r="AA26" s="63">
        <f t="shared" ca="1" si="35"/>
        <v>100</v>
      </c>
      <c r="AB26" s="57">
        <f ca="1">IFERROR(__xludf.DUMMYFUNCTION("IMPORTRANGE(""https://docs.google.com/spreadsheets/d/1p7ERhsr0qZeSn-KSOdeHS9r0heI-lHtkcn2OH7hP0jQ/edit?usp=sharing"",""ลำปาง!J484"")"),0)</f>
        <v>0</v>
      </c>
      <c r="AC26" s="57">
        <f ca="1">IFERROR(__xludf.DUMMYFUNCTION("IMPORTRANGE(""https://docs.google.com/spreadsheets/d/1p7ERhsr0qZeSn-KSOdeHS9r0heI-lHtkcn2OH7hP0jQ/edit?usp=sharing"",""ลำปาง!I485"")"),117)</f>
        <v>117</v>
      </c>
      <c r="AD26" s="57">
        <f ca="1">IFERROR(__xludf.DUMMYFUNCTION("IMPORTRANGE(""https://docs.google.com/spreadsheets/d/1p7ERhsr0qZeSn-KSOdeHS9r0heI-lHtkcn2OH7hP0jQ/edit?usp=sharing"",""ลำปาง!J485"")"),117)</f>
        <v>117</v>
      </c>
      <c r="AE26" s="63">
        <f t="shared" ca="1" si="36"/>
        <v>100</v>
      </c>
      <c r="AF26" s="57">
        <f ca="1">IFERROR(__xludf.DUMMYFUNCTION("IMPORTRANGE(""https://docs.google.com/spreadsheets/d/1p7ERhsr0qZeSn-KSOdeHS9r0heI-lHtkcn2OH7hP0jQ/edit?usp=sharing"",""ลำปาง!I487"")"),130)</f>
        <v>130</v>
      </c>
      <c r="AG26" s="57">
        <f ca="1">IFERROR(__xludf.DUMMYFUNCTION("IMPORTRANGE(""https://docs.google.com/spreadsheets/d/1p7ERhsr0qZeSn-KSOdeHS9r0heI-lHtkcn2OH7hP0jQ/edit?usp=sharing"",""ลำปาง!J487"")"),130)</f>
        <v>130</v>
      </c>
      <c r="AH26" s="63">
        <f t="shared" ca="1" si="37"/>
        <v>100</v>
      </c>
      <c r="AI26" s="57">
        <f ca="1">IFERROR(__xludf.DUMMYFUNCTION("IMPORTRANGE(""https://docs.google.com/spreadsheets/d/1p7ERhsr0qZeSn-KSOdeHS9r0heI-lHtkcn2OH7hP0jQ/edit?usp=sharing"",""ลำปาง!J488"")"),0)</f>
        <v>0</v>
      </c>
      <c r="AJ26" s="57">
        <f ca="1">IFERROR(__xludf.DUMMYFUNCTION("IMPORTRANGE(""https://docs.google.com/spreadsheets/d/1p7ERhsr0qZeSn-KSOdeHS9r0heI-lHtkcn2OH7hP0jQ/edit?usp=sharing"",""ลำปาง!I489"")"),13)</f>
        <v>13</v>
      </c>
      <c r="AK26" s="57">
        <f ca="1">IFERROR(__xludf.DUMMYFUNCTION("IMPORTRANGE(""https://docs.google.com/spreadsheets/d/1p7ERhsr0qZeSn-KSOdeHS9r0heI-lHtkcn2OH7hP0jQ/edit?usp=sharing"",""ลำปาง!J489"")"),13)</f>
        <v>13</v>
      </c>
      <c r="AL26" s="63">
        <f t="shared" ca="1" si="38"/>
        <v>100</v>
      </c>
      <c r="AM26" s="117" t="str">
        <f ca="1">IFERROR(__xludf.DUMMYFUNCTION("IMPORTRANGE(""https://docs.google.com/spreadsheets/d/1p7ERhsr0qZeSn-KSOdeHS9r0heI-lHtkcn2OH7hP0jQ/edit?usp=sharing"",""ลำปาง!J491"")"),"")</f>
        <v/>
      </c>
      <c r="AN26" s="57">
        <f ca="1">IFERROR(__xludf.DUMMYFUNCTION("IMPORTRANGE(""https://docs.google.com/spreadsheets/d/1p7ERhsr0qZeSn-KSOdeHS9r0heI-lHtkcn2OH7hP0jQ/edit?usp=sharing"",""ลำปาง!I492"")"),1)</f>
        <v>1</v>
      </c>
      <c r="AO26" s="57">
        <f ca="1">IFERROR(__xludf.DUMMYFUNCTION("IMPORTRANGE(""https://docs.google.com/spreadsheets/d/1p7ERhsr0qZeSn-KSOdeHS9r0heI-lHtkcn2OH7hP0jQ/edit?usp=sharing"",""ลำปาง!J492"")"),1)</f>
        <v>1</v>
      </c>
      <c r="AP26" s="63">
        <f t="shared" ca="1" si="39"/>
        <v>100</v>
      </c>
      <c r="AQ26" s="57">
        <f ca="1">IFERROR(__xludf.DUMMYFUNCTION("IMPORTRANGE(""https://docs.google.com/spreadsheets/d/1p7ERhsr0qZeSn-KSOdeHS9r0heI-lHtkcn2OH7hP0jQ/edit?usp=sharing"",""ลำปาง!I495"")"),1170)</f>
        <v>1170</v>
      </c>
      <c r="AR26" s="57">
        <f ca="1">IFERROR(__xludf.DUMMYFUNCTION("IMPORTRANGE(""https://docs.google.com/spreadsheets/d/1p7ERhsr0qZeSn-KSOdeHS9r0heI-lHtkcn2OH7hP0jQ/edit?usp=sharing"",""ลำปาง!J495"")"),0)</f>
        <v>0</v>
      </c>
      <c r="AS26" s="63">
        <f t="shared" ca="1" si="40"/>
        <v>0</v>
      </c>
      <c r="AT26" s="57">
        <f ca="1">IFERROR(__xludf.DUMMYFUNCTION("IMPORTRANGE(""https://docs.google.com/spreadsheets/d/1p7ERhsr0qZeSn-KSOdeHS9r0heI-lHtkcn2OH7hP0jQ/edit?usp=sharing"",""ลำปาง!J496"")"),0)</f>
        <v>0</v>
      </c>
      <c r="AU26" s="57">
        <f ca="1">IFERROR(__xludf.DUMMYFUNCTION("IMPORTRANGE(""https://docs.google.com/spreadsheets/d/1p7ERhsr0qZeSn-KSOdeHS9r0heI-lHtkcn2OH7hP0jQ/edit?usp=sharing"",""ลำปาง!I498"")"),130)</f>
        <v>130</v>
      </c>
      <c r="AV26" s="57">
        <f ca="1">IFERROR(__xludf.DUMMYFUNCTION("IMPORTRANGE(""https://docs.google.com/spreadsheets/d/1p7ERhsr0qZeSn-KSOdeHS9r0heI-lHtkcn2OH7hP0jQ/edit?usp=sharing"",""ลำปาง!J498"")"),0)</f>
        <v>0</v>
      </c>
      <c r="AW26" s="63">
        <f t="shared" ca="1" si="41"/>
        <v>0</v>
      </c>
      <c r="AX26" s="57">
        <f ca="1">IFERROR(__xludf.DUMMYFUNCTION("IMPORTRANGE(""https://docs.google.com/spreadsheets/d/1p7ERhsr0qZeSn-KSOdeHS9r0heI-lHtkcn2OH7hP0jQ/edit?usp=sharing"",""ลำปาง!J499"")"),0)</f>
        <v>0</v>
      </c>
    </row>
    <row r="27" spans="1:50" ht="24" customHeight="1" x14ac:dyDescent="0.3">
      <c r="A27" s="54">
        <v>14</v>
      </c>
      <c r="B27" s="55" t="s">
        <v>48</v>
      </c>
      <c r="C27" s="56">
        <f t="shared" ca="1" si="55"/>
        <v>260423</v>
      </c>
      <c r="D27" s="57">
        <f ca="1">IFERROR(__xludf.DUMMYFUNCTION("IMPORTRANGE(""https://docs.google.com/spreadsheets/d/1-uUXvimVhiU2U0bMN-xi2te0tS4X7DI2GLPnMjzl8cA/edit?usp=sharing"",""ลำพูน!L472"")"),260423)</f>
        <v>260423</v>
      </c>
      <c r="E27" s="64">
        <f ca="1">IFERROR(__xludf.DUMMYFUNCTION("IMPORTRANGE(""https://docs.google.com/spreadsheets/d/1-uUXvimVhiU2U0bMN-xi2te0tS4X7DI2GLPnMjzl8cA/edit?usp=sharing"",""ลำพูน!L479"")"),0)</f>
        <v>0</v>
      </c>
      <c r="F27" s="64">
        <f ca="1">IFERROR(__xludf.DUMMYFUNCTION("IMPORTRANGE(""https://docs.google.com/spreadsheets/d/1-uUXvimVhiU2U0bMN-xi2te0tS4X7DI2GLPnMjzl8cA/edit?usp=sharing"",""ลำพูน!M472"")"),260423)</f>
        <v>260423</v>
      </c>
      <c r="G27" s="64">
        <f ca="1">IFERROR(__xludf.DUMMYFUNCTION("IMPORTRANGE(""https://docs.google.com/spreadsheets/d/1-uUXvimVhiU2U0bMN-xi2te0tS4X7DI2GLPnMjzl8cA/edit?usp=sharing"",""ลำพูน!M479"")"),0)</f>
        <v>0</v>
      </c>
      <c r="H27" s="58">
        <f t="shared" ca="1" si="34"/>
        <v>50585</v>
      </c>
      <c r="I27" s="59">
        <f t="shared" ca="1" si="1"/>
        <v>19.424167604243866</v>
      </c>
      <c r="J27" s="60">
        <f t="shared" ca="1" si="56"/>
        <v>50585</v>
      </c>
      <c r="K27" s="61">
        <f t="shared" ca="1" si="43"/>
        <v>19.424167604243866</v>
      </c>
      <c r="L27" s="61">
        <f t="shared" ca="1" si="44"/>
        <v>19.424167604243866</v>
      </c>
      <c r="M27" s="64">
        <f ca="1">IFERROR(__xludf.DUMMYFUNCTION("IMPORTRANGE(""https://docs.google.com/spreadsheets/d/1-uUXvimVhiU2U0bMN-xi2te0tS4X7DI2GLPnMjzl8cA/edit?usp=sharing"",""ลำพูน!N473"")"),34385)</f>
        <v>34385</v>
      </c>
      <c r="N27" s="64">
        <f ca="1">IFERROR(__xludf.DUMMYFUNCTION("IMPORTRANGE(""https://docs.google.com/spreadsheets/d/1-uUXvimVhiU2U0bMN-xi2te0tS4X7DI2GLPnMjzl8cA/edit?usp=sharing"",""ลำพูน!N474"")"),0)</f>
        <v>0</v>
      </c>
      <c r="O27" s="64">
        <f ca="1">IFERROR(__xludf.DUMMYFUNCTION("IMPORTRANGE(""https://docs.google.com/spreadsheets/d/1-uUXvimVhiU2U0bMN-xi2te0tS4X7DI2GLPnMjzl8cA/edit?usp=sharing"",""ลำพูน!N475"")"),0)</f>
        <v>0</v>
      </c>
      <c r="P27" s="64">
        <f ca="1">IFERROR(__xludf.DUMMYFUNCTION("IMPORTRANGE(""https://docs.google.com/spreadsheets/d/1-uUXvimVhiU2U0bMN-xi2te0tS4X7DI2GLPnMjzl8cA/edit?usp=sharing"",""ลำพูน!N476"")"),16200)</f>
        <v>16200</v>
      </c>
      <c r="Q27" s="62">
        <f ca="1">IFERROR(__xludf.DUMMYFUNCTION("IMPORTRANGE(""https://docs.google.com/spreadsheets/d/1-uUXvimVhiU2U0bMN-xi2te0tS4X7DI2GLPnMjzl8cA/edit?usp=sharing"",""ลำพูน!N479"")"),0)</f>
        <v>0</v>
      </c>
      <c r="R27" s="62">
        <f t="shared" ca="1" si="46"/>
        <v>0</v>
      </c>
      <c r="S27" s="57">
        <f ca="1">IFERROR(__xludf.DUMMYFUNCTION("IMPORTRANGE(""https://docs.google.com/spreadsheets/d/1-uUXvimVhiU2U0bMN-xi2te0tS4X7DI2GLPnMjzl8cA/edit?usp=sharing"",""ลำพูน!I465"")"),31)</f>
        <v>31</v>
      </c>
      <c r="T27" s="57">
        <f ca="1">IFERROR(__xludf.DUMMYFUNCTION("IMPORTRANGE(""https://docs.google.com/spreadsheets/d/1-uUXvimVhiU2U0bMN-xi2te0tS4X7DI2GLPnMjzl8cA/edit?usp=sharing"",""ลำพูน!I466"")"),300)</f>
        <v>300</v>
      </c>
      <c r="U27" s="57">
        <f ca="1">IFERROR(__xludf.DUMMYFUNCTION("IMPORTRANGE(""https://docs.google.com/spreadsheets/d/1-uUXvimVhiU2U0bMN-xi2te0tS4X7DI2GLPnMjzl8cA/edit?usp=sharing"",""ลำพูน!J465"")"),31)</f>
        <v>31</v>
      </c>
      <c r="V27" s="63">
        <f t="shared" ca="1" si="6"/>
        <v>100</v>
      </c>
      <c r="W27" s="57">
        <f ca="1">IFERROR(__xludf.DUMMYFUNCTION("IMPORTRANGE(""https://docs.google.com/spreadsheets/d/1-uUXvimVhiU2U0bMN-xi2te0tS4X7DI2GLPnMjzl8cA/edit?usp=sharing"",""ลำพูน!J466"")"),0)</f>
        <v>0</v>
      </c>
      <c r="X27" s="63">
        <f t="shared" ca="1" si="7"/>
        <v>0</v>
      </c>
      <c r="Y27" s="57">
        <f ca="1">IFERROR(__xludf.DUMMYFUNCTION("IMPORTRANGE(""https://docs.google.com/spreadsheets/d/1-uUXvimVhiU2U0bMN-xi2te0tS4X7DI2GLPnMjzl8cA/edit?usp=sharing"",""ลำพูน!I483"")"),270)</f>
        <v>270</v>
      </c>
      <c r="Z27" s="57">
        <f ca="1">IFERROR(__xludf.DUMMYFUNCTION("IMPORTRANGE(""https://docs.google.com/spreadsheets/d/1-uUXvimVhiU2U0bMN-xi2te0tS4X7DI2GLPnMjzl8cA/edit?usp=sharing"",""ลำพูน!J483"")"),270)</f>
        <v>270</v>
      </c>
      <c r="AA27" s="63">
        <f t="shared" ca="1" si="35"/>
        <v>100</v>
      </c>
      <c r="AB27" s="57">
        <f ca="1">IFERROR(__xludf.DUMMYFUNCTION("IMPORTRANGE(""https://docs.google.com/spreadsheets/d/1-uUXvimVhiU2U0bMN-xi2te0tS4X7DI2GLPnMjzl8cA/edit?usp=sharing"",""ลำพูน!J484"")"),30)</f>
        <v>30</v>
      </c>
      <c r="AC27" s="57">
        <f ca="1">IFERROR(__xludf.DUMMYFUNCTION("IMPORTRANGE(""https://docs.google.com/spreadsheets/d/1-uUXvimVhiU2U0bMN-xi2te0tS4X7DI2GLPnMjzl8cA/edit?usp=sharing"",""ลำพูน!I485"")"),27)</f>
        <v>27</v>
      </c>
      <c r="AD27" s="57">
        <f ca="1">IFERROR(__xludf.DUMMYFUNCTION("IMPORTRANGE(""https://docs.google.com/spreadsheets/d/1-uUXvimVhiU2U0bMN-xi2te0tS4X7DI2GLPnMjzl8cA/edit?usp=sharing"",""ลำพูน!J485"")"),27)</f>
        <v>27</v>
      </c>
      <c r="AE27" s="63">
        <f t="shared" ca="1" si="36"/>
        <v>100</v>
      </c>
      <c r="AF27" s="57">
        <f ca="1">IFERROR(__xludf.DUMMYFUNCTION("IMPORTRANGE(""https://docs.google.com/spreadsheets/d/1-uUXvimVhiU2U0bMN-xi2te0tS4X7DI2GLPnMjzl8cA/edit?usp=sharing"",""ลำพูน!I487"")"),30)</f>
        <v>30</v>
      </c>
      <c r="AG27" s="57">
        <f ca="1">IFERROR(__xludf.DUMMYFUNCTION("IMPORTRANGE(""https://docs.google.com/spreadsheets/d/1-uUXvimVhiU2U0bMN-xi2te0tS4X7DI2GLPnMjzl8cA/edit?usp=sharing"",""ลำพูน!J487"")"),30)</f>
        <v>30</v>
      </c>
      <c r="AH27" s="63">
        <f t="shared" ca="1" si="37"/>
        <v>100</v>
      </c>
      <c r="AI27" s="57">
        <f ca="1">IFERROR(__xludf.DUMMYFUNCTION("IMPORTRANGE(""https://docs.google.com/spreadsheets/d/1-uUXvimVhiU2U0bMN-xi2te0tS4X7DI2GLPnMjzl8cA/edit?usp=sharing"",""ลำพูน!J488"")"),8)</f>
        <v>8</v>
      </c>
      <c r="AJ27" s="57">
        <f ca="1">IFERROR(__xludf.DUMMYFUNCTION("IMPORTRANGE(""https://docs.google.com/spreadsheets/d/1-uUXvimVhiU2U0bMN-xi2te0tS4X7DI2GLPnMjzl8cA/edit?usp=sharing"",""ลำพูน!I489"")"),3)</f>
        <v>3</v>
      </c>
      <c r="AK27" s="57">
        <f ca="1">IFERROR(__xludf.DUMMYFUNCTION("IMPORTRANGE(""https://docs.google.com/spreadsheets/d/1-uUXvimVhiU2U0bMN-xi2te0tS4X7DI2GLPnMjzl8cA/edit?usp=sharing"",""ลำพูน!J489"")"),3)</f>
        <v>3</v>
      </c>
      <c r="AL27" s="63">
        <f t="shared" ca="1" si="38"/>
        <v>100</v>
      </c>
      <c r="AM27" s="57">
        <f ca="1">IFERROR(__xludf.DUMMYFUNCTION("IMPORTRANGE(""https://docs.google.com/spreadsheets/d/1-uUXvimVhiU2U0bMN-xi2te0tS4X7DI2GLPnMjzl8cA/edit?usp=sharing"",""ลำพูน!J491"")"),3)</f>
        <v>3</v>
      </c>
      <c r="AN27" s="57">
        <f ca="1">IFERROR(__xludf.DUMMYFUNCTION("IMPORTRANGE(""https://docs.google.com/spreadsheets/d/1-uUXvimVhiU2U0bMN-xi2te0tS4X7DI2GLPnMjzl8cA/edit?usp=sharing"",""ลำพูน!I492"")"),1)</f>
        <v>1</v>
      </c>
      <c r="AO27" s="57">
        <f ca="1">IFERROR(__xludf.DUMMYFUNCTION("IMPORTRANGE(""https://docs.google.com/spreadsheets/d/1-uUXvimVhiU2U0bMN-xi2te0tS4X7DI2GLPnMjzl8cA/edit?usp=sharing"",""ลำพูน!J492"")"),1)</f>
        <v>1</v>
      </c>
      <c r="AP27" s="63">
        <f t="shared" ca="1" si="39"/>
        <v>100</v>
      </c>
      <c r="AQ27" s="57">
        <f ca="1">IFERROR(__xludf.DUMMYFUNCTION("IMPORTRANGE(""https://docs.google.com/spreadsheets/d/1-uUXvimVhiU2U0bMN-xi2te0tS4X7DI2GLPnMjzl8cA/edit?usp=sharing"",""ลำพูน!I495"")"),270)</f>
        <v>270</v>
      </c>
      <c r="AR27" s="57">
        <f ca="1">IFERROR(__xludf.DUMMYFUNCTION("IMPORTRANGE(""https://docs.google.com/spreadsheets/d/1-uUXvimVhiU2U0bMN-xi2te0tS4X7DI2GLPnMjzl8cA/edit?usp=sharing"",""ลำพูน!J495"")"),0)</f>
        <v>0</v>
      </c>
      <c r="AS27" s="63">
        <f t="shared" ca="1" si="40"/>
        <v>0</v>
      </c>
      <c r="AT27" s="57">
        <f ca="1">IFERROR(__xludf.DUMMYFUNCTION("IMPORTRANGE(""https://docs.google.com/spreadsheets/d/1-uUXvimVhiU2U0bMN-xi2te0tS4X7DI2GLPnMjzl8cA/edit?usp=sharing"",""ลำพูน!J496"")"),0)</f>
        <v>0</v>
      </c>
      <c r="AU27" s="57">
        <f ca="1">IFERROR(__xludf.DUMMYFUNCTION("IMPORTRANGE(""https://docs.google.com/spreadsheets/d/1-uUXvimVhiU2U0bMN-xi2te0tS4X7DI2GLPnMjzl8cA/edit?usp=sharing"",""ลำพูน!I498"")"),30)</f>
        <v>30</v>
      </c>
      <c r="AV27" s="57">
        <f ca="1">IFERROR(__xludf.DUMMYFUNCTION("IMPORTRANGE(""https://docs.google.com/spreadsheets/d/1-uUXvimVhiU2U0bMN-xi2te0tS4X7DI2GLPnMjzl8cA/edit?usp=sharing"",""ลำพูน!J498"")"),0)</f>
        <v>0</v>
      </c>
      <c r="AW27" s="63">
        <f t="shared" ca="1" si="41"/>
        <v>0</v>
      </c>
      <c r="AX27" s="57">
        <f ca="1">IFERROR(__xludf.DUMMYFUNCTION("IMPORTRANGE(""https://docs.google.com/spreadsheets/d/1-uUXvimVhiU2U0bMN-xi2te0tS4X7DI2GLPnMjzl8cA/edit?usp=sharing"",""ลำพูน!J499"")"),0)</f>
        <v>0</v>
      </c>
    </row>
    <row r="28" spans="1:50" ht="24" customHeight="1" x14ac:dyDescent="0.3">
      <c r="A28" s="54">
        <v>15</v>
      </c>
      <c r="B28" s="55" t="s">
        <v>49</v>
      </c>
      <c r="C28" s="56">
        <f t="shared" ca="1" si="55"/>
        <v>257423</v>
      </c>
      <c r="D28" s="57">
        <f ca="1">IFERROR(__xludf.DUMMYFUNCTION("IMPORTRANGE(""https://docs.google.com/spreadsheets/d/17HrOaa5pBUI1onckFfumXB8xlg35qb2uBAFfF1D-Myo/edit?usp=sharing"",""สุโขทัย!L472"")"),257423)</f>
        <v>257423</v>
      </c>
      <c r="E28" s="64">
        <f ca="1">IFERROR(__xludf.DUMMYFUNCTION("IMPORTRANGE(""https://docs.google.com/spreadsheets/d/17HrOaa5pBUI1onckFfumXB8xlg35qb2uBAFfF1D-Myo/edit?usp=sharing"",""สุโขทัย!L479"")"),0)</f>
        <v>0</v>
      </c>
      <c r="F28" s="64">
        <f ca="1">IFERROR(__xludf.DUMMYFUNCTION("IMPORTRANGE(""https://docs.google.com/spreadsheets/d/17HrOaa5pBUI1onckFfumXB8xlg35qb2uBAFfF1D-Myo/edit?usp=sharing"",""สุโขทัย!M472"")"),257423)</f>
        <v>257423</v>
      </c>
      <c r="G28" s="64">
        <f ca="1">IFERROR(__xludf.DUMMYFUNCTION("IMPORTRANGE(""https://docs.google.com/spreadsheets/d/17HrOaa5pBUI1onckFfumXB8xlg35qb2uBAFfF1D-Myo/edit?usp=sharing"",""สุโขทัย!M479"")"),0)</f>
        <v>0</v>
      </c>
      <c r="H28" s="58">
        <f t="shared" ca="1" si="34"/>
        <v>48803</v>
      </c>
      <c r="I28" s="59">
        <f t="shared" ca="1" si="1"/>
        <v>18.958290440248152</v>
      </c>
      <c r="J28" s="60">
        <f t="shared" ca="1" si="56"/>
        <v>48803</v>
      </c>
      <c r="K28" s="61">
        <f t="shared" ca="1" si="43"/>
        <v>18.958290440248152</v>
      </c>
      <c r="L28" s="61">
        <f t="shared" ca="1" si="44"/>
        <v>18.958290440248152</v>
      </c>
      <c r="M28" s="64">
        <f ca="1">IFERROR(__xludf.DUMMYFUNCTION("IMPORTRANGE(""https://docs.google.com/spreadsheets/d/17HrOaa5pBUI1onckFfumXB8xlg35qb2uBAFfF1D-Myo/edit?usp=sharing"",""สุโขทัย!N473"")"),36753)</f>
        <v>36753</v>
      </c>
      <c r="N28" s="64">
        <f ca="1">IFERROR(__xludf.DUMMYFUNCTION("IMPORTRANGE(""https://docs.google.com/spreadsheets/d/17HrOaa5pBUI1onckFfumXB8xlg35qb2uBAFfF1D-Myo/edit?usp=sharing"",""สุโขทัย!N474"")"),0)</f>
        <v>0</v>
      </c>
      <c r="O28" s="64">
        <f ca="1">IFERROR(__xludf.DUMMYFUNCTION("IMPORTRANGE(""https://docs.google.com/spreadsheets/d/17HrOaa5pBUI1onckFfumXB8xlg35qb2uBAFfF1D-Myo/edit?usp=sharing"",""สุโขทัย!N475"")"),0)</f>
        <v>0</v>
      </c>
      <c r="P28" s="64">
        <f ca="1">IFERROR(__xludf.DUMMYFUNCTION("IMPORTRANGE(""https://docs.google.com/spreadsheets/d/17HrOaa5pBUI1onckFfumXB8xlg35qb2uBAFfF1D-Myo/edit?usp=sharing"",""สุโขทัย!N476"")"),12050)</f>
        <v>12050</v>
      </c>
      <c r="Q28" s="62">
        <f ca="1">IFERROR(__xludf.DUMMYFUNCTION("IMPORTRANGE(""https://docs.google.com/spreadsheets/d/17HrOaa5pBUI1onckFfumXB8xlg35qb2uBAFfF1D-Myo/edit?usp=sharing"",""สุโขทัย!N479"")"),0)</f>
        <v>0</v>
      </c>
      <c r="R28" s="62">
        <f t="shared" ca="1" si="46"/>
        <v>0</v>
      </c>
      <c r="S28" s="57">
        <f ca="1">IFERROR(__xludf.DUMMYFUNCTION("IMPORTRANGE(""https://docs.google.com/spreadsheets/d/17HrOaa5pBUI1onckFfumXB8xlg35qb2uBAFfF1D-Myo/edit?usp=sharing"",""สุโขทัย!I465"")"),31)</f>
        <v>31</v>
      </c>
      <c r="T28" s="57">
        <f ca="1">IFERROR(__xludf.DUMMYFUNCTION("IMPORTRANGE(""https://docs.google.com/spreadsheets/d/17HrOaa5pBUI1onckFfumXB8xlg35qb2uBAFfF1D-Myo/edit?usp=sharing"",""สุโขทัย!I466"")"),300)</f>
        <v>300</v>
      </c>
      <c r="U28" s="57">
        <f ca="1">IFERROR(__xludf.DUMMYFUNCTION("IMPORTRANGE(""https://docs.google.com/spreadsheets/d/17HrOaa5pBUI1onckFfumXB8xlg35qb2uBAFfF1D-Myo/edit?usp=sharing"",""สุโขทัย!J465"")"),31)</f>
        <v>31</v>
      </c>
      <c r="V28" s="63">
        <f t="shared" ca="1" si="6"/>
        <v>100</v>
      </c>
      <c r="W28" s="57">
        <f ca="1">IFERROR(__xludf.DUMMYFUNCTION("IMPORTRANGE(""https://docs.google.com/spreadsheets/d/17HrOaa5pBUI1onckFfumXB8xlg35qb2uBAFfF1D-Myo/edit?usp=sharing"",""สุโขทัย!J466"")"),0)</f>
        <v>0</v>
      </c>
      <c r="X28" s="63">
        <f t="shared" ca="1" si="7"/>
        <v>0</v>
      </c>
      <c r="Y28" s="57">
        <f ca="1">IFERROR(__xludf.DUMMYFUNCTION("IMPORTRANGE(""https://docs.google.com/spreadsheets/d/17HrOaa5pBUI1onckFfumXB8xlg35qb2uBAFfF1D-Myo/edit?usp=sharing"",""สุโขทัย!I483"")"),270)</f>
        <v>270</v>
      </c>
      <c r="Z28" s="57">
        <f ca="1">IFERROR(__xludf.DUMMYFUNCTION("IMPORTRANGE(""https://docs.google.com/spreadsheets/d/17HrOaa5pBUI1onckFfumXB8xlg35qb2uBAFfF1D-Myo/edit?usp=sharing"",""สุโขทัย!J483"")"),270)</f>
        <v>270</v>
      </c>
      <c r="AA28" s="63">
        <f t="shared" ca="1" si="35"/>
        <v>100</v>
      </c>
      <c r="AB28" s="57">
        <f ca="1">IFERROR(__xludf.DUMMYFUNCTION("IMPORTRANGE(""https://docs.google.com/spreadsheets/d/17HrOaa5pBUI1onckFfumXB8xlg35qb2uBAFfF1D-Myo/edit?usp=sharing"",""สุโขทัย!J484"")"),27)</f>
        <v>27</v>
      </c>
      <c r="AC28" s="57">
        <f ca="1">IFERROR(__xludf.DUMMYFUNCTION("IMPORTRANGE(""https://docs.google.com/spreadsheets/d/17HrOaa5pBUI1onckFfumXB8xlg35qb2uBAFfF1D-Myo/edit?usp=sharing"",""สุโขทัย!I485"")"),27)</f>
        <v>27</v>
      </c>
      <c r="AD28" s="57">
        <f ca="1">IFERROR(__xludf.DUMMYFUNCTION("IMPORTRANGE(""https://docs.google.com/spreadsheets/d/17HrOaa5pBUI1onckFfumXB8xlg35qb2uBAFfF1D-Myo/edit?usp=sharing"",""สุโขทัย!J485"")"),27)</f>
        <v>27</v>
      </c>
      <c r="AE28" s="63">
        <f t="shared" ca="1" si="36"/>
        <v>100</v>
      </c>
      <c r="AF28" s="57">
        <f ca="1">IFERROR(__xludf.DUMMYFUNCTION("IMPORTRANGE(""https://docs.google.com/spreadsheets/d/17HrOaa5pBUI1onckFfumXB8xlg35qb2uBAFfF1D-Myo/edit?usp=sharing"",""สุโขทัย!I487"")"),30)</f>
        <v>30</v>
      </c>
      <c r="AG28" s="57">
        <f ca="1">IFERROR(__xludf.DUMMYFUNCTION("IMPORTRANGE(""https://docs.google.com/spreadsheets/d/17HrOaa5pBUI1onckFfumXB8xlg35qb2uBAFfF1D-Myo/edit?usp=sharing"",""สุโขทัย!J487"")"),30)</f>
        <v>30</v>
      </c>
      <c r="AH28" s="63">
        <f t="shared" ca="1" si="37"/>
        <v>100</v>
      </c>
      <c r="AI28" s="57">
        <f ca="1">IFERROR(__xludf.DUMMYFUNCTION("IMPORTRANGE(""https://docs.google.com/spreadsheets/d/17HrOaa5pBUI1onckFfumXB8xlg35qb2uBAFfF1D-Myo/edit?usp=sharing"",""สุโขทัย!J488"")"),3)</f>
        <v>3</v>
      </c>
      <c r="AJ28" s="57">
        <f ca="1">IFERROR(__xludf.DUMMYFUNCTION("IMPORTRANGE(""https://docs.google.com/spreadsheets/d/17HrOaa5pBUI1onckFfumXB8xlg35qb2uBAFfF1D-Myo/edit?usp=sharing"",""สุโขทัย!I489"")"),3)</f>
        <v>3</v>
      </c>
      <c r="AK28" s="57">
        <f ca="1">IFERROR(__xludf.DUMMYFUNCTION("IMPORTRANGE(""https://docs.google.com/spreadsheets/d/17HrOaa5pBUI1onckFfumXB8xlg35qb2uBAFfF1D-Myo/edit?usp=sharing"",""สุโขทัย!J489"")"),3)</f>
        <v>3</v>
      </c>
      <c r="AL28" s="63">
        <f t="shared" ca="1" si="38"/>
        <v>100</v>
      </c>
      <c r="AM28" s="57">
        <f ca="1">IFERROR(__xludf.DUMMYFUNCTION("IMPORTRANGE(""https://docs.google.com/spreadsheets/d/17HrOaa5pBUI1onckFfumXB8xlg35qb2uBAFfF1D-Myo/edit?usp=sharing"",""สุโขทัย!J491"")"),0)</f>
        <v>0</v>
      </c>
      <c r="AN28" s="57">
        <f ca="1">IFERROR(__xludf.DUMMYFUNCTION("IMPORTRANGE(""https://docs.google.com/spreadsheets/d/17HrOaa5pBUI1onckFfumXB8xlg35qb2uBAFfF1D-Myo/edit?usp=sharing"",""สุโขทัย!I492"")"),1)</f>
        <v>1</v>
      </c>
      <c r="AO28" s="57">
        <f ca="1">IFERROR(__xludf.DUMMYFUNCTION("IMPORTRANGE(""https://docs.google.com/spreadsheets/d/17HrOaa5pBUI1onckFfumXB8xlg35qb2uBAFfF1D-Myo/edit?usp=sharing"",""สุโขทัย!J492"")"),1)</f>
        <v>1</v>
      </c>
      <c r="AP28" s="63">
        <f t="shared" ca="1" si="39"/>
        <v>100</v>
      </c>
      <c r="AQ28" s="57">
        <f ca="1">IFERROR(__xludf.DUMMYFUNCTION("IMPORTRANGE(""https://docs.google.com/spreadsheets/d/17HrOaa5pBUI1onckFfumXB8xlg35qb2uBAFfF1D-Myo/edit?usp=sharing"",""สุโขทัย!I495"")"),270)</f>
        <v>270</v>
      </c>
      <c r="AR28" s="57">
        <f ca="1">IFERROR(__xludf.DUMMYFUNCTION("IMPORTRANGE(""https://docs.google.com/spreadsheets/d/17HrOaa5pBUI1onckFfumXB8xlg35qb2uBAFfF1D-Myo/edit?usp=sharing"",""สุโขทัย!J495"")"),0)</f>
        <v>0</v>
      </c>
      <c r="AS28" s="63">
        <f t="shared" ca="1" si="40"/>
        <v>0</v>
      </c>
      <c r="AT28" s="57">
        <f ca="1">IFERROR(__xludf.DUMMYFUNCTION("IMPORTRANGE(""https://docs.google.com/spreadsheets/d/17HrOaa5pBUI1onckFfumXB8xlg35qb2uBAFfF1D-Myo/edit?usp=sharing"",""สุโขทัย!J496"")"),0)</f>
        <v>0</v>
      </c>
      <c r="AU28" s="57">
        <f ca="1">IFERROR(__xludf.DUMMYFUNCTION("IMPORTRANGE(""https://docs.google.com/spreadsheets/d/17HrOaa5pBUI1onckFfumXB8xlg35qb2uBAFfF1D-Myo/edit?usp=sharing"",""สุโขทัย!I498"")"),30)</f>
        <v>30</v>
      </c>
      <c r="AV28" s="57">
        <f ca="1">IFERROR(__xludf.DUMMYFUNCTION("IMPORTRANGE(""https://docs.google.com/spreadsheets/d/17HrOaa5pBUI1onckFfumXB8xlg35qb2uBAFfF1D-Myo/edit?usp=sharing"",""สุโขทัย!J498"")"),0)</f>
        <v>0</v>
      </c>
      <c r="AW28" s="63">
        <f t="shared" ca="1" si="41"/>
        <v>0</v>
      </c>
      <c r="AX28" s="57">
        <f ca="1">IFERROR(__xludf.DUMMYFUNCTION("IMPORTRANGE(""https://docs.google.com/spreadsheets/d/17HrOaa5pBUI1onckFfumXB8xlg35qb2uBAFfF1D-Myo/edit?usp=sharing"",""สุโขทัย!J499"")"),0)</f>
        <v>0</v>
      </c>
    </row>
    <row r="29" spans="1:50" ht="24" customHeight="1" x14ac:dyDescent="0.3">
      <c r="A29" s="54">
        <v>16</v>
      </c>
      <c r="B29" s="55" t="s">
        <v>50</v>
      </c>
      <c r="C29" s="56">
        <f t="shared" ca="1" si="55"/>
        <v>490033</v>
      </c>
      <c r="D29" s="57">
        <f ca="1">IFERROR(__xludf.DUMMYFUNCTION("IMPORTRANGE(""https://docs.google.com/spreadsheets/d/1ubs5cl16eYL9gHbdHTJtmtYb9MGzHBs7CAphn8kNCgM/edit?usp=sharing"",""อุตรดิตถ์!L472"")"),490033)</f>
        <v>490033</v>
      </c>
      <c r="E29" s="64">
        <f ca="1">IFERROR(__xludf.DUMMYFUNCTION("IMPORTRANGE(""https://docs.google.com/spreadsheets/d/1ubs5cl16eYL9gHbdHTJtmtYb9MGzHBs7CAphn8kNCgM/edit?usp=sharing"",""อุตรดิตถ์!L479"")"),0)</f>
        <v>0</v>
      </c>
      <c r="F29" s="64">
        <f ca="1">IFERROR(__xludf.DUMMYFUNCTION("IMPORTRANGE(""https://docs.google.com/spreadsheets/d/1ubs5cl16eYL9gHbdHTJtmtYb9MGzHBs7CAphn8kNCgM/edit?usp=sharing"",""อุตรดิตถ์!M472"")"),490033)</f>
        <v>490033</v>
      </c>
      <c r="G29" s="64">
        <f ca="1">IFERROR(__xludf.DUMMYFUNCTION("IMPORTRANGE(""https://docs.google.com/spreadsheets/d/1ubs5cl16eYL9gHbdHTJtmtYb9MGzHBs7CAphn8kNCgM/edit?usp=sharing"",""อุตรดิตถ์!M479"")"),0)</f>
        <v>0</v>
      </c>
      <c r="H29" s="58">
        <f t="shared" ca="1" si="34"/>
        <v>95245.5</v>
      </c>
      <c r="I29" s="59">
        <f t="shared" ca="1" si="1"/>
        <v>19.436548150838821</v>
      </c>
      <c r="J29" s="60">
        <f t="shared" ca="1" si="56"/>
        <v>95245.5</v>
      </c>
      <c r="K29" s="61">
        <f t="shared" ca="1" si="43"/>
        <v>19.436548150838821</v>
      </c>
      <c r="L29" s="61">
        <f t="shared" ca="1" si="44"/>
        <v>19.436548150838821</v>
      </c>
      <c r="M29" s="64">
        <f ca="1">IFERROR(__xludf.DUMMYFUNCTION("IMPORTRANGE(""https://docs.google.com/spreadsheets/d/1ubs5cl16eYL9gHbdHTJtmtYb9MGzHBs7CAphn8kNCgM/edit?usp=sharing"",""อุตรดิตถ์!N473"")"),76880)</f>
        <v>76880</v>
      </c>
      <c r="N29" s="64">
        <f ca="1">IFERROR(__xludf.DUMMYFUNCTION("IMPORTRANGE(""https://docs.google.com/spreadsheets/d/1ubs5cl16eYL9gHbdHTJtmtYb9MGzHBs7CAphn8kNCgM/edit?usp=sharing"",""อุตรดิตถ์!N474"")"),0)</f>
        <v>0</v>
      </c>
      <c r="O29" s="64">
        <f ca="1">IFERROR(__xludf.DUMMYFUNCTION("IMPORTRANGE(""https://docs.google.com/spreadsheets/d/1ubs5cl16eYL9gHbdHTJtmtYb9MGzHBs7CAphn8kNCgM/edit?usp=sharing"",""อุตรดิตถ์!N475"")"),0)</f>
        <v>0</v>
      </c>
      <c r="P29" s="64">
        <f ca="1">IFERROR(__xludf.DUMMYFUNCTION("IMPORTRANGE(""https://docs.google.com/spreadsheets/d/1ubs5cl16eYL9gHbdHTJtmtYb9MGzHBs7CAphn8kNCgM/edit?usp=sharing"",""อุตรดิตถ์!N476"")"),18365.5)</f>
        <v>18365.5</v>
      </c>
      <c r="Q29" s="62">
        <f ca="1">IFERROR(__xludf.DUMMYFUNCTION("IMPORTRANGE(""https://docs.google.com/spreadsheets/d/1ubs5cl16eYL9gHbdHTJtmtYb9MGzHBs7CAphn8kNCgM/edit?usp=sharing"",""อุตรดิตถ์!N479"")"),0)</f>
        <v>0</v>
      </c>
      <c r="R29" s="62">
        <f t="shared" ca="1" si="46"/>
        <v>0</v>
      </c>
      <c r="S29" s="57">
        <f ca="1">IFERROR(__xludf.DUMMYFUNCTION("IMPORTRANGE(""https://docs.google.com/spreadsheets/d/1ubs5cl16eYL9gHbdHTJtmtYb9MGzHBs7CAphn8kNCgM/edit?usp=sharing"",""อุตรดิตถ์!I465"")"),61)</f>
        <v>61</v>
      </c>
      <c r="T29" s="57">
        <f ca="1">IFERROR(__xludf.DUMMYFUNCTION("IMPORTRANGE(""https://docs.google.com/spreadsheets/d/1ubs5cl16eYL9gHbdHTJtmtYb9MGzHBs7CAphn8kNCgM/edit?usp=sharing"",""อุตรดิตถ์!I466"")"),600)</f>
        <v>600</v>
      </c>
      <c r="U29" s="57">
        <f ca="1">IFERROR(__xludf.DUMMYFUNCTION("IMPORTRANGE(""https://docs.google.com/spreadsheets/d/1ubs5cl16eYL9gHbdHTJtmtYb9MGzHBs7CAphn8kNCgM/edit?usp=sharing"",""อุตรดิตถ์!J465"")"),61)</f>
        <v>61</v>
      </c>
      <c r="V29" s="63">
        <f t="shared" ca="1" si="6"/>
        <v>100</v>
      </c>
      <c r="W29" s="57">
        <f ca="1">IFERROR(__xludf.DUMMYFUNCTION("IMPORTRANGE(""https://docs.google.com/spreadsheets/d/1ubs5cl16eYL9gHbdHTJtmtYb9MGzHBs7CAphn8kNCgM/edit?usp=sharing"",""อุตรดิตถ์!J466"")"),0)</f>
        <v>0</v>
      </c>
      <c r="X29" s="63">
        <f t="shared" ca="1" si="7"/>
        <v>0</v>
      </c>
      <c r="Y29" s="57">
        <f ca="1">IFERROR(__xludf.DUMMYFUNCTION("IMPORTRANGE(""https://docs.google.com/spreadsheets/d/1ubs5cl16eYL9gHbdHTJtmtYb9MGzHBs7CAphn8kNCgM/edit?usp=sharing"",""อุตรดิตถ์!I483"")"),540)</f>
        <v>540</v>
      </c>
      <c r="Z29" s="57">
        <f ca="1">IFERROR(__xludf.DUMMYFUNCTION("IMPORTRANGE(""https://docs.google.com/spreadsheets/d/1ubs5cl16eYL9gHbdHTJtmtYb9MGzHBs7CAphn8kNCgM/edit?usp=sharing"",""อุตรดิตถ์!J483"")"),540)</f>
        <v>540</v>
      </c>
      <c r="AA29" s="63">
        <f t="shared" ca="1" si="35"/>
        <v>100</v>
      </c>
      <c r="AB29" s="57">
        <f ca="1">IFERROR(__xludf.DUMMYFUNCTION("IMPORTRANGE(""https://docs.google.com/spreadsheets/d/1ubs5cl16eYL9gHbdHTJtmtYb9MGzHBs7CAphn8kNCgM/edit?usp=sharing"",""อุตรดิตถ์!J484"")"),0)</f>
        <v>0</v>
      </c>
      <c r="AC29" s="57">
        <f ca="1">IFERROR(__xludf.DUMMYFUNCTION("IMPORTRANGE(""https://docs.google.com/spreadsheets/d/1ubs5cl16eYL9gHbdHTJtmtYb9MGzHBs7CAphn8kNCgM/edit?usp=sharing"",""อุตรดิตถ์!I485"")"),54)</f>
        <v>54</v>
      </c>
      <c r="AD29" s="57">
        <f ca="1">IFERROR(__xludf.DUMMYFUNCTION("IMPORTRANGE(""https://docs.google.com/spreadsheets/d/1ubs5cl16eYL9gHbdHTJtmtYb9MGzHBs7CAphn8kNCgM/edit?usp=sharing"",""อุตรดิตถ์!J485"")"),54)</f>
        <v>54</v>
      </c>
      <c r="AE29" s="63">
        <f t="shared" ca="1" si="36"/>
        <v>100</v>
      </c>
      <c r="AF29" s="57">
        <f ca="1">IFERROR(__xludf.DUMMYFUNCTION("IMPORTRANGE(""https://docs.google.com/spreadsheets/d/1ubs5cl16eYL9gHbdHTJtmtYb9MGzHBs7CAphn8kNCgM/edit?usp=sharing"",""อุตรดิตถ์!I487"")"),60)</f>
        <v>60</v>
      </c>
      <c r="AG29" s="57">
        <f ca="1">IFERROR(__xludf.DUMMYFUNCTION("IMPORTRANGE(""https://docs.google.com/spreadsheets/d/1ubs5cl16eYL9gHbdHTJtmtYb9MGzHBs7CAphn8kNCgM/edit?usp=sharing"",""อุตรดิตถ์!J487"")"),60)</f>
        <v>60</v>
      </c>
      <c r="AH29" s="63">
        <f t="shared" ca="1" si="37"/>
        <v>100</v>
      </c>
      <c r="AI29" s="57">
        <f ca="1">IFERROR(__xludf.DUMMYFUNCTION("IMPORTRANGE(""https://docs.google.com/spreadsheets/d/1ubs5cl16eYL9gHbdHTJtmtYb9MGzHBs7CAphn8kNCgM/edit?usp=sharing"",""อุตรดิตถ์!J488"")"),0)</f>
        <v>0</v>
      </c>
      <c r="AJ29" s="57">
        <f ca="1">IFERROR(__xludf.DUMMYFUNCTION("IMPORTRANGE(""https://docs.google.com/spreadsheets/d/1ubs5cl16eYL9gHbdHTJtmtYb9MGzHBs7CAphn8kNCgM/edit?usp=sharing"",""อุตรดิตถ์!I489"")"),6)</f>
        <v>6</v>
      </c>
      <c r="AK29" s="57">
        <f ca="1">IFERROR(__xludf.DUMMYFUNCTION("IMPORTRANGE(""https://docs.google.com/spreadsheets/d/1ubs5cl16eYL9gHbdHTJtmtYb9MGzHBs7CAphn8kNCgM/edit?usp=sharing"",""อุตรดิตถ์!J489"")"),6)</f>
        <v>6</v>
      </c>
      <c r="AL29" s="63">
        <f t="shared" ca="1" si="38"/>
        <v>100</v>
      </c>
      <c r="AM29" s="57">
        <f ca="1">IFERROR(__xludf.DUMMYFUNCTION("IMPORTRANGE(""https://docs.google.com/spreadsheets/d/1ubs5cl16eYL9gHbdHTJtmtYb9MGzHBs7CAphn8kNCgM/edit?usp=sharing"",""อุตรดิตถ์!J491"")"),0)</f>
        <v>0</v>
      </c>
      <c r="AN29" s="57">
        <f ca="1">IFERROR(__xludf.DUMMYFUNCTION("IMPORTRANGE(""https://docs.google.com/spreadsheets/d/1ubs5cl16eYL9gHbdHTJtmtYb9MGzHBs7CAphn8kNCgM/edit?usp=sharing"",""อุตรดิตถ์!I492"")"),1)</f>
        <v>1</v>
      </c>
      <c r="AO29" s="57">
        <f ca="1">IFERROR(__xludf.DUMMYFUNCTION("IMPORTRANGE(""https://docs.google.com/spreadsheets/d/1ubs5cl16eYL9gHbdHTJtmtYb9MGzHBs7CAphn8kNCgM/edit?usp=sharing"",""อุตรดิตถ์!J492"")"),1)</f>
        <v>1</v>
      </c>
      <c r="AP29" s="63">
        <f t="shared" ca="1" si="39"/>
        <v>100</v>
      </c>
      <c r="AQ29" s="57">
        <f ca="1">IFERROR(__xludf.DUMMYFUNCTION("IMPORTRANGE(""https://docs.google.com/spreadsheets/d/1ubs5cl16eYL9gHbdHTJtmtYb9MGzHBs7CAphn8kNCgM/edit?usp=sharing"",""อุตรดิตถ์!I495"")"),540)</f>
        <v>540</v>
      </c>
      <c r="AR29" s="57">
        <f ca="1">IFERROR(__xludf.DUMMYFUNCTION("IMPORTRANGE(""https://docs.google.com/spreadsheets/d/1ubs5cl16eYL9gHbdHTJtmtYb9MGzHBs7CAphn8kNCgM/edit?usp=sharing"",""อุตรดิตถ์!J495"")"),0)</f>
        <v>0</v>
      </c>
      <c r="AS29" s="63">
        <f t="shared" ca="1" si="40"/>
        <v>0</v>
      </c>
      <c r="AT29" s="57">
        <f ca="1">IFERROR(__xludf.DUMMYFUNCTION("IMPORTRANGE(""https://docs.google.com/spreadsheets/d/1ubs5cl16eYL9gHbdHTJtmtYb9MGzHBs7CAphn8kNCgM/edit?usp=sharing"",""อุตรดิตถ์!J496"")"),0)</f>
        <v>0</v>
      </c>
      <c r="AU29" s="57">
        <f ca="1">IFERROR(__xludf.DUMMYFUNCTION("IMPORTRANGE(""https://docs.google.com/spreadsheets/d/1ubs5cl16eYL9gHbdHTJtmtYb9MGzHBs7CAphn8kNCgM/edit?usp=sharing"",""อุตรดิตถ์!I498"")"),60)</f>
        <v>60</v>
      </c>
      <c r="AV29" s="57">
        <f ca="1">IFERROR(__xludf.DUMMYFUNCTION("IMPORTRANGE(""https://docs.google.com/spreadsheets/d/1ubs5cl16eYL9gHbdHTJtmtYb9MGzHBs7CAphn8kNCgM/edit?usp=sharing"",""อุตรดิตถ์!J498"")"),0)</f>
        <v>0</v>
      </c>
      <c r="AW29" s="63">
        <f t="shared" ca="1" si="41"/>
        <v>0</v>
      </c>
      <c r="AX29" s="57">
        <f ca="1">IFERROR(__xludf.DUMMYFUNCTION("IMPORTRANGE(""https://docs.google.com/spreadsheets/d/1ubs5cl16eYL9gHbdHTJtmtYb9MGzHBs7CAphn8kNCgM/edit?usp=sharing"",""อุตรดิตถ์!J499"")"),0)</f>
        <v>0</v>
      </c>
    </row>
    <row r="30" spans="1:50" ht="24" customHeight="1" x14ac:dyDescent="0.3">
      <c r="A30" s="65">
        <v>17</v>
      </c>
      <c r="B30" s="66" t="s">
        <v>51</v>
      </c>
      <c r="C30" s="67">
        <f t="shared" ca="1" si="55"/>
        <v>1167048</v>
      </c>
      <c r="D30" s="68">
        <f ca="1">IFERROR(__xludf.DUMMYFUNCTION("IMPORTRANGE(""https://docs.google.com/spreadsheets/d/1kII0BjS6CtVrBvI8IrytgPdxDrlyQDyigzMsohRtDMs/edit?usp=sharing"",""อุทัยธานี!L472"")"),1167048)</f>
        <v>1167048</v>
      </c>
      <c r="E30" s="69">
        <f ca="1">IFERROR(__xludf.DUMMYFUNCTION("IMPORTRANGE(""https://docs.google.com/spreadsheets/d/1kII0BjS6CtVrBvI8IrytgPdxDrlyQDyigzMsohRtDMs/edit?usp=sharing"",""อุทัยธานี!L479"")"),0)</f>
        <v>0</v>
      </c>
      <c r="F30" s="69">
        <f ca="1">IFERROR(__xludf.DUMMYFUNCTION("IMPORTRANGE(""https://docs.google.com/spreadsheets/d/1kII0BjS6CtVrBvI8IrytgPdxDrlyQDyigzMsohRtDMs/edit?usp=sharing"",""อุทัยธานี!M472"")"),1167048)</f>
        <v>1167048</v>
      </c>
      <c r="G30" s="69">
        <f ca="1">IFERROR(__xludf.DUMMYFUNCTION("IMPORTRANGE(""https://docs.google.com/spreadsheets/d/1kII0BjS6CtVrBvI8IrytgPdxDrlyQDyigzMsohRtDMs/edit?usp=sharing"",""อุทัยธานี!M479"")"),0)</f>
        <v>0</v>
      </c>
      <c r="H30" s="70">
        <f t="shared" ca="1" si="34"/>
        <v>271573</v>
      </c>
      <c r="I30" s="71">
        <f t="shared" ca="1" si="1"/>
        <v>23.270079722513554</v>
      </c>
      <c r="J30" s="72">
        <f t="shared" ca="1" si="56"/>
        <v>271573</v>
      </c>
      <c r="K30" s="73">
        <f t="shared" ca="1" si="43"/>
        <v>23.270079722513554</v>
      </c>
      <c r="L30" s="73">
        <f t="shared" ca="1" si="44"/>
        <v>23.270079722513554</v>
      </c>
      <c r="M30" s="69">
        <f ca="1">IFERROR(__xludf.DUMMYFUNCTION("IMPORTRANGE(""https://docs.google.com/spreadsheets/d/1kII0BjS6CtVrBvI8IrytgPdxDrlyQDyigzMsohRtDMs/edit?usp=sharing"",""อุทัยธานี!N473"")"),160753)</f>
        <v>160753</v>
      </c>
      <c r="N30" s="69">
        <f ca="1">IFERROR(__xludf.DUMMYFUNCTION("IMPORTRANGE(""https://docs.google.com/spreadsheets/d/1kII0BjS6CtVrBvI8IrytgPdxDrlyQDyigzMsohRtDMs/edit?usp=sharing"",""อุทัยธานี!N474"")"),0)</f>
        <v>0</v>
      </c>
      <c r="O30" s="69">
        <f ca="1">IFERROR(__xludf.DUMMYFUNCTION("IMPORTRANGE(""https://docs.google.com/spreadsheets/d/1kII0BjS6CtVrBvI8IrytgPdxDrlyQDyigzMsohRtDMs/edit?usp=sharing"",""อุทัยธานี!N475"")"),63696)</f>
        <v>63696</v>
      </c>
      <c r="P30" s="69">
        <f ca="1">IFERROR(__xludf.DUMMYFUNCTION("IMPORTRANGE(""https://docs.google.com/spreadsheets/d/1kII0BjS6CtVrBvI8IrytgPdxDrlyQDyigzMsohRtDMs/edit?usp=sharing"",""อุทัยธานี!N476"")"),47124)</f>
        <v>47124</v>
      </c>
      <c r="Q30" s="74">
        <f ca="1">IFERROR(__xludf.DUMMYFUNCTION("IMPORTRANGE(""https://docs.google.com/spreadsheets/d/1kII0BjS6CtVrBvI8IrytgPdxDrlyQDyigzMsohRtDMs/edit?usp=sharing"",""อุทัยธานี!N479"")"),0)</f>
        <v>0</v>
      </c>
      <c r="R30" s="74">
        <f t="shared" ca="1" si="46"/>
        <v>0</v>
      </c>
      <c r="S30" s="68">
        <f ca="1">IFERROR(__xludf.DUMMYFUNCTION("IMPORTRANGE(""https://docs.google.com/spreadsheets/d/1kII0BjS6CtVrBvI8IrytgPdxDrlyQDyigzMsohRtDMs/edit?usp=sharing"",""อุทัยธานี!I465"")"),131)</f>
        <v>131</v>
      </c>
      <c r="T30" s="68">
        <f ca="1">IFERROR(__xludf.DUMMYFUNCTION("IMPORTRANGE(""https://docs.google.com/spreadsheets/d/1kII0BjS6CtVrBvI8IrytgPdxDrlyQDyigzMsohRtDMs/edit?usp=sharing"",""อุทัยธานี!I466"")"),1300)</f>
        <v>1300</v>
      </c>
      <c r="U30" s="68">
        <f ca="1">IFERROR(__xludf.DUMMYFUNCTION("IMPORTRANGE(""https://docs.google.com/spreadsheets/d/1kII0BjS6CtVrBvI8IrytgPdxDrlyQDyigzMsohRtDMs/edit?usp=sharing"",""อุทัยธานี!J465"")"),131)</f>
        <v>131</v>
      </c>
      <c r="V30" s="75">
        <f t="shared" ca="1" si="6"/>
        <v>100</v>
      </c>
      <c r="W30" s="68">
        <f ca="1">IFERROR(__xludf.DUMMYFUNCTION("IMPORTRANGE(""https://docs.google.com/spreadsheets/d/1kII0BjS6CtVrBvI8IrytgPdxDrlyQDyigzMsohRtDMs/edit?usp=sharing"",""อุทัยธานี!J466"")"),0)</f>
        <v>0</v>
      </c>
      <c r="X30" s="75">
        <f t="shared" ca="1" si="7"/>
        <v>0</v>
      </c>
      <c r="Y30" s="68">
        <f ca="1">IFERROR(__xludf.DUMMYFUNCTION("IMPORTRANGE(""https://docs.google.com/spreadsheets/d/1kII0BjS6CtVrBvI8IrytgPdxDrlyQDyigzMsohRtDMs/edit?usp=sharing"",""อุทัยธานี!I483"")"),1170)</f>
        <v>1170</v>
      </c>
      <c r="Z30" s="68">
        <f ca="1">IFERROR(__xludf.DUMMYFUNCTION("IMPORTRANGE(""https://docs.google.com/spreadsheets/d/1kII0BjS6CtVrBvI8IrytgPdxDrlyQDyigzMsohRtDMs/edit?usp=sharing"",""อุทัยธานี!J483"")"),1170)</f>
        <v>1170</v>
      </c>
      <c r="AA30" s="75">
        <f t="shared" ca="1" si="35"/>
        <v>100</v>
      </c>
      <c r="AB30" s="68">
        <f ca="1">IFERROR(__xludf.DUMMYFUNCTION("IMPORTRANGE(""https://docs.google.com/spreadsheets/d/1kII0BjS6CtVrBvI8IrytgPdxDrlyQDyigzMsohRtDMs/edit?usp=sharing"",""อุทัยธานี!J484"")"),117)</f>
        <v>117</v>
      </c>
      <c r="AC30" s="68">
        <f ca="1">IFERROR(__xludf.DUMMYFUNCTION("IMPORTRANGE(""https://docs.google.com/spreadsheets/d/1kII0BjS6CtVrBvI8IrytgPdxDrlyQDyigzMsohRtDMs/edit?usp=sharing"",""อุทัยธานี!I485"")"),117)</f>
        <v>117</v>
      </c>
      <c r="AD30" s="68">
        <f ca="1">IFERROR(__xludf.DUMMYFUNCTION("IMPORTRANGE(""https://docs.google.com/spreadsheets/d/1kII0BjS6CtVrBvI8IrytgPdxDrlyQDyigzMsohRtDMs/edit?usp=sharing"",""อุทัยธานี!J485"")"),117)</f>
        <v>117</v>
      </c>
      <c r="AE30" s="75">
        <f t="shared" ca="1" si="36"/>
        <v>100</v>
      </c>
      <c r="AF30" s="68">
        <f ca="1">IFERROR(__xludf.DUMMYFUNCTION("IMPORTRANGE(""https://docs.google.com/spreadsheets/d/1kII0BjS6CtVrBvI8IrytgPdxDrlyQDyigzMsohRtDMs/edit?usp=sharing"",""อุทัยธานี!I487"")"),130)</f>
        <v>130</v>
      </c>
      <c r="AG30" s="68">
        <f ca="1">IFERROR(__xludf.DUMMYFUNCTION("IMPORTRANGE(""https://docs.google.com/spreadsheets/d/1kII0BjS6CtVrBvI8IrytgPdxDrlyQDyigzMsohRtDMs/edit?usp=sharing"",""อุทัยธานี!J487"")"),130)</f>
        <v>130</v>
      </c>
      <c r="AH30" s="75">
        <f t="shared" ca="1" si="37"/>
        <v>100</v>
      </c>
      <c r="AI30" s="68">
        <f ca="1">IFERROR(__xludf.DUMMYFUNCTION("IMPORTRANGE(""https://docs.google.com/spreadsheets/d/1kII0BjS6CtVrBvI8IrytgPdxDrlyQDyigzMsohRtDMs/edit?usp=sharing"",""อุทัยธานี!J488"")"),0)</f>
        <v>0</v>
      </c>
      <c r="AJ30" s="68">
        <f ca="1">IFERROR(__xludf.DUMMYFUNCTION("IMPORTRANGE(""https://docs.google.com/spreadsheets/d/1kII0BjS6CtVrBvI8IrytgPdxDrlyQDyigzMsohRtDMs/edit?usp=sharing"",""อุทัยธานี!I489"")"),13)</f>
        <v>13</v>
      </c>
      <c r="AK30" s="68">
        <f ca="1">IFERROR(__xludf.DUMMYFUNCTION("IMPORTRANGE(""https://docs.google.com/spreadsheets/d/1kII0BjS6CtVrBvI8IrytgPdxDrlyQDyigzMsohRtDMs/edit?usp=sharing"",""อุทัยธานี!J489"")"),13)</f>
        <v>13</v>
      </c>
      <c r="AL30" s="75">
        <f t="shared" ca="1" si="38"/>
        <v>100</v>
      </c>
      <c r="AM30" s="68">
        <f ca="1">IFERROR(__xludf.DUMMYFUNCTION("IMPORTRANGE(""https://docs.google.com/spreadsheets/d/1kII0BjS6CtVrBvI8IrytgPdxDrlyQDyigzMsohRtDMs/edit?usp=sharing"",""อุทัยธานี!J491"")"),0)</f>
        <v>0</v>
      </c>
      <c r="AN30" s="68">
        <f ca="1">IFERROR(__xludf.DUMMYFUNCTION("IMPORTRANGE(""https://docs.google.com/spreadsheets/d/1kII0BjS6CtVrBvI8IrytgPdxDrlyQDyigzMsohRtDMs/edit?usp=sharing"",""อุทัยธานี!I492"")"),1)</f>
        <v>1</v>
      </c>
      <c r="AO30" s="68">
        <f ca="1">IFERROR(__xludf.DUMMYFUNCTION("IMPORTRANGE(""https://docs.google.com/spreadsheets/d/1kII0BjS6CtVrBvI8IrytgPdxDrlyQDyigzMsohRtDMs/edit?usp=sharing"",""อุทัยธานี!J492"")"),1)</f>
        <v>1</v>
      </c>
      <c r="AP30" s="75">
        <f t="shared" ca="1" si="39"/>
        <v>100</v>
      </c>
      <c r="AQ30" s="68">
        <f ca="1">IFERROR(__xludf.DUMMYFUNCTION("IMPORTRANGE(""https://docs.google.com/spreadsheets/d/1kII0BjS6CtVrBvI8IrytgPdxDrlyQDyigzMsohRtDMs/edit?usp=sharing"",""อุทัยธานี!I495"")"),1170)</f>
        <v>1170</v>
      </c>
      <c r="AR30" s="68">
        <f ca="1">IFERROR(__xludf.DUMMYFUNCTION("IMPORTRANGE(""https://docs.google.com/spreadsheets/d/1kII0BjS6CtVrBvI8IrytgPdxDrlyQDyigzMsohRtDMs/edit?usp=sharing"",""อุทัยธานี!J495"")"),0)</f>
        <v>0</v>
      </c>
      <c r="AS30" s="75">
        <f t="shared" ca="1" si="40"/>
        <v>0</v>
      </c>
      <c r="AT30" s="68">
        <f ca="1">IFERROR(__xludf.DUMMYFUNCTION("IMPORTRANGE(""https://docs.google.com/spreadsheets/d/1kII0BjS6CtVrBvI8IrytgPdxDrlyQDyigzMsohRtDMs/edit?usp=sharing"",""อุทัยธานี!J496"")"),0)</f>
        <v>0</v>
      </c>
      <c r="AU30" s="68">
        <f ca="1">IFERROR(__xludf.DUMMYFUNCTION("IMPORTRANGE(""https://docs.google.com/spreadsheets/d/1kII0BjS6CtVrBvI8IrytgPdxDrlyQDyigzMsohRtDMs/edit?usp=sharing"",""อุทัยธานี!I498"")"),130)</f>
        <v>130</v>
      </c>
      <c r="AV30" s="68">
        <f ca="1">IFERROR(__xludf.DUMMYFUNCTION("IMPORTRANGE(""https://docs.google.com/spreadsheets/d/1kII0BjS6CtVrBvI8IrytgPdxDrlyQDyigzMsohRtDMs/edit?usp=sharing"",""อุทัยธานี!J498"")"),0)</f>
        <v>0</v>
      </c>
      <c r="AW30" s="75">
        <f t="shared" ca="1" si="41"/>
        <v>0</v>
      </c>
      <c r="AX30" s="68">
        <f ca="1">IFERROR(__xludf.DUMMYFUNCTION("IMPORTRANGE(""https://docs.google.com/spreadsheets/d/1kII0BjS6CtVrBvI8IrytgPdxDrlyQDyigzMsohRtDMs/edit?usp=sharing"",""อุทัยธานี!J499"")"),0)</f>
        <v>0</v>
      </c>
    </row>
    <row r="31" spans="1:50" ht="21" customHeight="1" x14ac:dyDescent="0.3">
      <c r="A31" s="177" t="s">
        <v>52</v>
      </c>
      <c r="B31" s="178"/>
      <c r="C31" s="76">
        <f t="shared" ref="C31:G31" ca="1" si="57">SUM(C32:C51)</f>
        <v>16763735</v>
      </c>
      <c r="D31" s="34">
        <f t="shared" ca="1" si="57"/>
        <v>16763735</v>
      </c>
      <c r="E31" s="34">
        <f t="shared" ca="1" si="57"/>
        <v>0</v>
      </c>
      <c r="F31" s="34">
        <f t="shared" ca="1" si="57"/>
        <v>16763735</v>
      </c>
      <c r="G31" s="34">
        <f t="shared" ca="1" si="57"/>
        <v>0</v>
      </c>
      <c r="H31" s="34">
        <f t="shared" ca="1" si="34"/>
        <v>4056947.3600000003</v>
      </c>
      <c r="I31" s="35">
        <f t="shared" ca="1" si="1"/>
        <v>24.20073664967861</v>
      </c>
      <c r="J31" s="34">
        <f ca="1">SUM(J32:J51)</f>
        <v>4056947.3600000003</v>
      </c>
      <c r="K31" s="35">
        <f t="shared" ca="1" si="43"/>
        <v>24.20073664967861</v>
      </c>
      <c r="L31" s="35">
        <f t="shared" ca="1" si="44"/>
        <v>24.20073664967861</v>
      </c>
      <c r="M31" s="34">
        <f t="shared" ref="M31:Q31" ca="1" si="58">SUM(M32:M51)</f>
        <v>1971737.3</v>
      </c>
      <c r="N31" s="34">
        <f t="shared" ca="1" si="58"/>
        <v>821050</v>
      </c>
      <c r="O31" s="34">
        <f t="shared" ca="1" si="58"/>
        <v>750624.06</v>
      </c>
      <c r="P31" s="34">
        <f t="shared" ca="1" si="58"/>
        <v>513536</v>
      </c>
      <c r="Q31" s="36">
        <f t="shared" ca="1" si="58"/>
        <v>0</v>
      </c>
      <c r="R31" s="36">
        <f t="shared" ca="1" si="46"/>
        <v>0</v>
      </c>
      <c r="S31" s="34">
        <f t="shared" ref="S31:U31" ca="1" si="59">SUM(S32:S51)</f>
        <v>1920</v>
      </c>
      <c r="T31" s="34">
        <f t="shared" ca="1" si="59"/>
        <v>19000</v>
      </c>
      <c r="U31" s="34">
        <f t="shared" ca="1" si="59"/>
        <v>1929</v>
      </c>
      <c r="V31" s="37">
        <f t="shared" ca="1" si="6"/>
        <v>100.46875</v>
      </c>
      <c r="W31" s="34">
        <f ca="1">SUM(W32:W51)</f>
        <v>1300</v>
      </c>
      <c r="X31" s="37">
        <f t="shared" ca="1" si="7"/>
        <v>6.8421052631578947</v>
      </c>
      <c r="Y31" s="34">
        <f t="shared" ref="Y31:Z31" ca="1" si="60">SUM(Y32:Y51)</f>
        <v>17100</v>
      </c>
      <c r="Z31" s="34">
        <f t="shared" ca="1" si="60"/>
        <v>17177</v>
      </c>
      <c r="AA31" s="37">
        <f t="shared" ca="1" si="35"/>
        <v>100.45029239766082</v>
      </c>
      <c r="AB31" s="34">
        <f t="shared" ref="AB31:AD31" ca="1" si="61">SUM(AB32:AB51)</f>
        <v>1055</v>
      </c>
      <c r="AC31" s="34">
        <f t="shared" ca="1" si="61"/>
        <v>1710</v>
      </c>
      <c r="AD31" s="34">
        <f t="shared" ca="1" si="61"/>
        <v>1703</v>
      </c>
      <c r="AE31" s="37">
        <f t="shared" ca="1" si="36"/>
        <v>99.590643274853804</v>
      </c>
      <c r="AF31" s="34">
        <f t="shared" ref="AF31:AG31" ca="1" si="62">SUM(AF32:AF51)</f>
        <v>1900</v>
      </c>
      <c r="AG31" s="34">
        <f t="shared" ca="1" si="62"/>
        <v>1827</v>
      </c>
      <c r="AH31" s="37">
        <f t="shared" ca="1" si="37"/>
        <v>96.15789473684211</v>
      </c>
      <c r="AI31" s="34">
        <f t="shared" ref="AI31:AK31" ca="1" si="63">SUM(AI32:AI51)</f>
        <v>104</v>
      </c>
      <c r="AJ31" s="34">
        <f t="shared" ca="1" si="63"/>
        <v>190</v>
      </c>
      <c r="AK31" s="34">
        <f t="shared" ca="1" si="63"/>
        <v>207</v>
      </c>
      <c r="AL31" s="37">
        <f t="shared" ca="1" si="38"/>
        <v>108.94736842105263</v>
      </c>
      <c r="AM31" s="34">
        <f t="shared" ref="AM31:AO31" ca="1" si="64">SUM(AM32:AM51)</f>
        <v>9</v>
      </c>
      <c r="AN31" s="34">
        <f t="shared" ca="1" si="64"/>
        <v>20</v>
      </c>
      <c r="AO31" s="34">
        <f t="shared" ca="1" si="64"/>
        <v>19</v>
      </c>
      <c r="AP31" s="37">
        <f t="shared" ca="1" si="39"/>
        <v>95</v>
      </c>
      <c r="AQ31" s="34">
        <f t="shared" ref="AQ31:AR31" ca="1" si="65">SUM(AQ32:AQ51)</f>
        <v>17100</v>
      </c>
      <c r="AR31" s="34">
        <f t="shared" ca="1" si="65"/>
        <v>1170</v>
      </c>
      <c r="AS31" s="37">
        <f t="shared" ca="1" si="40"/>
        <v>6.8421052631578947</v>
      </c>
      <c r="AT31" s="34">
        <f t="shared" ref="AT31:AV31" ca="1" si="66">SUM(AT32:AT51)</f>
        <v>1170</v>
      </c>
      <c r="AU31" s="34">
        <f t="shared" ca="1" si="66"/>
        <v>1900</v>
      </c>
      <c r="AV31" s="34">
        <f t="shared" ca="1" si="66"/>
        <v>130</v>
      </c>
      <c r="AW31" s="37">
        <f t="shared" ca="1" si="41"/>
        <v>6.8421052631578947</v>
      </c>
      <c r="AX31" s="34">
        <f ca="1">SUM(AX32:AX51)</f>
        <v>130</v>
      </c>
    </row>
    <row r="32" spans="1:50" ht="21" customHeight="1" x14ac:dyDescent="0.3">
      <c r="A32" s="54">
        <v>1</v>
      </c>
      <c r="B32" s="55" t="s">
        <v>53</v>
      </c>
      <c r="C32" s="56">
        <f t="shared" ref="C32:C51" ca="1" si="67">D32+E32</f>
        <v>1170468</v>
      </c>
      <c r="D32" s="57">
        <f ca="1">IFERROR(__xludf.DUMMYFUNCTION("IMPORTRANGE(""https://docs.google.com/spreadsheets/d/1fb2B9NLcpJgjIieIJvenUTNPn0TimZDUi0OtYeiSQ_s/edit?usp=sharing"",""กาฬสินธุ์!L472"")"),1170468)</f>
        <v>1170468</v>
      </c>
      <c r="E32" s="57">
        <f ca="1">IFERROR(__xludf.DUMMYFUNCTION("IMPORTRANGE(""https://docs.google.com/spreadsheets/d/1fb2B9NLcpJgjIieIJvenUTNPn0TimZDUi0OtYeiSQ_s/edit?usp=sharing"",""กาฬสินธุ์!L479"")"),0)</f>
        <v>0</v>
      </c>
      <c r="F32" s="57">
        <f ca="1">IFERROR(__xludf.DUMMYFUNCTION("IMPORTRANGE(""https://docs.google.com/spreadsheets/d/1fb2B9NLcpJgjIieIJvenUTNPn0TimZDUi0OtYeiSQ_s/edit?usp=sharing"",""กาฬสินธุ์!M472"")"),1170468)</f>
        <v>1170468</v>
      </c>
      <c r="G32" s="57">
        <f ca="1">IFERROR(__xludf.DUMMYFUNCTION("IMPORTRANGE(""https://docs.google.com/spreadsheets/d/1fb2B9NLcpJgjIieIJvenUTNPn0TimZDUi0OtYeiSQ_s/edit?usp=sharing"",""กาฬสินธุ์!M479"")"),0)</f>
        <v>0</v>
      </c>
      <c r="H32" s="58">
        <f t="shared" ca="1" si="34"/>
        <v>158134.71</v>
      </c>
      <c r="I32" s="59">
        <f t="shared" ca="1" si="1"/>
        <v>13.510383026276669</v>
      </c>
      <c r="J32" s="60">
        <f t="shared" ref="J32:J51" ca="1" si="68">M32+N32+O32+P32</f>
        <v>158134.71</v>
      </c>
      <c r="K32" s="61">
        <f t="shared" ca="1" si="43"/>
        <v>13.510383026276669</v>
      </c>
      <c r="L32" s="61">
        <f t="shared" ca="1" si="44"/>
        <v>13.510383026276669</v>
      </c>
      <c r="M32" s="57">
        <f ca="1">IFERROR(__xludf.DUMMYFUNCTION("IMPORTRANGE(""https://docs.google.com/spreadsheets/d/1fb2B9NLcpJgjIieIJvenUTNPn0TimZDUi0OtYeiSQ_s/edit?usp=sharing"",""กาฬสินธุ์!N473"")"),78699)</f>
        <v>78699</v>
      </c>
      <c r="N32" s="57">
        <f ca="1">IFERROR(__xludf.DUMMYFUNCTION("IMPORTRANGE(""https://docs.google.com/spreadsheets/d/1fb2B9NLcpJgjIieIJvenUTNPn0TimZDUi0OtYeiSQ_s/edit?usp=sharing"",""กาฬสินธุ์!N474"")"),0)</f>
        <v>0</v>
      </c>
      <c r="O32" s="57">
        <f ca="1">IFERROR(__xludf.DUMMYFUNCTION("IMPORTRANGE(""https://docs.google.com/spreadsheets/d/1fb2B9NLcpJgjIieIJvenUTNPn0TimZDUi0OtYeiSQ_s/edit?usp=sharing"",""กาฬสินธุ์!N475"")"),51535.71)</f>
        <v>51535.71</v>
      </c>
      <c r="P32" s="57">
        <f ca="1">IFERROR(__xludf.DUMMYFUNCTION("IMPORTRANGE(""https://docs.google.com/spreadsheets/d/1fb2B9NLcpJgjIieIJvenUTNPn0TimZDUi0OtYeiSQ_s/edit?usp=sharing"",""กาฬสินธุ์!N476"")"),27900)</f>
        <v>27900</v>
      </c>
      <c r="Q32" s="62">
        <f ca="1">IFERROR(__xludf.DUMMYFUNCTION("IMPORTRANGE(""https://docs.google.com/spreadsheets/d/1fb2B9NLcpJgjIieIJvenUTNPn0TimZDUi0OtYeiSQ_s/edit?usp=sharing"",""กาฬสินธุ์!N479"")"),0)</f>
        <v>0</v>
      </c>
      <c r="R32" s="62">
        <f t="shared" ca="1" si="46"/>
        <v>0</v>
      </c>
      <c r="S32" s="57">
        <f ca="1">IFERROR(__xludf.DUMMYFUNCTION("IMPORTRANGE(""https://docs.google.com/spreadsheets/d/1fb2B9NLcpJgjIieIJvenUTNPn0TimZDUi0OtYeiSQ_s/edit?usp=sharing"",""กาฬสินธุ์!I465"")"),131)</f>
        <v>131</v>
      </c>
      <c r="T32" s="57">
        <f ca="1">IFERROR(__xludf.DUMMYFUNCTION("IMPORTRANGE(""https://docs.google.com/spreadsheets/d/1fb2B9NLcpJgjIieIJvenUTNPn0TimZDUi0OtYeiSQ_s/edit?usp=sharing"",""กาฬสินธุ์!I466"")"),1300)</f>
        <v>1300</v>
      </c>
      <c r="U32" s="57">
        <f ca="1">IFERROR(__xludf.DUMMYFUNCTION("IMPORTRANGE(""https://docs.google.com/spreadsheets/d/1fb2B9NLcpJgjIieIJvenUTNPn0TimZDUi0OtYeiSQ_s/edit?usp=sharing"",""กาฬสินธุ์!J465"")"),131)</f>
        <v>131</v>
      </c>
      <c r="V32" s="63">
        <f t="shared" ca="1" si="6"/>
        <v>100</v>
      </c>
      <c r="W32" s="57">
        <f ca="1">IFERROR(__xludf.DUMMYFUNCTION("IMPORTRANGE(""https://docs.google.com/spreadsheets/d/1fb2B9NLcpJgjIieIJvenUTNPn0TimZDUi0OtYeiSQ_s/edit?usp=sharing"",""กาฬสินธุ์!J466"")"),0)</f>
        <v>0</v>
      </c>
      <c r="X32" s="63">
        <f t="shared" ca="1" si="7"/>
        <v>0</v>
      </c>
      <c r="Y32" s="57">
        <f ca="1">IFERROR(__xludf.DUMMYFUNCTION("IMPORTRANGE(""https://docs.google.com/spreadsheets/d/1fb2B9NLcpJgjIieIJvenUTNPn0TimZDUi0OtYeiSQ_s/edit?usp=sharing"",""กาฬสินธุ์!I483"")"),1170)</f>
        <v>1170</v>
      </c>
      <c r="Z32" s="57">
        <f ca="1">IFERROR(__xludf.DUMMYFUNCTION("IMPORTRANGE(""https://docs.google.com/spreadsheets/d/1fb2B9NLcpJgjIieIJvenUTNPn0TimZDUi0OtYeiSQ_s/edit?usp=sharing"",""กาฬสินธุ์!J483"")"),1170)</f>
        <v>1170</v>
      </c>
      <c r="AA32" s="63">
        <f t="shared" ca="1" si="35"/>
        <v>100</v>
      </c>
      <c r="AB32" s="57">
        <f ca="1">IFERROR(__xludf.DUMMYFUNCTION("IMPORTRANGE(""https://docs.google.com/spreadsheets/d/1fb2B9NLcpJgjIieIJvenUTNPn0TimZDUi0OtYeiSQ_s/edit?usp=sharing"",""กาฬสินธุ์!J484"")"),117)</f>
        <v>117</v>
      </c>
      <c r="AC32" s="57">
        <f ca="1">IFERROR(__xludf.DUMMYFUNCTION("IMPORTRANGE(""https://docs.google.com/spreadsheets/d/1fb2B9NLcpJgjIieIJvenUTNPn0TimZDUi0OtYeiSQ_s/edit?usp=sharing"",""กาฬสินธุ์!I485"")"),117)</f>
        <v>117</v>
      </c>
      <c r="AD32" s="57">
        <f ca="1">IFERROR(__xludf.DUMMYFUNCTION("IMPORTRANGE(""https://docs.google.com/spreadsheets/d/1fb2B9NLcpJgjIieIJvenUTNPn0TimZDUi0OtYeiSQ_s/edit?usp=sharing"",""กาฬสินธุ์!J485"")"),117)</f>
        <v>117</v>
      </c>
      <c r="AE32" s="63">
        <f t="shared" ca="1" si="36"/>
        <v>100</v>
      </c>
      <c r="AF32" s="57">
        <f ca="1">IFERROR(__xludf.DUMMYFUNCTION("IMPORTRANGE(""https://docs.google.com/spreadsheets/d/1fb2B9NLcpJgjIieIJvenUTNPn0TimZDUi0OtYeiSQ_s/edit?usp=sharing"",""กาฬสินธุ์!I487"")"),130)</f>
        <v>130</v>
      </c>
      <c r="AG32" s="57">
        <f ca="1">IFERROR(__xludf.DUMMYFUNCTION("IMPORTRANGE(""https://docs.google.com/spreadsheets/d/1fb2B9NLcpJgjIieIJvenUTNPn0TimZDUi0OtYeiSQ_s/edit?usp=sharing"",""กาฬสินธุ์!J487"")"),130)</f>
        <v>130</v>
      </c>
      <c r="AH32" s="63">
        <f t="shared" ca="1" si="37"/>
        <v>100</v>
      </c>
      <c r="AI32" s="57">
        <f ca="1">IFERROR(__xludf.DUMMYFUNCTION("IMPORTRANGE(""https://docs.google.com/spreadsheets/d/1fb2B9NLcpJgjIieIJvenUTNPn0TimZDUi0OtYeiSQ_s/edit?usp=sharing"",""กาฬสินธุ์!J488"")"),13)</f>
        <v>13</v>
      </c>
      <c r="AJ32" s="57">
        <f ca="1">IFERROR(__xludf.DUMMYFUNCTION("IMPORTRANGE(""https://docs.google.com/spreadsheets/d/1fb2B9NLcpJgjIieIJvenUTNPn0TimZDUi0OtYeiSQ_s/edit?usp=sharing"",""กาฬสินธุ์!I489"")"),13)</f>
        <v>13</v>
      </c>
      <c r="AK32" s="57">
        <f ca="1">IFERROR(__xludf.DUMMYFUNCTION("IMPORTRANGE(""https://docs.google.com/spreadsheets/d/1fb2B9NLcpJgjIieIJvenUTNPn0TimZDUi0OtYeiSQ_s/edit?usp=sharing"",""กาฬสินธุ์!J489"")"),13)</f>
        <v>13</v>
      </c>
      <c r="AL32" s="63">
        <f t="shared" ca="1" si="38"/>
        <v>100</v>
      </c>
      <c r="AM32" s="57">
        <f ca="1">IFERROR(__xludf.DUMMYFUNCTION("IMPORTRANGE(""https://docs.google.com/spreadsheets/d/1fb2B9NLcpJgjIieIJvenUTNPn0TimZDUi0OtYeiSQ_s/edit?usp=sharing"",""กาฬสินธุ์!J491"")"),1)</f>
        <v>1</v>
      </c>
      <c r="AN32" s="57">
        <f ca="1">IFERROR(__xludf.DUMMYFUNCTION("IMPORTRANGE(""https://docs.google.com/spreadsheets/d/1fb2B9NLcpJgjIieIJvenUTNPn0TimZDUi0OtYeiSQ_s/edit?usp=sharing"",""กาฬสินธุ์!I492"")"),1)</f>
        <v>1</v>
      </c>
      <c r="AO32" s="57">
        <f ca="1">IFERROR(__xludf.DUMMYFUNCTION("IMPORTRANGE(""https://docs.google.com/spreadsheets/d/1fb2B9NLcpJgjIieIJvenUTNPn0TimZDUi0OtYeiSQ_s/edit?usp=sharing"",""กาฬสินธุ์!J492"")"),1)</f>
        <v>1</v>
      </c>
      <c r="AP32" s="63">
        <f t="shared" ca="1" si="39"/>
        <v>100</v>
      </c>
      <c r="AQ32" s="57">
        <f ca="1">IFERROR(__xludf.DUMMYFUNCTION("IMPORTRANGE(""https://docs.google.com/spreadsheets/d/1fb2B9NLcpJgjIieIJvenUTNPn0TimZDUi0OtYeiSQ_s/edit?usp=sharing"",""กาฬสินธุ์!I495"")"),1170)</f>
        <v>1170</v>
      </c>
      <c r="AR32" s="57">
        <f ca="1">IFERROR(__xludf.DUMMYFUNCTION("IMPORTRANGE(""https://docs.google.com/spreadsheets/d/1fb2B9NLcpJgjIieIJvenUTNPn0TimZDUi0OtYeiSQ_s/edit?usp=sharing"",""กาฬสินธุ์!J495"")"),0)</f>
        <v>0</v>
      </c>
      <c r="AS32" s="63">
        <f t="shared" ca="1" si="40"/>
        <v>0</v>
      </c>
      <c r="AT32" s="57">
        <f ca="1">IFERROR(__xludf.DUMMYFUNCTION("IMPORTRANGE(""https://docs.google.com/spreadsheets/d/1fb2B9NLcpJgjIieIJvenUTNPn0TimZDUi0OtYeiSQ_s/edit?usp=sharing"",""กาฬสินธุ์!J496"")"),0)</f>
        <v>0</v>
      </c>
      <c r="AU32" s="57">
        <f ca="1">IFERROR(__xludf.DUMMYFUNCTION("IMPORTRANGE(""https://docs.google.com/spreadsheets/d/1fb2B9NLcpJgjIieIJvenUTNPn0TimZDUi0OtYeiSQ_s/edit?usp=sharing"",""กาฬสินธุ์!I498"")"),130)</f>
        <v>130</v>
      </c>
      <c r="AV32" s="57">
        <f ca="1">IFERROR(__xludf.DUMMYFUNCTION("IMPORTRANGE(""https://docs.google.com/spreadsheets/d/1fb2B9NLcpJgjIieIJvenUTNPn0TimZDUi0OtYeiSQ_s/edit?usp=sharing"",""กาฬสินธุ์!J498"")"),0)</f>
        <v>0</v>
      </c>
      <c r="AW32" s="63">
        <f t="shared" ca="1" si="41"/>
        <v>0</v>
      </c>
      <c r="AX32" s="57">
        <f ca="1">IFERROR(__xludf.DUMMYFUNCTION("IMPORTRANGE(""https://docs.google.com/spreadsheets/d/1fb2B9NLcpJgjIieIJvenUTNPn0TimZDUi0OtYeiSQ_s/edit?usp=sharing"",""กาฬสินธุ์!J499"")"),0)</f>
        <v>0</v>
      </c>
    </row>
    <row r="33" spans="1:50" ht="21" customHeight="1" x14ac:dyDescent="0.3">
      <c r="A33" s="54">
        <v>2</v>
      </c>
      <c r="B33" s="55" t="s">
        <v>54</v>
      </c>
      <c r="C33" s="56">
        <f t="shared" ca="1" si="67"/>
        <v>489753</v>
      </c>
      <c r="D33" s="57">
        <f ca="1">IFERROR(__xludf.DUMMYFUNCTION("IMPORTRANGE(""https://docs.google.com/spreadsheets/d/1SaMnqrwRGmFYNR0MhpWmHuL5niYUd5E7vDq8X7whAlI/edit?usp=sharing"",""ขอนแก่น!L472"")"),489753)</f>
        <v>489753</v>
      </c>
      <c r="E33" s="64">
        <f ca="1">IFERROR(__xludf.DUMMYFUNCTION("IMPORTRANGE(""https://docs.google.com/spreadsheets/d/1SaMnqrwRGmFYNR0MhpWmHuL5niYUd5E7vDq8X7whAlI/edit?usp=sharing"",""ขอนแก่น!L479"")"),0)</f>
        <v>0</v>
      </c>
      <c r="F33" s="64">
        <f ca="1">IFERROR(__xludf.DUMMYFUNCTION("IMPORTRANGE(""https://docs.google.com/spreadsheets/d/1SaMnqrwRGmFYNR0MhpWmHuL5niYUd5E7vDq8X7whAlI/edit?usp=sharing"",""ขอนแก่น!M472"")"),489753)</f>
        <v>489753</v>
      </c>
      <c r="G33" s="64">
        <f ca="1">IFERROR(__xludf.DUMMYFUNCTION("IMPORTRANGE(""https://docs.google.com/spreadsheets/d/1SaMnqrwRGmFYNR0MhpWmHuL5niYUd5E7vDq8X7whAlI/edit?usp=sharing"",""ขอนแก่น!M479"")"),0)</f>
        <v>0</v>
      </c>
      <c r="H33" s="58">
        <f t="shared" ca="1" si="34"/>
        <v>83260</v>
      </c>
      <c r="I33" s="59">
        <f t="shared" ca="1" si="1"/>
        <v>17.000406327271094</v>
      </c>
      <c r="J33" s="60">
        <f t="shared" ca="1" si="68"/>
        <v>83260</v>
      </c>
      <c r="K33" s="61">
        <f t="shared" ca="1" si="43"/>
        <v>17.000406327271094</v>
      </c>
      <c r="L33" s="61">
        <f t="shared" ca="1" si="44"/>
        <v>17.000406327271094</v>
      </c>
      <c r="M33" s="64">
        <f ca="1">IFERROR(__xludf.DUMMYFUNCTION("IMPORTRANGE(""https://docs.google.com/spreadsheets/d/1SaMnqrwRGmFYNR0MhpWmHuL5niYUd5E7vDq8X7whAlI/edit?usp=sharing"",""ขอนแก่น!N473"")"),64180)</f>
        <v>64180</v>
      </c>
      <c r="N33" s="64">
        <f ca="1">IFERROR(__xludf.DUMMYFUNCTION("IMPORTRANGE(""https://docs.google.com/spreadsheets/d/1SaMnqrwRGmFYNR0MhpWmHuL5niYUd5E7vDq8X7whAlI/edit?usp=sharing"",""ขอนแก่น!N474"")"),0)</f>
        <v>0</v>
      </c>
      <c r="O33" s="64">
        <f ca="1">IFERROR(__xludf.DUMMYFUNCTION("IMPORTRANGE(""https://docs.google.com/spreadsheets/d/1SaMnqrwRGmFYNR0MhpWmHuL5niYUd5E7vDq8X7whAlI/edit?usp=sharing"",""ขอนแก่น!N475"")"),0)</f>
        <v>0</v>
      </c>
      <c r="P33" s="64">
        <f ca="1">IFERROR(__xludf.DUMMYFUNCTION("IMPORTRANGE(""https://docs.google.com/spreadsheets/d/1SaMnqrwRGmFYNR0MhpWmHuL5niYUd5E7vDq8X7whAlI/edit?usp=sharing"",""ขอนแก่น!N476"")"),19080)</f>
        <v>19080</v>
      </c>
      <c r="Q33" s="62">
        <f ca="1">IFERROR(__xludf.DUMMYFUNCTION("IMPORTRANGE(""https://docs.google.com/spreadsheets/d/1SaMnqrwRGmFYNR0MhpWmHuL5niYUd5E7vDq8X7whAlI/edit?usp=sharing"",""ขอนแก่น!N479"")"),0)</f>
        <v>0</v>
      </c>
      <c r="R33" s="62">
        <f t="shared" ca="1" si="46"/>
        <v>0</v>
      </c>
      <c r="S33" s="57">
        <f ca="1">IFERROR(__xludf.DUMMYFUNCTION("IMPORTRANGE(""https://docs.google.com/spreadsheets/d/1SaMnqrwRGmFYNR0MhpWmHuL5niYUd5E7vDq8X7whAlI/edit?usp=sharing"",""ขอนแก่น!I465"")"),61)</f>
        <v>61</v>
      </c>
      <c r="T33" s="57">
        <f ca="1">IFERROR(__xludf.DUMMYFUNCTION("IMPORTRANGE(""https://docs.google.com/spreadsheets/d/1SaMnqrwRGmFYNR0MhpWmHuL5niYUd5E7vDq8X7whAlI/edit?usp=sharing"",""ขอนแก่น!I466"")"),600)</f>
        <v>600</v>
      </c>
      <c r="U33" s="57">
        <f ca="1">IFERROR(__xludf.DUMMYFUNCTION("IMPORTRANGE(""https://docs.google.com/spreadsheets/d/1SaMnqrwRGmFYNR0MhpWmHuL5niYUd5E7vDq8X7whAlI/edit?usp=sharing"",""ขอนแก่น!J465"")"),61)</f>
        <v>61</v>
      </c>
      <c r="V33" s="63">
        <f t="shared" ca="1" si="6"/>
        <v>100</v>
      </c>
      <c r="W33" s="57">
        <f ca="1">IFERROR(__xludf.DUMMYFUNCTION("IMPORTRANGE(""https://docs.google.com/spreadsheets/d/1SaMnqrwRGmFYNR0MhpWmHuL5niYUd5E7vDq8X7whAlI/edit?usp=sharing"",""ขอนแก่น!J466"")"),0)</f>
        <v>0</v>
      </c>
      <c r="X33" s="63">
        <f t="shared" ca="1" si="7"/>
        <v>0</v>
      </c>
      <c r="Y33" s="57">
        <f ca="1">IFERROR(__xludf.DUMMYFUNCTION("IMPORTRANGE(""https://docs.google.com/spreadsheets/d/1SaMnqrwRGmFYNR0MhpWmHuL5niYUd5E7vDq8X7whAlI/edit?usp=sharing"",""ขอนแก่น!I483"")"),540)</f>
        <v>540</v>
      </c>
      <c r="Z33" s="57">
        <f ca="1">IFERROR(__xludf.DUMMYFUNCTION("IMPORTRANGE(""https://docs.google.com/spreadsheets/d/1SaMnqrwRGmFYNR0MhpWmHuL5niYUd5E7vDq8X7whAlI/edit?usp=sharing"",""ขอนแก่น!J483"")"),540)</f>
        <v>540</v>
      </c>
      <c r="AA33" s="63">
        <f t="shared" ca="1" si="35"/>
        <v>100</v>
      </c>
      <c r="AB33" s="57">
        <f ca="1">IFERROR(__xludf.DUMMYFUNCTION("IMPORTRANGE(""https://docs.google.com/spreadsheets/d/1SaMnqrwRGmFYNR0MhpWmHuL5niYUd5E7vDq8X7whAlI/edit?usp=sharing"",""ขอนแก่น!J484"")"),0)</f>
        <v>0</v>
      </c>
      <c r="AC33" s="57">
        <f ca="1">IFERROR(__xludf.DUMMYFUNCTION("IMPORTRANGE(""https://docs.google.com/spreadsheets/d/1SaMnqrwRGmFYNR0MhpWmHuL5niYUd5E7vDq8X7whAlI/edit?usp=sharing"",""ขอนแก่น!I485"")"),54)</f>
        <v>54</v>
      </c>
      <c r="AD33" s="57">
        <f ca="1">IFERROR(__xludf.DUMMYFUNCTION("IMPORTRANGE(""https://docs.google.com/spreadsheets/d/1SaMnqrwRGmFYNR0MhpWmHuL5niYUd5E7vDq8X7whAlI/edit?usp=sharing"",""ขอนแก่น!J485"")"),54)</f>
        <v>54</v>
      </c>
      <c r="AE33" s="63">
        <f t="shared" ca="1" si="36"/>
        <v>100</v>
      </c>
      <c r="AF33" s="57">
        <f ca="1">IFERROR(__xludf.DUMMYFUNCTION("IMPORTRANGE(""https://docs.google.com/spreadsheets/d/1SaMnqrwRGmFYNR0MhpWmHuL5niYUd5E7vDq8X7whAlI/edit?usp=sharing"",""ขอนแก่น!I487"")"),60)</f>
        <v>60</v>
      </c>
      <c r="AG33" s="57">
        <f ca="1">IFERROR(__xludf.DUMMYFUNCTION("IMPORTRANGE(""https://docs.google.com/spreadsheets/d/1SaMnqrwRGmFYNR0MhpWmHuL5niYUd5E7vDq8X7whAlI/edit?usp=sharing"",""ขอนแก่น!J487"")"),60)</f>
        <v>60</v>
      </c>
      <c r="AH33" s="63">
        <f t="shared" ca="1" si="37"/>
        <v>100</v>
      </c>
      <c r="AI33" s="57">
        <f ca="1">IFERROR(__xludf.DUMMYFUNCTION("IMPORTRANGE(""https://docs.google.com/spreadsheets/d/1SaMnqrwRGmFYNR0MhpWmHuL5niYUd5E7vDq8X7whAlI/edit?usp=sharing"",""ขอนแก่น!J488"")"),0)</f>
        <v>0</v>
      </c>
      <c r="AJ33" s="57">
        <f ca="1">IFERROR(__xludf.DUMMYFUNCTION("IMPORTRANGE(""https://docs.google.com/spreadsheets/d/1SaMnqrwRGmFYNR0MhpWmHuL5niYUd5E7vDq8X7whAlI/edit?usp=sharing"",""ขอนแก่น!I489"")"),6)</f>
        <v>6</v>
      </c>
      <c r="AK33" s="57">
        <f ca="1">IFERROR(__xludf.DUMMYFUNCTION("IMPORTRANGE(""https://docs.google.com/spreadsheets/d/1SaMnqrwRGmFYNR0MhpWmHuL5niYUd5E7vDq8X7whAlI/edit?usp=sharing"",""ขอนแก่น!J489"")"),6)</f>
        <v>6</v>
      </c>
      <c r="AL33" s="63">
        <f t="shared" ca="1" si="38"/>
        <v>100</v>
      </c>
      <c r="AM33" s="57">
        <f ca="1">IFERROR(__xludf.DUMMYFUNCTION("IMPORTRANGE(""https://docs.google.com/spreadsheets/d/1SaMnqrwRGmFYNR0MhpWmHuL5niYUd5E7vDq8X7whAlI/edit?usp=sharing"",""ขอนแก่น!J491"")"),1)</f>
        <v>1</v>
      </c>
      <c r="AN33" s="57">
        <f ca="1">IFERROR(__xludf.DUMMYFUNCTION("IMPORTRANGE(""https://docs.google.com/spreadsheets/d/1SaMnqrwRGmFYNR0MhpWmHuL5niYUd5E7vDq8X7whAlI/edit?usp=sharing"",""ขอนแก่น!I492"")"),1)</f>
        <v>1</v>
      </c>
      <c r="AO33" s="57">
        <f ca="1">IFERROR(__xludf.DUMMYFUNCTION("IMPORTRANGE(""https://docs.google.com/spreadsheets/d/1SaMnqrwRGmFYNR0MhpWmHuL5niYUd5E7vDq8X7whAlI/edit?usp=sharing"",""ขอนแก่น!J492"")"),1)</f>
        <v>1</v>
      </c>
      <c r="AP33" s="63">
        <f t="shared" ca="1" si="39"/>
        <v>100</v>
      </c>
      <c r="AQ33" s="57">
        <f ca="1">IFERROR(__xludf.DUMMYFUNCTION("IMPORTRANGE(""https://docs.google.com/spreadsheets/d/1SaMnqrwRGmFYNR0MhpWmHuL5niYUd5E7vDq8X7whAlI/edit?usp=sharing"",""ขอนแก่น!I495"")"),540)</f>
        <v>540</v>
      </c>
      <c r="AR33" s="57">
        <f ca="1">IFERROR(__xludf.DUMMYFUNCTION("IMPORTRANGE(""https://docs.google.com/spreadsheets/d/1SaMnqrwRGmFYNR0MhpWmHuL5niYUd5E7vDq8X7whAlI/edit?usp=sharing"",""ขอนแก่น!J495"")"),0)</f>
        <v>0</v>
      </c>
      <c r="AS33" s="63">
        <f t="shared" ca="1" si="40"/>
        <v>0</v>
      </c>
      <c r="AT33" s="57">
        <f ca="1">IFERROR(__xludf.DUMMYFUNCTION("IMPORTRANGE(""https://docs.google.com/spreadsheets/d/1SaMnqrwRGmFYNR0MhpWmHuL5niYUd5E7vDq8X7whAlI/edit?usp=sharing"",""ขอนแก่น!J496"")"),0)</f>
        <v>0</v>
      </c>
      <c r="AU33" s="57">
        <f ca="1">IFERROR(__xludf.DUMMYFUNCTION("IMPORTRANGE(""https://docs.google.com/spreadsheets/d/1SaMnqrwRGmFYNR0MhpWmHuL5niYUd5E7vDq8X7whAlI/edit?usp=sharing"",""ขอนแก่น!I498"")"),60)</f>
        <v>60</v>
      </c>
      <c r="AV33" s="57">
        <f ca="1">IFERROR(__xludf.DUMMYFUNCTION("IMPORTRANGE(""https://docs.google.com/spreadsheets/d/1SaMnqrwRGmFYNR0MhpWmHuL5niYUd5E7vDq8X7whAlI/edit?usp=sharing"",""ขอนแก่น!J498"")"),0)</f>
        <v>0</v>
      </c>
      <c r="AW33" s="63">
        <f t="shared" ca="1" si="41"/>
        <v>0</v>
      </c>
      <c r="AX33" s="57">
        <f ca="1">IFERROR(__xludf.DUMMYFUNCTION("IMPORTRANGE(""https://docs.google.com/spreadsheets/d/1SaMnqrwRGmFYNR0MhpWmHuL5niYUd5E7vDq8X7whAlI/edit?usp=sharing"",""ขอนแก่น!J499"")"),0)</f>
        <v>0</v>
      </c>
    </row>
    <row r="34" spans="1:50" ht="21" customHeight="1" x14ac:dyDescent="0.3">
      <c r="A34" s="54">
        <v>3</v>
      </c>
      <c r="B34" s="55" t="s">
        <v>55</v>
      </c>
      <c r="C34" s="56">
        <f t="shared" ca="1" si="67"/>
        <v>410253</v>
      </c>
      <c r="D34" s="57">
        <f ca="1">IFERROR(__xludf.DUMMYFUNCTION("IMPORTRANGE(""https://docs.google.com/spreadsheets/d/1xQzEtGHhTTgxHh6YUkKY1P4dRyjVhS74dGswLfAASA4/edit?usp=sharing"",""ชัยภูมิ!L472"")"),410253)</f>
        <v>410253</v>
      </c>
      <c r="E34" s="64">
        <f ca="1">IFERROR(__xludf.DUMMYFUNCTION("IMPORTRANGE(""https://docs.google.com/spreadsheets/d/1xQzEtGHhTTgxHh6YUkKY1P4dRyjVhS74dGswLfAASA4/edit?usp=sharing"",""ชัยภูมิ!L479"")"),0)</f>
        <v>0</v>
      </c>
      <c r="F34" s="64">
        <f ca="1">IFERROR(__xludf.DUMMYFUNCTION("IMPORTRANGE(""https://docs.google.com/spreadsheets/d/1xQzEtGHhTTgxHh6YUkKY1P4dRyjVhS74dGswLfAASA4/edit?usp=sharing"",""ชัยภูมิ!M472"")"),410253)</f>
        <v>410253</v>
      </c>
      <c r="G34" s="64">
        <f ca="1">IFERROR(__xludf.DUMMYFUNCTION("IMPORTRANGE(""https://docs.google.com/spreadsheets/d/1xQzEtGHhTTgxHh6YUkKY1P4dRyjVhS74dGswLfAASA4/edit?usp=sharing"",""ชัยภูมิ!M479"")"),0)</f>
        <v>0</v>
      </c>
      <c r="H34" s="58">
        <f t="shared" ca="1" si="34"/>
        <v>64515</v>
      </c>
      <c r="I34" s="59">
        <f t="shared" ca="1" si="1"/>
        <v>15.725661969565122</v>
      </c>
      <c r="J34" s="60">
        <f t="shared" ca="1" si="68"/>
        <v>64515</v>
      </c>
      <c r="K34" s="61">
        <f t="shared" ca="1" si="43"/>
        <v>15.725661969565122</v>
      </c>
      <c r="L34" s="61">
        <f t="shared" ca="1" si="44"/>
        <v>15.725661969565122</v>
      </c>
      <c r="M34" s="64">
        <f ca="1">IFERROR(__xludf.DUMMYFUNCTION("IMPORTRANGE(""https://docs.google.com/spreadsheets/d/1xQzEtGHhTTgxHh6YUkKY1P4dRyjVhS74dGswLfAASA4/edit?usp=sharing"",""ชัยภูมิ!N473"")"),0)</f>
        <v>0</v>
      </c>
      <c r="N34" s="64">
        <f ca="1">IFERROR(__xludf.DUMMYFUNCTION("IMPORTRANGE(""https://docs.google.com/spreadsheets/d/1xQzEtGHhTTgxHh6YUkKY1P4dRyjVhS74dGswLfAASA4/edit?usp=sharing"",""ชัยภูมิ!N474"")"),0)</f>
        <v>0</v>
      </c>
      <c r="O34" s="64">
        <f ca="1">IFERROR(__xludf.DUMMYFUNCTION("IMPORTRANGE(""https://docs.google.com/spreadsheets/d/1xQzEtGHhTTgxHh6YUkKY1P4dRyjVhS74dGswLfAASA4/edit?usp=sharing"",""ชัยภูมิ!N475"")"),0)</f>
        <v>0</v>
      </c>
      <c r="P34" s="64">
        <f ca="1">IFERROR(__xludf.DUMMYFUNCTION("IMPORTRANGE(""https://docs.google.com/spreadsheets/d/1xQzEtGHhTTgxHh6YUkKY1P4dRyjVhS74dGswLfAASA4/edit?usp=sharing"",""ชัยภูมิ!N476"")"),64515)</f>
        <v>64515</v>
      </c>
      <c r="Q34" s="62">
        <f ca="1">IFERROR(__xludf.DUMMYFUNCTION("IMPORTRANGE(""https://docs.google.com/spreadsheets/d/1xQzEtGHhTTgxHh6YUkKY1P4dRyjVhS74dGswLfAASA4/edit?usp=sharing"",""ชัยภูมิ!N479"")"),0)</f>
        <v>0</v>
      </c>
      <c r="R34" s="62">
        <f t="shared" ca="1" si="46"/>
        <v>0</v>
      </c>
      <c r="S34" s="57">
        <f ca="1">IFERROR(__xludf.DUMMYFUNCTION("IMPORTRANGE(""https://docs.google.com/spreadsheets/d/1xQzEtGHhTTgxHh6YUkKY1P4dRyjVhS74dGswLfAASA4/edit?usp=sharing"",""ชัยภูมิ!I465"")"),51)</f>
        <v>51</v>
      </c>
      <c r="T34" s="57">
        <f ca="1">IFERROR(__xludf.DUMMYFUNCTION("IMPORTRANGE(""https://docs.google.com/spreadsheets/d/1xQzEtGHhTTgxHh6YUkKY1P4dRyjVhS74dGswLfAASA4/edit?usp=sharing"",""ชัยภูมิ!I466"")"),500)</f>
        <v>500</v>
      </c>
      <c r="U34" s="57">
        <f ca="1">IFERROR(__xludf.DUMMYFUNCTION("IMPORTRANGE(""https://docs.google.com/spreadsheets/d/1xQzEtGHhTTgxHh6YUkKY1P4dRyjVhS74dGswLfAASA4/edit?usp=sharing"",""ชัยภูมิ!J465"")"),50)</f>
        <v>50</v>
      </c>
      <c r="V34" s="63">
        <f t="shared" ca="1" si="6"/>
        <v>98.039215686274517</v>
      </c>
      <c r="W34" s="57">
        <f ca="1">IFERROR(__xludf.DUMMYFUNCTION("IMPORTRANGE(""https://docs.google.com/spreadsheets/d/1xQzEtGHhTTgxHh6YUkKY1P4dRyjVhS74dGswLfAASA4/edit?usp=sharing"",""ชัยภูมิ!J466"")"),0)</f>
        <v>0</v>
      </c>
      <c r="X34" s="63">
        <f t="shared" ca="1" si="7"/>
        <v>0</v>
      </c>
      <c r="Y34" s="57">
        <f ca="1">IFERROR(__xludf.DUMMYFUNCTION("IMPORTRANGE(""https://docs.google.com/spreadsheets/d/1xQzEtGHhTTgxHh6YUkKY1P4dRyjVhS74dGswLfAASA4/edit?usp=sharing"",""ชัยภูมิ!I483"")"),450)</f>
        <v>450</v>
      </c>
      <c r="Z34" s="57">
        <f ca="1">IFERROR(__xludf.DUMMYFUNCTION("IMPORTRANGE(""https://docs.google.com/spreadsheets/d/1xQzEtGHhTTgxHh6YUkKY1P4dRyjVhS74dGswLfAASA4/edit?usp=sharing"",""ชัยภูมิ!J483"")"),450)</f>
        <v>450</v>
      </c>
      <c r="AA34" s="63">
        <f t="shared" ca="1" si="35"/>
        <v>100</v>
      </c>
      <c r="AB34" s="57">
        <f ca="1">IFERROR(__xludf.DUMMYFUNCTION("IMPORTRANGE(""https://docs.google.com/spreadsheets/d/1xQzEtGHhTTgxHh6YUkKY1P4dRyjVhS74dGswLfAASA4/edit?usp=sharing"",""ชัยภูมิ!J484"")"),0)</f>
        <v>0</v>
      </c>
      <c r="AC34" s="57">
        <f ca="1">IFERROR(__xludf.DUMMYFUNCTION("IMPORTRANGE(""https://docs.google.com/spreadsheets/d/1xQzEtGHhTTgxHh6YUkKY1P4dRyjVhS74dGswLfAASA4/edit?usp=sharing"",""ชัยภูมิ!I485"")"),45)</f>
        <v>45</v>
      </c>
      <c r="AD34" s="57">
        <f ca="1">IFERROR(__xludf.DUMMYFUNCTION("IMPORTRANGE(""https://docs.google.com/spreadsheets/d/1xQzEtGHhTTgxHh6YUkKY1P4dRyjVhS74dGswLfAASA4/edit?usp=sharing"",""ชัยภูมิ!J485"")"),45)</f>
        <v>45</v>
      </c>
      <c r="AE34" s="63">
        <f t="shared" ca="1" si="36"/>
        <v>100</v>
      </c>
      <c r="AF34" s="57">
        <f ca="1">IFERROR(__xludf.DUMMYFUNCTION("IMPORTRANGE(""https://docs.google.com/spreadsheets/d/1xQzEtGHhTTgxHh6YUkKY1P4dRyjVhS74dGswLfAASA4/edit?usp=sharing"",""ชัยภูมิ!I487"")"),50)</f>
        <v>50</v>
      </c>
      <c r="AG34" s="57">
        <f ca="1">IFERROR(__xludf.DUMMYFUNCTION("IMPORTRANGE(""https://docs.google.com/spreadsheets/d/1xQzEtGHhTTgxHh6YUkKY1P4dRyjVhS74dGswLfAASA4/edit?usp=sharing"",""ชัยภูมิ!J487"")"),50)</f>
        <v>50</v>
      </c>
      <c r="AH34" s="63">
        <f t="shared" ca="1" si="37"/>
        <v>100</v>
      </c>
      <c r="AI34" s="57">
        <f ca="1">IFERROR(__xludf.DUMMYFUNCTION("IMPORTRANGE(""https://docs.google.com/spreadsheets/d/1xQzEtGHhTTgxHh6YUkKY1P4dRyjVhS74dGswLfAASA4/edit?usp=sharing"",""ชัยภูมิ!J488"")"),0)</f>
        <v>0</v>
      </c>
      <c r="AJ34" s="57">
        <f ca="1">IFERROR(__xludf.DUMMYFUNCTION("IMPORTRANGE(""https://docs.google.com/spreadsheets/d/1xQzEtGHhTTgxHh6YUkKY1P4dRyjVhS74dGswLfAASA4/edit?usp=sharing"",""ชัยภูมิ!I489"")"),5)</f>
        <v>5</v>
      </c>
      <c r="AK34" s="57">
        <f ca="1">IFERROR(__xludf.DUMMYFUNCTION("IMPORTRANGE(""https://docs.google.com/spreadsheets/d/1xQzEtGHhTTgxHh6YUkKY1P4dRyjVhS74dGswLfAASA4/edit?usp=sharing"",""ชัยภูมิ!J489"")"),5)</f>
        <v>5</v>
      </c>
      <c r="AL34" s="63">
        <f t="shared" ca="1" si="38"/>
        <v>100</v>
      </c>
      <c r="AM34" s="57">
        <f ca="1">IFERROR(__xludf.DUMMYFUNCTION("IMPORTRANGE(""https://docs.google.com/spreadsheets/d/1xQzEtGHhTTgxHh6YUkKY1P4dRyjVhS74dGswLfAASA4/edit?usp=sharing"",""ชัยภูมิ!J491"")"),0)</f>
        <v>0</v>
      </c>
      <c r="AN34" s="57">
        <f ca="1">IFERROR(__xludf.DUMMYFUNCTION("IMPORTRANGE(""https://docs.google.com/spreadsheets/d/1xQzEtGHhTTgxHh6YUkKY1P4dRyjVhS74dGswLfAASA4/edit?usp=sharing"",""ชัยภูมิ!I492"")"),1)</f>
        <v>1</v>
      </c>
      <c r="AO34" s="57">
        <f ca="1">IFERROR(__xludf.DUMMYFUNCTION("IMPORTRANGE(""https://docs.google.com/spreadsheets/d/1xQzEtGHhTTgxHh6YUkKY1P4dRyjVhS74dGswLfAASA4/edit?usp=sharing"",""ชัยภูมิ!J492"")"),0)</f>
        <v>0</v>
      </c>
      <c r="AP34" s="63">
        <f t="shared" ca="1" si="39"/>
        <v>0</v>
      </c>
      <c r="AQ34" s="57">
        <f ca="1">IFERROR(__xludf.DUMMYFUNCTION("IMPORTRANGE(""https://docs.google.com/spreadsheets/d/1xQzEtGHhTTgxHh6YUkKY1P4dRyjVhS74dGswLfAASA4/edit?usp=sharing"",""ชัยภูมิ!I495"")"),450)</f>
        <v>450</v>
      </c>
      <c r="AR34" s="57">
        <f ca="1">IFERROR(__xludf.DUMMYFUNCTION("IMPORTRANGE(""https://docs.google.com/spreadsheets/d/1xQzEtGHhTTgxHh6YUkKY1P4dRyjVhS74dGswLfAASA4/edit?usp=sharing"",""ชัยภูมิ!J495"")"),0)</f>
        <v>0</v>
      </c>
      <c r="AS34" s="63">
        <f t="shared" ca="1" si="40"/>
        <v>0</v>
      </c>
      <c r="AT34" s="57">
        <f ca="1">IFERROR(__xludf.DUMMYFUNCTION("IMPORTRANGE(""https://docs.google.com/spreadsheets/d/1xQzEtGHhTTgxHh6YUkKY1P4dRyjVhS74dGswLfAASA4/edit?usp=sharing"",""ชัยภูมิ!J496"")"),0)</f>
        <v>0</v>
      </c>
      <c r="AU34" s="57">
        <f ca="1">IFERROR(__xludf.DUMMYFUNCTION("IMPORTRANGE(""https://docs.google.com/spreadsheets/d/1xQzEtGHhTTgxHh6YUkKY1P4dRyjVhS74dGswLfAASA4/edit?usp=sharing"",""ชัยภูมิ!I498"")"),50)</f>
        <v>50</v>
      </c>
      <c r="AV34" s="57">
        <f ca="1">IFERROR(__xludf.DUMMYFUNCTION("IMPORTRANGE(""https://docs.google.com/spreadsheets/d/1xQzEtGHhTTgxHh6YUkKY1P4dRyjVhS74dGswLfAASA4/edit?usp=sharing"",""ชัยภูมิ!J498"")"),0)</f>
        <v>0</v>
      </c>
      <c r="AW34" s="63">
        <f t="shared" ca="1" si="41"/>
        <v>0</v>
      </c>
      <c r="AX34" s="57">
        <f ca="1">IFERROR(__xludf.DUMMYFUNCTION("IMPORTRANGE(""https://docs.google.com/spreadsheets/d/1xQzEtGHhTTgxHh6YUkKY1P4dRyjVhS74dGswLfAASA4/edit?usp=sharing"",""ชัยภูมิ!J499"")"),0)</f>
        <v>0</v>
      </c>
    </row>
    <row r="35" spans="1:50" ht="21" customHeight="1" x14ac:dyDescent="0.3">
      <c r="A35" s="54">
        <v>4</v>
      </c>
      <c r="B35" s="55" t="s">
        <v>56</v>
      </c>
      <c r="C35" s="56">
        <f t="shared" ca="1" si="67"/>
        <v>1173398</v>
      </c>
      <c r="D35" s="57">
        <f ca="1">IFERROR(__xludf.DUMMYFUNCTION("IMPORTRANGE(""https://docs.google.com/spreadsheets/d/1EXMBoBxU3OFbjT2TRpneM33qFjqDzrKmn9ydcflfI0o/edit?usp=sharing"",""นครพนม!L472"")"),1173398)</f>
        <v>1173398</v>
      </c>
      <c r="E35" s="64">
        <f ca="1">IFERROR(__xludf.DUMMYFUNCTION("IMPORTRANGE(""https://docs.google.com/spreadsheets/d/1EXMBoBxU3OFbjT2TRpneM33qFjqDzrKmn9ydcflfI0o/edit?usp=sharing"",""นครพนม!L479"")"),0)</f>
        <v>0</v>
      </c>
      <c r="F35" s="64">
        <f ca="1">IFERROR(__xludf.DUMMYFUNCTION("IMPORTRANGE(""https://docs.google.com/spreadsheets/d/1EXMBoBxU3OFbjT2TRpneM33qFjqDzrKmn9ydcflfI0o/edit?usp=sharing"",""นครพนม!M472"")"),1173398)</f>
        <v>1173398</v>
      </c>
      <c r="G35" s="64">
        <f ca="1">IFERROR(__xludf.DUMMYFUNCTION("IMPORTRANGE(""https://docs.google.com/spreadsheets/d/1EXMBoBxU3OFbjT2TRpneM33qFjqDzrKmn9ydcflfI0o/edit?usp=sharing"",""นครพนม!M479"")"),0)</f>
        <v>0</v>
      </c>
      <c r="H35" s="58">
        <f t="shared" ca="1" si="34"/>
        <v>272843</v>
      </c>
      <c r="I35" s="59">
        <f t="shared" ca="1" si="1"/>
        <v>23.252383249332283</v>
      </c>
      <c r="J35" s="60">
        <f t="shared" ca="1" si="68"/>
        <v>272843</v>
      </c>
      <c r="K35" s="61">
        <f t="shared" ca="1" si="43"/>
        <v>23.252383249332283</v>
      </c>
      <c r="L35" s="61">
        <f t="shared" ca="1" si="44"/>
        <v>23.252383249332283</v>
      </c>
      <c r="M35" s="64">
        <f ca="1">IFERROR(__xludf.DUMMYFUNCTION("IMPORTRANGE(""https://docs.google.com/spreadsheets/d/1EXMBoBxU3OFbjT2TRpneM33qFjqDzrKmn9ydcflfI0o/edit?usp=sharing"",""นครพนม!N473"")"),165023)</f>
        <v>165023</v>
      </c>
      <c r="N35" s="64">
        <f ca="1">IFERROR(__xludf.DUMMYFUNCTION("IMPORTRANGE(""https://docs.google.com/spreadsheets/d/1EXMBoBxU3OFbjT2TRpneM33qFjqDzrKmn9ydcflfI0o/edit?usp=sharing"",""นครพนม!N474"")"),4000)</f>
        <v>4000</v>
      </c>
      <c r="O35" s="64">
        <f ca="1">IFERROR(__xludf.DUMMYFUNCTION("IMPORTRANGE(""https://docs.google.com/spreadsheets/d/1EXMBoBxU3OFbjT2TRpneM33qFjqDzrKmn9ydcflfI0o/edit?usp=sharing"",""นครพนม!N475"")"),78000)</f>
        <v>78000</v>
      </c>
      <c r="P35" s="64">
        <f ca="1">IFERROR(__xludf.DUMMYFUNCTION("IMPORTRANGE(""https://docs.google.com/spreadsheets/d/1EXMBoBxU3OFbjT2TRpneM33qFjqDzrKmn9ydcflfI0o/edit?usp=sharing"",""นครพนม!N476"")"),25820)</f>
        <v>25820</v>
      </c>
      <c r="Q35" s="62">
        <f ca="1">IFERROR(__xludf.DUMMYFUNCTION("IMPORTRANGE(""https://docs.google.com/spreadsheets/d/1EXMBoBxU3OFbjT2TRpneM33qFjqDzrKmn9ydcflfI0o/edit?usp=sharing"",""นครพนม!N479"")"),0)</f>
        <v>0</v>
      </c>
      <c r="R35" s="62">
        <f t="shared" ca="1" si="46"/>
        <v>0</v>
      </c>
      <c r="S35" s="57">
        <f ca="1">IFERROR(__xludf.DUMMYFUNCTION("IMPORTRANGE(""https://docs.google.com/spreadsheets/d/1EXMBoBxU3OFbjT2TRpneM33qFjqDzrKmn9ydcflfI0o/edit?usp=sharing"",""นครพนม!I465"")"),131)</f>
        <v>131</v>
      </c>
      <c r="T35" s="57">
        <f ca="1">IFERROR(__xludf.DUMMYFUNCTION("IMPORTRANGE(""https://docs.google.com/spreadsheets/d/1EXMBoBxU3OFbjT2TRpneM33qFjqDzrKmn9ydcflfI0o/edit?usp=sharing"",""นครพนม!I466"")"),1300)</f>
        <v>1300</v>
      </c>
      <c r="U35" s="57">
        <f ca="1">IFERROR(__xludf.DUMMYFUNCTION("IMPORTRANGE(""https://docs.google.com/spreadsheets/d/1EXMBoBxU3OFbjT2TRpneM33qFjqDzrKmn9ydcflfI0o/edit?usp=sharing"",""นครพนม!J465"")"),131)</f>
        <v>131</v>
      </c>
      <c r="V35" s="63">
        <f t="shared" ca="1" si="6"/>
        <v>100</v>
      </c>
      <c r="W35" s="57">
        <f ca="1">IFERROR(__xludf.DUMMYFUNCTION("IMPORTRANGE(""https://docs.google.com/spreadsheets/d/1EXMBoBxU3OFbjT2TRpneM33qFjqDzrKmn9ydcflfI0o/edit?usp=sharing"",""นครพนม!J466"")"),0)</f>
        <v>0</v>
      </c>
      <c r="X35" s="63">
        <f t="shared" ca="1" si="7"/>
        <v>0</v>
      </c>
      <c r="Y35" s="57">
        <f ca="1">IFERROR(__xludf.DUMMYFUNCTION("IMPORTRANGE(""https://docs.google.com/spreadsheets/d/1EXMBoBxU3OFbjT2TRpneM33qFjqDzrKmn9ydcflfI0o/edit?usp=sharing"",""นครพนม!I483"")"),1170)</f>
        <v>1170</v>
      </c>
      <c r="Z35" s="57">
        <f ca="1">IFERROR(__xludf.DUMMYFUNCTION("IMPORTRANGE(""https://docs.google.com/spreadsheets/d/1EXMBoBxU3OFbjT2TRpneM33qFjqDzrKmn9ydcflfI0o/edit?usp=sharing"",""นครพนม!J483"")"),1170)</f>
        <v>1170</v>
      </c>
      <c r="AA35" s="63">
        <f t="shared" ca="1" si="35"/>
        <v>100</v>
      </c>
      <c r="AB35" s="57">
        <f ca="1">IFERROR(__xludf.DUMMYFUNCTION("IMPORTRANGE(""https://docs.google.com/spreadsheets/d/1EXMBoBxU3OFbjT2TRpneM33qFjqDzrKmn9ydcflfI0o/edit?usp=sharing"",""นครพนม!J484"")"),126)</f>
        <v>126</v>
      </c>
      <c r="AC35" s="57">
        <f ca="1">IFERROR(__xludf.DUMMYFUNCTION("IMPORTRANGE(""https://docs.google.com/spreadsheets/d/1EXMBoBxU3OFbjT2TRpneM33qFjqDzrKmn9ydcflfI0o/edit?usp=sharing"",""นครพนม!I485"")"),117)</f>
        <v>117</v>
      </c>
      <c r="AD35" s="57">
        <f ca="1">IFERROR(__xludf.DUMMYFUNCTION("IMPORTRANGE(""https://docs.google.com/spreadsheets/d/1EXMBoBxU3OFbjT2TRpneM33qFjqDzrKmn9ydcflfI0o/edit?usp=sharing"",""นครพนม!J485"")"),117)</f>
        <v>117</v>
      </c>
      <c r="AE35" s="63">
        <f t="shared" ca="1" si="36"/>
        <v>100</v>
      </c>
      <c r="AF35" s="57">
        <f ca="1">IFERROR(__xludf.DUMMYFUNCTION("IMPORTRANGE(""https://docs.google.com/spreadsheets/d/1EXMBoBxU3OFbjT2TRpneM33qFjqDzrKmn9ydcflfI0o/edit?usp=sharing"",""นครพนม!I487"")"),130)</f>
        <v>130</v>
      </c>
      <c r="AG35" s="57">
        <f ca="1">IFERROR(__xludf.DUMMYFUNCTION("IMPORTRANGE(""https://docs.google.com/spreadsheets/d/1EXMBoBxU3OFbjT2TRpneM33qFjqDzrKmn9ydcflfI0o/edit?usp=sharing"",""นครพนม!J487"")"),130)</f>
        <v>130</v>
      </c>
      <c r="AH35" s="63">
        <f t="shared" ca="1" si="37"/>
        <v>100</v>
      </c>
      <c r="AI35" s="57">
        <f ca="1">IFERROR(__xludf.DUMMYFUNCTION("IMPORTRANGE(""https://docs.google.com/spreadsheets/d/1EXMBoBxU3OFbjT2TRpneM33qFjqDzrKmn9ydcflfI0o/edit?usp=sharing"",""นครพนม!J488"")"),13)</f>
        <v>13</v>
      </c>
      <c r="AJ35" s="57">
        <f ca="1">IFERROR(__xludf.DUMMYFUNCTION("IMPORTRANGE(""https://docs.google.com/spreadsheets/d/1EXMBoBxU3OFbjT2TRpneM33qFjqDzrKmn9ydcflfI0o/edit?usp=sharing"",""นครพนม!I489"")"),13)</f>
        <v>13</v>
      </c>
      <c r="AK35" s="57">
        <f ca="1">IFERROR(__xludf.DUMMYFUNCTION("IMPORTRANGE(""https://docs.google.com/spreadsheets/d/1EXMBoBxU3OFbjT2TRpneM33qFjqDzrKmn9ydcflfI0o/edit?usp=sharing"",""นครพนม!J489"")"),13)</f>
        <v>13</v>
      </c>
      <c r="AL35" s="63">
        <f t="shared" ca="1" si="38"/>
        <v>100</v>
      </c>
      <c r="AM35" s="57">
        <f ca="1">IFERROR(__xludf.DUMMYFUNCTION("IMPORTRANGE(""https://docs.google.com/spreadsheets/d/1EXMBoBxU3OFbjT2TRpneM33qFjqDzrKmn9ydcflfI0o/edit?usp=sharing"",""นครพนม!J491"")"),1)</f>
        <v>1</v>
      </c>
      <c r="AN35" s="57">
        <f ca="1">IFERROR(__xludf.DUMMYFUNCTION("IMPORTRANGE(""https://docs.google.com/spreadsheets/d/1EXMBoBxU3OFbjT2TRpneM33qFjqDzrKmn9ydcflfI0o/edit?usp=sharing"",""นครพนม!I492"")"),1)</f>
        <v>1</v>
      </c>
      <c r="AO35" s="57">
        <f ca="1">IFERROR(__xludf.DUMMYFUNCTION("IMPORTRANGE(""https://docs.google.com/spreadsheets/d/1EXMBoBxU3OFbjT2TRpneM33qFjqDzrKmn9ydcflfI0o/edit?usp=sharing"",""นครพนม!J492"")"),1)</f>
        <v>1</v>
      </c>
      <c r="AP35" s="63">
        <f t="shared" ca="1" si="39"/>
        <v>100</v>
      </c>
      <c r="AQ35" s="57">
        <f ca="1">IFERROR(__xludf.DUMMYFUNCTION("IMPORTRANGE(""https://docs.google.com/spreadsheets/d/1EXMBoBxU3OFbjT2TRpneM33qFjqDzrKmn9ydcflfI0o/edit?usp=sharing"",""นครพนม!I495"")"),1170)</f>
        <v>1170</v>
      </c>
      <c r="AR35" s="57">
        <f ca="1">IFERROR(__xludf.DUMMYFUNCTION("IMPORTRANGE(""https://docs.google.com/spreadsheets/d/1EXMBoBxU3OFbjT2TRpneM33qFjqDzrKmn9ydcflfI0o/edit?usp=sharing"",""นครพนม!J495"")"),0)</f>
        <v>0</v>
      </c>
      <c r="AS35" s="63">
        <f t="shared" ca="1" si="40"/>
        <v>0</v>
      </c>
      <c r="AT35" s="57">
        <f ca="1">IFERROR(__xludf.DUMMYFUNCTION("IMPORTRANGE(""https://docs.google.com/spreadsheets/d/1EXMBoBxU3OFbjT2TRpneM33qFjqDzrKmn9ydcflfI0o/edit?usp=sharing"",""นครพนม!J496"")"),0)</f>
        <v>0</v>
      </c>
      <c r="AU35" s="57">
        <f ca="1">IFERROR(__xludf.DUMMYFUNCTION("IMPORTRANGE(""https://docs.google.com/spreadsheets/d/1EXMBoBxU3OFbjT2TRpneM33qFjqDzrKmn9ydcflfI0o/edit?usp=sharing"",""นครพนม!I498"")"),130)</f>
        <v>130</v>
      </c>
      <c r="AV35" s="57">
        <f ca="1">IFERROR(__xludf.DUMMYFUNCTION("IMPORTRANGE(""https://docs.google.com/spreadsheets/d/1EXMBoBxU3OFbjT2TRpneM33qFjqDzrKmn9ydcflfI0o/edit?usp=sharing"",""นครพนม!J498"")"),0)</f>
        <v>0</v>
      </c>
      <c r="AW35" s="63">
        <f t="shared" ca="1" si="41"/>
        <v>0</v>
      </c>
      <c r="AX35" s="57">
        <f ca="1">IFERROR(__xludf.DUMMYFUNCTION("IMPORTRANGE(""https://docs.google.com/spreadsheets/d/1EXMBoBxU3OFbjT2TRpneM33qFjqDzrKmn9ydcflfI0o/edit?usp=sharing"",""นครพนม!J499"")"),0)</f>
        <v>0</v>
      </c>
    </row>
    <row r="36" spans="1:50" ht="21" customHeight="1" x14ac:dyDescent="0.3">
      <c r="A36" s="54">
        <v>5</v>
      </c>
      <c r="B36" s="55" t="s">
        <v>57</v>
      </c>
      <c r="C36" s="56">
        <f t="shared" ca="1" si="67"/>
        <v>1167258</v>
      </c>
      <c r="D36" s="57">
        <f ca="1">IFERROR(__xludf.DUMMYFUNCTION("IMPORTRANGE(""https://docs.google.com/spreadsheets/d/1bDQrolntRWtHumK8W-x-HXKntwxB9S3sF5aDeRS66Ko/edit?usp=sharing"",""นครราชสีมา!L472"")"),1167258)</f>
        <v>1167258</v>
      </c>
      <c r="E36" s="64">
        <f ca="1">IFERROR(__xludf.DUMMYFUNCTION("IMPORTRANGE(""https://docs.google.com/spreadsheets/d/1bDQrolntRWtHumK8W-x-HXKntwxB9S3sF5aDeRS66Ko/edit?usp=sharing"",""นครราชสีมา!L479"")"),0)</f>
        <v>0</v>
      </c>
      <c r="F36" s="64">
        <f ca="1">IFERROR(__xludf.DUMMYFUNCTION("IMPORTRANGE(""https://docs.google.com/spreadsheets/d/1bDQrolntRWtHumK8W-x-HXKntwxB9S3sF5aDeRS66Ko/edit?usp=sharing"",""นครราชสีมา!M472"")"),1167258)</f>
        <v>1167258</v>
      </c>
      <c r="G36" s="64">
        <f ca="1">IFERROR(__xludf.DUMMYFUNCTION("IMPORTRANGE(""https://docs.google.com/spreadsheets/d/1bDQrolntRWtHumK8W-x-HXKntwxB9S3sF5aDeRS66Ko/edit?usp=sharing"",""นครราชสีมา!M479"")"),0)</f>
        <v>0</v>
      </c>
      <c r="H36" s="58">
        <f t="shared" ca="1" si="34"/>
        <v>260923.35</v>
      </c>
      <c r="I36" s="59">
        <f t="shared" ca="1" si="1"/>
        <v>22.353528525827194</v>
      </c>
      <c r="J36" s="60">
        <f t="shared" ca="1" si="68"/>
        <v>260923.35</v>
      </c>
      <c r="K36" s="61">
        <f t="shared" ca="1" si="43"/>
        <v>22.353528525827194</v>
      </c>
      <c r="L36" s="61">
        <f t="shared" ca="1" si="44"/>
        <v>22.353528525827194</v>
      </c>
      <c r="M36" s="64">
        <f ca="1">IFERROR(__xludf.DUMMYFUNCTION("IMPORTRANGE(""https://docs.google.com/spreadsheets/d/1bDQrolntRWtHumK8W-x-HXKntwxB9S3sF5aDeRS66Ko/edit?usp=sharing"",""นครราชสีมา!N473"")"),180050)</f>
        <v>180050</v>
      </c>
      <c r="N36" s="64">
        <f ca="1">IFERROR(__xludf.DUMMYFUNCTION("IMPORTRANGE(""https://docs.google.com/spreadsheets/d/1bDQrolntRWtHumK8W-x-HXKntwxB9S3sF5aDeRS66Ko/edit?usp=sharing"",""นครราชสีมา!N474"")"),0)</f>
        <v>0</v>
      </c>
      <c r="O36" s="64">
        <f ca="1">IFERROR(__xludf.DUMMYFUNCTION("IMPORTRANGE(""https://docs.google.com/spreadsheets/d/1bDQrolntRWtHumK8W-x-HXKntwxB9S3sF5aDeRS66Ko/edit?usp=sharing"",""นครราชสีมา!N475"")"),62833.35)</f>
        <v>62833.35</v>
      </c>
      <c r="P36" s="64">
        <f ca="1">IFERROR(__xludf.DUMMYFUNCTION("IMPORTRANGE(""https://docs.google.com/spreadsheets/d/1bDQrolntRWtHumK8W-x-HXKntwxB9S3sF5aDeRS66Ko/edit?usp=sharing"",""นครราชสีมา!N476"")"),18040)</f>
        <v>18040</v>
      </c>
      <c r="Q36" s="62">
        <f ca="1">IFERROR(__xludf.DUMMYFUNCTION("IMPORTRANGE(""https://docs.google.com/spreadsheets/d/1bDQrolntRWtHumK8W-x-HXKntwxB9S3sF5aDeRS66Ko/edit?usp=sharing"",""นครราชสีมา!N479"")"),0)</f>
        <v>0</v>
      </c>
      <c r="R36" s="62">
        <f t="shared" ca="1" si="46"/>
        <v>0</v>
      </c>
      <c r="S36" s="57">
        <f ca="1">IFERROR(__xludf.DUMMYFUNCTION("IMPORTRANGE(""https://docs.google.com/spreadsheets/d/1bDQrolntRWtHumK8W-x-HXKntwxB9S3sF5aDeRS66Ko/edit?usp=sharing"",""นครราชสีมา!I465"")"),131)</f>
        <v>131</v>
      </c>
      <c r="T36" s="57">
        <f ca="1">IFERROR(__xludf.DUMMYFUNCTION("IMPORTRANGE(""https://docs.google.com/spreadsheets/d/1bDQrolntRWtHumK8W-x-HXKntwxB9S3sF5aDeRS66Ko/edit?usp=sharing"",""นครราชสีมา!I466"")"),1300)</f>
        <v>1300</v>
      </c>
      <c r="U36" s="57">
        <f ca="1">IFERROR(__xludf.DUMMYFUNCTION("IMPORTRANGE(""https://docs.google.com/spreadsheets/d/1bDQrolntRWtHumK8W-x-HXKntwxB9S3sF5aDeRS66Ko/edit?usp=sharing"",""นครราชสีมา!J465"")"),134)</f>
        <v>134</v>
      </c>
      <c r="V36" s="63">
        <f t="shared" ca="1" si="6"/>
        <v>102.29007633587786</v>
      </c>
      <c r="W36" s="57">
        <f ca="1">IFERROR(__xludf.DUMMYFUNCTION("IMPORTRANGE(""https://docs.google.com/spreadsheets/d/1bDQrolntRWtHumK8W-x-HXKntwxB9S3sF5aDeRS66Ko/edit?usp=sharing"",""นครราชสีมา!J466"")"),0)</f>
        <v>0</v>
      </c>
      <c r="X36" s="63">
        <f t="shared" ca="1" si="7"/>
        <v>0</v>
      </c>
      <c r="Y36" s="57">
        <f ca="1">IFERROR(__xludf.DUMMYFUNCTION("IMPORTRANGE(""https://docs.google.com/spreadsheets/d/1bDQrolntRWtHumK8W-x-HXKntwxB9S3sF5aDeRS66Ko/edit?usp=sharing"",""นครราชสีมา!I483"")"),1170)</f>
        <v>1170</v>
      </c>
      <c r="Z36" s="57">
        <f ca="1">IFERROR(__xludf.DUMMYFUNCTION("IMPORTRANGE(""https://docs.google.com/spreadsheets/d/1bDQrolntRWtHumK8W-x-HXKntwxB9S3sF5aDeRS66Ko/edit?usp=sharing"",""นครราชสีมา!J483"")"),1247)</f>
        <v>1247</v>
      </c>
      <c r="AA36" s="63">
        <f t="shared" ca="1" si="35"/>
        <v>106.58119658119658</v>
      </c>
      <c r="AB36" s="57">
        <f ca="1">IFERROR(__xludf.DUMMYFUNCTION("IMPORTRANGE(""https://docs.google.com/spreadsheets/d/1bDQrolntRWtHumK8W-x-HXKntwxB9S3sF5aDeRS66Ko/edit?usp=sharing"",""นครราชสีมา!J484"")"),0)</f>
        <v>0</v>
      </c>
      <c r="AC36" s="57">
        <f ca="1">IFERROR(__xludf.DUMMYFUNCTION("IMPORTRANGE(""https://docs.google.com/spreadsheets/d/1bDQrolntRWtHumK8W-x-HXKntwxB9S3sF5aDeRS66Ko/edit?usp=sharing"",""นครราชสีมา!I485"")"),117)</f>
        <v>117</v>
      </c>
      <c r="AD36" s="57">
        <f ca="1">IFERROR(__xludf.DUMMYFUNCTION("IMPORTRANGE(""https://docs.google.com/spreadsheets/d/1bDQrolntRWtHumK8W-x-HXKntwxB9S3sF5aDeRS66Ko/edit?usp=sharing"",""นครราชสีมา!J485"")"),110)</f>
        <v>110</v>
      </c>
      <c r="AE36" s="63">
        <f t="shared" ca="1" si="36"/>
        <v>94.017094017094024</v>
      </c>
      <c r="AF36" s="57">
        <f ca="1">IFERROR(__xludf.DUMMYFUNCTION("IMPORTRANGE(""https://docs.google.com/spreadsheets/d/1bDQrolntRWtHumK8W-x-HXKntwxB9S3sF5aDeRS66Ko/edit?usp=sharing"",""นครราชสีมา!I487"")"),130)</f>
        <v>130</v>
      </c>
      <c r="AG36" s="57">
        <f ca="1">IFERROR(__xludf.DUMMYFUNCTION("IMPORTRANGE(""https://docs.google.com/spreadsheets/d/1bDQrolntRWtHumK8W-x-HXKntwxB9S3sF5aDeRS66Ko/edit?usp=sharing"",""นครราชสีมา!J487"")"),57)</f>
        <v>57</v>
      </c>
      <c r="AH36" s="63">
        <f t="shared" ca="1" si="37"/>
        <v>43.846153846153847</v>
      </c>
      <c r="AI36" s="57">
        <f ca="1">IFERROR(__xludf.DUMMYFUNCTION("IMPORTRANGE(""https://docs.google.com/spreadsheets/d/1bDQrolntRWtHumK8W-x-HXKntwxB9S3sF5aDeRS66Ko/edit?usp=sharing"",""นครราชสีมา!J488"")"),0)</f>
        <v>0</v>
      </c>
      <c r="AJ36" s="57">
        <f ca="1">IFERROR(__xludf.DUMMYFUNCTION("IMPORTRANGE(""https://docs.google.com/spreadsheets/d/1bDQrolntRWtHumK8W-x-HXKntwxB9S3sF5aDeRS66Ko/edit?usp=sharing"",""นครราชสีมา!I489"")"),13)</f>
        <v>13</v>
      </c>
      <c r="AK36" s="57">
        <f ca="1">IFERROR(__xludf.DUMMYFUNCTION("IMPORTRANGE(""https://docs.google.com/spreadsheets/d/1bDQrolntRWtHumK8W-x-HXKntwxB9S3sF5aDeRS66Ko/edit?usp=sharing"",""นครราชสีมา!J489"")"),23)</f>
        <v>23</v>
      </c>
      <c r="AL36" s="63">
        <f t="shared" ca="1" si="38"/>
        <v>176.92307692307693</v>
      </c>
      <c r="AM36" s="57">
        <f ca="1">IFERROR(__xludf.DUMMYFUNCTION("IMPORTRANGE(""https://docs.google.com/spreadsheets/d/1bDQrolntRWtHumK8W-x-HXKntwxB9S3sF5aDeRS66Ko/edit?usp=sharing"",""นครราชสีมา!J491"")"),0)</f>
        <v>0</v>
      </c>
      <c r="AN36" s="57">
        <f ca="1">IFERROR(__xludf.DUMMYFUNCTION("IMPORTRANGE(""https://docs.google.com/spreadsheets/d/1bDQrolntRWtHumK8W-x-HXKntwxB9S3sF5aDeRS66Ko/edit?usp=sharing"",""นครราชสีมา!I492"")"),1)</f>
        <v>1</v>
      </c>
      <c r="AO36" s="57">
        <f ca="1">IFERROR(__xludf.DUMMYFUNCTION("IMPORTRANGE(""https://docs.google.com/spreadsheets/d/1bDQrolntRWtHumK8W-x-HXKntwxB9S3sF5aDeRS66Ko/edit?usp=sharing"",""นครราชสีมา!J492"")"),1)</f>
        <v>1</v>
      </c>
      <c r="AP36" s="63">
        <f t="shared" ca="1" si="39"/>
        <v>100</v>
      </c>
      <c r="AQ36" s="57">
        <f ca="1">IFERROR(__xludf.DUMMYFUNCTION("IMPORTRANGE(""https://docs.google.com/spreadsheets/d/1bDQrolntRWtHumK8W-x-HXKntwxB9S3sF5aDeRS66Ko/edit?usp=sharing"",""นครราชสีมา!I495"")"),1170)</f>
        <v>1170</v>
      </c>
      <c r="AR36" s="57">
        <f ca="1">IFERROR(__xludf.DUMMYFUNCTION("IMPORTRANGE(""https://docs.google.com/spreadsheets/d/1bDQrolntRWtHumK8W-x-HXKntwxB9S3sF5aDeRS66Ko/edit?usp=sharing"",""นครราชสีมา!J495"")"),0)</f>
        <v>0</v>
      </c>
      <c r="AS36" s="63">
        <f t="shared" ca="1" si="40"/>
        <v>0</v>
      </c>
      <c r="AT36" s="57">
        <f ca="1">IFERROR(__xludf.DUMMYFUNCTION("IMPORTRANGE(""https://docs.google.com/spreadsheets/d/1bDQrolntRWtHumK8W-x-HXKntwxB9S3sF5aDeRS66Ko/edit?usp=sharing"",""นครราชสีมา!J496"")"),0)</f>
        <v>0</v>
      </c>
      <c r="AU36" s="57">
        <f ca="1">IFERROR(__xludf.DUMMYFUNCTION("IMPORTRANGE(""https://docs.google.com/spreadsheets/d/1bDQrolntRWtHumK8W-x-HXKntwxB9S3sF5aDeRS66Ko/edit?usp=sharing"",""นครราชสีมา!I498"")"),130)</f>
        <v>130</v>
      </c>
      <c r="AV36" s="57">
        <f ca="1">IFERROR(__xludf.DUMMYFUNCTION("IMPORTRANGE(""https://docs.google.com/spreadsheets/d/1bDQrolntRWtHumK8W-x-HXKntwxB9S3sF5aDeRS66Ko/edit?usp=sharing"",""นครราชสีมา!J498"")"),0)</f>
        <v>0</v>
      </c>
      <c r="AW36" s="63">
        <f t="shared" ca="1" si="41"/>
        <v>0</v>
      </c>
      <c r="AX36" s="57">
        <f ca="1">IFERROR(__xludf.DUMMYFUNCTION("IMPORTRANGE(""https://docs.google.com/spreadsheets/d/1bDQrolntRWtHumK8W-x-HXKntwxB9S3sF5aDeRS66Ko/edit?usp=sharing"",""นครราชสีมา!J499"")"),0)</f>
        <v>0</v>
      </c>
    </row>
    <row r="37" spans="1:50" ht="21" customHeight="1" x14ac:dyDescent="0.3">
      <c r="A37" s="54">
        <v>6</v>
      </c>
      <c r="B37" s="55" t="s">
        <v>58</v>
      </c>
      <c r="C37" s="56">
        <f t="shared" ca="1" si="67"/>
        <v>1173538</v>
      </c>
      <c r="D37" s="57">
        <f ca="1">IFERROR(__xludf.DUMMYFUNCTION("IMPORTRANGE(""https://docs.google.com/spreadsheets/d/1_MzZ-2gVPiCW-d2VcafoCmFJQTSrZ6SQyFcMqRRQQ2w/edit?usp=sharing"",""บึงกาฬ!L472"")"),1173538)</f>
        <v>1173538</v>
      </c>
      <c r="E37" s="64">
        <f ca="1">IFERROR(__xludf.DUMMYFUNCTION("IMPORTRANGE(""https://docs.google.com/spreadsheets/d/1_MzZ-2gVPiCW-d2VcafoCmFJQTSrZ6SQyFcMqRRQQ2w/edit?usp=sharing"",""บึงกาฬ!L479"")"),0)</f>
        <v>0</v>
      </c>
      <c r="F37" s="64">
        <f ca="1">IFERROR(__xludf.DUMMYFUNCTION("IMPORTRANGE(""https://docs.google.com/spreadsheets/d/1_MzZ-2gVPiCW-d2VcafoCmFJQTSrZ6SQyFcMqRRQQ2w/edit?usp=sharing"",""บึงกาฬ!M472"")"),1173538)</f>
        <v>1173538</v>
      </c>
      <c r="G37" s="64">
        <f ca="1">IFERROR(__xludf.DUMMYFUNCTION("IMPORTRANGE(""https://docs.google.com/spreadsheets/d/1_MzZ-2gVPiCW-d2VcafoCmFJQTSrZ6SQyFcMqRRQQ2w/edit?usp=sharing"",""บึงกาฬ!M479"")"),0)</f>
        <v>0</v>
      </c>
      <c r="H37" s="58">
        <f t="shared" ca="1" si="34"/>
        <v>186123</v>
      </c>
      <c r="I37" s="59">
        <f t="shared" ca="1" si="1"/>
        <v>15.859989195066543</v>
      </c>
      <c r="J37" s="60">
        <f t="shared" ca="1" si="68"/>
        <v>186123</v>
      </c>
      <c r="K37" s="61">
        <f t="shared" ca="1" si="43"/>
        <v>15.859989195066543</v>
      </c>
      <c r="L37" s="61">
        <f t="shared" ca="1" si="44"/>
        <v>15.859989195066543</v>
      </c>
      <c r="M37" s="64">
        <f ca="1">IFERROR(__xludf.DUMMYFUNCTION("IMPORTRANGE(""https://docs.google.com/spreadsheets/d/1_MzZ-2gVPiCW-d2VcafoCmFJQTSrZ6SQyFcMqRRQQ2w/edit?usp=sharing"",""บึงกาฬ!N473"")"),121603)</f>
        <v>121603</v>
      </c>
      <c r="N37" s="64">
        <f ca="1">IFERROR(__xludf.DUMMYFUNCTION("IMPORTRANGE(""https://docs.google.com/spreadsheets/d/1_MzZ-2gVPiCW-d2VcafoCmFJQTSrZ6SQyFcMqRRQQ2w/edit?usp=sharing"",""บึงกาฬ!N474"")"),0)</f>
        <v>0</v>
      </c>
      <c r="O37" s="64">
        <f ca="1">IFERROR(__xludf.DUMMYFUNCTION("IMPORTRANGE(""https://docs.google.com/spreadsheets/d/1_MzZ-2gVPiCW-d2VcafoCmFJQTSrZ6SQyFcMqRRQQ2w/edit?usp=sharing"",""บึงกาฬ!N475"")"),51160)</f>
        <v>51160</v>
      </c>
      <c r="P37" s="64">
        <f ca="1">IFERROR(__xludf.DUMMYFUNCTION("IMPORTRANGE(""https://docs.google.com/spreadsheets/d/1_MzZ-2gVPiCW-d2VcafoCmFJQTSrZ6SQyFcMqRRQQ2w/edit?usp=sharing"",""บึงกาฬ!N476"")"),13360)</f>
        <v>13360</v>
      </c>
      <c r="Q37" s="62">
        <f ca="1">IFERROR(__xludf.DUMMYFUNCTION("IMPORTRANGE(""https://docs.google.com/spreadsheets/d/1_MzZ-2gVPiCW-d2VcafoCmFJQTSrZ6SQyFcMqRRQQ2w/edit?usp=sharing"",""บึงกาฬ!N479"")"),0)</f>
        <v>0</v>
      </c>
      <c r="R37" s="62">
        <f t="shared" ca="1" si="46"/>
        <v>0</v>
      </c>
      <c r="S37" s="57">
        <f ca="1">IFERROR(__xludf.DUMMYFUNCTION("IMPORTRANGE(""https://docs.google.com/spreadsheets/d/1_MzZ-2gVPiCW-d2VcafoCmFJQTSrZ6SQyFcMqRRQQ2w/edit?usp=sharing"",""บึงกาฬ!I465"")"),131)</f>
        <v>131</v>
      </c>
      <c r="T37" s="57">
        <f ca="1">IFERROR(__xludf.DUMMYFUNCTION("IMPORTRANGE(""https://docs.google.com/spreadsheets/d/1_MzZ-2gVPiCW-d2VcafoCmFJQTSrZ6SQyFcMqRRQQ2w/edit?usp=sharing"",""บึงกาฬ!I466"")"),1300)</f>
        <v>1300</v>
      </c>
      <c r="U37" s="57">
        <f ca="1">IFERROR(__xludf.DUMMYFUNCTION("IMPORTRANGE(""https://docs.google.com/spreadsheets/d/1_MzZ-2gVPiCW-d2VcafoCmFJQTSrZ6SQyFcMqRRQQ2w/edit?usp=sharing"",""บึงกาฬ!J465"")"),131)</f>
        <v>131</v>
      </c>
      <c r="V37" s="63">
        <f t="shared" ca="1" si="6"/>
        <v>100</v>
      </c>
      <c r="W37" s="57">
        <f ca="1">IFERROR(__xludf.DUMMYFUNCTION("IMPORTRANGE(""https://docs.google.com/spreadsheets/d/1_MzZ-2gVPiCW-d2VcafoCmFJQTSrZ6SQyFcMqRRQQ2w/edit?usp=sharing"",""บึงกาฬ!J466"")"),0)</f>
        <v>0</v>
      </c>
      <c r="X37" s="63">
        <f t="shared" ca="1" si="7"/>
        <v>0</v>
      </c>
      <c r="Y37" s="57">
        <f ca="1">IFERROR(__xludf.DUMMYFUNCTION("IMPORTRANGE(""https://docs.google.com/spreadsheets/d/1_MzZ-2gVPiCW-d2VcafoCmFJQTSrZ6SQyFcMqRRQQ2w/edit?usp=sharing"",""บึงกาฬ!I483"")"),1170)</f>
        <v>1170</v>
      </c>
      <c r="Z37" s="57">
        <f ca="1">IFERROR(__xludf.DUMMYFUNCTION("IMPORTRANGE(""https://docs.google.com/spreadsheets/d/1_MzZ-2gVPiCW-d2VcafoCmFJQTSrZ6SQyFcMqRRQQ2w/edit?usp=sharing"",""บึงกาฬ!J483"")"),1170)</f>
        <v>1170</v>
      </c>
      <c r="AA37" s="63">
        <f t="shared" ca="1" si="35"/>
        <v>100</v>
      </c>
      <c r="AB37" s="57">
        <f ca="1">IFERROR(__xludf.DUMMYFUNCTION("IMPORTRANGE(""https://docs.google.com/spreadsheets/d/1_MzZ-2gVPiCW-d2VcafoCmFJQTSrZ6SQyFcMqRRQQ2w/edit?usp=sharing"",""บึงกาฬ!J484"")"),0)</f>
        <v>0</v>
      </c>
      <c r="AC37" s="57">
        <f ca="1">IFERROR(__xludf.DUMMYFUNCTION("IMPORTRANGE(""https://docs.google.com/spreadsheets/d/1_MzZ-2gVPiCW-d2VcafoCmFJQTSrZ6SQyFcMqRRQQ2w/edit?usp=sharing"",""บึงกาฬ!I485"")"),117)</f>
        <v>117</v>
      </c>
      <c r="AD37" s="57">
        <f ca="1">IFERROR(__xludf.DUMMYFUNCTION("IMPORTRANGE(""https://docs.google.com/spreadsheets/d/1_MzZ-2gVPiCW-d2VcafoCmFJQTSrZ6SQyFcMqRRQQ2w/edit?usp=sharing"",""บึงกาฬ!J485"")"),117)</f>
        <v>117</v>
      </c>
      <c r="AE37" s="63">
        <f t="shared" ca="1" si="36"/>
        <v>100</v>
      </c>
      <c r="AF37" s="57">
        <f ca="1">IFERROR(__xludf.DUMMYFUNCTION("IMPORTRANGE(""https://docs.google.com/spreadsheets/d/1_MzZ-2gVPiCW-d2VcafoCmFJQTSrZ6SQyFcMqRRQQ2w/edit?usp=sharing"",""บึงกาฬ!I487"")"),130)</f>
        <v>130</v>
      </c>
      <c r="AG37" s="57">
        <f ca="1">IFERROR(__xludf.DUMMYFUNCTION("IMPORTRANGE(""https://docs.google.com/spreadsheets/d/1_MzZ-2gVPiCW-d2VcafoCmFJQTSrZ6SQyFcMqRRQQ2w/edit?usp=sharing"",""บึงกาฬ!J487"")"),130)</f>
        <v>130</v>
      </c>
      <c r="AH37" s="63">
        <f t="shared" ca="1" si="37"/>
        <v>100</v>
      </c>
      <c r="AI37" s="57">
        <f ca="1">IFERROR(__xludf.DUMMYFUNCTION("IMPORTRANGE(""https://docs.google.com/spreadsheets/d/1_MzZ-2gVPiCW-d2VcafoCmFJQTSrZ6SQyFcMqRRQQ2w/edit?usp=sharing"",""บึงกาฬ!J488"")"),0)</f>
        <v>0</v>
      </c>
      <c r="AJ37" s="57">
        <f ca="1">IFERROR(__xludf.DUMMYFUNCTION("IMPORTRANGE(""https://docs.google.com/spreadsheets/d/1_MzZ-2gVPiCW-d2VcafoCmFJQTSrZ6SQyFcMqRRQQ2w/edit?usp=sharing"",""บึงกาฬ!I489"")"),13)</f>
        <v>13</v>
      </c>
      <c r="AK37" s="57">
        <f ca="1">IFERROR(__xludf.DUMMYFUNCTION("IMPORTRANGE(""https://docs.google.com/spreadsheets/d/1_MzZ-2gVPiCW-d2VcafoCmFJQTSrZ6SQyFcMqRRQQ2w/edit?usp=sharing"",""บึงกาฬ!J489"")"),13)</f>
        <v>13</v>
      </c>
      <c r="AL37" s="63">
        <f t="shared" ca="1" si="38"/>
        <v>100</v>
      </c>
      <c r="AM37" s="57">
        <f ca="1">IFERROR(__xludf.DUMMYFUNCTION("IMPORTRANGE(""https://docs.google.com/spreadsheets/d/1_MzZ-2gVPiCW-d2VcafoCmFJQTSrZ6SQyFcMqRRQQ2w/edit?usp=sharing"",""บึงกาฬ!J491"")"),0)</f>
        <v>0</v>
      </c>
      <c r="AN37" s="57">
        <f ca="1">IFERROR(__xludf.DUMMYFUNCTION("IMPORTRANGE(""https://docs.google.com/spreadsheets/d/1_MzZ-2gVPiCW-d2VcafoCmFJQTSrZ6SQyFcMqRRQQ2w/edit?usp=sharing"",""บึงกาฬ!I492"")"),1)</f>
        <v>1</v>
      </c>
      <c r="AO37" s="57">
        <f ca="1">IFERROR(__xludf.DUMMYFUNCTION("IMPORTRANGE(""https://docs.google.com/spreadsheets/d/1_MzZ-2gVPiCW-d2VcafoCmFJQTSrZ6SQyFcMqRRQQ2w/edit?usp=sharing"",""บึงกาฬ!J492"")"),1)</f>
        <v>1</v>
      </c>
      <c r="AP37" s="63">
        <f t="shared" ca="1" si="39"/>
        <v>100</v>
      </c>
      <c r="AQ37" s="57">
        <f ca="1">IFERROR(__xludf.DUMMYFUNCTION("IMPORTRANGE(""https://docs.google.com/spreadsheets/d/1_MzZ-2gVPiCW-d2VcafoCmFJQTSrZ6SQyFcMqRRQQ2w/edit?usp=sharing"",""บึงกาฬ!I495"")"),1170)</f>
        <v>1170</v>
      </c>
      <c r="AR37" s="57">
        <f ca="1">IFERROR(__xludf.DUMMYFUNCTION("IMPORTRANGE(""https://docs.google.com/spreadsheets/d/1_MzZ-2gVPiCW-d2VcafoCmFJQTSrZ6SQyFcMqRRQQ2w/edit?usp=sharing"",""บึงกาฬ!J495"")"),0)</f>
        <v>0</v>
      </c>
      <c r="AS37" s="63">
        <f t="shared" ca="1" si="40"/>
        <v>0</v>
      </c>
      <c r="AT37" s="57">
        <f ca="1">IFERROR(__xludf.DUMMYFUNCTION("IMPORTRANGE(""https://docs.google.com/spreadsheets/d/1_MzZ-2gVPiCW-d2VcafoCmFJQTSrZ6SQyFcMqRRQQ2w/edit?usp=sharing"",""บึงกาฬ!J496"")"),0)</f>
        <v>0</v>
      </c>
      <c r="AU37" s="57">
        <f ca="1">IFERROR(__xludf.DUMMYFUNCTION("IMPORTRANGE(""https://docs.google.com/spreadsheets/d/1_MzZ-2gVPiCW-d2VcafoCmFJQTSrZ6SQyFcMqRRQQ2w/edit?usp=sharing"",""บึงกาฬ!I498"")"),130)</f>
        <v>130</v>
      </c>
      <c r="AV37" s="57">
        <f ca="1">IFERROR(__xludf.DUMMYFUNCTION("IMPORTRANGE(""https://docs.google.com/spreadsheets/d/1_MzZ-2gVPiCW-d2VcafoCmFJQTSrZ6SQyFcMqRRQQ2w/edit?usp=sharing"",""บึงกาฬ!J498"")"),0)</f>
        <v>0</v>
      </c>
      <c r="AW37" s="63">
        <f t="shared" ca="1" si="41"/>
        <v>0</v>
      </c>
      <c r="AX37" s="57">
        <f ca="1">IFERROR(__xludf.DUMMYFUNCTION("IMPORTRANGE(""https://docs.google.com/spreadsheets/d/1_MzZ-2gVPiCW-d2VcafoCmFJQTSrZ6SQyFcMqRRQQ2w/edit?usp=sharing"",""บึงกาฬ!J499"")"),0)</f>
        <v>0</v>
      </c>
    </row>
    <row r="38" spans="1:50" ht="21" customHeight="1" x14ac:dyDescent="0.3">
      <c r="A38" s="54">
        <v>7</v>
      </c>
      <c r="B38" s="55" t="s">
        <v>59</v>
      </c>
      <c r="C38" s="56">
        <f t="shared" ca="1" si="67"/>
        <v>1168168</v>
      </c>
      <c r="D38" s="57">
        <f ca="1">IFERROR(__xludf.DUMMYFUNCTION("IMPORTRANGE(""https://docs.google.com/spreadsheets/d/1B3lPpzOuaNwVItLwLEZYl_qEblfcx7dRnbRkAw0l-pE/edit?usp=sharing"",""บุรีรัมย์!L472"")"),1168168)</f>
        <v>1168168</v>
      </c>
      <c r="E38" s="64">
        <f ca="1">IFERROR(__xludf.DUMMYFUNCTION("IMPORTRANGE(""https://docs.google.com/spreadsheets/d/1B3lPpzOuaNwVItLwLEZYl_qEblfcx7dRnbRkAw0l-pE/edit?usp=sharing"",""บุรีรัมย์!L479"")"),0)</f>
        <v>0</v>
      </c>
      <c r="F38" s="64">
        <f ca="1">IFERROR(__xludf.DUMMYFUNCTION("IMPORTRANGE(""https://docs.google.com/spreadsheets/d/1B3lPpzOuaNwVItLwLEZYl_qEblfcx7dRnbRkAw0l-pE/edit?usp=sharing"",""บุรีรัมย์!M472"")"),1168168)</f>
        <v>1168168</v>
      </c>
      <c r="G38" s="64">
        <f ca="1">IFERROR(__xludf.DUMMYFUNCTION("IMPORTRANGE(""https://docs.google.com/spreadsheets/d/1B3lPpzOuaNwVItLwLEZYl_qEblfcx7dRnbRkAw0l-pE/edit?usp=sharing"",""บุรีรัมย์!M479"")"),0)</f>
        <v>0</v>
      </c>
      <c r="H38" s="58">
        <f t="shared" ca="1" si="34"/>
        <v>219680.2</v>
      </c>
      <c r="I38" s="59">
        <f t="shared" ca="1" si="1"/>
        <v>18.805531396169044</v>
      </c>
      <c r="J38" s="60">
        <f t="shared" ca="1" si="68"/>
        <v>219680.2</v>
      </c>
      <c r="K38" s="61">
        <f t="shared" ca="1" si="43"/>
        <v>18.805531396169044</v>
      </c>
      <c r="L38" s="61">
        <f t="shared" ca="1" si="44"/>
        <v>18.805531396169044</v>
      </c>
      <c r="M38" s="64">
        <f ca="1">IFERROR(__xludf.DUMMYFUNCTION("IMPORTRANGE(""https://docs.google.com/spreadsheets/d/1B3lPpzOuaNwVItLwLEZYl_qEblfcx7dRnbRkAw0l-pE/edit?usp=sharing"",""บุรีรัมย์!N473"")"),146340.2)</f>
        <v>146340.20000000001</v>
      </c>
      <c r="N38" s="64">
        <f ca="1">IFERROR(__xludf.DUMMYFUNCTION("IMPORTRANGE(""https://docs.google.com/spreadsheets/d/1B3lPpzOuaNwVItLwLEZYl_qEblfcx7dRnbRkAw0l-pE/edit?usp=sharing"",""บุรีรัมย์!N474"")"),0)</f>
        <v>0</v>
      </c>
      <c r="O38" s="64">
        <f ca="1">IFERROR(__xludf.DUMMYFUNCTION("IMPORTRANGE(""https://docs.google.com/spreadsheets/d/1B3lPpzOuaNwVItLwLEZYl_qEblfcx7dRnbRkAw0l-pE/edit?usp=sharing"",""บุรีรัมย์!N475"")"),65000)</f>
        <v>65000</v>
      </c>
      <c r="P38" s="64">
        <f ca="1">IFERROR(__xludf.DUMMYFUNCTION("IMPORTRANGE(""https://docs.google.com/spreadsheets/d/1B3lPpzOuaNwVItLwLEZYl_qEblfcx7dRnbRkAw0l-pE/edit?usp=sharing"",""บุรีรัมย์!N476"")"),8340)</f>
        <v>8340</v>
      </c>
      <c r="Q38" s="62">
        <f ca="1">IFERROR(__xludf.DUMMYFUNCTION("IMPORTRANGE(""https://docs.google.com/spreadsheets/d/1B3lPpzOuaNwVItLwLEZYl_qEblfcx7dRnbRkAw0l-pE/edit?usp=sharing"",""บุรีรัมย์!N479"")"),0)</f>
        <v>0</v>
      </c>
      <c r="R38" s="62">
        <f t="shared" ca="1" si="46"/>
        <v>0</v>
      </c>
      <c r="S38" s="57">
        <f ca="1">IFERROR(__xludf.DUMMYFUNCTION("IMPORTRANGE(""https://docs.google.com/spreadsheets/d/1B3lPpzOuaNwVItLwLEZYl_qEblfcx7dRnbRkAw0l-pE/edit?usp=sharing"",""บุรีรัมย์!I465"")"),131)</f>
        <v>131</v>
      </c>
      <c r="T38" s="57">
        <f ca="1">IFERROR(__xludf.DUMMYFUNCTION("IMPORTRANGE(""https://docs.google.com/spreadsheets/d/1B3lPpzOuaNwVItLwLEZYl_qEblfcx7dRnbRkAw0l-pE/edit?usp=sharing"",""บุรีรัมย์!I466"")"),1300)</f>
        <v>1300</v>
      </c>
      <c r="U38" s="57">
        <f ca="1">IFERROR(__xludf.DUMMYFUNCTION("IMPORTRANGE(""https://docs.google.com/spreadsheets/d/1B3lPpzOuaNwVItLwLEZYl_qEblfcx7dRnbRkAw0l-pE/edit?usp=sharing"",""บุรีรัมย์!J465"")"),131)</f>
        <v>131</v>
      </c>
      <c r="V38" s="63">
        <f t="shared" ca="1" si="6"/>
        <v>100</v>
      </c>
      <c r="W38" s="57">
        <f ca="1">IFERROR(__xludf.DUMMYFUNCTION("IMPORTRANGE(""https://docs.google.com/spreadsheets/d/1B3lPpzOuaNwVItLwLEZYl_qEblfcx7dRnbRkAw0l-pE/edit?usp=sharing"",""บุรีรัมย์!J466"")"),0)</f>
        <v>0</v>
      </c>
      <c r="X38" s="63">
        <f t="shared" ca="1" si="7"/>
        <v>0</v>
      </c>
      <c r="Y38" s="57">
        <f ca="1">IFERROR(__xludf.DUMMYFUNCTION("IMPORTRANGE(""https://docs.google.com/spreadsheets/d/1B3lPpzOuaNwVItLwLEZYl_qEblfcx7dRnbRkAw0l-pE/edit?usp=sharing"",""บุรีรัมย์!I483"")"),1170)</f>
        <v>1170</v>
      </c>
      <c r="Z38" s="57">
        <f ca="1">IFERROR(__xludf.DUMMYFUNCTION("IMPORTRANGE(""https://docs.google.com/spreadsheets/d/1B3lPpzOuaNwVItLwLEZYl_qEblfcx7dRnbRkAw0l-pE/edit?usp=sharing"",""บุรีรัมย์!J483"")"),1170)</f>
        <v>1170</v>
      </c>
      <c r="AA38" s="63">
        <f t="shared" ca="1" si="35"/>
        <v>100</v>
      </c>
      <c r="AB38" s="57">
        <f ca="1">IFERROR(__xludf.DUMMYFUNCTION("IMPORTRANGE(""https://docs.google.com/spreadsheets/d/1B3lPpzOuaNwVItLwLEZYl_qEblfcx7dRnbRkAw0l-pE/edit?usp=sharing"",""บุรีรัมย์!J484"")"),0)</f>
        <v>0</v>
      </c>
      <c r="AC38" s="57">
        <f ca="1">IFERROR(__xludf.DUMMYFUNCTION("IMPORTRANGE(""https://docs.google.com/spreadsheets/d/1B3lPpzOuaNwVItLwLEZYl_qEblfcx7dRnbRkAw0l-pE/edit?usp=sharing"",""บุรีรัมย์!I485"")"),117)</f>
        <v>117</v>
      </c>
      <c r="AD38" s="57">
        <f ca="1">IFERROR(__xludf.DUMMYFUNCTION("IMPORTRANGE(""https://docs.google.com/spreadsheets/d/1B3lPpzOuaNwVItLwLEZYl_qEblfcx7dRnbRkAw0l-pE/edit?usp=sharing"",""บุรีรัมย์!J485"")"),117)</f>
        <v>117</v>
      </c>
      <c r="AE38" s="63">
        <f t="shared" ca="1" si="36"/>
        <v>100</v>
      </c>
      <c r="AF38" s="57">
        <f ca="1">IFERROR(__xludf.DUMMYFUNCTION("IMPORTRANGE(""https://docs.google.com/spreadsheets/d/1B3lPpzOuaNwVItLwLEZYl_qEblfcx7dRnbRkAw0l-pE/edit?usp=sharing"",""บุรีรัมย์!I487"")"),130)</f>
        <v>130</v>
      </c>
      <c r="AG38" s="57">
        <f ca="1">IFERROR(__xludf.DUMMYFUNCTION("IMPORTRANGE(""https://docs.google.com/spreadsheets/d/1B3lPpzOuaNwVItLwLEZYl_qEblfcx7dRnbRkAw0l-pE/edit?usp=sharing"",""บุรีรัมย์!J487"")"),130)</f>
        <v>130</v>
      </c>
      <c r="AH38" s="63">
        <f t="shared" ca="1" si="37"/>
        <v>100</v>
      </c>
      <c r="AI38" s="57">
        <f ca="1">IFERROR(__xludf.DUMMYFUNCTION("IMPORTRANGE(""https://docs.google.com/spreadsheets/d/1B3lPpzOuaNwVItLwLEZYl_qEblfcx7dRnbRkAw0l-pE/edit?usp=sharing"",""บุรีรัมย์!J488"")"),0)</f>
        <v>0</v>
      </c>
      <c r="AJ38" s="57">
        <f ca="1">IFERROR(__xludf.DUMMYFUNCTION("IMPORTRANGE(""https://docs.google.com/spreadsheets/d/1B3lPpzOuaNwVItLwLEZYl_qEblfcx7dRnbRkAw0l-pE/edit?usp=sharing"",""บุรีรัมย์!I489"")"),13)</f>
        <v>13</v>
      </c>
      <c r="AK38" s="57">
        <f ca="1">IFERROR(__xludf.DUMMYFUNCTION("IMPORTRANGE(""https://docs.google.com/spreadsheets/d/1B3lPpzOuaNwVItLwLEZYl_qEblfcx7dRnbRkAw0l-pE/edit?usp=sharing"",""บุรีรัมย์!J489"")"),13)</f>
        <v>13</v>
      </c>
      <c r="AL38" s="63">
        <f t="shared" ca="1" si="38"/>
        <v>100</v>
      </c>
      <c r="AM38" s="57">
        <f ca="1">IFERROR(__xludf.DUMMYFUNCTION("IMPORTRANGE(""https://docs.google.com/spreadsheets/d/1B3lPpzOuaNwVItLwLEZYl_qEblfcx7dRnbRkAw0l-pE/edit?usp=sharing"",""บุรีรัมย์!J491"")"),0)</f>
        <v>0</v>
      </c>
      <c r="AN38" s="57">
        <f ca="1">IFERROR(__xludf.DUMMYFUNCTION("IMPORTRANGE(""https://docs.google.com/spreadsheets/d/1B3lPpzOuaNwVItLwLEZYl_qEblfcx7dRnbRkAw0l-pE/edit?usp=sharing"",""บุรีรัมย์!I492"")"),1)</f>
        <v>1</v>
      </c>
      <c r="AO38" s="57">
        <f ca="1">IFERROR(__xludf.DUMMYFUNCTION("IMPORTRANGE(""https://docs.google.com/spreadsheets/d/1B3lPpzOuaNwVItLwLEZYl_qEblfcx7dRnbRkAw0l-pE/edit?usp=sharing"",""บุรีรัมย์!J492"")"),1)</f>
        <v>1</v>
      </c>
      <c r="AP38" s="63">
        <f t="shared" ca="1" si="39"/>
        <v>100</v>
      </c>
      <c r="AQ38" s="57">
        <f ca="1">IFERROR(__xludf.DUMMYFUNCTION("IMPORTRANGE(""https://docs.google.com/spreadsheets/d/1B3lPpzOuaNwVItLwLEZYl_qEblfcx7dRnbRkAw0l-pE/edit?usp=sharing"",""บุรีรัมย์!I495"")"),1170)</f>
        <v>1170</v>
      </c>
      <c r="AR38" s="57">
        <f ca="1">IFERROR(__xludf.DUMMYFUNCTION("IMPORTRANGE(""https://docs.google.com/spreadsheets/d/1B3lPpzOuaNwVItLwLEZYl_qEblfcx7dRnbRkAw0l-pE/edit?usp=sharing"",""บุรีรัมย์!J495"")"),0)</f>
        <v>0</v>
      </c>
      <c r="AS38" s="63">
        <f t="shared" ca="1" si="40"/>
        <v>0</v>
      </c>
      <c r="AT38" s="57">
        <f ca="1">IFERROR(__xludf.DUMMYFUNCTION("IMPORTRANGE(""https://docs.google.com/spreadsheets/d/1B3lPpzOuaNwVItLwLEZYl_qEblfcx7dRnbRkAw0l-pE/edit?usp=sharing"",""บุรีรัมย์!J496"")"),0)</f>
        <v>0</v>
      </c>
      <c r="AU38" s="57">
        <f ca="1">IFERROR(__xludf.DUMMYFUNCTION("IMPORTRANGE(""https://docs.google.com/spreadsheets/d/1B3lPpzOuaNwVItLwLEZYl_qEblfcx7dRnbRkAw0l-pE/edit?usp=sharing"",""บุรีรัมย์!I498"")"),130)</f>
        <v>130</v>
      </c>
      <c r="AV38" s="57">
        <f ca="1">IFERROR(__xludf.DUMMYFUNCTION("IMPORTRANGE(""https://docs.google.com/spreadsheets/d/1B3lPpzOuaNwVItLwLEZYl_qEblfcx7dRnbRkAw0l-pE/edit?usp=sharing"",""บุรีรัมย์!J498"")"),0)</f>
        <v>0</v>
      </c>
      <c r="AW38" s="63">
        <f t="shared" ca="1" si="41"/>
        <v>0</v>
      </c>
      <c r="AX38" s="57">
        <f ca="1">IFERROR(__xludf.DUMMYFUNCTION("IMPORTRANGE(""https://docs.google.com/spreadsheets/d/1B3lPpzOuaNwVItLwLEZYl_qEblfcx7dRnbRkAw0l-pE/edit?usp=sharing"",""บุรีรัมย์!J499"")"),0)</f>
        <v>0</v>
      </c>
    </row>
    <row r="39" spans="1:50" ht="21" customHeight="1" x14ac:dyDescent="0.3">
      <c r="A39" s="54">
        <v>8</v>
      </c>
      <c r="B39" s="55" t="s">
        <v>60</v>
      </c>
      <c r="C39" s="56">
        <f t="shared" ca="1" si="67"/>
        <v>1170118</v>
      </c>
      <c r="D39" s="57">
        <f ca="1">IFERROR(__xludf.DUMMYFUNCTION("IMPORTRANGE(""https://docs.google.com/spreadsheets/d/19GOkiOqnzYbevLYWrMk4qFOXe3rX14BkSA8X-mq-a40/edit?usp=sharing"",""มหาสารคาม!L472"")"),1170118)</f>
        <v>1170118</v>
      </c>
      <c r="E39" s="64">
        <f ca="1">IFERROR(__xludf.DUMMYFUNCTION("IMPORTRANGE(""https://docs.google.com/spreadsheets/d/19GOkiOqnzYbevLYWrMk4qFOXe3rX14BkSA8X-mq-a40/edit?usp=sharing"",""มหาสารคาม!L479"")"),0)</f>
        <v>0</v>
      </c>
      <c r="F39" s="64">
        <f ca="1">IFERROR(__xludf.DUMMYFUNCTION("IMPORTRANGE(""https://docs.google.com/spreadsheets/d/19GOkiOqnzYbevLYWrMk4qFOXe3rX14BkSA8X-mq-a40/edit?usp=sharing"",""มหาสารคาม!M472"")"),1170118)</f>
        <v>1170118</v>
      </c>
      <c r="G39" s="64">
        <f ca="1">IFERROR(__xludf.DUMMYFUNCTION("IMPORTRANGE(""https://docs.google.com/spreadsheets/d/19GOkiOqnzYbevLYWrMk4qFOXe3rX14BkSA8X-mq-a40/edit?usp=sharing"",""มหาสารคาม!M479"")"),0)</f>
        <v>0</v>
      </c>
      <c r="H39" s="58">
        <f t="shared" ca="1" si="34"/>
        <v>169809</v>
      </c>
      <c r="I39" s="59">
        <f t="shared" ca="1" si="1"/>
        <v>14.512126127450394</v>
      </c>
      <c r="J39" s="60">
        <f t="shared" ca="1" si="68"/>
        <v>169809</v>
      </c>
      <c r="K39" s="61">
        <f t="shared" ca="1" si="43"/>
        <v>14.512126127450394</v>
      </c>
      <c r="L39" s="61">
        <f t="shared" ca="1" si="44"/>
        <v>14.512126127450394</v>
      </c>
      <c r="M39" s="64">
        <f ca="1">IFERROR(__xludf.DUMMYFUNCTION("IMPORTRANGE(""https://docs.google.com/spreadsheets/d/19GOkiOqnzYbevLYWrMk4qFOXe3rX14BkSA8X-mq-a40/edit?usp=sharing"",""มหาสารคาม!N473"")"),96419)</f>
        <v>96419</v>
      </c>
      <c r="N39" s="64">
        <f ca="1">IFERROR(__xludf.DUMMYFUNCTION("IMPORTRANGE(""https://docs.google.com/spreadsheets/d/19GOkiOqnzYbevLYWrMk4qFOXe3rX14BkSA8X-mq-a40/edit?usp=sharing"",""มหาสารคาม!N474"")"),7050)</f>
        <v>7050</v>
      </c>
      <c r="O39" s="64">
        <f ca="1">IFERROR(__xludf.DUMMYFUNCTION("IMPORTRANGE(""https://docs.google.com/spreadsheets/d/19GOkiOqnzYbevLYWrMk4qFOXe3rX14BkSA8X-mq-a40/edit?usp=sharing"",""มหาสารคาม!N475"")"),65000)</f>
        <v>65000</v>
      </c>
      <c r="P39" s="64">
        <f ca="1">IFERROR(__xludf.DUMMYFUNCTION("IMPORTRANGE(""https://docs.google.com/spreadsheets/d/19GOkiOqnzYbevLYWrMk4qFOXe3rX14BkSA8X-mq-a40/edit?usp=sharing"",""มหาสารคาม!N476"")"),1340)</f>
        <v>1340</v>
      </c>
      <c r="Q39" s="62">
        <f ca="1">IFERROR(__xludf.DUMMYFUNCTION("IMPORTRANGE(""https://docs.google.com/spreadsheets/d/19GOkiOqnzYbevLYWrMk4qFOXe3rX14BkSA8X-mq-a40/edit?usp=sharing"",""มหาสารคาม!N479"")"),0)</f>
        <v>0</v>
      </c>
      <c r="R39" s="62">
        <f t="shared" ca="1" si="46"/>
        <v>0</v>
      </c>
      <c r="S39" s="57">
        <f ca="1">IFERROR(__xludf.DUMMYFUNCTION("IMPORTRANGE(""https://docs.google.com/spreadsheets/d/19GOkiOqnzYbevLYWrMk4qFOXe3rX14BkSA8X-mq-a40/edit?usp=sharing"",""มหาสารคาม!I465"")"),131)</f>
        <v>131</v>
      </c>
      <c r="T39" s="57">
        <f ca="1">IFERROR(__xludf.DUMMYFUNCTION("IMPORTRANGE(""https://docs.google.com/spreadsheets/d/19GOkiOqnzYbevLYWrMk4qFOXe3rX14BkSA8X-mq-a40/edit?usp=sharing"",""มหาสารคาม!I466"")"),1300)</f>
        <v>1300</v>
      </c>
      <c r="U39" s="57">
        <f ca="1">IFERROR(__xludf.DUMMYFUNCTION("IMPORTRANGE(""https://docs.google.com/spreadsheets/d/19GOkiOqnzYbevLYWrMk4qFOXe3rX14BkSA8X-mq-a40/edit?usp=sharing"",""มหาสารคาม!J465"")"),131)</f>
        <v>131</v>
      </c>
      <c r="V39" s="63">
        <f t="shared" ca="1" si="6"/>
        <v>100</v>
      </c>
      <c r="W39" s="57">
        <f ca="1">IFERROR(__xludf.DUMMYFUNCTION("IMPORTRANGE(""https://docs.google.com/spreadsheets/d/19GOkiOqnzYbevLYWrMk4qFOXe3rX14BkSA8X-mq-a40/edit?usp=sharing"",""มหาสารคาม!J466"")"),0)</f>
        <v>0</v>
      </c>
      <c r="X39" s="63">
        <f t="shared" ca="1" si="7"/>
        <v>0</v>
      </c>
      <c r="Y39" s="57">
        <f ca="1">IFERROR(__xludf.DUMMYFUNCTION("IMPORTRANGE(""https://docs.google.com/spreadsheets/d/19GOkiOqnzYbevLYWrMk4qFOXe3rX14BkSA8X-mq-a40/edit?usp=sharing"",""มหาสารคาม!I483"")"),1170)</f>
        <v>1170</v>
      </c>
      <c r="Z39" s="57">
        <f ca="1">IFERROR(__xludf.DUMMYFUNCTION("IMPORTRANGE(""https://docs.google.com/spreadsheets/d/19GOkiOqnzYbevLYWrMk4qFOXe3rX14BkSA8X-mq-a40/edit?usp=sharing"",""มหาสารคาม!J483"")"),1170)</f>
        <v>1170</v>
      </c>
      <c r="AA39" s="63">
        <f t="shared" ca="1" si="35"/>
        <v>100</v>
      </c>
      <c r="AB39" s="57">
        <f ca="1">IFERROR(__xludf.DUMMYFUNCTION("IMPORTRANGE(""https://docs.google.com/spreadsheets/d/19GOkiOqnzYbevLYWrMk4qFOXe3rX14BkSA8X-mq-a40/edit?usp=sharing"",""มหาสารคาม!J484"")"),256)</f>
        <v>256</v>
      </c>
      <c r="AC39" s="57">
        <f ca="1">IFERROR(__xludf.DUMMYFUNCTION("IMPORTRANGE(""https://docs.google.com/spreadsheets/d/19GOkiOqnzYbevLYWrMk4qFOXe3rX14BkSA8X-mq-a40/edit?usp=sharing"",""มหาสารคาม!I485"")"),117)</f>
        <v>117</v>
      </c>
      <c r="AD39" s="57">
        <f ca="1">IFERROR(__xludf.DUMMYFUNCTION("IMPORTRANGE(""https://docs.google.com/spreadsheets/d/19GOkiOqnzYbevLYWrMk4qFOXe3rX14BkSA8X-mq-a40/edit?usp=sharing"",""มหาสารคาม!J485"")"),117)</f>
        <v>117</v>
      </c>
      <c r="AE39" s="63">
        <f t="shared" ca="1" si="36"/>
        <v>100</v>
      </c>
      <c r="AF39" s="57">
        <f ca="1">IFERROR(__xludf.DUMMYFUNCTION("IMPORTRANGE(""https://docs.google.com/spreadsheets/d/19GOkiOqnzYbevLYWrMk4qFOXe3rX14BkSA8X-mq-a40/edit?usp=sharing"",""มหาสารคาม!I487"")"),130)</f>
        <v>130</v>
      </c>
      <c r="AG39" s="57">
        <f ca="1">IFERROR(__xludf.DUMMYFUNCTION("IMPORTRANGE(""https://docs.google.com/spreadsheets/d/19GOkiOqnzYbevLYWrMk4qFOXe3rX14BkSA8X-mq-a40/edit?usp=sharing"",""มหาสารคาม!J487"")"),130)</f>
        <v>130</v>
      </c>
      <c r="AH39" s="63">
        <f t="shared" ca="1" si="37"/>
        <v>100</v>
      </c>
      <c r="AI39" s="57">
        <f ca="1">IFERROR(__xludf.DUMMYFUNCTION("IMPORTRANGE(""https://docs.google.com/spreadsheets/d/19GOkiOqnzYbevLYWrMk4qFOXe3rX14BkSA8X-mq-a40/edit?usp=sharing"",""มหาสารคาม!J488"")"),14)</f>
        <v>14</v>
      </c>
      <c r="AJ39" s="57">
        <f ca="1">IFERROR(__xludf.DUMMYFUNCTION("IMPORTRANGE(""https://docs.google.com/spreadsheets/d/19GOkiOqnzYbevLYWrMk4qFOXe3rX14BkSA8X-mq-a40/edit?usp=sharing"",""มหาสารคาม!I489"")"),13)</f>
        <v>13</v>
      </c>
      <c r="AK39" s="57">
        <f ca="1">IFERROR(__xludf.DUMMYFUNCTION("IMPORTRANGE(""https://docs.google.com/spreadsheets/d/19GOkiOqnzYbevLYWrMk4qFOXe3rX14BkSA8X-mq-a40/edit?usp=sharing"",""มหาสารคาม!J489"")"),13)</f>
        <v>13</v>
      </c>
      <c r="AL39" s="63">
        <f t="shared" ca="1" si="38"/>
        <v>100</v>
      </c>
      <c r="AM39" s="57">
        <f ca="1">IFERROR(__xludf.DUMMYFUNCTION("IMPORTRANGE(""https://docs.google.com/spreadsheets/d/19GOkiOqnzYbevLYWrMk4qFOXe3rX14BkSA8X-mq-a40/edit?usp=sharing"",""มหาสารคาม!J491"")"),1)</f>
        <v>1</v>
      </c>
      <c r="AN39" s="57">
        <f ca="1">IFERROR(__xludf.DUMMYFUNCTION("IMPORTRANGE(""https://docs.google.com/spreadsheets/d/19GOkiOqnzYbevLYWrMk4qFOXe3rX14BkSA8X-mq-a40/edit?usp=sharing"",""มหาสารคาม!I492"")"),1)</f>
        <v>1</v>
      </c>
      <c r="AO39" s="57">
        <f ca="1">IFERROR(__xludf.DUMMYFUNCTION("IMPORTRANGE(""https://docs.google.com/spreadsheets/d/19GOkiOqnzYbevLYWrMk4qFOXe3rX14BkSA8X-mq-a40/edit?usp=sharing"",""มหาสารคาม!J492"")"),1)</f>
        <v>1</v>
      </c>
      <c r="AP39" s="63">
        <f t="shared" ca="1" si="39"/>
        <v>100</v>
      </c>
      <c r="AQ39" s="57">
        <f ca="1">IFERROR(__xludf.DUMMYFUNCTION("IMPORTRANGE(""https://docs.google.com/spreadsheets/d/19GOkiOqnzYbevLYWrMk4qFOXe3rX14BkSA8X-mq-a40/edit?usp=sharing"",""มหาสารคาม!I495"")"),1170)</f>
        <v>1170</v>
      </c>
      <c r="AR39" s="57">
        <f ca="1">IFERROR(__xludf.DUMMYFUNCTION("IMPORTRANGE(""https://docs.google.com/spreadsheets/d/19GOkiOqnzYbevLYWrMk4qFOXe3rX14BkSA8X-mq-a40/edit?usp=sharing"",""มหาสารคาม!J495"")"),0)</f>
        <v>0</v>
      </c>
      <c r="AS39" s="63">
        <f t="shared" ca="1" si="40"/>
        <v>0</v>
      </c>
      <c r="AT39" s="57">
        <f ca="1">IFERROR(__xludf.DUMMYFUNCTION("IMPORTRANGE(""https://docs.google.com/spreadsheets/d/19GOkiOqnzYbevLYWrMk4qFOXe3rX14BkSA8X-mq-a40/edit?usp=sharing"",""มหาสารคาม!J496"")"),0)</f>
        <v>0</v>
      </c>
      <c r="AU39" s="57">
        <f ca="1">IFERROR(__xludf.DUMMYFUNCTION("IMPORTRANGE(""https://docs.google.com/spreadsheets/d/19GOkiOqnzYbevLYWrMk4qFOXe3rX14BkSA8X-mq-a40/edit?usp=sharing"",""มหาสารคาม!I498"")"),130)</f>
        <v>130</v>
      </c>
      <c r="AV39" s="57">
        <f ca="1">IFERROR(__xludf.DUMMYFUNCTION("IMPORTRANGE(""https://docs.google.com/spreadsheets/d/19GOkiOqnzYbevLYWrMk4qFOXe3rX14BkSA8X-mq-a40/edit?usp=sharing"",""มหาสารคาม!J498"")"),0)</f>
        <v>0</v>
      </c>
      <c r="AW39" s="63">
        <f t="shared" ca="1" si="41"/>
        <v>0</v>
      </c>
      <c r="AX39" s="57">
        <f ca="1">IFERROR(__xludf.DUMMYFUNCTION("IMPORTRANGE(""https://docs.google.com/spreadsheets/d/19GOkiOqnzYbevLYWrMk4qFOXe3rX14BkSA8X-mq-a40/edit?usp=sharing"",""มหาสารคาม!J499"")"),0)</f>
        <v>0</v>
      </c>
    </row>
    <row r="40" spans="1:50" ht="21" customHeight="1" x14ac:dyDescent="0.3">
      <c r="A40" s="54">
        <v>9</v>
      </c>
      <c r="B40" s="55" t="s">
        <v>61</v>
      </c>
      <c r="C40" s="56">
        <f t="shared" ca="1" si="67"/>
        <v>1172838</v>
      </c>
      <c r="D40" s="57">
        <f ca="1">IFERROR(__xludf.DUMMYFUNCTION("IMPORTRANGE(""https://docs.google.com/spreadsheets/d/1uMKqWwuNQ-TCKboGA3Bb1qXb5uj2-faACNUINCz8PN4/edit?usp=sharing"",""มุกดาหาร!L472"")"),1172838)</f>
        <v>1172838</v>
      </c>
      <c r="E40" s="64">
        <f ca="1">IFERROR(__xludf.DUMMYFUNCTION("IMPORTRANGE(""https://docs.google.com/spreadsheets/d/1uMKqWwuNQ-TCKboGA3Bb1qXb5uj2-faACNUINCz8PN4/edit?usp=sharing"",""มุกดาหาร!L479"")"),0)</f>
        <v>0</v>
      </c>
      <c r="F40" s="64">
        <f ca="1">IFERROR(__xludf.DUMMYFUNCTION("IMPORTRANGE(""https://docs.google.com/spreadsheets/d/1uMKqWwuNQ-TCKboGA3Bb1qXb5uj2-faACNUINCz8PN4/edit?usp=sharing"",""มุกดาหาร!M472"")"),1172838)</f>
        <v>1172838</v>
      </c>
      <c r="G40" s="64">
        <f ca="1">IFERROR(__xludf.DUMMYFUNCTION("IMPORTRANGE(""https://docs.google.com/spreadsheets/d/1uMKqWwuNQ-TCKboGA3Bb1qXb5uj2-faACNUINCz8PN4/edit?usp=sharing"",""มุกดาหาร!M479"")"),0)</f>
        <v>0</v>
      </c>
      <c r="H40" s="58">
        <f t="shared" ca="1" si="34"/>
        <v>249911</v>
      </c>
      <c r="I40" s="59">
        <f t="shared" ca="1" si="1"/>
        <v>21.308228416882809</v>
      </c>
      <c r="J40" s="60">
        <f t="shared" ca="1" si="68"/>
        <v>249911</v>
      </c>
      <c r="K40" s="61">
        <f t="shared" ca="1" si="43"/>
        <v>21.308228416882809</v>
      </c>
      <c r="L40" s="61">
        <f t="shared" ca="1" si="44"/>
        <v>21.308228416882809</v>
      </c>
      <c r="M40" s="64">
        <f ca="1">IFERROR(__xludf.DUMMYFUNCTION("IMPORTRANGE(""https://docs.google.com/spreadsheets/d/1uMKqWwuNQ-TCKboGA3Bb1qXb5uj2-faACNUINCz8PN4/edit?usp=sharing"",""มุกดาหาร!N473"")"),142461)</f>
        <v>142461</v>
      </c>
      <c r="N40" s="64">
        <f ca="1">IFERROR(__xludf.DUMMYFUNCTION("IMPORTRANGE(""https://docs.google.com/spreadsheets/d/1uMKqWwuNQ-TCKboGA3Bb1qXb5uj2-faACNUINCz8PN4/edit?usp=sharing"",""มุกดาหาร!N474"")"),0)</f>
        <v>0</v>
      </c>
      <c r="O40" s="64">
        <f ca="1">IFERROR(__xludf.DUMMYFUNCTION("IMPORTRANGE(""https://docs.google.com/spreadsheets/d/1uMKqWwuNQ-TCKboGA3Bb1qXb5uj2-faACNUINCz8PN4/edit?usp=sharing"",""มุกดาหาร!N475"")"),64567)</f>
        <v>64567</v>
      </c>
      <c r="P40" s="64">
        <f ca="1">IFERROR(__xludf.DUMMYFUNCTION("IMPORTRANGE(""https://docs.google.com/spreadsheets/d/1uMKqWwuNQ-TCKboGA3Bb1qXb5uj2-faACNUINCz8PN4/edit?usp=sharing"",""มุกดาหาร!N476"")"),42883)</f>
        <v>42883</v>
      </c>
      <c r="Q40" s="62">
        <f ca="1">IFERROR(__xludf.DUMMYFUNCTION("IMPORTRANGE(""https://docs.google.com/spreadsheets/d/1uMKqWwuNQ-TCKboGA3Bb1qXb5uj2-faACNUINCz8PN4/edit?usp=sharing"",""มุกดาหาร!N479"")"),0)</f>
        <v>0</v>
      </c>
      <c r="R40" s="62">
        <f t="shared" ca="1" si="46"/>
        <v>0</v>
      </c>
      <c r="S40" s="57">
        <f ca="1">IFERROR(__xludf.DUMMYFUNCTION("IMPORTRANGE(""https://docs.google.com/spreadsheets/d/1uMKqWwuNQ-TCKboGA3Bb1qXb5uj2-faACNUINCz8PN4/edit?usp=sharing"",""มุกดาหาร!I465"")"),131)</f>
        <v>131</v>
      </c>
      <c r="T40" s="57">
        <f ca="1">IFERROR(__xludf.DUMMYFUNCTION("IMPORTRANGE(""https://docs.google.com/spreadsheets/d/1uMKqWwuNQ-TCKboGA3Bb1qXb5uj2-faACNUINCz8PN4/edit?usp=sharing"",""มุกดาหาร!I466"")"),1300)</f>
        <v>1300</v>
      </c>
      <c r="U40" s="57">
        <f ca="1">IFERROR(__xludf.DUMMYFUNCTION("IMPORTRANGE(""https://docs.google.com/spreadsheets/d/1uMKqWwuNQ-TCKboGA3Bb1qXb5uj2-faACNUINCz8PN4/edit?usp=sharing"",""มุกดาหาร!J465"")"),131)</f>
        <v>131</v>
      </c>
      <c r="V40" s="63">
        <f t="shared" ca="1" si="6"/>
        <v>100</v>
      </c>
      <c r="W40" s="57">
        <f ca="1">IFERROR(__xludf.DUMMYFUNCTION("IMPORTRANGE(""https://docs.google.com/spreadsheets/d/1uMKqWwuNQ-TCKboGA3Bb1qXb5uj2-faACNUINCz8PN4/edit?usp=sharing"",""มุกดาหาร!J466"")"),0)</f>
        <v>0</v>
      </c>
      <c r="X40" s="63">
        <f t="shared" ca="1" si="7"/>
        <v>0</v>
      </c>
      <c r="Y40" s="57">
        <f ca="1">IFERROR(__xludf.DUMMYFUNCTION("IMPORTRANGE(""https://docs.google.com/spreadsheets/d/1uMKqWwuNQ-TCKboGA3Bb1qXb5uj2-faACNUINCz8PN4/edit?usp=sharing"",""มุกดาหาร!I483"")"),1170)</f>
        <v>1170</v>
      </c>
      <c r="Z40" s="57">
        <f ca="1">IFERROR(__xludf.DUMMYFUNCTION("IMPORTRANGE(""https://docs.google.com/spreadsheets/d/1uMKqWwuNQ-TCKboGA3Bb1qXb5uj2-faACNUINCz8PN4/edit?usp=sharing"",""มุกดาหาร!J483"")"),1170)</f>
        <v>1170</v>
      </c>
      <c r="AA40" s="63">
        <f t="shared" ca="1" si="35"/>
        <v>100</v>
      </c>
      <c r="AB40" s="57">
        <f ca="1">IFERROR(__xludf.DUMMYFUNCTION("IMPORTRANGE(""https://docs.google.com/spreadsheets/d/1uMKqWwuNQ-TCKboGA3Bb1qXb5uj2-faACNUINCz8PN4/edit?usp=sharing"",""มุกดาหาร!J484"")"),0)</f>
        <v>0</v>
      </c>
      <c r="AC40" s="57">
        <f ca="1">IFERROR(__xludf.DUMMYFUNCTION("IMPORTRANGE(""https://docs.google.com/spreadsheets/d/1uMKqWwuNQ-TCKboGA3Bb1qXb5uj2-faACNUINCz8PN4/edit?usp=sharing"",""มุกดาหาร!I485"")"),117)</f>
        <v>117</v>
      </c>
      <c r="AD40" s="57">
        <f ca="1">IFERROR(__xludf.DUMMYFUNCTION("IMPORTRANGE(""https://docs.google.com/spreadsheets/d/1uMKqWwuNQ-TCKboGA3Bb1qXb5uj2-faACNUINCz8PN4/edit?usp=sharing"",""มุกดาหาร!J485"")"),117)</f>
        <v>117</v>
      </c>
      <c r="AE40" s="63">
        <f t="shared" ca="1" si="36"/>
        <v>100</v>
      </c>
      <c r="AF40" s="57">
        <f ca="1">IFERROR(__xludf.DUMMYFUNCTION("IMPORTRANGE(""https://docs.google.com/spreadsheets/d/1uMKqWwuNQ-TCKboGA3Bb1qXb5uj2-faACNUINCz8PN4/edit?usp=sharing"",""มุกดาหาร!I487"")"),130)</f>
        <v>130</v>
      </c>
      <c r="AG40" s="57">
        <f ca="1">IFERROR(__xludf.DUMMYFUNCTION("IMPORTRANGE(""https://docs.google.com/spreadsheets/d/1uMKqWwuNQ-TCKboGA3Bb1qXb5uj2-faACNUINCz8PN4/edit?usp=sharing"",""มุกดาหาร!J487"")"),130)</f>
        <v>130</v>
      </c>
      <c r="AH40" s="63">
        <f t="shared" ca="1" si="37"/>
        <v>100</v>
      </c>
      <c r="AI40" s="57">
        <f ca="1">IFERROR(__xludf.DUMMYFUNCTION("IMPORTRANGE(""https://docs.google.com/spreadsheets/d/1uMKqWwuNQ-TCKboGA3Bb1qXb5uj2-faACNUINCz8PN4/edit?usp=sharing"",""มุกดาหาร!J488"")"),0)</f>
        <v>0</v>
      </c>
      <c r="AJ40" s="57">
        <f ca="1">IFERROR(__xludf.DUMMYFUNCTION("IMPORTRANGE(""https://docs.google.com/spreadsheets/d/1uMKqWwuNQ-TCKboGA3Bb1qXb5uj2-faACNUINCz8PN4/edit?usp=sharing"",""มุกดาหาร!I489"")"),13)</f>
        <v>13</v>
      </c>
      <c r="AK40" s="57">
        <f ca="1">IFERROR(__xludf.DUMMYFUNCTION("IMPORTRANGE(""https://docs.google.com/spreadsheets/d/1uMKqWwuNQ-TCKboGA3Bb1qXb5uj2-faACNUINCz8PN4/edit?usp=sharing"",""มุกดาหาร!J489"")"),13)</f>
        <v>13</v>
      </c>
      <c r="AL40" s="63">
        <f t="shared" ca="1" si="38"/>
        <v>100</v>
      </c>
      <c r="AM40" s="57">
        <f ca="1">IFERROR(__xludf.DUMMYFUNCTION("IMPORTRANGE(""https://docs.google.com/spreadsheets/d/1uMKqWwuNQ-TCKboGA3Bb1qXb5uj2-faACNUINCz8PN4/edit?usp=sharing"",""มุกดาหาร!J491"")"),0)</f>
        <v>0</v>
      </c>
      <c r="AN40" s="57">
        <f ca="1">IFERROR(__xludf.DUMMYFUNCTION("IMPORTRANGE(""https://docs.google.com/spreadsheets/d/1uMKqWwuNQ-TCKboGA3Bb1qXb5uj2-faACNUINCz8PN4/edit?usp=sharing"",""มุกดาหาร!I492"")"),1)</f>
        <v>1</v>
      </c>
      <c r="AO40" s="57">
        <f ca="1">IFERROR(__xludf.DUMMYFUNCTION("IMPORTRANGE(""https://docs.google.com/spreadsheets/d/1uMKqWwuNQ-TCKboGA3Bb1qXb5uj2-faACNUINCz8PN4/edit?usp=sharing"",""มุกดาหาร!J492"")"),1)</f>
        <v>1</v>
      </c>
      <c r="AP40" s="63">
        <f t="shared" ca="1" si="39"/>
        <v>100</v>
      </c>
      <c r="AQ40" s="57">
        <f ca="1">IFERROR(__xludf.DUMMYFUNCTION("IMPORTRANGE(""https://docs.google.com/spreadsheets/d/1uMKqWwuNQ-TCKboGA3Bb1qXb5uj2-faACNUINCz8PN4/edit?usp=sharing"",""มุกดาหาร!I495"")"),1170)</f>
        <v>1170</v>
      </c>
      <c r="AR40" s="57">
        <f ca="1">IFERROR(__xludf.DUMMYFUNCTION("IMPORTRANGE(""https://docs.google.com/spreadsheets/d/1uMKqWwuNQ-TCKboGA3Bb1qXb5uj2-faACNUINCz8PN4/edit?usp=sharing"",""มุกดาหาร!J495"")"),0)</f>
        <v>0</v>
      </c>
      <c r="AS40" s="63">
        <f t="shared" ca="1" si="40"/>
        <v>0</v>
      </c>
      <c r="AT40" s="57">
        <f ca="1">IFERROR(__xludf.DUMMYFUNCTION("IMPORTRANGE(""https://docs.google.com/spreadsheets/d/1uMKqWwuNQ-TCKboGA3Bb1qXb5uj2-faACNUINCz8PN4/edit?usp=sharing"",""มุกดาหาร!J496"")"),0)</f>
        <v>0</v>
      </c>
      <c r="AU40" s="57">
        <f ca="1">IFERROR(__xludf.DUMMYFUNCTION("IMPORTRANGE(""https://docs.google.com/spreadsheets/d/1uMKqWwuNQ-TCKboGA3Bb1qXb5uj2-faACNUINCz8PN4/edit?usp=sharing"",""มุกดาหาร!I498"")"),130)</f>
        <v>130</v>
      </c>
      <c r="AV40" s="57">
        <f ca="1">IFERROR(__xludf.DUMMYFUNCTION("IMPORTRANGE(""https://docs.google.com/spreadsheets/d/1uMKqWwuNQ-TCKboGA3Bb1qXb5uj2-faACNUINCz8PN4/edit?usp=sharing"",""มุกดาหาร!J498"")"),0)</f>
        <v>0</v>
      </c>
      <c r="AW40" s="63">
        <f t="shared" ca="1" si="41"/>
        <v>0</v>
      </c>
      <c r="AX40" s="57">
        <f ca="1">IFERROR(__xludf.DUMMYFUNCTION("IMPORTRANGE(""https://docs.google.com/spreadsheets/d/1uMKqWwuNQ-TCKboGA3Bb1qXb5uj2-faACNUINCz8PN4/edit?usp=sharing"",""มุกดาหาร!J499"")"),0)</f>
        <v>0</v>
      </c>
    </row>
    <row r="41" spans="1:50" ht="21" customHeight="1" x14ac:dyDescent="0.3">
      <c r="A41" s="54">
        <v>10</v>
      </c>
      <c r="B41" s="55" t="s">
        <v>62</v>
      </c>
      <c r="C41" s="56">
        <f t="shared" ca="1" si="67"/>
        <v>491703</v>
      </c>
      <c r="D41" s="57">
        <f ca="1">IFERROR(__xludf.DUMMYFUNCTION("IMPORTRANGE(""https://docs.google.com/spreadsheets/d/1oKaccgDdQABndOzGr688Dbfxb_V3YcF67VqEPBtdzsc/edit?usp=sharing"",""ยโสธร!L472"")"),491703)</f>
        <v>491703</v>
      </c>
      <c r="E41" s="64">
        <f ca="1">IFERROR(__xludf.DUMMYFUNCTION("IMPORTRANGE(""https://docs.google.com/spreadsheets/d/1oKaccgDdQABndOzGr688Dbfxb_V3YcF67VqEPBtdzsc/edit?usp=sharing"",""ยโสธร!L479"")"),0)</f>
        <v>0</v>
      </c>
      <c r="F41" s="64">
        <f ca="1">IFERROR(__xludf.DUMMYFUNCTION("IMPORTRANGE(""https://docs.google.com/spreadsheets/d/1oKaccgDdQABndOzGr688Dbfxb_V3YcF67VqEPBtdzsc/edit?usp=sharing"",""ยโสธร!M472"")"),491703)</f>
        <v>491703</v>
      </c>
      <c r="G41" s="64">
        <f ca="1">IFERROR(__xludf.DUMMYFUNCTION("IMPORTRANGE(""https://docs.google.com/spreadsheets/d/1oKaccgDdQABndOzGr688Dbfxb_V3YcF67VqEPBtdzsc/edit?usp=sharing"",""ยโสธร!M479"")"),0)</f>
        <v>0</v>
      </c>
      <c r="H41" s="58">
        <f t="shared" ca="1" si="34"/>
        <v>89500</v>
      </c>
      <c r="I41" s="59">
        <f t="shared" ca="1" si="1"/>
        <v>18.202044730253832</v>
      </c>
      <c r="J41" s="60">
        <f t="shared" ca="1" si="68"/>
        <v>89500</v>
      </c>
      <c r="K41" s="61">
        <f t="shared" ca="1" si="43"/>
        <v>18.202044730253832</v>
      </c>
      <c r="L41" s="61">
        <f t="shared" ca="1" si="44"/>
        <v>18.202044730253832</v>
      </c>
      <c r="M41" s="64">
        <f ca="1">IFERROR(__xludf.DUMMYFUNCTION("IMPORTRANGE(""https://docs.google.com/spreadsheets/d/1oKaccgDdQABndOzGr688Dbfxb_V3YcF67VqEPBtdzsc/edit?usp=sharing"",""ยโสธร!N473"")"),67250)</f>
        <v>67250</v>
      </c>
      <c r="N41" s="64">
        <f ca="1">IFERROR(__xludf.DUMMYFUNCTION("IMPORTRANGE(""https://docs.google.com/spreadsheets/d/1oKaccgDdQABndOzGr688Dbfxb_V3YcF67VqEPBtdzsc/edit?usp=sharing"",""ยโสธร!N474"")"),0)</f>
        <v>0</v>
      </c>
      <c r="O41" s="64">
        <f ca="1">IFERROR(__xludf.DUMMYFUNCTION("IMPORTRANGE(""https://docs.google.com/spreadsheets/d/1oKaccgDdQABndOzGr688Dbfxb_V3YcF67VqEPBtdzsc/edit?usp=sharing"",""ยโสธร!N475"")"),0)</f>
        <v>0</v>
      </c>
      <c r="P41" s="64">
        <f ca="1">IFERROR(__xludf.DUMMYFUNCTION("IMPORTRANGE(""https://docs.google.com/spreadsheets/d/1oKaccgDdQABndOzGr688Dbfxb_V3YcF67VqEPBtdzsc/edit?usp=sharing"",""ยโสธร!N476"")"),22250)</f>
        <v>22250</v>
      </c>
      <c r="Q41" s="62">
        <f ca="1">IFERROR(__xludf.DUMMYFUNCTION("IMPORTRANGE(""https://docs.google.com/spreadsheets/d/1oKaccgDdQABndOzGr688Dbfxb_V3YcF67VqEPBtdzsc/edit?usp=sharing"",""ยโสธร!N479"")"),0)</f>
        <v>0</v>
      </c>
      <c r="R41" s="62">
        <f t="shared" ca="1" si="46"/>
        <v>0</v>
      </c>
      <c r="S41" s="57">
        <f ca="1">IFERROR(__xludf.DUMMYFUNCTION("IMPORTRANGE(""https://docs.google.com/spreadsheets/d/1oKaccgDdQABndOzGr688Dbfxb_V3YcF67VqEPBtdzsc/edit?usp=sharing"",""ยโสธร!I465"")"),61)</f>
        <v>61</v>
      </c>
      <c r="T41" s="57">
        <f ca="1">IFERROR(__xludf.DUMMYFUNCTION("IMPORTRANGE(""https://docs.google.com/spreadsheets/d/1oKaccgDdQABndOzGr688Dbfxb_V3YcF67VqEPBtdzsc/edit?usp=sharing"",""ยโสธร!I466"")"),600)</f>
        <v>600</v>
      </c>
      <c r="U41" s="57">
        <f ca="1">IFERROR(__xludf.DUMMYFUNCTION("IMPORTRANGE(""https://docs.google.com/spreadsheets/d/1oKaccgDdQABndOzGr688Dbfxb_V3YcF67VqEPBtdzsc/edit?usp=sharing"",""ยโสธร!J465"")"),61)</f>
        <v>61</v>
      </c>
      <c r="V41" s="63">
        <f t="shared" ca="1" si="6"/>
        <v>100</v>
      </c>
      <c r="W41" s="57">
        <f ca="1">IFERROR(__xludf.DUMMYFUNCTION("IMPORTRANGE(""https://docs.google.com/spreadsheets/d/1oKaccgDdQABndOzGr688Dbfxb_V3YcF67VqEPBtdzsc/edit?usp=sharing"",""ยโสธร!J466"")"),0)</f>
        <v>0</v>
      </c>
      <c r="X41" s="63">
        <f t="shared" ca="1" si="7"/>
        <v>0</v>
      </c>
      <c r="Y41" s="57">
        <f ca="1">IFERROR(__xludf.DUMMYFUNCTION("IMPORTRANGE(""https://docs.google.com/spreadsheets/d/1oKaccgDdQABndOzGr688Dbfxb_V3YcF67VqEPBtdzsc/edit?usp=sharing"",""ยโสธร!I483"")"),540)</f>
        <v>540</v>
      </c>
      <c r="Z41" s="57">
        <f ca="1">IFERROR(__xludf.DUMMYFUNCTION("IMPORTRANGE(""https://docs.google.com/spreadsheets/d/1oKaccgDdQABndOzGr688Dbfxb_V3YcF67VqEPBtdzsc/edit?usp=sharing"",""ยโสธร!J483"")"),540)</f>
        <v>540</v>
      </c>
      <c r="AA41" s="63">
        <f t="shared" ca="1" si="35"/>
        <v>100</v>
      </c>
      <c r="AB41" s="57">
        <f ca="1">IFERROR(__xludf.DUMMYFUNCTION("IMPORTRANGE(""https://docs.google.com/spreadsheets/d/1oKaccgDdQABndOzGr688Dbfxb_V3YcF67VqEPBtdzsc/edit?usp=sharing"",""ยโสธร!J484"")"),0)</f>
        <v>0</v>
      </c>
      <c r="AC41" s="57">
        <f ca="1">IFERROR(__xludf.DUMMYFUNCTION("IMPORTRANGE(""https://docs.google.com/spreadsheets/d/1oKaccgDdQABndOzGr688Dbfxb_V3YcF67VqEPBtdzsc/edit?usp=sharing"",""ยโสธร!I485"")"),54)</f>
        <v>54</v>
      </c>
      <c r="AD41" s="57">
        <f ca="1">IFERROR(__xludf.DUMMYFUNCTION("IMPORTRANGE(""https://docs.google.com/spreadsheets/d/1oKaccgDdQABndOzGr688Dbfxb_V3YcF67VqEPBtdzsc/edit?usp=sharing"",""ยโสธร!J485"")"),54)</f>
        <v>54</v>
      </c>
      <c r="AE41" s="63">
        <f t="shared" ca="1" si="36"/>
        <v>100</v>
      </c>
      <c r="AF41" s="57">
        <f ca="1">IFERROR(__xludf.DUMMYFUNCTION("IMPORTRANGE(""https://docs.google.com/spreadsheets/d/1oKaccgDdQABndOzGr688Dbfxb_V3YcF67VqEPBtdzsc/edit?usp=sharing"",""ยโสธร!I487"")"),60)</f>
        <v>60</v>
      </c>
      <c r="AG41" s="57">
        <f ca="1">IFERROR(__xludf.DUMMYFUNCTION("IMPORTRANGE(""https://docs.google.com/spreadsheets/d/1oKaccgDdQABndOzGr688Dbfxb_V3YcF67VqEPBtdzsc/edit?usp=sharing"",""ยโสธร!J487"")"),60)</f>
        <v>60</v>
      </c>
      <c r="AH41" s="63">
        <f t="shared" ca="1" si="37"/>
        <v>100</v>
      </c>
      <c r="AI41" s="57">
        <f ca="1">IFERROR(__xludf.DUMMYFUNCTION("IMPORTRANGE(""https://docs.google.com/spreadsheets/d/1oKaccgDdQABndOzGr688Dbfxb_V3YcF67VqEPBtdzsc/edit?usp=sharing"",""ยโสธร!J488"")"),0)</f>
        <v>0</v>
      </c>
      <c r="AJ41" s="57">
        <f ca="1">IFERROR(__xludf.DUMMYFUNCTION("IMPORTRANGE(""https://docs.google.com/spreadsheets/d/1oKaccgDdQABndOzGr688Dbfxb_V3YcF67VqEPBtdzsc/edit?usp=sharing"",""ยโสธร!I489"")"),6)</f>
        <v>6</v>
      </c>
      <c r="AK41" s="57">
        <f ca="1">IFERROR(__xludf.DUMMYFUNCTION("IMPORTRANGE(""https://docs.google.com/spreadsheets/d/1oKaccgDdQABndOzGr688Dbfxb_V3YcF67VqEPBtdzsc/edit?usp=sharing"",""ยโสธร!J489"")"),6)</f>
        <v>6</v>
      </c>
      <c r="AL41" s="63">
        <f t="shared" ca="1" si="38"/>
        <v>100</v>
      </c>
      <c r="AM41" s="57">
        <f ca="1">IFERROR(__xludf.DUMMYFUNCTION("IMPORTRANGE(""https://docs.google.com/spreadsheets/d/1oKaccgDdQABndOzGr688Dbfxb_V3YcF67VqEPBtdzsc/edit?usp=sharing"",""ยโสธร!J491"")"),0)</f>
        <v>0</v>
      </c>
      <c r="AN41" s="57">
        <f ca="1">IFERROR(__xludf.DUMMYFUNCTION("IMPORTRANGE(""https://docs.google.com/spreadsheets/d/1oKaccgDdQABndOzGr688Dbfxb_V3YcF67VqEPBtdzsc/edit?usp=sharing"",""ยโสธร!I492"")"),1)</f>
        <v>1</v>
      </c>
      <c r="AO41" s="57">
        <f ca="1">IFERROR(__xludf.DUMMYFUNCTION("IMPORTRANGE(""https://docs.google.com/spreadsheets/d/1oKaccgDdQABndOzGr688Dbfxb_V3YcF67VqEPBtdzsc/edit?usp=sharing"",""ยโสธร!J492"")"),1)</f>
        <v>1</v>
      </c>
      <c r="AP41" s="63">
        <f t="shared" ca="1" si="39"/>
        <v>100</v>
      </c>
      <c r="AQ41" s="57">
        <f ca="1">IFERROR(__xludf.DUMMYFUNCTION("IMPORTRANGE(""https://docs.google.com/spreadsheets/d/1oKaccgDdQABndOzGr688Dbfxb_V3YcF67VqEPBtdzsc/edit?usp=sharing"",""ยโสธร!I495"")"),540)</f>
        <v>540</v>
      </c>
      <c r="AR41" s="57">
        <f ca="1">IFERROR(__xludf.DUMMYFUNCTION("IMPORTRANGE(""https://docs.google.com/spreadsheets/d/1oKaccgDdQABndOzGr688Dbfxb_V3YcF67VqEPBtdzsc/edit?usp=sharing"",""ยโสธร!J495"")"),0)</f>
        <v>0</v>
      </c>
      <c r="AS41" s="63">
        <f t="shared" ca="1" si="40"/>
        <v>0</v>
      </c>
      <c r="AT41" s="57">
        <f ca="1">IFERROR(__xludf.DUMMYFUNCTION("IMPORTRANGE(""https://docs.google.com/spreadsheets/d/1oKaccgDdQABndOzGr688Dbfxb_V3YcF67VqEPBtdzsc/edit?usp=sharing"",""ยโสธร!J496"")"),0)</f>
        <v>0</v>
      </c>
      <c r="AU41" s="57">
        <f ca="1">IFERROR(__xludf.DUMMYFUNCTION("IMPORTRANGE(""https://docs.google.com/spreadsheets/d/1oKaccgDdQABndOzGr688Dbfxb_V3YcF67VqEPBtdzsc/edit?usp=sharing"",""ยโสธร!I498"")"),60)</f>
        <v>60</v>
      </c>
      <c r="AV41" s="57">
        <f ca="1">IFERROR(__xludf.DUMMYFUNCTION("IMPORTRANGE(""https://docs.google.com/spreadsheets/d/1oKaccgDdQABndOzGr688Dbfxb_V3YcF67VqEPBtdzsc/edit?usp=sharing"",""ยโสธร!J498"")"),0)</f>
        <v>0</v>
      </c>
      <c r="AW41" s="63">
        <f t="shared" ca="1" si="41"/>
        <v>0</v>
      </c>
      <c r="AX41" s="57">
        <f ca="1">IFERROR(__xludf.DUMMYFUNCTION("IMPORTRANGE(""https://docs.google.com/spreadsheets/d/1oKaccgDdQABndOzGr688Dbfxb_V3YcF67VqEPBtdzsc/edit?usp=sharing"",""ยโสธร!J499"")"),0)</f>
        <v>0</v>
      </c>
    </row>
    <row r="42" spans="1:50" ht="21" customHeight="1" x14ac:dyDescent="0.3">
      <c r="A42" s="54">
        <v>11</v>
      </c>
      <c r="B42" s="55" t="s">
        <v>63</v>
      </c>
      <c r="C42" s="56">
        <f t="shared" ca="1" si="67"/>
        <v>491423</v>
      </c>
      <c r="D42" s="57">
        <f ca="1">IFERROR(__xludf.DUMMYFUNCTION("IMPORTRANGE(""https://docs.google.com/spreadsheets/d/1BRgc8xKpxZ0PX-gauieMVkV_IOxKSotf0yW8MabGprQ/edit?usp=sharing"",""ร้อยเอ็ด!L472"")"),491423)</f>
        <v>491423</v>
      </c>
      <c r="E42" s="64">
        <f ca="1">IFERROR(__xludf.DUMMYFUNCTION("IMPORTRANGE(""https://docs.google.com/spreadsheets/d/1BRgc8xKpxZ0PX-gauieMVkV_IOxKSotf0yW8MabGprQ/edit?usp=sharing"",""ร้อยเอ็ด!L479"")"),0)</f>
        <v>0</v>
      </c>
      <c r="F42" s="64">
        <f ca="1">IFERROR(__xludf.DUMMYFUNCTION("IMPORTRANGE(""https://docs.google.com/spreadsheets/d/1BRgc8xKpxZ0PX-gauieMVkV_IOxKSotf0yW8MabGprQ/edit?usp=sharing"",""ร้อยเอ็ด!M472"")"),491423)</f>
        <v>491423</v>
      </c>
      <c r="G42" s="64">
        <f ca="1">IFERROR(__xludf.DUMMYFUNCTION("IMPORTRANGE(""https://docs.google.com/spreadsheets/d/1BRgc8xKpxZ0PX-gauieMVkV_IOxKSotf0yW8MabGprQ/edit?usp=sharing"",""ร้อยเอ็ด!M479"")"),0)</f>
        <v>0</v>
      </c>
      <c r="H42" s="58">
        <f t="shared" ca="1" si="34"/>
        <v>115423</v>
      </c>
      <c r="I42" s="59">
        <f t="shared" ca="1" si="1"/>
        <v>23.487504654849285</v>
      </c>
      <c r="J42" s="60">
        <f t="shared" ca="1" si="68"/>
        <v>115423</v>
      </c>
      <c r="K42" s="61">
        <f t="shared" ca="1" si="43"/>
        <v>23.487504654849285</v>
      </c>
      <c r="L42" s="61">
        <f t="shared" ca="1" si="44"/>
        <v>23.487504654849285</v>
      </c>
      <c r="M42" s="64">
        <f ca="1">IFERROR(__xludf.DUMMYFUNCTION("IMPORTRANGE(""https://docs.google.com/spreadsheets/d/1BRgc8xKpxZ0PX-gauieMVkV_IOxKSotf0yW8MabGprQ/edit?usp=sharing"",""ร้อยเอ็ด!N473"")"),60723)</f>
        <v>60723</v>
      </c>
      <c r="N42" s="64">
        <f ca="1">IFERROR(__xludf.DUMMYFUNCTION("IMPORTRANGE(""https://docs.google.com/spreadsheets/d/1BRgc8xKpxZ0PX-gauieMVkV_IOxKSotf0yW8MabGprQ/edit?usp=sharing"",""ร้อยเอ็ด!N474"")"),0)</f>
        <v>0</v>
      </c>
      <c r="O42" s="64">
        <f ca="1">IFERROR(__xludf.DUMMYFUNCTION("IMPORTRANGE(""https://docs.google.com/spreadsheets/d/1BRgc8xKpxZ0PX-gauieMVkV_IOxKSotf0yW8MabGprQ/edit?usp=sharing"",""ร้อยเอ็ด!N475"")"),0)</f>
        <v>0</v>
      </c>
      <c r="P42" s="64">
        <f ca="1">IFERROR(__xludf.DUMMYFUNCTION("IMPORTRANGE(""https://docs.google.com/spreadsheets/d/1BRgc8xKpxZ0PX-gauieMVkV_IOxKSotf0yW8MabGprQ/edit?usp=sharing"",""ร้อยเอ็ด!N476"")"),54700)</f>
        <v>54700</v>
      </c>
      <c r="Q42" s="62">
        <f ca="1">IFERROR(__xludf.DUMMYFUNCTION("IMPORTRANGE(""https://docs.google.com/spreadsheets/d/1BRgc8xKpxZ0PX-gauieMVkV_IOxKSotf0yW8MabGprQ/edit?usp=sharing"",""ร้อยเอ็ด!N479"")"),0)</f>
        <v>0</v>
      </c>
      <c r="R42" s="62">
        <f t="shared" ca="1" si="46"/>
        <v>0</v>
      </c>
      <c r="S42" s="57">
        <f ca="1">IFERROR(__xludf.DUMMYFUNCTION("IMPORTRANGE(""https://docs.google.com/spreadsheets/d/1BRgc8xKpxZ0PX-gauieMVkV_IOxKSotf0yW8MabGprQ/edit?usp=sharing"",""ร้อยเอ็ด!I465"")"),61)</f>
        <v>61</v>
      </c>
      <c r="T42" s="57">
        <f ca="1">IFERROR(__xludf.DUMMYFUNCTION("IMPORTRANGE(""https://docs.google.com/spreadsheets/d/1BRgc8xKpxZ0PX-gauieMVkV_IOxKSotf0yW8MabGprQ/edit?usp=sharing"",""ร้อยเอ็ด!I466"")"),600)</f>
        <v>600</v>
      </c>
      <c r="U42" s="57">
        <f ca="1">IFERROR(__xludf.DUMMYFUNCTION("IMPORTRANGE(""https://docs.google.com/spreadsheets/d/1BRgc8xKpxZ0PX-gauieMVkV_IOxKSotf0yW8MabGprQ/edit?usp=sharing"",""ร้อยเอ็ด!J465"")"),61)</f>
        <v>61</v>
      </c>
      <c r="V42" s="63">
        <f t="shared" ca="1" si="6"/>
        <v>100</v>
      </c>
      <c r="W42" s="57">
        <f ca="1">IFERROR(__xludf.DUMMYFUNCTION("IMPORTRANGE(""https://docs.google.com/spreadsheets/d/1BRgc8xKpxZ0PX-gauieMVkV_IOxKSotf0yW8MabGprQ/edit?usp=sharing"",""ร้อยเอ็ด!J466"")"),0)</f>
        <v>0</v>
      </c>
      <c r="X42" s="63">
        <f t="shared" ca="1" si="7"/>
        <v>0</v>
      </c>
      <c r="Y42" s="57">
        <f ca="1">IFERROR(__xludf.DUMMYFUNCTION("IMPORTRANGE(""https://docs.google.com/spreadsheets/d/1BRgc8xKpxZ0PX-gauieMVkV_IOxKSotf0yW8MabGprQ/edit?usp=sharing"",""ร้อยเอ็ด!I483"")"),540)</f>
        <v>540</v>
      </c>
      <c r="Z42" s="57">
        <f ca="1">IFERROR(__xludf.DUMMYFUNCTION("IMPORTRANGE(""https://docs.google.com/spreadsheets/d/1BRgc8xKpxZ0PX-gauieMVkV_IOxKSotf0yW8MabGprQ/edit?usp=sharing"",""ร้อยเอ็ด!J483"")"),540)</f>
        <v>540</v>
      </c>
      <c r="AA42" s="63">
        <f t="shared" ca="1" si="35"/>
        <v>100</v>
      </c>
      <c r="AB42" s="57">
        <f ca="1">IFERROR(__xludf.DUMMYFUNCTION("IMPORTRANGE(""https://docs.google.com/spreadsheets/d/1BRgc8xKpxZ0PX-gauieMVkV_IOxKSotf0yW8MabGprQ/edit?usp=sharing"",""ร้อยเอ็ด!J484"")"),0)</f>
        <v>0</v>
      </c>
      <c r="AC42" s="57">
        <f ca="1">IFERROR(__xludf.DUMMYFUNCTION("IMPORTRANGE(""https://docs.google.com/spreadsheets/d/1BRgc8xKpxZ0PX-gauieMVkV_IOxKSotf0yW8MabGprQ/edit?usp=sharing"",""ร้อยเอ็ด!I485"")"),54)</f>
        <v>54</v>
      </c>
      <c r="AD42" s="57">
        <f ca="1">IFERROR(__xludf.DUMMYFUNCTION("IMPORTRANGE(""https://docs.google.com/spreadsheets/d/1BRgc8xKpxZ0PX-gauieMVkV_IOxKSotf0yW8MabGprQ/edit?usp=sharing"",""ร้อยเอ็ด!J485"")"),54)</f>
        <v>54</v>
      </c>
      <c r="AE42" s="63">
        <f t="shared" ca="1" si="36"/>
        <v>100</v>
      </c>
      <c r="AF42" s="57">
        <f ca="1">IFERROR(__xludf.DUMMYFUNCTION("IMPORTRANGE(""https://docs.google.com/spreadsheets/d/1BRgc8xKpxZ0PX-gauieMVkV_IOxKSotf0yW8MabGprQ/edit?usp=sharing"",""ร้อยเอ็ด!I487"")"),60)</f>
        <v>60</v>
      </c>
      <c r="AG42" s="57">
        <f ca="1">IFERROR(__xludf.DUMMYFUNCTION("IMPORTRANGE(""https://docs.google.com/spreadsheets/d/1BRgc8xKpxZ0PX-gauieMVkV_IOxKSotf0yW8MabGprQ/edit?usp=sharing"",""ร้อยเอ็ด!J487"")"),60)</f>
        <v>60</v>
      </c>
      <c r="AH42" s="63">
        <f t="shared" ca="1" si="37"/>
        <v>100</v>
      </c>
      <c r="AI42" s="57">
        <f ca="1">IFERROR(__xludf.DUMMYFUNCTION("IMPORTRANGE(""https://docs.google.com/spreadsheets/d/1BRgc8xKpxZ0PX-gauieMVkV_IOxKSotf0yW8MabGprQ/edit?usp=sharing"",""ร้อยเอ็ด!J488"")"),0)</f>
        <v>0</v>
      </c>
      <c r="AJ42" s="57">
        <f ca="1">IFERROR(__xludf.DUMMYFUNCTION("IMPORTRANGE(""https://docs.google.com/spreadsheets/d/1BRgc8xKpxZ0PX-gauieMVkV_IOxKSotf0yW8MabGprQ/edit?usp=sharing"",""ร้อยเอ็ด!I489"")"),6)</f>
        <v>6</v>
      </c>
      <c r="AK42" s="57">
        <f ca="1">IFERROR(__xludf.DUMMYFUNCTION("IMPORTRANGE(""https://docs.google.com/spreadsheets/d/1BRgc8xKpxZ0PX-gauieMVkV_IOxKSotf0yW8MabGprQ/edit?usp=sharing"",""ร้อยเอ็ด!J489"")"),6)</f>
        <v>6</v>
      </c>
      <c r="AL42" s="63">
        <f t="shared" ca="1" si="38"/>
        <v>100</v>
      </c>
      <c r="AM42" s="57">
        <f ca="1">IFERROR(__xludf.DUMMYFUNCTION("IMPORTRANGE(""https://docs.google.com/spreadsheets/d/1BRgc8xKpxZ0PX-gauieMVkV_IOxKSotf0yW8MabGprQ/edit?usp=sharing"",""ร้อยเอ็ด!J491"")"),0)</f>
        <v>0</v>
      </c>
      <c r="AN42" s="57">
        <f ca="1">IFERROR(__xludf.DUMMYFUNCTION("IMPORTRANGE(""https://docs.google.com/spreadsheets/d/1BRgc8xKpxZ0PX-gauieMVkV_IOxKSotf0yW8MabGprQ/edit?usp=sharing"",""ร้อยเอ็ด!I492"")"),1)</f>
        <v>1</v>
      </c>
      <c r="AO42" s="57">
        <f ca="1">IFERROR(__xludf.DUMMYFUNCTION("IMPORTRANGE(""https://docs.google.com/spreadsheets/d/1BRgc8xKpxZ0PX-gauieMVkV_IOxKSotf0yW8MabGprQ/edit?usp=sharing"",""ร้อยเอ็ด!J492"")"),1)</f>
        <v>1</v>
      </c>
      <c r="AP42" s="63">
        <f t="shared" ca="1" si="39"/>
        <v>100</v>
      </c>
      <c r="AQ42" s="57">
        <f ca="1">IFERROR(__xludf.DUMMYFUNCTION("IMPORTRANGE(""https://docs.google.com/spreadsheets/d/1BRgc8xKpxZ0PX-gauieMVkV_IOxKSotf0yW8MabGprQ/edit?usp=sharing"",""ร้อยเอ็ด!I495"")"),540)</f>
        <v>540</v>
      </c>
      <c r="AR42" s="57">
        <f ca="1">IFERROR(__xludf.DUMMYFUNCTION("IMPORTRANGE(""https://docs.google.com/spreadsheets/d/1BRgc8xKpxZ0PX-gauieMVkV_IOxKSotf0yW8MabGprQ/edit?usp=sharing"",""ร้อยเอ็ด!J495"")"),0)</f>
        <v>0</v>
      </c>
      <c r="AS42" s="63">
        <f t="shared" ca="1" si="40"/>
        <v>0</v>
      </c>
      <c r="AT42" s="57">
        <f ca="1">IFERROR(__xludf.DUMMYFUNCTION("IMPORTRANGE(""https://docs.google.com/spreadsheets/d/1BRgc8xKpxZ0PX-gauieMVkV_IOxKSotf0yW8MabGprQ/edit?usp=sharing"",""ร้อยเอ็ด!J496"")"),0)</f>
        <v>0</v>
      </c>
      <c r="AU42" s="57">
        <f ca="1">IFERROR(__xludf.DUMMYFUNCTION("IMPORTRANGE(""https://docs.google.com/spreadsheets/d/1BRgc8xKpxZ0PX-gauieMVkV_IOxKSotf0yW8MabGprQ/edit?usp=sharing"",""ร้อยเอ็ด!I498"")"),60)</f>
        <v>60</v>
      </c>
      <c r="AV42" s="57">
        <f ca="1">IFERROR(__xludf.DUMMYFUNCTION("IMPORTRANGE(""https://docs.google.com/spreadsheets/d/1BRgc8xKpxZ0PX-gauieMVkV_IOxKSotf0yW8MabGprQ/edit?usp=sharing"",""ร้อยเอ็ด!J498"")"),0)</f>
        <v>0</v>
      </c>
      <c r="AW42" s="63">
        <f t="shared" ca="1" si="41"/>
        <v>0</v>
      </c>
      <c r="AX42" s="57">
        <f ca="1">IFERROR(__xludf.DUMMYFUNCTION("IMPORTRANGE(""https://docs.google.com/spreadsheets/d/1BRgc8xKpxZ0PX-gauieMVkV_IOxKSotf0yW8MabGprQ/edit?usp=sharing"",""ร้อยเอ็ด!J499"")"),0)</f>
        <v>0</v>
      </c>
    </row>
    <row r="43" spans="1:50" ht="21" customHeight="1" x14ac:dyDescent="0.3">
      <c r="A43" s="54">
        <v>12</v>
      </c>
      <c r="B43" s="55" t="s">
        <v>64</v>
      </c>
      <c r="C43" s="56">
        <f t="shared" ca="1" si="67"/>
        <v>260973</v>
      </c>
      <c r="D43" s="57">
        <f ca="1">IFERROR(__xludf.DUMMYFUNCTION("IMPORTRANGE(""https://docs.google.com/spreadsheets/d/1IdolZc-dfdgMwAm_KZxYJl1sUOcIgnbGQzbWOlddedo/edit?usp=sharing"",""เลย!L472"")"),260973)</f>
        <v>260973</v>
      </c>
      <c r="E43" s="64">
        <f ca="1">IFERROR(__xludf.DUMMYFUNCTION("IMPORTRANGE(""https://docs.google.com/spreadsheets/d/1IdolZc-dfdgMwAm_KZxYJl1sUOcIgnbGQzbWOlddedo/edit?usp=sharing"",""เลย!L479"")"),0)</f>
        <v>0</v>
      </c>
      <c r="F43" s="64">
        <f ca="1">IFERROR(__xludf.DUMMYFUNCTION("IMPORTRANGE(""https://docs.google.com/spreadsheets/d/1IdolZc-dfdgMwAm_KZxYJl1sUOcIgnbGQzbWOlddedo/edit?usp=sharing"",""เลย!M472"")"),260973)</f>
        <v>260973</v>
      </c>
      <c r="G43" s="64">
        <f ca="1">IFERROR(__xludf.DUMMYFUNCTION("IMPORTRANGE(""https://docs.google.com/spreadsheets/d/1IdolZc-dfdgMwAm_KZxYJl1sUOcIgnbGQzbWOlddedo/edit?usp=sharing"",""เลย!M479"")"),0)</f>
        <v>0</v>
      </c>
      <c r="H43" s="58">
        <f t="shared" ca="1" si="34"/>
        <v>59353</v>
      </c>
      <c r="I43" s="59">
        <f t="shared" ca="1" si="1"/>
        <v>22.742965747414484</v>
      </c>
      <c r="J43" s="60">
        <f t="shared" ca="1" si="68"/>
        <v>59353</v>
      </c>
      <c r="K43" s="61">
        <f t="shared" ca="1" si="43"/>
        <v>22.742965747414484</v>
      </c>
      <c r="L43" s="61">
        <f t="shared" ca="1" si="44"/>
        <v>22.742965747414484</v>
      </c>
      <c r="M43" s="64">
        <f ca="1">IFERROR(__xludf.DUMMYFUNCTION("IMPORTRANGE(""https://docs.google.com/spreadsheets/d/1IdolZc-dfdgMwAm_KZxYJl1sUOcIgnbGQzbWOlddedo/edit?usp=sharing"",""เลย!N473"")"),36753)</f>
        <v>36753</v>
      </c>
      <c r="N43" s="64">
        <f ca="1">IFERROR(__xludf.DUMMYFUNCTION("IMPORTRANGE(""https://docs.google.com/spreadsheets/d/1IdolZc-dfdgMwAm_KZxYJl1sUOcIgnbGQzbWOlddedo/edit?usp=sharing"",""เลย!N474"")"),0)</f>
        <v>0</v>
      </c>
      <c r="O43" s="64">
        <f ca="1">IFERROR(__xludf.DUMMYFUNCTION("IMPORTRANGE(""https://docs.google.com/spreadsheets/d/1IdolZc-dfdgMwAm_KZxYJl1sUOcIgnbGQzbWOlddedo/edit?usp=sharing"",""เลย!N475"")"),0)</f>
        <v>0</v>
      </c>
      <c r="P43" s="64">
        <f ca="1">IFERROR(__xludf.DUMMYFUNCTION("IMPORTRANGE(""https://docs.google.com/spreadsheets/d/1IdolZc-dfdgMwAm_KZxYJl1sUOcIgnbGQzbWOlddedo/edit?usp=sharing"",""เลย!N476"")"),22600)</f>
        <v>22600</v>
      </c>
      <c r="Q43" s="62">
        <f ca="1">IFERROR(__xludf.DUMMYFUNCTION("IMPORTRANGE(""https://docs.google.com/spreadsheets/d/1IdolZc-dfdgMwAm_KZxYJl1sUOcIgnbGQzbWOlddedo/edit?usp=sharing"",""เลย!N479"")"),0)</f>
        <v>0</v>
      </c>
      <c r="R43" s="62">
        <f t="shared" ca="1" si="46"/>
        <v>0</v>
      </c>
      <c r="S43" s="57">
        <f ca="1">IFERROR(__xludf.DUMMYFUNCTION("IMPORTRANGE(""https://docs.google.com/spreadsheets/d/1IdolZc-dfdgMwAm_KZxYJl1sUOcIgnbGQzbWOlddedo/edit?usp=sharing"",""เลย!I465"")"),31)</f>
        <v>31</v>
      </c>
      <c r="T43" s="57">
        <f ca="1">IFERROR(__xludf.DUMMYFUNCTION("IMPORTRANGE(""https://docs.google.com/spreadsheets/d/1IdolZc-dfdgMwAm_KZxYJl1sUOcIgnbGQzbWOlddedo/edit?usp=sharing"",""เลย!I466"")"),300)</f>
        <v>300</v>
      </c>
      <c r="U43" s="57">
        <f ca="1">IFERROR(__xludf.DUMMYFUNCTION("IMPORTRANGE(""https://docs.google.com/spreadsheets/d/1IdolZc-dfdgMwAm_KZxYJl1sUOcIgnbGQzbWOlddedo/edit?usp=sharing"",""เลย!J465"")"),31)</f>
        <v>31</v>
      </c>
      <c r="V43" s="63">
        <f t="shared" ca="1" si="6"/>
        <v>100</v>
      </c>
      <c r="W43" s="57">
        <f ca="1">IFERROR(__xludf.DUMMYFUNCTION("IMPORTRANGE(""https://docs.google.com/spreadsheets/d/1IdolZc-dfdgMwAm_KZxYJl1sUOcIgnbGQzbWOlddedo/edit?usp=sharing"",""เลย!J466"")"),0)</f>
        <v>0</v>
      </c>
      <c r="X43" s="63">
        <f t="shared" ca="1" si="7"/>
        <v>0</v>
      </c>
      <c r="Y43" s="57">
        <f ca="1">IFERROR(__xludf.DUMMYFUNCTION("IMPORTRANGE(""https://docs.google.com/spreadsheets/d/1IdolZc-dfdgMwAm_KZxYJl1sUOcIgnbGQzbWOlddedo/edit?usp=sharing"",""เลย!I483"")"),270)</f>
        <v>270</v>
      </c>
      <c r="Z43" s="57">
        <f ca="1">IFERROR(__xludf.DUMMYFUNCTION("IMPORTRANGE(""https://docs.google.com/spreadsheets/d/1IdolZc-dfdgMwAm_KZxYJl1sUOcIgnbGQzbWOlddedo/edit?usp=sharing"",""เลย!J483"")"),270)</f>
        <v>270</v>
      </c>
      <c r="AA43" s="63">
        <f t="shared" ca="1" si="35"/>
        <v>100</v>
      </c>
      <c r="AB43" s="57">
        <f ca="1">IFERROR(__xludf.DUMMYFUNCTION("IMPORTRANGE(""https://docs.google.com/spreadsheets/d/1IdolZc-dfdgMwAm_KZxYJl1sUOcIgnbGQzbWOlddedo/edit?usp=sharing"",""เลย!J484"")"),0)</f>
        <v>0</v>
      </c>
      <c r="AC43" s="57">
        <f ca="1">IFERROR(__xludf.DUMMYFUNCTION("IMPORTRANGE(""https://docs.google.com/spreadsheets/d/1IdolZc-dfdgMwAm_KZxYJl1sUOcIgnbGQzbWOlddedo/edit?usp=sharing"",""เลย!I485"")"),27)</f>
        <v>27</v>
      </c>
      <c r="AD43" s="57">
        <f ca="1">IFERROR(__xludf.DUMMYFUNCTION("IMPORTRANGE(""https://docs.google.com/spreadsheets/d/1IdolZc-dfdgMwAm_KZxYJl1sUOcIgnbGQzbWOlddedo/edit?usp=sharing"",""เลย!J485"")"),27)</f>
        <v>27</v>
      </c>
      <c r="AE43" s="63">
        <f t="shared" ca="1" si="36"/>
        <v>100</v>
      </c>
      <c r="AF43" s="57">
        <f ca="1">IFERROR(__xludf.DUMMYFUNCTION("IMPORTRANGE(""https://docs.google.com/spreadsheets/d/1IdolZc-dfdgMwAm_KZxYJl1sUOcIgnbGQzbWOlddedo/edit?usp=sharing"",""เลย!I487"")"),30)</f>
        <v>30</v>
      </c>
      <c r="AG43" s="57">
        <f ca="1">IFERROR(__xludf.DUMMYFUNCTION("IMPORTRANGE(""https://docs.google.com/spreadsheets/d/1IdolZc-dfdgMwAm_KZxYJl1sUOcIgnbGQzbWOlddedo/edit?usp=sharing"",""เลย!J487"")"),30)</f>
        <v>30</v>
      </c>
      <c r="AH43" s="63">
        <f t="shared" ca="1" si="37"/>
        <v>100</v>
      </c>
      <c r="AI43" s="57">
        <f ca="1">IFERROR(__xludf.DUMMYFUNCTION("IMPORTRANGE(""https://docs.google.com/spreadsheets/d/1IdolZc-dfdgMwAm_KZxYJl1sUOcIgnbGQzbWOlddedo/edit?usp=sharing"",""เลย!J488"")"),0)</f>
        <v>0</v>
      </c>
      <c r="AJ43" s="57">
        <f ca="1">IFERROR(__xludf.DUMMYFUNCTION("IMPORTRANGE(""https://docs.google.com/spreadsheets/d/1IdolZc-dfdgMwAm_KZxYJl1sUOcIgnbGQzbWOlddedo/edit?usp=sharing"",""เลย!I489"")"),3)</f>
        <v>3</v>
      </c>
      <c r="AK43" s="57">
        <f ca="1">IFERROR(__xludf.DUMMYFUNCTION("IMPORTRANGE(""https://docs.google.com/spreadsheets/d/1IdolZc-dfdgMwAm_KZxYJl1sUOcIgnbGQzbWOlddedo/edit?usp=sharing"",""เลย!J489"")"),3)</f>
        <v>3</v>
      </c>
      <c r="AL43" s="63">
        <f t="shared" ca="1" si="38"/>
        <v>100</v>
      </c>
      <c r="AM43" s="57">
        <f ca="1">IFERROR(__xludf.DUMMYFUNCTION("IMPORTRANGE(""https://docs.google.com/spreadsheets/d/1IdolZc-dfdgMwAm_KZxYJl1sUOcIgnbGQzbWOlddedo/edit?usp=sharing"",""เลย!J491"")"),0)</f>
        <v>0</v>
      </c>
      <c r="AN43" s="57">
        <f ca="1">IFERROR(__xludf.DUMMYFUNCTION("IMPORTRANGE(""https://docs.google.com/spreadsheets/d/1IdolZc-dfdgMwAm_KZxYJl1sUOcIgnbGQzbWOlddedo/edit?usp=sharing"",""เลย!I492"")"),1)</f>
        <v>1</v>
      </c>
      <c r="AO43" s="57">
        <f ca="1">IFERROR(__xludf.DUMMYFUNCTION("IMPORTRANGE(""https://docs.google.com/spreadsheets/d/1IdolZc-dfdgMwAm_KZxYJl1sUOcIgnbGQzbWOlddedo/edit?usp=sharing"",""เลย!J492"")"),1)</f>
        <v>1</v>
      </c>
      <c r="AP43" s="63">
        <f t="shared" ca="1" si="39"/>
        <v>100</v>
      </c>
      <c r="AQ43" s="57">
        <f ca="1">IFERROR(__xludf.DUMMYFUNCTION("IMPORTRANGE(""https://docs.google.com/spreadsheets/d/1IdolZc-dfdgMwAm_KZxYJl1sUOcIgnbGQzbWOlddedo/edit?usp=sharing"",""เลย!I495"")"),270)</f>
        <v>270</v>
      </c>
      <c r="AR43" s="57">
        <f ca="1">IFERROR(__xludf.DUMMYFUNCTION("IMPORTRANGE(""https://docs.google.com/spreadsheets/d/1IdolZc-dfdgMwAm_KZxYJl1sUOcIgnbGQzbWOlddedo/edit?usp=sharing"",""เลย!J495"")"),0)</f>
        <v>0</v>
      </c>
      <c r="AS43" s="63">
        <f t="shared" ca="1" si="40"/>
        <v>0</v>
      </c>
      <c r="AT43" s="57">
        <f ca="1">IFERROR(__xludf.DUMMYFUNCTION("IMPORTRANGE(""https://docs.google.com/spreadsheets/d/1IdolZc-dfdgMwAm_KZxYJl1sUOcIgnbGQzbWOlddedo/edit?usp=sharing"",""เลย!J496"")"),0)</f>
        <v>0</v>
      </c>
      <c r="AU43" s="57">
        <f ca="1">IFERROR(__xludf.DUMMYFUNCTION("IMPORTRANGE(""https://docs.google.com/spreadsheets/d/1IdolZc-dfdgMwAm_KZxYJl1sUOcIgnbGQzbWOlddedo/edit?usp=sharing"",""เลย!I498"")"),30)</f>
        <v>30</v>
      </c>
      <c r="AV43" s="57">
        <f ca="1">IFERROR(__xludf.DUMMYFUNCTION("IMPORTRANGE(""https://docs.google.com/spreadsheets/d/1IdolZc-dfdgMwAm_KZxYJl1sUOcIgnbGQzbWOlddedo/edit?usp=sharing"",""เลย!J498"")"),0)</f>
        <v>0</v>
      </c>
      <c r="AW43" s="63">
        <f t="shared" ca="1" si="41"/>
        <v>0</v>
      </c>
      <c r="AX43" s="57">
        <f ca="1">IFERROR(__xludf.DUMMYFUNCTION("IMPORTRANGE(""https://docs.google.com/spreadsheets/d/1IdolZc-dfdgMwAm_KZxYJl1sUOcIgnbGQzbWOlddedo/edit?usp=sharing"",""เลย!J499"")"),0)</f>
        <v>0</v>
      </c>
    </row>
    <row r="44" spans="1:50" ht="21" customHeight="1" x14ac:dyDescent="0.3">
      <c r="A44" s="54">
        <v>13</v>
      </c>
      <c r="B44" s="55" t="s">
        <v>65</v>
      </c>
      <c r="C44" s="56">
        <f t="shared" ca="1" si="67"/>
        <v>414503</v>
      </c>
      <c r="D44" s="57">
        <f ca="1">IFERROR(__xludf.DUMMYFUNCTION("IMPORTRANGE(""https://docs.google.com/spreadsheets/d/1tZ0nmtGuIRCaGAMXHlQU8EpR9LOAJvyKfc4f7EFmE34/edit?usp=sharing"",""ศรีสะเกษ!L472"")"),414503)</f>
        <v>414503</v>
      </c>
      <c r="E44" s="64">
        <f ca="1">IFERROR(__xludf.DUMMYFUNCTION("IMPORTRANGE(""https://docs.google.com/spreadsheets/d/1tZ0nmtGuIRCaGAMXHlQU8EpR9LOAJvyKfc4f7EFmE34/edit?usp=sharing"",""ศรีสะเกษ!L479"")"),0)</f>
        <v>0</v>
      </c>
      <c r="F44" s="64">
        <f ca="1">IFERROR(__xludf.DUMMYFUNCTION("IMPORTRANGE(""https://docs.google.com/spreadsheets/d/1tZ0nmtGuIRCaGAMXHlQU8EpR9LOAJvyKfc4f7EFmE34/edit?usp=sharing"",""ศรีสะเกษ!M472"")"),414503)</f>
        <v>414503</v>
      </c>
      <c r="G44" s="64">
        <f ca="1">IFERROR(__xludf.DUMMYFUNCTION("IMPORTRANGE(""https://docs.google.com/spreadsheets/d/1tZ0nmtGuIRCaGAMXHlQU8EpR9LOAJvyKfc4f7EFmE34/edit?usp=sharing"",""ศรีสะเกษ!M479"")"),0)</f>
        <v>0</v>
      </c>
      <c r="H44" s="58">
        <f t="shared" ca="1" si="34"/>
        <v>41595.1</v>
      </c>
      <c r="I44" s="59">
        <f t="shared" ca="1" si="1"/>
        <v>10.034933402170793</v>
      </c>
      <c r="J44" s="60">
        <f t="shared" ca="1" si="68"/>
        <v>41595.1</v>
      </c>
      <c r="K44" s="61">
        <f t="shared" ca="1" si="43"/>
        <v>10.034933402170793</v>
      </c>
      <c r="L44" s="61">
        <f t="shared" ca="1" si="44"/>
        <v>10.034933402170793</v>
      </c>
      <c r="M44" s="64">
        <f ca="1">IFERROR(__xludf.DUMMYFUNCTION("IMPORTRANGE(""https://docs.google.com/spreadsheets/d/1tZ0nmtGuIRCaGAMXHlQU8EpR9LOAJvyKfc4f7EFmE34/edit?usp=sharing"",""ศรีสะเกษ!N473"")"),39875.1)</f>
        <v>39875.1</v>
      </c>
      <c r="N44" s="64">
        <f ca="1">IFERROR(__xludf.DUMMYFUNCTION("IMPORTRANGE(""https://docs.google.com/spreadsheets/d/1tZ0nmtGuIRCaGAMXHlQU8EpR9LOAJvyKfc4f7EFmE34/edit?usp=sharing"",""ศรีสะเกษ!N474"")"),0)</f>
        <v>0</v>
      </c>
      <c r="O44" s="64">
        <f ca="1">IFERROR(__xludf.DUMMYFUNCTION("IMPORTRANGE(""https://docs.google.com/spreadsheets/d/1tZ0nmtGuIRCaGAMXHlQU8EpR9LOAJvyKfc4f7EFmE34/edit?usp=sharing"",""ศรีสะเกษ!N475"")"),0)</f>
        <v>0</v>
      </c>
      <c r="P44" s="64">
        <f ca="1">IFERROR(__xludf.DUMMYFUNCTION("IMPORTRANGE(""https://docs.google.com/spreadsheets/d/1tZ0nmtGuIRCaGAMXHlQU8EpR9LOAJvyKfc4f7EFmE34/edit?usp=sharing"",""ศรีสะเกษ!N476"")"),1720)</f>
        <v>1720</v>
      </c>
      <c r="Q44" s="62">
        <f ca="1">IFERROR(__xludf.DUMMYFUNCTION("IMPORTRANGE(""https://docs.google.com/spreadsheets/d/1tZ0nmtGuIRCaGAMXHlQU8EpR9LOAJvyKfc4f7EFmE34/edit?usp=sharing"",""ศรีสะเกษ!N479"")"),0)</f>
        <v>0</v>
      </c>
      <c r="R44" s="62">
        <f t="shared" ca="1" si="46"/>
        <v>0</v>
      </c>
      <c r="S44" s="57">
        <f ca="1">IFERROR(__xludf.DUMMYFUNCTION("IMPORTRANGE(""https://docs.google.com/spreadsheets/d/1tZ0nmtGuIRCaGAMXHlQU8EpR9LOAJvyKfc4f7EFmE34/edit?usp=sharing"",""ศรีสะเกษ!I465"")"),51)</f>
        <v>51</v>
      </c>
      <c r="T44" s="57">
        <f ca="1">IFERROR(__xludf.DUMMYFUNCTION("IMPORTRANGE(""https://docs.google.com/spreadsheets/d/1tZ0nmtGuIRCaGAMXHlQU8EpR9LOAJvyKfc4f7EFmE34/edit?usp=sharing"",""ศรีสะเกษ!I466"")"),500)</f>
        <v>500</v>
      </c>
      <c r="U44" s="57">
        <f ca="1">IFERROR(__xludf.DUMMYFUNCTION("IMPORTRANGE(""https://docs.google.com/spreadsheets/d/1tZ0nmtGuIRCaGAMXHlQU8EpR9LOAJvyKfc4f7EFmE34/edit?usp=sharing"",""ศรีสะเกษ!J465"")"),51)</f>
        <v>51</v>
      </c>
      <c r="V44" s="63">
        <f t="shared" ca="1" si="6"/>
        <v>100</v>
      </c>
      <c r="W44" s="57">
        <f ca="1">IFERROR(__xludf.DUMMYFUNCTION("IMPORTRANGE(""https://docs.google.com/spreadsheets/d/1tZ0nmtGuIRCaGAMXHlQU8EpR9LOAJvyKfc4f7EFmE34/edit?usp=sharing"",""ศรีสะเกษ!J466"")"),0)</f>
        <v>0</v>
      </c>
      <c r="X44" s="63">
        <f t="shared" ca="1" si="7"/>
        <v>0</v>
      </c>
      <c r="Y44" s="57">
        <f ca="1">IFERROR(__xludf.DUMMYFUNCTION("IMPORTRANGE(""https://docs.google.com/spreadsheets/d/1tZ0nmtGuIRCaGAMXHlQU8EpR9LOAJvyKfc4f7EFmE34/edit?usp=sharing"",""ศรีสะเกษ!I483"")"),450)</f>
        <v>450</v>
      </c>
      <c r="Z44" s="57">
        <f ca="1">IFERROR(__xludf.DUMMYFUNCTION("IMPORTRANGE(""https://docs.google.com/spreadsheets/d/1tZ0nmtGuIRCaGAMXHlQU8EpR9LOAJvyKfc4f7EFmE34/edit?usp=sharing"",""ศรีสะเกษ!J483"")"),450)</f>
        <v>450</v>
      </c>
      <c r="AA44" s="63">
        <f t="shared" ca="1" si="35"/>
        <v>100</v>
      </c>
      <c r="AB44" s="57">
        <f ca="1">IFERROR(__xludf.DUMMYFUNCTION("IMPORTRANGE(""https://docs.google.com/spreadsheets/d/1tZ0nmtGuIRCaGAMXHlQU8EpR9LOAJvyKfc4f7EFmE34/edit?usp=sharing"",""ศรีสะเกษ!J484"")"),0)</f>
        <v>0</v>
      </c>
      <c r="AC44" s="57">
        <f ca="1">IFERROR(__xludf.DUMMYFUNCTION("IMPORTRANGE(""https://docs.google.com/spreadsheets/d/1tZ0nmtGuIRCaGAMXHlQU8EpR9LOAJvyKfc4f7EFmE34/edit?usp=sharing"",""ศรีสะเกษ!I485"")"),45)</f>
        <v>45</v>
      </c>
      <c r="AD44" s="57">
        <f ca="1">IFERROR(__xludf.DUMMYFUNCTION("IMPORTRANGE(""https://docs.google.com/spreadsheets/d/1tZ0nmtGuIRCaGAMXHlQU8EpR9LOAJvyKfc4f7EFmE34/edit?usp=sharing"",""ศรีสะเกษ!J485"")"),45)</f>
        <v>45</v>
      </c>
      <c r="AE44" s="63">
        <f t="shared" ca="1" si="36"/>
        <v>100</v>
      </c>
      <c r="AF44" s="57">
        <f ca="1">IFERROR(__xludf.DUMMYFUNCTION("IMPORTRANGE(""https://docs.google.com/spreadsheets/d/1tZ0nmtGuIRCaGAMXHlQU8EpR9LOAJvyKfc4f7EFmE34/edit?usp=sharing"",""ศรีสะเกษ!I487"")"),50)</f>
        <v>50</v>
      </c>
      <c r="AG44" s="57">
        <f ca="1">IFERROR(__xludf.DUMMYFUNCTION("IMPORTRANGE(""https://docs.google.com/spreadsheets/d/1tZ0nmtGuIRCaGAMXHlQU8EpR9LOAJvyKfc4f7EFmE34/edit?usp=sharing"",""ศรีสะเกษ!J487"")"),50)</f>
        <v>50</v>
      </c>
      <c r="AH44" s="63">
        <f t="shared" ca="1" si="37"/>
        <v>100</v>
      </c>
      <c r="AI44" s="57">
        <f ca="1">IFERROR(__xludf.DUMMYFUNCTION("IMPORTRANGE(""https://docs.google.com/spreadsheets/d/1tZ0nmtGuIRCaGAMXHlQU8EpR9LOAJvyKfc4f7EFmE34/edit?usp=sharing"",""ศรีสะเกษ!J488"")"),0)</f>
        <v>0</v>
      </c>
      <c r="AJ44" s="57">
        <f ca="1">IFERROR(__xludf.DUMMYFUNCTION("IMPORTRANGE(""https://docs.google.com/spreadsheets/d/1tZ0nmtGuIRCaGAMXHlQU8EpR9LOAJvyKfc4f7EFmE34/edit?usp=sharing"",""ศรีสะเกษ!I489"")"),5)</f>
        <v>5</v>
      </c>
      <c r="AK44" s="57">
        <f ca="1">IFERROR(__xludf.DUMMYFUNCTION("IMPORTRANGE(""https://docs.google.com/spreadsheets/d/1tZ0nmtGuIRCaGAMXHlQU8EpR9LOAJvyKfc4f7EFmE34/edit?usp=sharing"",""ศรีสะเกษ!J489"")"),5)</f>
        <v>5</v>
      </c>
      <c r="AL44" s="63">
        <f t="shared" ca="1" si="38"/>
        <v>100</v>
      </c>
      <c r="AM44" s="57">
        <f ca="1">IFERROR(__xludf.DUMMYFUNCTION("IMPORTRANGE(""https://docs.google.com/spreadsheets/d/1tZ0nmtGuIRCaGAMXHlQU8EpR9LOAJvyKfc4f7EFmE34/edit?usp=sharing"",""ศรีสะเกษ!J491"")"),0)</f>
        <v>0</v>
      </c>
      <c r="AN44" s="57">
        <f ca="1">IFERROR(__xludf.DUMMYFUNCTION("IMPORTRANGE(""https://docs.google.com/spreadsheets/d/1tZ0nmtGuIRCaGAMXHlQU8EpR9LOAJvyKfc4f7EFmE34/edit?usp=sharing"",""ศรีสะเกษ!I492"")"),1)</f>
        <v>1</v>
      </c>
      <c r="AO44" s="57">
        <f ca="1">IFERROR(__xludf.DUMMYFUNCTION("IMPORTRANGE(""https://docs.google.com/spreadsheets/d/1tZ0nmtGuIRCaGAMXHlQU8EpR9LOAJvyKfc4f7EFmE34/edit?usp=sharing"",""ศรีสะเกษ!J492"")"),1)</f>
        <v>1</v>
      </c>
      <c r="AP44" s="63">
        <f t="shared" ca="1" si="39"/>
        <v>100</v>
      </c>
      <c r="AQ44" s="57">
        <f ca="1">IFERROR(__xludf.DUMMYFUNCTION("IMPORTRANGE(""https://docs.google.com/spreadsheets/d/1tZ0nmtGuIRCaGAMXHlQU8EpR9LOAJvyKfc4f7EFmE34/edit?usp=sharing"",""ศรีสะเกษ!I495"")"),450)</f>
        <v>450</v>
      </c>
      <c r="AR44" s="57">
        <f ca="1">IFERROR(__xludf.DUMMYFUNCTION("IMPORTRANGE(""https://docs.google.com/spreadsheets/d/1tZ0nmtGuIRCaGAMXHlQU8EpR9LOAJvyKfc4f7EFmE34/edit?usp=sharing"",""ศรีสะเกษ!J495"")"),0)</f>
        <v>0</v>
      </c>
      <c r="AS44" s="63">
        <f t="shared" ca="1" si="40"/>
        <v>0</v>
      </c>
      <c r="AT44" s="57">
        <f ca="1">IFERROR(__xludf.DUMMYFUNCTION("IMPORTRANGE(""https://docs.google.com/spreadsheets/d/1tZ0nmtGuIRCaGAMXHlQU8EpR9LOAJvyKfc4f7EFmE34/edit?usp=sharing"",""ศรีสะเกษ!J496"")"),0)</f>
        <v>0</v>
      </c>
      <c r="AU44" s="57">
        <f ca="1">IFERROR(__xludf.DUMMYFUNCTION("IMPORTRANGE(""https://docs.google.com/spreadsheets/d/1tZ0nmtGuIRCaGAMXHlQU8EpR9LOAJvyKfc4f7EFmE34/edit?usp=sharing"",""ศรีสะเกษ!I498"")"),50)</f>
        <v>50</v>
      </c>
      <c r="AV44" s="57">
        <f ca="1">IFERROR(__xludf.DUMMYFUNCTION("IMPORTRANGE(""https://docs.google.com/spreadsheets/d/1tZ0nmtGuIRCaGAMXHlQU8EpR9LOAJvyKfc4f7EFmE34/edit?usp=sharing"",""ศรีสะเกษ!J498"")"),0)</f>
        <v>0</v>
      </c>
      <c r="AW44" s="63">
        <f t="shared" ca="1" si="41"/>
        <v>0</v>
      </c>
      <c r="AX44" s="57">
        <f ca="1">IFERROR(__xludf.DUMMYFUNCTION("IMPORTRANGE(""https://docs.google.com/spreadsheets/d/1tZ0nmtGuIRCaGAMXHlQU8EpR9LOAJvyKfc4f7EFmE34/edit?usp=sharing"",""ศรีสะเกษ!J499"")"),0)</f>
        <v>0</v>
      </c>
    </row>
    <row r="45" spans="1:50" ht="21" customHeight="1" x14ac:dyDescent="0.3">
      <c r="A45" s="54">
        <v>14</v>
      </c>
      <c r="B45" s="55" t="s">
        <v>66</v>
      </c>
      <c r="C45" s="56">
        <f t="shared" ca="1" si="67"/>
        <v>492543</v>
      </c>
      <c r="D45" s="57">
        <f ca="1">IFERROR(__xludf.DUMMYFUNCTION("IMPORTRANGE(""https://docs.google.com/spreadsheets/d/1QC8psz9w0f9IVE9Xuc2FT_btkaOzZbbUSgYObpBuetM/edit?usp=sharing"",""สกลนคร!L472"")"),492543)</f>
        <v>492543</v>
      </c>
      <c r="E45" s="64">
        <f ca="1">IFERROR(__xludf.DUMMYFUNCTION("IMPORTRANGE(""https://docs.google.com/spreadsheets/d/1QC8psz9w0f9IVE9Xuc2FT_btkaOzZbbUSgYObpBuetM/edit?usp=sharing"",""สกลนคร!L479"")"),0)</f>
        <v>0</v>
      </c>
      <c r="F45" s="64">
        <f ca="1">IFERROR(__xludf.DUMMYFUNCTION("IMPORTRANGE(""https://docs.google.com/spreadsheets/d/1QC8psz9w0f9IVE9Xuc2FT_btkaOzZbbUSgYObpBuetM/edit?usp=sharing"",""สกลนคร!M472"")"),492543)</f>
        <v>492543</v>
      </c>
      <c r="G45" s="64">
        <f ca="1">IFERROR(__xludf.DUMMYFUNCTION("IMPORTRANGE(""https://docs.google.com/spreadsheets/d/1QC8psz9w0f9IVE9Xuc2FT_btkaOzZbbUSgYObpBuetM/edit?usp=sharing"",""สกลนคร!M479"")"),0)</f>
        <v>0</v>
      </c>
      <c r="H45" s="58">
        <f t="shared" ca="1" si="34"/>
        <v>90334</v>
      </c>
      <c r="I45" s="59">
        <f t="shared" ca="1" si="1"/>
        <v>18.340327646520201</v>
      </c>
      <c r="J45" s="60">
        <f t="shared" ca="1" si="68"/>
        <v>90334</v>
      </c>
      <c r="K45" s="61">
        <f t="shared" ca="1" si="43"/>
        <v>18.340327646520201</v>
      </c>
      <c r="L45" s="61">
        <f t="shared" ca="1" si="44"/>
        <v>18.340327646520201</v>
      </c>
      <c r="M45" s="64">
        <f ca="1">IFERROR(__xludf.DUMMYFUNCTION("IMPORTRANGE(""https://docs.google.com/spreadsheets/d/1QC8psz9w0f9IVE9Xuc2FT_btkaOzZbbUSgYObpBuetM/edit?usp=sharing"",""สกลนคร!N473"")"),57004)</f>
        <v>57004</v>
      </c>
      <c r="N45" s="64">
        <f ca="1">IFERROR(__xludf.DUMMYFUNCTION("IMPORTRANGE(""https://docs.google.com/spreadsheets/d/1QC8psz9w0f9IVE9Xuc2FT_btkaOzZbbUSgYObpBuetM/edit?usp=sharing"",""สกลนคร!N474"")"),0)</f>
        <v>0</v>
      </c>
      <c r="O45" s="64">
        <f ca="1">IFERROR(__xludf.DUMMYFUNCTION("IMPORTRANGE(""https://docs.google.com/spreadsheets/d/1QC8psz9w0f9IVE9Xuc2FT_btkaOzZbbUSgYObpBuetM/edit?usp=sharing"",""สกลนคร!N475"")"),0)</f>
        <v>0</v>
      </c>
      <c r="P45" s="64">
        <f ca="1">IFERROR(__xludf.DUMMYFUNCTION("IMPORTRANGE(""https://docs.google.com/spreadsheets/d/1QC8psz9w0f9IVE9Xuc2FT_btkaOzZbbUSgYObpBuetM/edit?usp=sharing"",""สกลนคร!N476"")"),33330)</f>
        <v>33330</v>
      </c>
      <c r="Q45" s="62">
        <f ca="1">IFERROR(__xludf.DUMMYFUNCTION("IMPORTRANGE(""https://docs.google.com/spreadsheets/d/1QC8psz9w0f9IVE9Xuc2FT_btkaOzZbbUSgYObpBuetM/edit?usp=sharing"",""สกลนคร!N479"")"),0)</f>
        <v>0</v>
      </c>
      <c r="R45" s="62">
        <f t="shared" ca="1" si="46"/>
        <v>0</v>
      </c>
      <c r="S45" s="57">
        <f ca="1">IFERROR(__xludf.DUMMYFUNCTION("IMPORTRANGE(""https://docs.google.com/spreadsheets/d/1QC8psz9w0f9IVE9Xuc2FT_btkaOzZbbUSgYObpBuetM/edit?usp=sharing"",""สกลนคร!I465"")"),61)</f>
        <v>61</v>
      </c>
      <c r="T45" s="57">
        <f ca="1">IFERROR(__xludf.DUMMYFUNCTION("IMPORTRANGE(""https://docs.google.com/spreadsheets/d/1QC8psz9w0f9IVE9Xuc2FT_btkaOzZbbUSgYObpBuetM/edit?usp=sharing"",""สกลนคร!I466"")"),600)</f>
        <v>600</v>
      </c>
      <c r="U45" s="57">
        <f ca="1">IFERROR(__xludf.DUMMYFUNCTION("IMPORTRANGE(""https://docs.google.com/spreadsheets/d/1QC8psz9w0f9IVE9Xuc2FT_btkaOzZbbUSgYObpBuetM/edit?usp=sharing"",""สกลนคร!J465"")"),61)</f>
        <v>61</v>
      </c>
      <c r="V45" s="63">
        <f t="shared" ca="1" si="6"/>
        <v>100</v>
      </c>
      <c r="W45" s="57">
        <f ca="1">IFERROR(__xludf.DUMMYFUNCTION("IMPORTRANGE(""https://docs.google.com/spreadsheets/d/1QC8psz9w0f9IVE9Xuc2FT_btkaOzZbbUSgYObpBuetM/edit?usp=sharing"",""สกลนคร!J466"")"),0)</f>
        <v>0</v>
      </c>
      <c r="X45" s="63">
        <f t="shared" ca="1" si="7"/>
        <v>0</v>
      </c>
      <c r="Y45" s="57">
        <f ca="1">IFERROR(__xludf.DUMMYFUNCTION("IMPORTRANGE(""https://docs.google.com/spreadsheets/d/1QC8psz9w0f9IVE9Xuc2FT_btkaOzZbbUSgYObpBuetM/edit?usp=sharing"",""สกลนคร!I483"")"),540)</f>
        <v>540</v>
      </c>
      <c r="Z45" s="57">
        <f ca="1">IFERROR(__xludf.DUMMYFUNCTION("IMPORTRANGE(""https://docs.google.com/spreadsheets/d/1QC8psz9w0f9IVE9Xuc2FT_btkaOzZbbUSgYObpBuetM/edit?usp=sharing"",""สกลนคร!J483"")"),540)</f>
        <v>540</v>
      </c>
      <c r="AA45" s="63">
        <f t="shared" ca="1" si="35"/>
        <v>100</v>
      </c>
      <c r="AB45" s="57">
        <f ca="1">IFERROR(__xludf.DUMMYFUNCTION("IMPORTRANGE(""https://docs.google.com/spreadsheets/d/1QC8psz9w0f9IVE9Xuc2FT_btkaOzZbbUSgYObpBuetM/edit?usp=sharing"",""สกลนคร!J484"")"),0)</f>
        <v>0</v>
      </c>
      <c r="AC45" s="57">
        <f ca="1">IFERROR(__xludf.DUMMYFUNCTION("IMPORTRANGE(""https://docs.google.com/spreadsheets/d/1QC8psz9w0f9IVE9Xuc2FT_btkaOzZbbUSgYObpBuetM/edit?usp=sharing"",""สกลนคร!I485"")"),54)</f>
        <v>54</v>
      </c>
      <c r="AD45" s="57">
        <f ca="1">IFERROR(__xludf.DUMMYFUNCTION("IMPORTRANGE(""https://docs.google.com/spreadsheets/d/1QC8psz9w0f9IVE9Xuc2FT_btkaOzZbbUSgYObpBuetM/edit?usp=sharing"",""สกลนคร!J485"")"),54)</f>
        <v>54</v>
      </c>
      <c r="AE45" s="63">
        <f t="shared" ca="1" si="36"/>
        <v>100</v>
      </c>
      <c r="AF45" s="57">
        <f ca="1">IFERROR(__xludf.DUMMYFUNCTION("IMPORTRANGE(""https://docs.google.com/spreadsheets/d/1QC8psz9w0f9IVE9Xuc2FT_btkaOzZbbUSgYObpBuetM/edit?usp=sharing"",""สกลนคร!I487"")"),60)</f>
        <v>60</v>
      </c>
      <c r="AG45" s="57">
        <f ca="1">IFERROR(__xludf.DUMMYFUNCTION("IMPORTRANGE(""https://docs.google.com/spreadsheets/d/1QC8psz9w0f9IVE9Xuc2FT_btkaOzZbbUSgYObpBuetM/edit?usp=sharing"",""สกลนคร!J487"")"),60)</f>
        <v>60</v>
      </c>
      <c r="AH45" s="63">
        <f t="shared" ca="1" si="37"/>
        <v>100</v>
      </c>
      <c r="AI45" s="57">
        <f ca="1">IFERROR(__xludf.DUMMYFUNCTION("IMPORTRANGE(""https://docs.google.com/spreadsheets/d/1QC8psz9w0f9IVE9Xuc2FT_btkaOzZbbUSgYObpBuetM/edit?usp=sharing"",""สกลนคร!J488"")"),0)</f>
        <v>0</v>
      </c>
      <c r="AJ45" s="57">
        <f ca="1">IFERROR(__xludf.DUMMYFUNCTION("IMPORTRANGE(""https://docs.google.com/spreadsheets/d/1QC8psz9w0f9IVE9Xuc2FT_btkaOzZbbUSgYObpBuetM/edit?usp=sharing"",""สกลนคร!I489"")"),6)</f>
        <v>6</v>
      </c>
      <c r="AK45" s="57">
        <f ca="1">IFERROR(__xludf.DUMMYFUNCTION("IMPORTRANGE(""https://docs.google.com/spreadsheets/d/1QC8psz9w0f9IVE9Xuc2FT_btkaOzZbbUSgYObpBuetM/edit?usp=sharing"",""สกลนคร!J489"")"),6)</f>
        <v>6</v>
      </c>
      <c r="AL45" s="63">
        <f t="shared" ca="1" si="38"/>
        <v>100</v>
      </c>
      <c r="AM45" s="57">
        <f ca="1">IFERROR(__xludf.DUMMYFUNCTION("IMPORTRANGE(""https://docs.google.com/spreadsheets/d/1QC8psz9w0f9IVE9Xuc2FT_btkaOzZbbUSgYObpBuetM/edit?usp=sharing"",""สกลนคร!J491"")"),0)</f>
        <v>0</v>
      </c>
      <c r="AN45" s="57">
        <f ca="1">IFERROR(__xludf.DUMMYFUNCTION("IMPORTRANGE(""https://docs.google.com/spreadsheets/d/1QC8psz9w0f9IVE9Xuc2FT_btkaOzZbbUSgYObpBuetM/edit?usp=sharing"",""สกลนคร!I492"")"),1)</f>
        <v>1</v>
      </c>
      <c r="AO45" s="57">
        <f ca="1">IFERROR(__xludf.DUMMYFUNCTION("IMPORTRANGE(""https://docs.google.com/spreadsheets/d/1QC8psz9w0f9IVE9Xuc2FT_btkaOzZbbUSgYObpBuetM/edit?usp=sharing"",""สกลนคร!J492"")"),1)</f>
        <v>1</v>
      </c>
      <c r="AP45" s="63">
        <f t="shared" ca="1" si="39"/>
        <v>100</v>
      </c>
      <c r="AQ45" s="57">
        <f ca="1">IFERROR(__xludf.DUMMYFUNCTION("IMPORTRANGE(""https://docs.google.com/spreadsheets/d/1QC8psz9w0f9IVE9Xuc2FT_btkaOzZbbUSgYObpBuetM/edit?usp=sharing"",""สกลนคร!I495"")"),540)</f>
        <v>540</v>
      </c>
      <c r="AR45" s="57">
        <f ca="1">IFERROR(__xludf.DUMMYFUNCTION("IMPORTRANGE(""https://docs.google.com/spreadsheets/d/1QC8psz9w0f9IVE9Xuc2FT_btkaOzZbbUSgYObpBuetM/edit?usp=sharing"",""สกลนคร!J495"")"),0)</f>
        <v>0</v>
      </c>
      <c r="AS45" s="63">
        <f t="shared" ca="1" si="40"/>
        <v>0</v>
      </c>
      <c r="AT45" s="57">
        <f ca="1">IFERROR(__xludf.DUMMYFUNCTION("IMPORTRANGE(""https://docs.google.com/spreadsheets/d/1QC8psz9w0f9IVE9Xuc2FT_btkaOzZbbUSgYObpBuetM/edit?usp=sharing"",""สกลนคร!J496"")"),0)</f>
        <v>0</v>
      </c>
      <c r="AU45" s="57">
        <f ca="1">IFERROR(__xludf.DUMMYFUNCTION("IMPORTRANGE(""https://docs.google.com/spreadsheets/d/1QC8psz9w0f9IVE9Xuc2FT_btkaOzZbbUSgYObpBuetM/edit?usp=sharing"",""สกลนคร!I498"")"),60)</f>
        <v>60</v>
      </c>
      <c r="AV45" s="57">
        <f ca="1">IFERROR(__xludf.DUMMYFUNCTION("IMPORTRANGE(""https://docs.google.com/spreadsheets/d/1QC8psz9w0f9IVE9Xuc2FT_btkaOzZbbUSgYObpBuetM/edit?usp=sharing"",""สกลนคร!J498"")"),0)</f>
        <v>0</v>
      </c>
      <c r="AW45" s="63">
        <f t="shared" ca="1" si="41"/>
        <v>0</v>
      </c>
      <c r="AX45" s="57">
        <f ca="1">IFERROR(__xludf.DUMMYFUNCTION("IMPORTRANGE(""https://docs.google.com/spreadsheets/d/1QC8psz9w0f9IVE9Xuc2FT_btkaOzZbbUSgYObpBuetM/edit?usp=sharing"",""สกลนคร!J499"")"),0)</f>
        <v>0</v>
      </c>
    </row>
    <row r="46" spans="1:50" ht="21" customHeight="1" x14ac:dyDescent="0.3">
      <c r="A46" s="54">
        <v>15</v>
      </c>
      <c r="B46" s="55" t="s">
        <v>67</v>
      </c>
      <c r="C46" s="56">
        <f t="shared" ca="1" si="67"/>
        <v>1169908</v>
      </c>
      <c r="D46" s="57">
        <f ca="1">IFERROR(__xludf.DUMMYFUNCTION("IMPORTRANGE(""https://docs.google.com/spreadsheets/d/1wPdvRbu02d33MYVlbsCnyTiZpefEBs9NNktAnT1HZvw/edit?usp=sharing"",""สุรินทร์!L472"")"),1169908)</f>
        <v>1169908</v>
      </c>
      <c r="E46" s="64">
        <f ca="1">IFERROR(__xludf.DUMMYFUNCTION("IMPORTRANGE(""https://docs.google.com/spreadsheets/d/1wPdvRbu02d33MYVlbsCnyTiZpefEBs9NNktAnT1HZvw/edit?usp=sharing"",""สุรินทร์!L479"")"),0)</f>
        <v>0</v>
      </c>
      <c r="F46" s="64">
        <f ca="1">IFERROR(__xludf.DUMMYFUNCTION("IMPORTRANGE(""https://docs.google.com/spreadsheets/d/1wPdvRbu02d33MYVlbsCnyTiZpefEBs9NNktAnT1HZvw/edit?usp=sharing"",""สุรินทร์!M472"")"),1169908)</f>
        <v>1169908</v>
      </c>
      <c r="G46" s="64">
        <f ca="1">IFERROR(__xludf.DUMMYFUNCTION("IMPORTRANGE(""https://docs.google.com/spreadsheets/d/1wPdvRbu02d33MYVlbsCnyTiZpefEBs9NNktAnT1HZvw/edit?usp=sharing"",""สุรินทร์!M479"")"),0)</f>
        <v>0</v>
      </c>
      <c r="H46" s="58">
        <f t="shared" ca="1" si="34"/>
        <v>1071665</v>
      </c>
      <c r="I46" s="59">
        <f t="shared" ca="1" si="1"/>
        <v>91.602502077086399</v>
      </c>
      <c r="J46" s="60">
        <f t="shared" ca="1" si="68"/>
        <v>1071665</v>
      </c>
      <c r="K46" s="61">
        <f t="shared" ca="1" si="43"/>
        <v>91.602502077086399</v>
      </c>
      <c r="L46" s="61">
        <f t="shared" ca="1" si="44"/>
        <v>91.602502077086399</v>
      </c>
      <c r="M46" s="64">
        <f ca="1">IFERROR(__xludf.DUMMYFUNCTION("IMPORTRANGE(""https://docs.google.com/spreadsheets/d/1wPdvRbu02d33MYVlbsCnyTiZpefEBs9NNktAnT1HZvw/edit?usp=sharing"",""สุรินทร์!N473"")"),163613)</f>
        <v>163613</v>
      </c>
      <c r="N46" s="64">
        <f ca="1">IFERROR(__xludf.DUMMYFUNCTION("IMPORTRANGE(""https://docs.google.com/spreadsheets/d/1wPdvRbu02d33MYVlbsCnyTiZpefEBs9NNktAnT1HZvw/edit?usp=sharing"",""สุรินทร์!N474"")"),810000)</f>
        <v>810000</v>
      </c>
      <c r="O46" s="64">
        <f ca="1">IFERROR(__xludf.DUMMYFUNCTION("IMPORTRANGE(""https://docs.google.com/spreadsheets/d/1wPdvRbu02d33MYVlbsCnyTiZpefEBs9NNktAnT1HZvw/edit?usp=sharing"",""สุรินทร์!N475"")"),76320)</f>
        <v>76320</v>
      </c>
      <c r="P46" s="64">
        <f ca="1">IFERROR(__xludf.DUMMYFUNCTION("IMPORTRANGE(""https://docs.google.com/spreadsheets/d/1wPdvRbu02d33MYVlbsCnyTiZpefEBs9NNktAnT1HZvw/edit?usp=sharing"",""สุรินทร์!N476"")"),21732)</f>
        <v>21732</v>
      </c>
      <c r="Q46" s="62">
        <f ca="1">IFERROR(__xludf.DUMMYFUNCTION("IMPORTRANGE(""https://docs.google.com/spreadsheets/d/1wPdvRbu02d33MYVlbsCnyTiZpefEBs9NNktAnT1HZvw/edit?usp=sharing"",""สุรินทร์!N479"")"),0)</f>
        <v>0</v>
      </c>
      <c r="R46" s="62">
        <f t="shared" ca="1" si="46"/>
        <v>0</v>
      </c>
      <c r="S46" s="57">
        <f ca="1">IFERROR(__xludf.DUMMYFUNCTION("IMPORTRANGE(""https://docs.google.com/spreadsheets/d/1wPdvRbu02d33MYVlbsCnyTiZpefEBs9NNktAnT1HZvw/edit?usp=sharing"",""สุรินทร์!I465"")"),131)</f>
        <v>131</v>
      </c>
      <c r="T46" s="57">
        <f ca="1">IFERROR(__xludf.DUMMYFUNCTION("IMPORTRANGE(""https://docs.google.com/spreadsheets/d/1wPdvRbu02d33MYVlbsCnyTiZpefEBs9NNktAnT1HZvw/edit?usp=sharing"",""สุรินทร์!I466"")"),1300)</f>
        <v>1300</v>
      </c>
      <c r="U46" s="57">
        <f ca="1">IFERROR(__xludf.DUMMYFUNCTION("IMPORTRANGE(""https://docs.google.com/spreadsheets/d/1wPdvRbu02d33MYVlbsCnyTiZpefEBs9NNktAnT1HZvw/edit?usp=sharing"",""สุรินทร์!J465"")"),131)</f>
        <v>131</v>
      </c>
      <c r="V46" s="63">
        <f t="shared" ca="1" si="6"/>
        <v>100</v>
      </c>
      <c r="W46" s="57">
        <f ca="1">IFERROR(__xludf.DUMMYFUNCTION("IMPORTRANGE(""https://docs.google.com/spreadsheets/d/1wPdvRbu02d33MYVlbsCnyTiZpefEBs9NNktAnT1HZvw/edit?usp=sharing"",""สุรินทร์!J466"")"),1300)</f>
        <v>1300</v>
      </c>
      <c r="X46" s="63">
        <f t="shared" ca="1" si="7"/>
        <v>100</v>
      </c>
      <c r="Y46" s="57">
        <f ca="1">IFERROR(__xludf.DUMMYFUNCTION("IMPORTRANGE(""https://docs.google.com/spreadsheets/d/1wPdvRbu02d33MYVlbsCnyTiZpefEBs9NNktAnT1HZvw/edit?usp=sharing"",""สุรินทร์!I483"")"),1170)</f>
        <v>1170</v>
      </c>
      <c r="Z46" s="57">
        <f ca="1">IFERROR(__xludf.DUMMYFUNCTION("IMPORTRANGE(""https://docs.google.com/spreadsheets/d/1wPdvRbu02d33MYVlbsCnyTiZpefEBs9NNktAnT1HZvw/edit?usp=sharing"",""สุรินทร์!J483"")"),1170)</f>
        <v>1170</v>
      </c>
      <c r="AA46" s="63">
        <f t="shared" ca="1" si="35"/>
        <v>100</v>
      </c>
      <c r="AB46" s="57">
        <f ca="1">IFERROR(__xludf.DUMMYFUNCTION("IMPORTRANGE(""https://docs.google.com/spreadsheets/d/1wPdvRbu02d33MYVlbsCnyTiZpefEBs9NNktAnT1HZvw/edit?usp=sharing"",""สุรินทร์!J484"")"),160)</f>
        <v>160</v>
      </c>
      <c r="AC46" s="57">
        <f ca="1">IFERROR(__xludf.DUMMYFUNCTION("IMPORTRANGE(""https://docs.google.com/spreadsheets/d/1wPdvRbu02d33MYVlbsCnyTiZpefEBs9NNktAnT1HZvw/edit?usp=sharing"",""สุรินทร์!I485"")"),117)</f>
        <v>117</v>
      </c>
      <c r="AD46" s="57">
        <f ca="1">IFERROR(__xludf.DUMMYFUNCTION("IMPORTRANGE(""https://docs.google.com/spreadsheets/d/1wPdvRbu02d33MYVlbsCnyTiZpefEBs9NNktAnT1HZvw/edit?usp=sharing"",""สุรินทร์!J485"")"),117)</f>
        <v>117</v>
      </c>
      <c r="AE46" s="63">
        <f t="shared" ca="1" si="36"/>
        <v>100</v>
      </c>
      <c r="AF46" s="57">
        <f ca="1">IFERROR(__xludf.DUMMYFUNCTION("IMPORTRANGE(""https://docs.google.com/spreadsheets/d/1wPdvRbu02d33MYVlbsCnyTiZpefEBs9NNktAnT1HZvw/edit?usp=sharing"",""สุรินทร์!I487"")"),130)</f>
        <v>130</v>
      </c>
      <c r="AG46" s="57">
        <f ca="1">IFERROR(__xludf.DUMMYFUNCTION("IMPORTRANGE(""https://docs.google.com/spreadsheets/d/1wPdvRbu02d33MYVlbsCnyTiZpefEBs9NNktAnT1HZvw/edit?usp=sharing"",""สุรินทร์!J487"")"),130)</f>
        <v>130</v>
      </c>
      <c r="AH46" s="63">
        <f t="shared" ca="1" si="37"/>
        <v>100</v>
      </c>
      <c r="AI46" s="57">
        <f ca="1">IFERROR(__xludf.DUMMYFUNCTION("IMPORTRANGE(""https://docs.google.com/spreadsheets/d/1wPdvRbu02d33MYVlbsCnyTiZpefEBs9NNktAnT1HZvw/edit?usp=sharing"",""สุรินทร์!J488"")"),13)</f>
        <v>13</v>
      </c>
      <c r="AJ46" s="57">
        <f ca="1">IFERROR(__xludf.DUMMYFUNCTION("IMPORTRANGE(""https://docs.google.com/spreadsheets/d/1wPdvRbu02d33MYVlbsCnyTiZpefEBs9NNktAnT1HZvw/edit?usp=sharing"",""สุรินทร์!I489"")"),13)</f>
        <v>13</v>
      </c>
      <c r="AK46" s="57">
        <f ca="1">IFERROR(__xludf.DUMMYFUNCTION("IMPORTRANGE(""https://docs.google.com/spreadsheets/d/1wPdvRbu02d33MYVlbsCnyTiZpefEBs9NNktAnT1HZvw/edit?usp=sharing"",""สุรินทร์!J489"")"),13)</f>
        <v>13</v>
      </c>
      <c r="AL46" s="63">
        <f t="shared" ca="1" si="38"/>
        <v>100</v>
      </c>
      <c r="AM46" s="57">
        <f ca="1">IFERROR(__xludf.DUMMYFUNCTION("IMPORTRANGE(""https://docs.google.com/spreadsheets/d/1wPdvRbu02d33MYVlbsCnyTiZpefEBs9NNktAnT1HZvw/edit?usp=sharing"",""สุรินทร์!J491"")"),1)</f>
        <v>1</v>
      </c>
      <c r="AN46" s="57">
        <f ca="1">IFERROR(__xludf.DUMMYFUNCTION("IMPORTRANGE(""https://docs.google.com/spreadsheets/d/1wPdvRbu02d33MYVlbsCnyTiZpefEBs9NNktAnT1HZvw/edit?usp=sharing"",""สุรินทร์!I492"")"),1)</f>
        <v>1</v>
      </c>
      <c r="AO46" s="57">
        <f ca="1">IFERROR(__xludf.DUMMYFUNCTION("IMPORTRANGE(""https://docs.google.com/spreadsheets/d/1wPdvRbu02d33MYVlbsCnyTiZpefEBs9NNktAnT1HZvw/edit?usp=sharing"",""สุรินทร์!J492"")"),1)</f>
        <v>1</v>
      </c>
      <c r="AP46" s="63">
        <f t="shared" ca="1" si="39"/>
        <v>100</v>
      </c>
      <c r="AQ46" s="57">
        <f ca="1">IFERROR(__xludf.DUMMYFUNCTION("IMPORTRANGE(""https://docs.google.com/spreadsheets/d/1wPdvRbu02d33MYVlbsCnyTiZpefEBs9NNktAnT1HZvw/edit?usp=sharing"",""สุรินทร์!I495"")"),1170)</f>
        <v>1170</v>
      </c>
      <c r="AR46" s="57">
        <f ca="1">IFERROR(__xludf.DUMMYFUNCTION("IMPORTRANGE(""https://docs.google.com/spreadsheets/d/1wPdvRbu02d33MYVlbsCnyTiZpefEBs9NNktAnT1HZvw/edit?usp=sharing"",""สุรินทร์!J495"")"),1170)</f>
        <v>1170</v>
      </c>
      <c r="AS46" s="63">
        <f t="shared" ca="1" si="40"/>
        <v>100</v>
      </c>
      <c r="AT46" s="57">
        <f ca="1">IFERROR(__xludf.DUMMYFUNCTION("IMPORTRANGE(""https://docs.google.com/spreadsheets/d/1wPdvRbu02d33MYVlbsCnyTiZpefEBs9NNktAnT1HZvw/edit?usp=sharing"",""สุรินทร์!J496"")"),1170)</f>
        <v>1170</v>
      </c>
      <c r="AU46" s="57">
        <f ca="1">IFERROR(__xludf.DUMMYFUNCTION("IMPORTRANGE(""https://docs.google.com/spreadsheets/d/1wPdvRbu02d33MYVlbsCnyTiZpefEBs9NNktAnT1HZvw/edit?usp=sharing"",""สุรินทร์!I498"")"),130)</f>
        <v>130</v>
      </c>
      <c r="AV46" s="57">
        <f ca="1">IFERROR(__xludf.DUMMYFUNCTION("IMPORTRANGE(""https://docs.google.com/spreadsheets/d/1wPdvRbu02d33MYVlbsCnyTiZpefEBs9NNktAnT1HZvw/edit?usp=sharing"",""สุรินทร์!J498"")"),130)</f>
        <v>130</v>
      </c>
      <c r="AW46" s="63">
        <f t="shared" ca="1" si="41"/>
        <v>100</v>
      </c>
      <c r="AX46" s="57">
        <f ca="1">IFERROR(__xludf.DUMMYFUNCTION("IMPORTRANGE(""https://docs.google.com/spreadsheets/d/1wPdvRbu02d33MYVlbsCnyTiZpefEBs9NNktAnT1HZvw/edit?usp=sharing"",""สุรินทร์!J499"")"),130)</f>
        <v>130</v>
      </c>
    </row>
    <row r="47" spans="1:50" ht="21" customHeight="1" x14ac:dyDescent="0.3">
      <c r="A47" s="54">
        <v>16</v>
      </c>
      <c r="B47" s="55" t="s">
        <v>68</v>
      </c>
      <c r="C47" s="56">
        <f t="shared" ca="1" si="67"/>
        <v>414993</v>
      </c>
      <c r="D47" s="57">
        <f ca="1">IFERROR(__xludf.DUMMYFUNCTION("IMPORTRANGE(""https://docs.google.com/spreadsheets/d/1GVExpf-Exi_2gmuqTYH28fseTB9MoKPXWcXCbSt_YrM/edit?usp=sharing"",""หนองคาย!L472"")"),414993)</f>
        <v>414993</v>
      </c>
      <c r="E47" s="64">
        <f ca="1">IFERROR(__xludf.DUMMYFUNCTION("IMPORTRANGE(""https://docs.google.com/spreadsheets/d/1GVExpf-Exi_2gmuqTYH28fseTB9MoKPXWcXCbSt_YrM/edit?usp=sharing"",""หนองคาย!L479"")"),0)</f>
        <v>0</v>
      </c>
      <c r="F47" s="64">
        <f ca="1">IFERROR(__xludf.DUMMYFUNCTION("IMPORTRANGE(""https://docs.google.com/spreadsheets/d/1GVExpf-Exi_2gmuqTYH28fseTB9MoKPXWcXCbSt_YrM/edit?usp=sharing"",""หนองคาย!M472"")"),414993)</f>
        <v>414993</v>
      </c>
      <c r="G47" s="64">
        <f ca="1">IFERROR(__xludf.DUMMYFUNCTION("IMPORTRANGE(""https://docs.google.com/spreadsheets/d/1GVExpf-Exi_2gmuqTYH28fseTB9MoKPXWcXCbSt_YrM/edit?usp=sharing"",""หนองคาย!M479"")"),0)</f>
        <v>0</v>
      </c>
      <c r="H47" s="58">
        <f t="shared" ca="1" si="34"/>
        <v>82180</v>
      </c>
      <c r="I47" s="59">
        <f t="shared" ca="1" si="1"/>
        <v>19.802743660736446</v>
      </c>
      <c r="J47" s="60">
        <f t="shared" ca="1" si="68"/>
        <v>82180</v>
      </c>
      <c r="K47" s="61">
        <f t="shared" ca="1" si="43"/>
        <v>19.802743660736446</v>
      </c>
      <c r="L47" s="61">
        <f t="shared" ca="1" si="44"/>
        <v>19.802743660736446</v>
      </c>
      <c r="M47" s="64">
        <f ca="1">IFERROR(__xludf.DUMMYFUNCTION("IMPORTRANGE(""https://docs.google.com/spreadsheets/d/1GVExpf-Exi_2gmuqTYH28fseTB9MoKPXWcXCbSt_YrM/edit?usp=sharing"",""หนองคาย!N473"")"),64890)</f>
        <v>64890</v>
      </c>
      <c r="N47" s="64">
        <f ca="1">IFERROR(__xludf.DUMMYFUNCTION("IMPORTRANGE(""https://docs.google.com/spreadsheets/d/1GVExpf-Exi_2gmuqTYH28fseTB9MoKPXWcXCbSt_YrM/edit?usp=sharing"",""หนองคาย!N474"")"),0)</f>
        <v>0</v>
      </c>
      <c r="O47" s="64">
        <f ca="1">IFERROR(__xludf.DUMMYFUNCTION("IMPORTRANGE(""https://docs.google.com/spreadsheets/d/1GVExpf-Exi_2gmuqTYH28fseTB9MoKPXWcXCbSt_YrM/edit?usp=sharing"",""หนองคาย!N475"")"),1200)</f>
        <v>1200</v>
      </c>
      <c r="P47" s="64">
        <f ca="1">IFERROR(__xludf.DUMMYFUNCTION("IMPORTRANGE(""https://docs.google.com/spreadsheets/d/1GVExpf-Exi_2gmuqTYH28fseTB9MoKPXWcXCbSt_YrM/edit?usp=sharing"",""หนองคาย!N476"")"),16090)</f>
        <v>16090</v>
      </c>
      <c r="Q47" s="62">
        <f ca="1">IFERROR(__xludf.DUMMYFUNCTION("IMPORTRANGE(""https://docs.google.com/spreadsheets/d/1GVExpf-Exi_2gmuqTYH28fseTB9MoKPXWcXCbSt_YrM/edit?usp=sharing"",""หนองคาย!N479"")"),0)</f>
        <v>0</v>
      </c>
      <c r="R47" s="62">
        <f t="shared" ca="1" si="46"/>
        <v>0</v>
      </c>
      <c r="S47" s="57">
        <f ca="1">IFERROR(__xludf.DUMMYFUNCTION("IMPORTRANGE(""https://docs.google.com/spreadsheets/d/1GVExpf-Exi_2gmuqTYH28fseTB9MoKPXWcXCbSt_YrM/edit?usp=sharing"",""หนองคาย!I465"")"),51)</f>
        <v>51</v>
      </c>
      <c r="T47" s="57">
        <f ca="1">IFERROR(__xludf.DUMMYFUNCTION("IMPORTRANGE(""https://docs.google.com/spreadsheets/d/1GVExpf-Exi_2gmuqTYH28fseTB9MoKPXWcXCbSt_YrM/edit?usp=sharing"",""หนองคาย!I466"")"),500)</f>
        <v>500</v>
      </c>
      <c r="U47" s="57">
        <f ca="1">IFERROR(__xludf.DUMMYFUNCTION("IMPORTRANGE(""https://docs.google.com/spreadsheets/d/1GVExpf-Exi_2gmuqTYH28fseTB9MoKPXWcXCbSt_YrM/edit?usp=sharing"",""หนองคาย!J465"")"),51)</f>
        <v>51</v>
      </c>
      <c r="V47" s="63">
        <f t="shared" ca="1" si="6"/>
        <v>100</v>
      </c>
      <c r="W47" s="57">
        <f ca="1">IFERROR(__xludf.DUMMYFUNCTION("IMPORTRANGE(""https://docs.google.com/spreadsheets/d/1GVExpf-Exi_2gmuqTYH28fseTB9MoKPXWcXCbSt_YrM/edit?usp=sharing"",""หนองคาย!J466"")"),0)</f>
        <v>0</v>
      </c>
      <c r="X47" s="63">
        <f t="shared" ca="1" si="7"/>
        <v>0</v>
      </c>
      <c r="Y47" s="57">
        <f ca="1">IFERROR(__xludf.DUMMYFUNCTION("IMPORTRANGE(""https://docs.google.com/spreadsheets/d/1GVExpf-Exi_2gmuqTYH28fseTB9MoKPXWcXCbSt_YrM/edit?usp=sharing"",""หนองคาย!I483"")"),450)</f>
        <v>450</v>
      </c>
      <c r="Z47" s="57">
        <f ca="1">IFERROR(__xludf.DUMMYFUNCTION("IMPORTRANGE(""https://docs.google.com/spreadsheets/d/1GVExpf-Exi_2gmuqTYH28fseTB9MoKPXWcXCbSt_YrM/edit?usp=sharing"",""หนองคาย!J483"")"),450)</f>
        <v>450</v>
      </c>
      <c r="AA47" s="63">
        <f t="shared" ca="1" si="35"/>
        <v>100</v>
      </c>
      <c r="AB47" s="57">
        <f ca="1">IFERROR(__xludf.DUMMYFUNCTION("IMPORTRANGE(""https://docs.google.com/spreadsheets/d/1GVExpf-Exi_2gmuqTYH28fseTB9MoKPXWcXCbSt_YrM/edit?usp=sharing"",""หนองคาย!J484"")"),45)</f>
        <v>45</v>
      </c>
      <c r="AC47" s="57">
        <f ca="1">IFERROR(__xludf.DUMMYFUNCTION("IMPORTRANGE(""https://docs.google.com/spreadsheets/d/1GVExpf-Exi_2gmuqTYH28fseTB9MoKPXWcXCbSt_YrM/edit?usp=sharing"",""หนองคาย!I485"")"),45)</f>
        <v>45</v>
      </c>
      <c r="AD47" s="57">
        <f ca="1">IFERROR(__xludf.DUMMYFUNCTION("IMPORTRANGE(""https://docs.google.com/spreadsheets/d/1GVExpf-Exi_2gmuqTYH28fseTB9MoKPXWcXCbSt_YrM/edit?usp=sharing"",""หนองคาย!J485"")"),45)</f>
        <v>45</v>
      </c>
      <c r="AE47" s="63">
        <f t="shared" ca="1" si="36"/>
        <v>100</v>
      </c>
      <c r="AF47" s="57">
        <f ca="1">IFERROR(__xludf.DUMMYFUNCTION("IMPORTRANGE(""https://docs.google.com/spreadsheets/d/1GVExpf-Exi_2gmuqTYH28fseTB9MoKPXWcXCbSt_YrM/edit?usp=sharing"",""หนองคาย!I487"")"),50)</f>
        <v>50</v>
      </c>
      <c r="AG47" s="57">
        <f ca="1">IFERROR(__xludf.DUMMYFUNCTION("IMPORTRANGE(""https://docs.google.com/spreadsheets/d/1GVExpf-Exi_2gmuqTYH28fseTB9MoKPXWcXCbSt_YrM/edit?usp=sharing"",""หนองคาย!J487"")"),50)</f>
        <v>50</v>
      </c>
      <c r="AH47" s="63">
        <f t="shared" ca="1" si="37"/>
        <v>100</v>
      </c>
      <c r="AI47" s="57">
        <f ca="1">IFERROR(__xludf.DUMMYFUNCTION("IMPORTRANGE(""https://docs.google.com/spreadsheets/d/1GVExpf-Exi_2gmuqTYH28fseTB9MoKPXWcXCbSt_YrM/edit?usp=sharing"",""หนองคาย!J488"")"),5)</f>
        <v>5</v>
      </c>
      <c r="AJ47" s="57">
        <f ca="1">IFERROR(__xludf.DUMMYFUNCTION("IMPORTRANGE(""https://docs.google.com/spreadsheets/d/1GVExpf-Exi_2gmuqTYH28fseTB9MoKPXWcXCbSt_YrM/edit?usp=sharing"",""หนองคาย!I489"")"),5)</f>
        <v>5</v>
      </c>
      <c r="AK47" s="57">
        <f ca="1">IFERROR(__xludf.DUMMYFUNCTION("IMPORTRANGE(""https://docs.google.com/spreadsheets/d/1GVExpf-Exi_2gmuqTYH28fseTB9MoKPXWcXCbSt_YrM/edit?usp=sharing"",""หนองคาย!J489"")"),5)</f>
        <v>5</v>
      </c>
      <c r="AL47" s="63">
        <f t="shared" ca="1" si="38"/>
        <v>100</v>
      </c>
      <c r="AM47" s="57">
        <f ca="1">IFERROR(__xludf.DUMMYFUNCTION("IMPORTRANGE(""https://docs.google.com/spreadsheets/d/1GVExpf-Exi_2gmuqTYH28fseTB9MoKPXWcXCbSt_YrM/edit?usp=sharing"",""หนองคาย!J491"")"),1)</f>
        <v>1</v>
      </c>
      <c r="AN47" s="57">
        <f ca="1">IFERROR(__xludf.DUMMYFUNCTION("IMPORTRANGE(""https://docs.google.com/spreadsheets/d/1GVExpf-Exi_2gmuqTYH28fseTB9MoKPXWcXCbSt_YrM/edit?usp=sharing"",""หนองคาย!I492"")"),1)</f>
        <v>1</v>
      </c>
      <c r="AO47" s="57">
        <f ca="1">IFERROR(__xludf.DUMMYFUNCTION("IMPORTRANGE(""https://docs.google.com/spreadsheets/d/1GVExpf-Exi_2gmuqTYH28fseTB9MoKPXWcXCbSt_YrM/edit?usp=sharing"",""หนองคาย!J492"")"),1)</f>
        <v>1</v>
      </c>
      <c r="AP47" s="63">
        <f t="shared" ca="1" si="39"/>
        <v>100</v>
      </c>
      <c r="AQ47" s="57">
        <f ca="1">IFERROR(__xludf.DUMMYFUNCTION("IMPORTRANGE(""https://docs.google.com/spreadsheets/d/1GVExpf-Exi_2gmuqTYH28fseTB9MoKPXWcXCbSt_YrM/edit?usp=sharing"",""หนองคาย!I495"")"),450)</f>
        <v>450</v>
      </c>
      <c r="AR47" s="57">
        <f ca="1">IFERROR(__xludf.DUMMYFUNCTION("IMPORTRANGE(""https://docs.google.com/spreadsheets/d/1GVExpf-Exi_2gmuqTYH28fseTB9MoKPXWcXCbSt_YrM/edit?usp=sharing"",""หนองคาย!J495"")"),0)</f>
        <v>0</v>
      </c>
      <c r="AS47" s="63">
        <f t="shared" ca="1" si="40"/>
        <v>0</v>
      </c>
      <c r="AT47" s="57">
        <f ca="1">IFERROR(__xludf.DUMMYFUNCTION("IMPORTRANGE(""https://docs.google.com/spreadsheets/d/1GVExpf-Exi_2gmuqTYH28fseTB9MoKPXWcXCbSt_YrM/edit?usp=sharing"",""หนองคาย!J496"")"),0)</f>
        <v>0</v>
      </c>
      <c r="AU47" s="57">
        <f ca="1">IFERROR(__xludf.DUMMYFUNCTION("IMPORTRANGE(""https://docs.google.com/spreadsheets/d/1GVExpf-Exi_2gmuqTYH28fseTB9MoKPXWcXCbSt_YrM/edit?usp=sharing"",""หนองคาย!I498"")"),50)</f>
        <v>50</v>
      </c>
      <c r="AV47" s="57">
        <f ca="1">IFERROR(__xludf.DUMMYFUNCTION("IMPORTRANGE(""https://docs.google.com/spreadsheets/d/1GVExpf-Exi_2gmuqTYH28fseTB9MoKPXWcXCbSt_YrM/edit?usp=sharing"",""หนองคาย!J498"")"),0)</f>
        <v>0</v>
      </c>
      <c r="AW47" s="63">
        <f t="shared" ca="1" si="41"/>
        <v>0</v>
      </c>
      <c r="AX47" s="57">
        <f ca="1">IFERROR(__xludf.DUMMYFUNCTION("IMPORTRANGE(""https://docs.google.com/spreadsheets/d/1GVExpf-Exi_2gmuqTYH28fseTB9MoKPXWcXCbSt_YrM/edit?usp=sharing"",""หนองคาย!J499"")"),0)</f>
        <v>0</v>
      </c>
    </row>
    <row r="48" spans="1:50" ht="21" customHeight="1" x14ac:dyDescent="0.3">
      <c r="A48" s="54">
        <v>17</v>
      </c>
      <c r="B48" s="55" t="s">
        <v>69</v>
      </c>
      <c r="C48" s="56">
        <f t="shared" ca="1" si="67"/>
        <v>1172208</v>
      </c>
      <c r="D48" s="57">
        <f ca="1">IFERROR(__xludf.DUMMYFUNCTION("IMPORTRANGE(""https://docs.google.com/spreadsheets/d/16UeMz0UgOB5BZcoxP75eYGcLFtGYRn9GoesD4OX9m5U/edit?usp=sharing"",""หนองบัวลำภู!L472"")"),1172208)</f>
        <v>1172208</v>
      </c>
      <c r="E48" s="64">
        <f ca="1">IFERROR(__xludf.DUMMYFUNCTION("IMPORTRANGE(""https://docs.google.com/spreadsheets/d/16UeMz0UgOB5BZcoxP75eYGcLFtGYRn9GoesD4OX9m5U/edit?usp=sharing"",""หนองบัวลำภู!L479"")"),0)</f>
        <v>0</v>
      </c>
      <c r="F48" s="64">
        <f ca="1">IFERROR(__xludf.DUMMYFUNCTION("IMPORTRANGE(""https://docs.google.com/spreadsheets/d/16UeMz0UgOB5BZcoxP75eYGcLFtGYRn9GoesD4OX9m5U/edit?usp=sharing"",""หนองบัวลำภู!M472"")"),1172208)</f>
        <v>1172208</v>
      </c>
      <c r="G48" s="64">
        <f ca="1">IFERROR(__xludf.DUMMYFUNCTION("IMPORTRANGE(""https://docs.google.com/spreadsheets/d/16UeMz0UgOB5BZcoxP75eYGcLFtGYRn9GoesD4OX9m5U/edit?usp=sharing"",""หนองบัวลำภู!M479"")"),0)</f>
        <v>0</v>
      </c>
      <c r="H48" s="58">
        <f t="shared" ca="1" si="34"/>
        <v>273271</v>
      </c>
      <c r="I48" s="59">
        <f t="shared" ca="1" si="1"/>
        <v>23.312500853090921</v>
      </c>
      <c r="J48" s="60">
        <f t="shared" ca="1" si="68"/>
        <v>273271</v>
      </c>
      <c r="K48" s="61">
        <f t="shared" ca="1" si="43"/>
        <v>23.312500853090921</v>
      </c>
      <c r="L48" s="61">
        <f t="shared" ca="1" si="44"/>
        <v>23.312500853090921</v>
      </c>
      <c r="M48" s="64">
        <f ca="1">IFERROR(__xludf.DUMMYFUNCTION("IMPORTRANGE(""https://docs.google.com/spreadsheets/d/16UeMz0UgOB5BZcoxP75eYGcLFtGYRn9GoesD4OX9m5U/edit?usp=sharing"",""หนองบัวลำภู!N473"")"),165161)</f>
        <v>165161</v>
      </c>
      <c r="N48" s="64">
        <f ca="1">IFERROR(__xludf.DUMMYFUNCTION("IMPORTRANGE(""https://docs.google.com/spreadsheets/d/16UeMz0UgOB5BZcoxP75eYGcLFtGYRn9GoesD4OX9m5U/edit?usp=sharing"",""หนองบัวลำภู!N474"")"),0)</f>
        <v>0</v>
      </c>
      <c r="O48" s="64">
        <f ca="1">IFERROR(__xludf.DUMMYFUNCTION("IMPORTRANGE(""https://docs.google.com/spreadsheets/d/16UeMz0UgOB5BZcoxP75eYGcLFtGYRn9GoesD4OX9m5U/edit?usp=sharing"",""หนองบัวลำภู!N475"")"),78000)</f>
        <v>78000</v>
      </c>
      <c r="P48" s="64">
        <f ca="1">IFERROR(__xludf.DUMMYFUNCTION("IMPORTRANGE(""https://docs.google.com/spreadsheets/d/16UeMz0UgOB5BZcoxP75eYGcLFtGYRn9GoesD4OX9m5U/edit?usp=sharing"",""หนองบัวลำภู!N476"")"),30110)</f>
        <v>30110</v>
      </c>
      <c r="Q48" s="62">
        <f ca="1">IFERROR(__xludf.DUMMYFUNCTION("IMPORTRANGE(""https://docs.google.com/spreadsheets/d/16UeMz0UgOB5BZcoxP75eYGcLFtGYRn9GoesD4OX9m5U/edit?usp=sharing"",""หนองบัวลำภู!N479"")"),0)</f>
        <v>0</v>
      </c>
      <c r="R48" s="62">
        <f t="shared" ca="1" si="46"/>
        <v>0</v>
      </c>
      <c r="S48" s="57">
        <f ca="1">IFERROR(__xludf.DUMMYFUNCTION("IMPORTRANGE(""https://docs.google.com/spreadsheets/d/16UeMz0UgOB5BZcoxP75eYGcLFtGYRn9GoesD4OX9m5U/edit?usp=sharing"",""หนองบัวลำภู!I465"")"),131)</f>
        <v>131</v>
      </c>
      <c r="T48" s="57">
        <f ca="1">IFERROR(__xludf.DUMMYFUNCTION("IMPORTRANGE(""https://docs.google.com/spreadsheets/d/16UeMz0UgOB5BZcoxP75eYGcLFtGYRn9GoesD4OX9m5U/edit?usp=sharing"",""หนองบัวลำภู!I466"")"),1300)</f>
        <v>1300</v>
      </c>
      <c r="U48" s="57">
        <f ca="1">IFERROR(__xludf.DUMMYFUNCTION("IMPORTRANGE(""https://docs.google.com/spreadsheets/d/16UeMz0UgOB5BZcoxP75eYGcLFtGYRn9GoesD4OX9m5U/edit?usp=sharing"",""หนองบัวลำภู!J465"")"),131)</f>
        <v>131</v>
      </c>
      <c r="V48" s="63">
        <f t="shared" ca="1" si="6"/>
        <v>100</v>
      </c>
      <c r="W48" s="57">
        <f ca="1">IFERROR(__xludf.DUMMYFUNCTION("IMPORTRANGE(""https://docs.google.com/spreadsheets/d/16UeMz0UgOB5BZcoxP75eYGcLFtGYRn9GoesD4OX9m5U/edit?usp=sharing"",""หนองบัวลำภู!J466"")"),0)</f>
        <v>0</v>
      </c>
      <c r="X48" s="63">
        <f t="shared" ca="1" si="7"/>
        <v>0</v>
      </c>
      <c r="Y48" s="57">
        <f ca="1">IFERROR(__xludf.DUMMYFUNCTION("IMPORTRANGE(""https://docs.google.com/spreadsheets/d/16UeMz0UgOB5BZcoxP75eYGcLFtGYRn9GoesD4OX9m5U/edit?usp=sharing"",""หนองบัวลำภู!I483"")"),1170)</f>
        <v>1170</v>
      </c>
      <c r="Z48" s="57">
        <f ca="1">IFERROR(__xludf.DUMMYFUNCTION("IMPORTRANGE(""https://docs.google.com/spreadsheets/d/16UeMz0UgOB5BZcoxP75eYGcLFtGYRn9GoesD4OX9m5U/edit?usp=sharing"",""หนองบัวลำภู!J483"")"),1170)</f>
        <v>1170</v>
      </c>
      <c r="AA48" s="63">
        <f t="shared" ca="1" si="35"/>
        <v>100</v>
      </c>
      <c r="AB48" s="57">
        <f ca="1">IFERROR(__xludf.DUMMYFUNCTION("IMPORTRANGE(""https://docs.google.com/spreadsheets/d/16UeMz0UgOB5BZcoxP75eYGcLFtGYRn9GoesD4OX9m5U/edit?usp=sharing"",""หนองบัวลำภู!J484"")"),117)</f>
        <v>117</v>
      </c>
      <c r="AC48" s="57">
        <f ca="1">IFERROR(__xludf.DUMMYFUNCTION("IMPORTRANGE(""https://docs.google.com/spreadsheets/d/16UeMz0UgOB5BZcoxP75eYGcLFtGYRn9GoesD4OX9m5U/edit?usp=sharing"",""หนองบัวลำภู!I485"")"),117)</f>
        <v>117</v>
      </c>
      <c r="AD48" s="57">
        <f ca="1">IFERROR(__xludf.DUMMYFUNCTION("IMPORTRANGE(""https://docs.google.com/spreadsheets/d/16UeMz0UgOB5BZcoxP75eYGcLFtGYRn9GoesD4OX9m5U/edit?usp=sharing"",""หนองบัวลำภู!J485"")"),117)</f>
        <v>117</v>
      </c>
      <c r="AE48" s="63">
        <f t="shared" ca="1" si="36"/>
        <v>100</v>
      </c>
      <c r="AF48" s="57">
        <f ca="1">IFERROR(__xludf.DUMMYFUNCTION("IMPORTRANGE(""https://docs.google.com/spreadsheets/d/16UeMz0UgOB5BZcoxP75eYGcLFtGYRn9GoesD4OX9m5U/edit?usp=sharing"",""หนองบัวลำภู!I487"")"),130)</f>
        <v>130</v>
      </c>
      <c r="AG48" s="57">
        <f ca="1">IFERROR(__xludf.DUMMYFUNCTION("IMPORTRANGE(""https://docs.google.com/spreadsheets/d/16UeMz0UgOB5BZcoxP75eYGcLFtGYRn9GoesD4OX9m5U/edit?usp=sharing"",""หนองบัวลำภู!J487"")"),130)</f>
        <v>130</v>
      </c>
      <c r="AH48" s="63">
        <f t="shared" ca="1" si="37"/>
        <v>100</v>
      </c>
      <c r="AI48" s="57">
        <f ca="1">IFERROR(__xludf.DUMMYFUNCTION("IMPORTRANGE(""https://docs.google.com/spreadsheets/d/16UeMz0UgOB5BZcoxP75eYGcLFtGYRn9GoesD4OX9m5U/edit?usp=sharing"",""หนองบัวลำภู!J488"")"),13)</f>
        <v>13</v>
      </c>
      <c r="AJ48" s="57">
        <f ca="1">IFERROR(__xludf.DUMMYFUNCTION("IMPORTRANGE(""https://docs.google.com/spreadsheets/d/16UeMz0UgOB5BZcoxP75eYGcLFtGYRn9GoesD4OX9m5U/edit?usp=sharing"",""หนองบัวลำภู!I489"")"),13)</f>
        <v>13</v>
      </c>
      <c r="AK48" s="57">
        <f ca="1">IFERROR(__xludf.DUMMYFUNCTION("IMPORTRANGE(""https://docs.google.com/spreadsheets/d/16UeMz0UgOB5BZcoxP75eYGcLFtGYRn9GoesD4OX9m5U/edit?usp=sharing"",""หนองบัวลำภู!J489"")"),13)</f>
        <v>13</v>
      </c>
      <c r="AL48" s="63">
        <f t="shared" ca="1" si="38"/>
        <v>100</v>
      </c>
      <c r="AM48" s="57">
        <f ca="1">IFERROR(__xludf.DUMMYFUNCTION("IMPORTRANGE(""https://docs.google.com/spreadsheets/d/16UeMz0UgOB5BZcoxP75eYGcLFtGYRn9GoesD4OX9m5U/edit?usp=sharing"",""หนองบัวลำภู!J491"")"),1)</f>
        <v>1</v>
      </c>
      <c r="AN48" s="57">
        <f ca="1">IFERROR(__xludf.DUMMYFUNCTION("IMPORTRANGE(""https://docs.google.com/spreadsheets/d/16UeMz0UgOB5BZcoxP75eYGcLFtGYRn9GoesD4OX9m5U/edit?usp=sharing"",""หนองบัวลำภู!I492"")"),1)</f>
        <v>1</v>
      </c>
      <c r="AO48" s="57">
        <f ca="1">IFERROR(__xludf.DUMMYFUNCTION("IMPORTRANGE(""https://docs.google.com/spreadsheets/d/16UeMz0UgOB5BZcoxP75eYGcLFtGYRn9GoesD4OX9m5U/edit?usp=sharing"",""หนองบัวลำภู!J492"")"),1)</f>
        <v>1</v>
      </c>
      <c r="AP48" s="63">
        <f t="shared" ca="1" si="39"/>
        <v>100</v>
      </c>
      <c r="AQ48" s="57">
        <f ca="1">IFERROR(__xludf.DUMMYFUNCTION("IMPORTRANGE(""https://docs.google.com/spreadsheets/d/16UeMz0UgOB5BZcoxP75eYGcLFtGYRn9GoesD4OX9m5U/edit?usp=sharing"",""หนองบัวลำภู!I495"")"),1170)</f>
        <v>1170</v>
      </c>
      <c r="AR48" s="57">
        <f ca="1">IFERROR(__xludf.DUMMYFUNCTION("IMPORTRANGE(""https://docs.google.com/spreadsheets/d/16UeMz0UgOB5BZcoxP75eYGcLFtGYRn9GoesD4OX9m5U/edit?usp=sharing"",""หนองบัวลำภู!J495"")"),0)</f>
        <v>0</v>
      </c>
      <c r="AS48" s="63">
        <f t="shared" ca="1" si="40"/>
        <v>0</v>
      </c>
      <c r="AT48" s="57">
        <f ca="1">IFERROR(__xludf.DUMMYFUNCTION("IMPORTRANGE(""https://docs.google.com/spreadsheets/d/16UeMz0UgOB5BZcoxP75eYGcLFtGYRn9GoesD4OX9m5U/edit?usp=sharing"",""หนองบัวลำภู!J496"")"),0)</f>
        <v>0</v>
      </c>
      <c r="AU48" s="57">
        <f ca="1">IFERROR(__xludf.DUMMYFUNCTION("IMPORTRANGE(""https://docs.google.com/spreadsheets/d/16UeMz0UgOB5BZcoxP75eYGcLFtGYRn9GoesD4OX9m5U/edit?usp=sharing"",""หนองบัวลำภู!I498"")"),130)</f>
        <v>130</v>
      </c>
      <c r="AV48" s="57">
        <f ca="1">IFERROR(__xludf.DUMMYFUNCTION("IMPORTRANGE(""https://docs.google.com/spreadsheets/d/16UeMz0UgOB5BZcoxP75eYGcLFtGYRn9GoesD4OX9m5U/edit?usp=sharing"",""หนองบัวลำภู!J498"")"),0)</f>
        <v>0</v>
      </c>
      <c r="AW48" s="63">
        <f t="shared" ca="1" si="41"/>
        <v>0</v>
      </c>
      <c r="AX48" s="57">
        <f ca="1">IFERROR(__xludf.DUMMYFUNCTION("IMPORTRANGE(""https://docs.google.com/spreadsheets/d/16UeMz0UgOB5BZcoxP75eYGcLFtGYRn9GoesD4OX9m5U/edit?usp=sharing"",""หนองบัวลำภู!J499"")"),0)</f>
        <v>0</v>
      </c>
    </row>
    <row r="49" spans="1:50" ht="21" customHeight="1" x14ac:dyDescent="0.3">
      <c r="A49" s="54">
        <v>18</v>
      </c>
      <c r="B49" s="55" t="s">
        <v>70</v>
      </c>
      <c r="C49" s="56">
        <f t="shared" ca="1" si="67"/>
        <v>414783</v>
      </c>
      <c r="D49" s="57">
        <f ca="1">IFERROR(__xludf.DUMMYFUNCTION("IMPORTRANGE(""https://docs.google.com/spreadsheets/d/1uUP8Zo1-qaJLuIkRU0qlwLSE3DHkbdrrj2JGJiWBQZE/edit?usp=sharing"",""อำนาจเจริญ!L472"")"),414783)</f>
        <v>414783</v>
      </c>
      <c r="E49" s="64">
        <f ca="1">IFERROR(__xludf.DUMMYFUNCTION("IMPORTRANGE(""https://docs.google.com/spreadsheets/d/1uUP8Zo1-qaJLuIkRU0qlwLSE3DHkbdrrj2JGJiWBQZE/edit?usp=sharing"",""อำนาจเจริญ!L479"")"),0)</f>
        <v>0</v>
      </c>
      <c r="F49" s="64">
        <f ca="1">IFERROR(__xludf.DUMMYFUNCTION("IMPORTRANGE(""https://docs.google.com/spreadsheets/d/1uUP8Zo1-qaJLuIkRU0qlwLSE3DHkbdrrj2JGJiWBQZE/edit?usp=sharing"",""อำนาจเจริญ!M472"")"),414783)</f>
        <v>414783</v>
      </c>
      <c r="G49" s="64">
        <f ca="1">IFERROR(__xludf.DUMMYFUNCTION("IMPORTRANGE(""https://docs.google.com/spreadsheets/d/1uUP8Zo1-qaJLuIkRU0qlwLSE3DHkbdrrj2JGJiWBQZE/edit?usp=sharing"",""อำนาจเจริญ!M479"")"),0)</f>
        <v>0</v>
      </c>
      <c r="H49" s="58">
        <f t="shared" ca="1" si="34"/>
        <v>77565</v>
      </c>
      <c r="I49" s="59">
        <f t="shared" ca="1" si="1"/>
        <v>18.70013959106328</v>
      </c>
      <c r="J49" s="60">
        <f t="shared" ca="1" si="68"/>
        <v>77565</v>
      </c>
      <c r="K49" s="61">
        <f t="shared" ca="1" si="43"/>
        <v>18.70013959106328</v>
      </c>
      <c r="L49" s="61">
        <f t="shared" ca="1" si="44"/>
        <v>18.70013959106328</v>
      </c>
      <c r="M49" s="64">
        <f ca="1">IFERROR(__xludf.DUMMYFUNCTION("IMPORTRANGE(""https://docs.google.com/spreadsheets/d/1uUP8Zo1-qaJLuIkRU0qlwLSE3DHkbdrrj2JGJiWBQZE/edit?usp=sharing"",""อำนาจเจริญ!N473"")"),56250)</f>
        <v>56250</v>
      </c>
      <c r="N49" s="64">
        <f ca="1">IFERROR(__xludf.DUMMYFUNCTION("IMPORTRANGE(""https://docs.google.com/spreadsheets/d/1uUP8Zo1-qaJLuIkRU0qlwLSE3DHkbdrrj2JGJiWBQZE/edit?usp=sharing"",""อำนาจเจริญ!N474"")"),0)</f>
        <v>0</v>
      </c>
      <c r="O49" s="64">
        <f ca="1">IFERROR(__xludf.DUMMYFUNCTION("IMPORTRANGE(""https://docs.google.com/spreadsheets/d/1uUP8Zo1-qaJLuIkRU0qlwLSE3DHkbdrrj2JGJiWBQZE/edit?usp=sharing"",""อำนาจเจริญ!N475"")"),1875)</f>
        <v>1875</v>
      </c>
      <c r="P49" s="64">
        <f ca="1">IFERROR(__xludf.DUMMYFUNCTION("IMPORTRANGE(""https://docs.google.com/spreadsheets/d/1uUP8Zo1-qaJLuIkRU0qlwLSE3DHkbdrrj2JGJiWBQZE/edit?usp=sharing"",""อำนาจเจริญ!N476"")"),19440)</f>
        <v>19440</v>
      </c>
      <c r="Q49" s="62">
        <f ca="1">IFERROR(__xludf.DUMMYFUNCTION("IMPORTRANGE(""https://docs.google.com/spreadsheets/d/1uUP8Zo1-qaJLuIkRU0qlwLSE3DHkbdrrj2JGJiWBQZE/edit?usp=sharing"",""อำนาจเจริญ!N479"")"),0)</f>
        <v>0</v>
      </c>
      <c r="R49" s="62">
        <f t="shared" ca="1" si="46"/>
        <v>0</v>
      </c>
      <c r="S49" s="57">
        <f ca="1">IFERROR(__xludf.DUMMYFUNCTION("IMPORTRANGE(""https://docs.google.com/spreadsheets/d/1uUP8Zo1-qaJLuIkRU0qlwLSE3DHkbdrrj2JGJiWBQZE/edit?usp=sharing"",""อำนาจเจริญ!I465"")"),51)</f>
        <v>51</v>
      </c>
      <c r="T49" s="57">
        <f ca="1">IFERROR(__xludf.DUMMYFUNCTION("IMPORTRANGE(""https://docs.google.com/spreadsheets/d/1uUP8Zo1-qaJLuIkRU0qlwLSE3DHkbdrrj2JGJiWBQZE/edit?usp=sharing"",""อำนาจเจริญ!I466"")"),500)</f>
        <v>500</v>
      </c>
      <c r="U49" s="57">
        <f ca="1">IFERROR(__xludf.DUMMYFUNCTION("IMPORTRANGE(""https://docs.google.com/spreadsheets/d/1uUP8Zo1-qaJLuIkRU0qlwLSE3DHkbdrrj2JGJiWBQZE/edit?usp=sharing"",""อำนาจเจริญ!J465"")"),51)</f>
        <v>51</v>
      </c>
      <c r="V49" s="63">
        <f t="shared" ca="1" si="6"/>
        <v>100</v>
      </c>
      <c r="W49" s="57">
        <f ca="1">IFERROR(__xludf.DUMMYFUNCTION("IMPORTRANGE(""https://docs.google.com/spreadsheets/d/1uUP8Zo1-qaJLuIkRU0qlwLSE3DHkbdrrj2JGJiWBQZE/edit?usp=sharing"",""อำนาจเจริญ!J466"")"),0)</f>
        <v>0</v>
      </c>
      <c r="X49" s="63">
        <f t="shared" ca="1" si="7"/>
        <v>0</v>
      </c>
      <c r="Y49" s="57">
        <f ca="1">IFERROR(__xludf.DUMMYFUNCTION("IMPORTRANGE(""https://docs.google.com/spreadsheets/d/1uUP8Zo1-qaJLuIkRU0qlwLSE3DHkbdrrj2JGJiWBQZE/edit?usp=sharing"",""อำนาจเจริญ!I483"")"),450)</f>
        <v>450</v>
      </c>
      <c r="Z49" s="57">
        <f ca="1">IFERROR(__xludf.DUMMYFUNCTION("IMPORTRANGE(""https://docs.google.com/spreadsheets/d/1uUP8Zo1-qaJLuIkRU0qlwLSE3DHkbdrrj2JGJiWBQZE/edit?usp=sharing"",""อำนาจเจริญ!J483"")"),450)</f>
        <v>450</v>
      </c>
      <c r="AA49" s="63">
        <f t="shared" ca="1" si="35"/>
        <v>100</v>
      </c>
      <c r="AB49" s="57">
        <f ca="1">IFERROR(__xludf.DUMMYFUNCTION("IMPORTRANGE(""https://docs.google.com/spreadsheets/d/1uUP8Zo1-qaJLuIkRU0qlwLSE3DHkbdrrj2JGJiWBQZE/edit?usp=sharing"",""อำนาจเจริญ!J484"")"),0)</f>
        <v>0</v>
      </c>
      <c r="AC49" s="57">
        <f ca="1">IFERROR(__xludf.DUMMYFUNCTION("IMPORTRANGE(""https://docs.google.com/spreadsheets/d/1uUP8Zo1-qaJLuIkRU0qlwLSE3DHkbdrrj2JGJiWBQZE/edit?usp=sharing"",""อำนาจเจริญ!I485"")"),45)</f>
        <v>45</v>
      </c>
      <c r="AD49" s="57">
        <f ca="1">IFERROR(__xludf.DUMMYFUNCTION("IMPORTRANGE(""https://docs.google.com/spreadsheets/d/1uUP8Zo1-qaJLuIkRU0qlwLSE3DHkbdrrj2JGJiWBQZE/edit?usp=sharing"",""อำนาจเจริญ!J485"")"),45)</f>
        <v>45</v>
      </c>
      <c r="AE49" s="63">
        <f t="shared" ca="1" si="36"/>
        <v>100</v>
      </c>
      <c r="AF49" s="57">
        <f ca="1">IFERROR(__xludf.DUMMYFUNCTION("IMPORTRANGE(""https://docs.google.com/spreadsheets/d/1uUP8Zo1-qaJLuIkRU0qlwLSE3DHkbdrrj2JGJiWBQZE/edit?usp=sharing"",""อำนาจเจริญ!I487"")"),50)</f>
        <v>50</v>
      </c>
      <c r="AG49" s="57">
        <f ca="1">IFERROR(__xludf.DUMMYFUNCTION("IMPORTRANGE(""https://docs.google.com/spreadsheets/d/1uUP8Zo1-qaJLuIkRU0qlwLSE3DHkbdrrj2JGJiWBQZE/edit?usp=sharing"",""อำนาจเจริญ!J487"")"),50)</f>
        <v>50</v>
      </c>
      <c r="AH49" s="63">
        <f t="shared" ca="1" si="37"/>
        <v>100</v>
      </c>
      <c r="AI49" s="57">
        <f ca="1">IFERROR(__xludf.DUMMYFUNCTION("IMPORTRANGE(""https://docs.google.com/spreadsheets/d/1uUP8Zo1-qaJLuIkRU0qlwLSE3DHkbdrrj2JGJiWBQZE/edit?usp=sharing"",""อำนาจเจริญ!J488"")"),0)</f>
        <v>0</v>
      </c>
      <c r="AJ49" s="57">
        <f ca="1">IFERROR(__xludf.DUMMYFUNCTION("IMPORTRANGE(""https://docs.google.com/spreadsheets/d/1uUP8Zo1-qaJLuIkRU0qlwLSE3DHkbdrrj2JGJiWBQZE/edit?usp=sharing"",""อำนาจเจริญ!I489"")"),5)</f>
        <v>5</v>
      </c>
      <c r="AK49" s="57">
        <f ca="1">IFERROR(__xludf.DUMMYFUNCTION("IMPORTRANGE(""https://docs.google.com/spreadsheets/d/1uUP8Zo1-qaJLuIkRU0qlwLSE3DHkbdrrj2JGJiWBQZE/edit?usp=sharing"",""อำนาจเจริญ!J489"")"),5)</f>
        <v>5</v>
      </c>
      <c r="AL49" s="63">
        <f t="shared" ca="1" si="38"/>
        <v>100</v>
      </c>
      <c r="AM49" s="57">
        <f ca="1">IFERROR(__xludf.DUMMYFUNCTION("IMPORTRANGE(""https://docs.google.com/spreadsheets/d/1uUP8Zo1-qaJLuIkRU0qlwLSE3DHkbdrrj2JGJiWBQZE/edit?usp=sharing"",""อำนาจเจริญ!J491"")"),0)</f>
        <v>0</v>
      </c>
      <c r="AN49" s="57">
        <f ca="1">IFERROR(__xludf.DUMMYFUNCTION("IMPORTRANGE(""https://docs.google.com/spreadsheets/d/1uUP8Zo1-qaJLuIkRU0qlwLSE3DHkbdrrj2JGJiWBQZE/edit?usp=sharing"",""อำนาจเจริญ!I492"")"),1)</f>
        <v>1</v>
      </c>
      <c r="AO49" s="57">
        <f ca="1">IFERROR(__xludf.DUMMYFUNCTION("IMPORTRANGE(""https://docs.google.com/spreadsheets/d/1uUP8Zo1-qaJLuIkRU0qlwLSE3DHkbdrrj2JGJiWBQZE/edit?usp=sharing"",""อำนาจเจริญ!J492"")"),1)</f>
        <v>1</v>
      </c>
      <c r="AP49" s="63">
        <f t="shared" ca="1" si="39"/>
        <v>100</v>
      </c>
      <c r="AQ49" s="57">
        <f ca="1">IFERROR(__xludf.DUMMYFUNCTION("IMPORTRANGE(""https://docs.google.com/spreadsheets/d/1uUP8Zo1-qaJLuIkRU0qlwLSE3DHkbdrrj2JGJiWBQZE/edit?usp=sharing"",""อำนาจเจริญ!I495"")"),450)</f>
        <v>450</v>
      </c>
      <c r="AR49" s="57">
        <f ca="1">IFERROR(__xludf.DUMMYFUNCTION("IMPORTRANGE(""https://docs.google.com/spreadsheets/d/1uUP8Zo1-qaJLuIkRU0qlwLSE3DHkbdrrj2JGJiWBQZE/edit?usp=sharing"",""อำนาจเจริญ!J495"")"),0)</f>
        <v>0</v>
      </c>
      <c r="AS49" s="63">
        <f t="shared" ca="1" si="40"/>
        <v>0</v>
      </c>
      <c r="AT49" s="57">
        <f ca="1">IFERROR(__xludf.DUMMYFUNCTION("IMPORTRANGE(""https://docs.google.com/spreadsheets/d/1uUP8Zo1-qaJLuIkRU0qlwLSE3DHkbdrrj2JGJiWBQZE/edit?usp=sharing"",""อำนาจเจริญ!J496"")"),0)</f>
        <v>0</v>
      </c>
      <c r="AU49" s="57">
        <f ca="1">IFERROR(__xludf.DUMMYFUNCTION("IMPORTRANGE(""https://docs.google.com/spreadsheets/d/1uUP8Zo1-qaJLuIkRU0qlwLSE3DHkbdrrj2JGJiWBQZE/edit?usp=sharing"",""อำนาจเจริญ!I498"")"),50)</f>
        <v>50</v>
      </c>
      <c r="AV49" s="57">
        <f ca="1">IFERROR(__xludf.DUMMYFUNCTION("IMPORTRANGE(""https://docs.google.com/spreadsheets/d/1uUP8Zo1-qaJLuIkRU0qlwLSE3DHkbdrrj2JGJiWBQZE/edit?usp=sharing"",""อำนาจเจริญ!J498"")"),0)</f>
        <v>0</v>
      </c>
      <c r="AW49" s="63">
        <f t="shared" ca="1" si="41"/>
        <v>0</v>
      </c>
      <c r="AX49" s="57">
        <f ca="1">IFERROR(__xludf.DUMMYFUNCTION("IMPORTRANGE(""https://docs.google.com/spreadsheets/d/1uUP8Zo1-qaJLuIkRU0qlwLSE3DHkbdrrj2JGJiWBQZE/edit?usp=sharing"",""อำนาจเจริญ!J499"")"),0)</f>
        <v>0</v>
      </c>
    </row>
    <row r="50" spans="1:50" ht="21" customHeight="1" x14ac:dyDescent="0.3">
      <c r="A50" s="54">
        <v>19</v>
      </c>
      <c r="B50" s="55" t="s">
        <v>71</v>
      </c>
      <c r="C50" s="56">
        <f t="shared" ca="1" si="67"/>
        <v>1172208</v>
      </c>
      <c r="D50" s="57">
        <f ca="1">IFERROR(__xludf.DUMMYFUNCTION("IMPORTRANGE(""https://docs.google.com/spreadsheets/d/1hb_taSOHanzRjqfzWPiFo8yiT83VV1L7vvUCLhOiHKc/edit?usp=sharing"",""อุดรธานี!L472"")"),1172208)</f>
        <v>1172208</v>
      </c>
      <c r="E50" s="64">
        <f ca="1">IFERROR(__xludf.DUMMYFUNCTION("IMPORTRANGE(""https://docs.google.com/spreadsheets/d/1hb_taSOHanzRjqfzWPiFo8yiT83VV1L7vvUCLhOiHKc/edit?usp=sharing"",""อุดรธานี!L479"")"),0)</f>
        <v>0</v>
      </c>
      <c r="F50" s="64">
        <f ca="1">IFERROR(__xludf.DUMMYFUNCTION("IMPORTRANGE(""https://docs.google.com/spreadsheets/d/1hb_taSOHanzRjqfzWPiFo8yiT83VV1L7vvUCLhOiHKc/edit?usp=sharing"",""อุดรธานี!M472"")"),1172208)</f>
        <v>1172208</v>
      </c>
      <c r="G50" s="64">
        <f ca="1">IFERROR(__xludf.DUMMYFUNCTION("IMPORTRANGE(""https://docs.google.com/spreadsheets/d/1hb_taSOHanzRjqfzWPiFo8yiT83VV1L7vvUCLhOiHKc/edit?usp=sharing"",""อุดรธานี!M479"")"),0)</f>
        <v>0</v>
      </c>
      <c r="H50" s="58">
        <f t="shared" ca="1" si="34"/>
        <v>221051</v>
      </c>
      <c r="I50" s="59">
        <f t="shared" ca="1" si="1"/>
        <v>18.857660073980046</v>
      </c>
      <c r="J50" s="60">
        <f t="shared" ca="1" si="68"/>
        <v>221051</v>
      </c>
      <c r="K50" s="61">
        <f t="shared" ca="1" si="43"/>
        <v>18.857660073980046</v>
      </c>
      <c r="L50" s="61">
        <f t="shared" ca="1" si="44"/>
        <v>18.857660073980046</v>
      </c>
      <c r="M50" s="64">
        <f ca="1">IFERROR(__xludf.DUMMYFUNCTION("IMPORTRANGE(""https://docs.google.com/spreadsheets/d/1hb_taSOHanzRjqfzWPiFo8yiT83VV1L7vvUCLhOiHKc/edit?usp=sharing"",""อุดรธานี!N473"")"),99051)</f>
        <v>99051</v>
      </c>
      <c r="N50" s="64">
        <f ca="1">IFERROR(__xludf.DUMMYFUNCTION("IMPORTRANGE(""https://docs.google.com/spreadsheets/d/1hb_taSOHanzRjqfzWPiFo8yiT83VV1L7vvUCLhOiHKc/edit?usp=sharing"",""อุดรธานี!N474"")"),0)</f>
        <v>0</v>
      </c>
      <c r="O50" s="64">
        <f ca="1">IFERROR(__xludf.DUMMYFUNCTION("IMPORTRANGE(""https://docs.google.com/spreadsheets/d/1hb_taSOHanzRjqfzWPiFo8yiT83VV1L7vvUCLhOiHKc/edit?usp=sharing"",""อุดรธานี!N475"")"),78000)</f>
        <v>78000</v>
      </c>
      <c r="P50" s="64">
        <f ca="1">IFERROR(__xludf.DUMMYFUNCTION("IMPORTRANGE(""https://docs.google.com/spreadsheets/d/1hb_taSOHanzRjqfzWPiFo8yiT83VV1L7vvUCLhOiHKc/edit?usp=sharing"",""อุดรธานี!N476"")"),44000)</f>
        <v>44000</v>
      </c>
      <c r="Q50" s="62">
        <f ca="1">IFERROR(__xludf.DUMMYFUNCTION("IMPORTRANGE(""https://docs.google.com/spreadsheets/d/1hb_taSOHanzRjqfzWPiFo8yiT83VV1L7vvUCLhOiHKc/edit?usp=sharing"",""อุดรธานี!N479"")"),0)</f>
        <v>0</v>
      </c>
      <c r="R50" s="62">
        <f t="shared" ca="1" si="46"/>
        <v>0</v>
      </c>
      <c r="S50" s="57">
        <f ca="1">IFERROR(__xludf.DUMMYFUNCTION("IMPORTRANGE(""https://docs.google.com/spreadsheets/d/1hb_taSOHanzRjqfzWPiFo8yiT83VV1L7vvUCLhOiHKc/edit?usp=sharing"",""อุดรธานี!I465"")"),131)</f>
        <v>131</v>
      </c>
      <c r="T50" s="57">
        <f ca="1">IFERROR(__xludf.DUMMYFUNCTION("IMPORTRANGE(""https://docs.google.com/spreadsheets/d/1hb_taSOHanzRjqfzWPiFo8yiT83VV1L7vvUCLhOiHKc/edit?usp=sharing"",""อุดรธานี!I466"")"),1300)</f>
        <v>1300</v>
      </c>
      <c r="U50" s="57">
        <f ca="1">IFERROR(__xludf.DUMMYFUNCTION("IMPORTRANGE(""https://docs.google.com/spreadsheets/d/1hb_taSOHanzRjqfzWPiFo8yiT83VV1L7vvUCLhOiHKc/edit?usp=sharing"",""อุดรธานี!J465"")"),138)</f>
        <v>138</v>
      </c>
      <c r="V50" s="63">
        <f t="shared" ca="1" si="6"/>
        <v>105.34351145038168</v>
      </c>
      <c r="W50" s="57">
        <f ca="1">IFERROR(__xludf.DUMMYFUNCTION("IMPORTRANGE(""https://docs.google.com/spreadsheets/d/1hb_taSOHanzRjqfzWPiFo8yiT83VV1L7vvUCLhOiHKc/edit?usp=sharing"",""อุดรธานี!J466"")"),0)</f>
        <v>0</v>
      </c>
      <c r="X50" s="63">
        <f t="shared" ca="1" si="7"/>
        <v>0</v>
      </c>
      <c r="Y50" s="57">
        <f ca="1">IFERROR(__xludf.DUMMYFUNCTION("IMPORTRANGE(""https://docs.google.com/spreadsheets/d/1hb_taSOHanzRjqfzWPiFo8yiT83VV1L7vvUCLhOiHKc/edit?usp=sharing"",""อุดรธานี!I483"")"),1170)</f>
        <v>1170</v>
      </c>
      <c r="Z50" s="57">
        <f ca="1">IFERROR(__xludf.DUMMYFUNCTION("IMPORTRANGE(""https://docs.google.com/spreadsheets/d/1hb_taSOHanzRjqfzWPiFo8yiT83VV1L7vvUCLhOiHKc/edit?usp=sharing"",""อุดรธานี!J483"")"),1170)</f>
        <v>1170</v>
      </c>
      <c r="AA50" s="63">
        <f t="shared" ca="1" si="35"/>
        <v>100</v>
      </c>
      <c r="AB50" s="57">
        <f ca="1">IFERROR(__xludf.DUMMYFUNCTION("IMPORTRANGE(""https://docs.google.com/spreadsheets/d/1hb_taSOHanzRjqfzWPiFo8yiT83VV1L7vvUCLhOiHKc/edit?usp=sharing"",""อุดรธานี!J484"")"),117)</f>
        <v>117</v>
      </c>
      <c r="AC50" s="57">
        <f ca="1">IFERROR(__xludf.DUMMYFUNCTION("IMPORTRANGE(""https://docs.google.com/spreadsheets/d/1hb_taSOHanzRjqfzWPiFo8yiT83VV1L7vvUCLhOiHKc/edit?usp=sharing"",""อุดรธานี!I485"")"),117)</f>
        <v>117</v>
      </c>
      <c r="AD50" s="57">
        <f ca="1">IFERROR(__xludf.DUMMYFUNCTION("IMPORTRANGE(""https://docs.google.com/spreadsheets/d/1hb_taSOHanzRjqfzWPiFo8yiT83VV1L7vvUCLhOiHKc/edit?usp=sharing"",""อุดรธานี!J485"")"),117)</f>
        <v>117</v>
      </c>
      <c r="AE50" s="63">
        <f t="shared" ca="1" si="36"/>
        <v>100</v>
      </c>
      <c r="AF50" s="57">
        <f ca="1">IFERROR(__xludf.DUMMYFUNCTION("IMPORTRANGE(""https://docs.google.com/spreadsheets/d/1hb_taSOHanzRjqfzWPiFo8yiT83VV1L7vvUCLhOiHKc/edit?usp=sharing"",""อุดรธานี!I487"")"),130)</f>
        <v>130</v>
      </c>
      <c r="AG50" s="57">
        <f ca="1">IFERROR(__xludf.DUMMYFUNCTION("IMPORTRANGE(""https://docs.google.com/spreadsheets/d/1hb_taSOHanzRjqfzWPiFo8yiT83VV1L7vvUCLhOiHKc/edit?usp=sharing"",""อุดรธานี!J487"")"),130)</f>
        <v>130</v>
      </c>
      <c r="AH50" s="63">
        <f t="shared" ca="1" si="37"/>
        <v>100</v>
      </c>
      <c r="AI50" s="57">
        <f ca="1">IFERROR(__xludf.DUMMYFUNCTION("IMPORTRANGE(""https://docs.google.com/spreadsheets/d/1hb_taSOHanzRjqfzWPiFo8yiT83VV1L7vvUCLhOiHKc/edit?usp=sharing"",""อุดรธานี!J488"")"),20)</f>
        <v>20</v>
      </c>
      <c r="AJ50" s="57">
        <f ca="1">IFERROR(__xludf.DUMMYFUNCTION("IMPORTRANGE(""https://docs.google.com/spreadsheets/d/1hb_taSOHanzRjqfzWPiFo8yiT83VV1L7vvUCLhOiHKc/edit?usp=sharing"",""อุดรธานี!I489"")"),13)</f>
        <v>13</v>
      </c>
      <c r="AK50" s="57">
        <f ca="1">IFERROR(__xludf.DUMMYFUNCTION("IMPORTRANGE(""https://docs.google.com/spreadsheets/d/1hb_taSOHanzRjqfzWPiFo8yiT83VV1L7vvUCLhOiHKc/edit?usp=sharing"",""อุดรธานี!J489"")"),20)</f>
        <v>20</v>
      </c>
      <c r="AL50" s="63">
        <f t="shared" ca="1" si="38"/>
        <v>153.84615384615384</v>
      </c>
      <c r="AM50" s="57">
        <f ca="1">IFERROR(__xludf.DUMMYFUNCTION("IMPORTRANGE(""https://docs.google.com/spreadsheets/d/1hb_taSOHanzRjqfzWPiFo8yiT83VV1L7vvUCLhOiHKc/edit?usp=sharing"",""อุดรธานี!J491"")"),1)</f>
        <v>1</v>
      </c>
      <c r="AN50" s="57">
        <f ca="1">IFERROR(__xludf.DUMMYFUNCTION("IMPORTRANGE(""https://docs.google.com/spreadsheets/d/1hb_taSOHanzRjqfzWPiFo8yiT83VV1L7vvUCLhOiHKc/edit?usp=sharing"",""อุดรธานี!I492"")"),1)</f>
        <v>1</v>
      </c>
      <c r="AO50" s="57">
        <f ca="1">IFERROR(__xludf.DUMMYFUNCTION("IMPORTRANGE(""https://docs.google.com/spreadsheets/d/1hb_taSOHanzRjqfzWPiFo8yiT83VV1L7vvUCLhOiHKc/edit?usp=sharing"",""อุดรธานี!J492"")"),1)</f>
        <v>1</v>
      </c>
      <c r="AP50" s="63">
        <f t="shared" ca="1" si="39"/>
        <v>100</v>
      </c>
      <c r="AQ50" s="57">
        <f ca="1">IFERROR(__xludf.DUMMYFUNCTION("IMPORTRANGE(""https://docs.google.com/spreadsheets/d/1hb_taSOHanzRjqfzWPiFo8yiT83VV1L7vvUCLhOiHKc/edit?usp=sharing"",""อุดรธานี!I495"")"),1170)</f>
        <v>1170</v>
      </c>
      <c r="AR50" s="57">
        <f ca="1">IFERROR(__xludf.DUMMYFUNCTION("IMPORTRANGE(""https://docs.google.com/spreadsheets/d/1hb_taSOHanzRjqfzWPiFo8yiT83VV1L7vvUCLhOiHKc/edit?usp=sharing"",""อุดรธานี!J495"")"),0)</f>
        <v>0</v>
      </c>
      <c r="AS50" s="63">
        <f t="shared" ca="1" si="40"/>
        <v>0</v>
      </c>
      <c r="AT50" s="57">
        <f ca="1">IFERROR(__xludf.DUMMYFUNCTION("IMPORTRANGE(""https://docs.google.com/spreadsheets/d/1hb_taSOHanzRjqfzWPiFo8yiT83VV1L7vvUCLhOiHKc/edit?usp=sharing"",""อุดรธานี!J496"")"),0)</f>
        <v>0</v>
      </c>
      <c r="AU50" s="57">
        <f ca="1">IFERROR(__xludf.DUMMYFUNCTION("IMPORTRANGE(""https://docs.google.com/spreadsheets/d/1hb_taSOHanzRjqfzWPiFo8yiT83VV1L7vvUCLhOiHKc/edit?usp=sharing"",""อุดรธานี!I498"")"),130)</f>
        <v>130</v>
      </c>
      <c r="AV50" s="57">
        <f ca="1">IFERROR(__xludf.DUMMYFUNCTION("IMPORTRANGE(""https://docs.google.com/spreadsheets/d/1hb_taSOHanzRjqfzWPiFo8yiT83VV1L7vvUCLhOiHKc/edit?usp=sharing"",""อุดรธานี!J498"")"),0)</f>
        <v>0</v>
      </c>
      <c r="AW50" s="63">
        <f t="shared" ca="1" si="41"/>
        <v>0</v>
      </c>
      <c r="AX50" s="57">
        <f ca="1">IFERROR(__xludf.DUMMYFUNCTION("IMPORTRANGE(""https://docs.google.com/spreadsheets/d/1hb_taSOHanzRjqfzWPiFo8yiT83VV1L7vvUCLhOiHKc/edit?usp=sharing"",""อุดรธานี!J499"")"),0)</f>
        <v>0</v>
      </c>
    </row>
    <row r="51" spans="1:50" ht="21" customHeight="1" x14ac:dyDescent="0.3">
      <c r="A51" s="65">
        <v>20</v>
      </c>
      <c r="B51" s="66" t="s">
        <v>72</v>
      </c>
      <c r="C51" s="67">
        <f t="shared" ca="1" si="67"/>
        <v>1172698</v>
      </c>
      <c r="D51" s="68">
        <f ca="1">IFERROR(__xludf.DUMMYFUNCTION("IMPORTRANGE(""https://docs.google.com/spreadsheets/d/17IOkEwkUd63EGNfyNDnM5de9YlZ7rwzTiW6-dokVjKI/edit?usp=sharing"",""อุบลราชธานี!L472"")"),1172698)</f>
        <v>1172698</v>
      </c>
      <c r="E51" s="69">
        <f ca="1">IFERROR(__xludf.DUMMYFUNCTION("IMPORTRANGE(""https://docs.google.com/spreadsheets/d/17IOkEwkUd63EGNfyNDnM5de9YlZ7rwzTiW6-dokVjKI/edit?usp=sharing"",""อุบลราชธานี!L479"")"),0)</f>
        <v>0</v>
      </c>
      <c r="F51" s="69">
        <f ca="1">IFERROR(__xludf.DUMMYFUNCTION("IMPORTRANGE(""https://docs.google.com/spreadsheets/d/17IOkEwkUd63EGNfyNDnM5de9YlZ7rwzTiW6-dokVjKI/edit?usp=sharing"",""อุบลราชธานี!M472"")"),1172698)</f>
        <v>1172698</v>
      </c>
      <c r="G51" s="69">
        <f ca="1">IFERROR(__xludf.DUMMYFUNCTION("IMPORTRANGE(""https://docs.google.com/spreadsheets/d/17IOkEwkUd63EGNfyNDnM5de9YlZ7rwzTiW6-dokVjKI/edit?usp=sharing"",""อุบลราชธานี!M479"")"),0)</f>
        <v>0</v>
      </c>
      <c r="H51" s="70">
        <f t="shared" ca="1" si="34"/>
        <v>269811</v>
      </c>
      <c r="I51" s="71">
        <f t="shared" ca="1" si="1"/>
        <v>23.007713835957766</v>
      </c>
      <c r="J51" s="72">
        <f t="shared" ca="1" si="68"/>
        <v>269811</v>
      </c>
      <c r="K51" s="73">
        <f t="shared" ca="1" si="43"/>
        <v>23.007713835957766</v>
      </c>
      <c r="L51" s="73">
        <f t="shared" ca="1" si="44"/>
        <v>23.007713835957766</v>
      </c>
      <c r="M51" s="69">
        <f ca="1">IFERROR(__xludf.DUMMYFUNCTION("IMPORTRANGE(""https://docs.google.com/spreadsheets/d/17IOkEwkUd63EGNfyNDnM5de9YlZ7rwzTiW6-dokVjKI/edit?usp=sharing"",""อุบลราชธานี!N473"")"),166392)</f>
        <v>166392</v>
      </c>
      <c r="N51" s="69">
        <f ca="1">IFERROR(__xludf.DUMMYFUNCTION("IMPORTRANGE(""https://docs.google.com/spreadsheets/d/17IOkEwkUd63EGNfyNDnM5de9YlZ7rwzTiW6-dokVjKI/edit?usp=sharing"",""อุบลราชธานี!N474"")"),0)</f>
        <v>0</v>
      </c>
      <c r="O51" s="69">
        <f ca="1">IFERROR(__xludf.DUMMYFUNCTION("IMPORTRANGE(""https://docs.google.com/spreadsheets/d/17IOkEwkUd63EGNfyNDnM5de9YlZ7rwzTiW6-dokVjKI/edit?usp=sharing"",""อุบลราชธานี!N475"")"),77133)</f>
        <v>77133</v>
      </c>
      <c r="P51" s="69">
        <f ca="1">IFERROR(__xludf.DUMMYFUNCTION("IMPORTRANGE(""https://docs.google.com/spreadsheets/d/17IOkEwkUd63EGNfyNDnM5de9YlZ7rwzTiW6-dokVjKI/edit?usp=sharing"",""อุบลราชธานี!N476"")"),26286)</f>
        <v>26286</v>
      </c>
      <c r="Q51" s="74">
        <f ca="1">IFERROR(__xludf.DUMMYFUNCTION("IMPORTRANGE(""https://docs.google.com/spreadsheets/d/17IOkEwkUd63EGNfyNDnM5de9YlZ7rwzTiW6-dokVjKI/edit?usp=sharing"",""อุบลราชธานี!N479"")"),0)</f>
        <v>0</v>
      </c>
      <c r="R51" s="74">
        <f t="shared" ca="1" si="46"/>
        <v>0</v>
      </c>
      <c r="S51" s="68">
        <f ca="1">IFERROR(__xludf.DUMMYFUNCTION("IMPORTRANGE(""https://docs.google.com/spreadsheets/d/17IOkEwkUd63EGNfyNDnM5de9YlZ7rwzTiW6-dokVjKI/edit?usp=sharing"",""อุบลราชธานี!I465"")"),131)</f>
        <v>131</v>
      </c>
      <c r="T51" s="68">
        <f ca="1">IFERROR(__xludf.DUMMYFUNCTION("IMPORTRANGE(""https://docs.google.com/spreadsheets/d/17IOkEwkUd63EGNfyNDnM5de9YlZ7rwzTiW6-dokVjKI/edit?usp=sharing"",""อุบลราชธานี!I466"")"),1300)</f>
        <v>1300</v>
      </c>
      <c r="U51" s="68">
        <f ca="1">IFERROR(__xludf.DUMMYFUNCTION("IMPORTRANGE(""https://docs.google.com/spreadsheets/d/17IOkEwkUd63EGNfyNDnM5de9YlZ7rwzTiW6-dokVjKI/edit?usp=sharing"",""อุบลราชธานี!J465"")"),131)</f>
        <v>131</v>
      </c>
      <c r="V51" s="75">
        <f t="shared" ca="1" si="6"/>
        <v>100</v>
      </c>
      <c r="W51" s="68">
        <f ca="1">IFERROR(__xludf.DUMMYFUNCTION("IMPORTRANGE(""https://docs.google.com/spreadsheets/d/17IOkEwkUd63EGNfyNDnM5de9YlZ7rwzTiW6-dokVjKI/edit?usp=sharing"",""อุบลราชธานี!J466"")"),0)</f>
        <v>0</v>
      </c>
      <c r="X51" s="75">
        <f t="shared" ca="1" si="7"/>
        <v>0</v>
      </c>
      <c r="Y51" s="68">
        <f ca="1">IFERROR(__xludf.DUMMYFUNCTION("IMPORTRANGE(""https://docs.google.com/spreadsheets/d/17IOkEwkUd63EGNfyNDnM5de9YlZ7rwzTiW6-dokVjKI/edit?usp=sharing"",""อุบลราชธานี!I483"")"),1170)</f>
        <v>1170</v>
      </c>
      <c r="Z51" s="68">
        <f ca="1">IFERROR(__xludf.DUMMYFUNCTION("IMPORTRANGE(""https://docs.google.com/spreadsheets/d/17IOkEwkUd63EGNfyNDnM5de9YlZ7rwzTiW6-dokVjKI/edit?usp=sharing"",""อุบลราชธานี!J483"")"),1170)</f>
        <v>1170</v>
      </c>
      <c r="AA51" s="75">
        <f t="shared" ca="1" si="35"/>
        <v>100</v>
      </c>
      <c r="AB51" s="68">
        <f ca="1">IFERROR(__xludf.DUMMYFUNCTION("IMPORTRANGE(""https://docs.google.com/spreadsheets/d/17IOkEwkUd63EGNfyNDnM5de9YlZ7rwzTiW6-dokVjKI/edit?usp=sharing"",""อุบลราชธานี!J484"")"),117)</f>
        <v>117</v>
      </c>
      <c r="AC51" s="68">
        <f ca="1">IFERROR(__xludf.DUMMYFUNCTION("IMPORTRANGE(""https://docs.google.com/spreadsheets/d/17IOkEwkUd63EGNfyNDnM5de9YlZ7rwzTiW6-dokVjKI/edit?usp=sharing"",""อุบลราชธานี!I485"")"),117)</f>
        <v>117</v>
      </c>
      <c r="AD51" s="68">
        <f ca="1">IFERROR(__xludf.DUMMYFUNCTION("IMPORTRANGE(""https://docs.google.com/spreadsheets/d/17IOkEwkUd63EGNfyNDnM5de9YlZ7rwzTiW6-dokVjKI/edit?usp=sharing"",""อุบลราชธานี!J485"")"),117)</f>
        <v>117</v>
      </c>
      <c r="AE51" s="75">
        <f t="shared" ca="1" si="36"/>
        <v>100</v>
      </c>
      <c r="AF51" s="68">
        <f ca="1">IFERROR(__xludf.DUMMYFUNCTION("IMPORTRANGE(""https://docs.google.com/spreadsheets/d/17IOkEwkUd63EGNfyNDnM5de9YlZ7rwzTiW6-dokVjKI/edit?usp=sharing"",""อุบลราชธานี!I487"")"),130)</f>
        <v>130</v>
      </c>
      <c r="AG51" s="68">
        <f ca="1">IFERROR(__xludf.DUMMYFUNCTION("IMPORTRANGE(""https://docs.google.com/spreadsheets/d/17IOkEwkUd63EGNfyNDnM5de9YlZ7rwzTiW6-dokVjKI/edit?usp=sharing"",""อุบลราชธานี!J487"")"),130)</f>
        <v>130</v>
      </c>
      <c r="AH51" s="75">
        <f t="shared" ca="1" si="37"/>
        <v>100</v>
      </c>
      <c r="AI51" s="68">
        <f ca="1">IFERROR(__xludf.DUMMYFUNCTION("IMPORTRANGE(""https://docs.google.com/spreadsheets/d/17IOkEwkUd63EGNfyNDnM5de9YlZ7rwzTiW6-dokVjKI/edit?usp=sharing"",""อุบลราชธานี!J488"")"),13)</f>
        <v>13</v>
      </c>
      <c r="AJ51" s="68">
        <f ca="1">IFERROR(__xludf.DUMMYFUNCTION("IMPORTRANGE(""https://docs.google.com/spreadsheets/d/17IOkEwkUd63EGNfyNDnM5de9YlZ7rwzTiW6-dokVjKI/edit?usp=sharing"",""อุบลราชธานี!I489"")"),13)</f>
        <v>13</v>
      </c>
      <c r="AK51" s="68">
        <f ca="1">IFERROR(__xludf.DUMMYFUNCTION("IMPORTRANGE(""https://docs.google.com/spreadsheets/d/17IOkEwkUd63EGNfyNDnM5de9YlZ7rwzTiW6-dokVjKI/edit?usp=sharing"",""อุบลราชธานี!J489"")"),13)</f>
        <v>13</v>
      </c>
      <c r="AL51" s="75">
        <f t="shared" ca="1" si="38"/>
        <v>100</v>
      </c>
      <c r="AM51" s="68">
        <f ca="1">IFERROR(__xludf.DUMMYFUNCTION("IMPORTRANGE(""https://docs.google.com/spreadsheets/d/17IOkEwkUd63EGNfyNDnM5de9YlZ7rwzTiW6-dokVjKI/edit?usp=sharing"",""อุบลราชธานี!J491"")"),1)</f>
        <v>1</v>
      </c>
      <c r="AN51" s="68">
        <f ca="1">IFERROR(__xludf.DUMMYFUNCTION("IMPORTRANGE(""https://docs.google.com/spreadsheets/d/17IOkEwkUd63EGNfyNDnM5de9YlZ7rwzTiW6-dokVjKI/edit?usp=sharing"",""อุบลราชธานี!I492"")"),1)</f>
        <v>1</v>
      </c>
      <c r="AO51" s="68">
        <f ca="1">IFERROR(__xludf.DUMMYFUNCTION("IMPORTRANGE(""https://docs.google.com/spreadsheets/d/17IOkEwkUd63EGNfyNDnM5de9YlZ7rwzTiW6-dokVjKI/edit?usp=sharing"",""อุบลราชธานี!J492"")"),1)</f>
        <v>1</v>
      </c>
      <c r="AP51" s="75">
        <f t="shared" ca="1" si="39"/>
        <v>100</v>
      </c>
      <c r="AQ51" s="68">
        <f ca="1">IFERROR(__xludf.DUMMYFUNCTION("IMPORTRANGE(""https://docs.google.com/spreadsheets/d/17IOkEwkUd63EGNfyNDnM5de9YlZ7rwzTiW6-dokVjKI/edit?usp=sharing"",""อุบลราชธานี!I495"")"),1170)</f>
        <v>1170</v>
      </c>
      <c r="AR51" s="68">
        <f ca="1">IFERROR(__xludf.DUMMYFUNCTION("IMPORTRANGE(""https://docs.google.com/spreadsheets/d/17IOkEwkUd63EGNfyNDnM5de9YlZ7rwzTiW6-dokVjKI/edit?usp=sharing"",""อุบลราชธานี!J495"")"),0)</f>
        <v>0</v>
      </c>
      <c r="AS51" s="75">
        <f t="shared" ca="1" si="40"/>
        <v>0</v>
      </c>
      <c r="AT51" s="68">
        <f ca="1">IFERROR(__xludf.DUMMYFUNCTION("IMPORTRANGE(""https://docs.google.com/spreadsheets/d/17IOkEwkUd63EGNfyNDnM5de9YlZ7rwzTiW6-dokVjKI/edit?usp=sharing"",""อุบลราชธานี!J496"")"),0)</f>
        <v>0</v>
      </c>
      <c r="AU51" s="68">
        <f ca="1">IFERROR(__xludf.DUMMYFUNCTION("IMPORTRANGE(""https://docs.google.com/spreadsheets/d/17IOkEwkUd63EGNfyNDnM5de9YlZ7rwzTiW6-dokVjKI/edit?usp=sharing"",""อุบลราชธานี!I498"")"),130)</f>
        <v>130</v>
      </c>
      <c r="AV51" s="68">
        <f ca="1">IFERROR(__xludf.DUMMYFUNCTION("IMPORTRANGE(""https://docs.google.com/spreadsheets/d/17IOkEwkUd63EGNfyNDnM5de9YlZ7rwzTiW6-dokVjKI/edit?usp=sharing"",""อุบลราชธานี!J498"")"),0)</f>
        <v>0</v>
      </c>
      <c r="AW51" s="75">
        <f t="shared" ca="1" si="41"/>
        <v>0</v>
      </c>
      <c r="AX51" s="68">
        <f ca="1">IFERROR(__xludf.DUMMYFUNCTION("IMPORTRANGE(""https://docs.google.com/spreadsheets/d/17IOkEwkUd63EGNfyNDnM5de9YlZ7rwzTiW6-dokVjKI/edit?usp=sharing"",""อุบลราชธานี!J499"")"),0)</f>
        <v>0</v>
      </c>
    </row>
    <row r="52" spans="1:50" ht="21" customHeight="1" x14ac:dyDescent="0.3">
      <c r="A52" s="186" t="s">
        <v>73</v>
      </c>
      <c r="B52" s="178"/>
      <c r="C52" s="76">
        <f t="shared" ref="C52:G52" ca="1" si="69">SUM(C53:C73)</f>
        <v>7035480</v>
      </c>
      <c r="D52" s="34">
        <f t="shared" ca="1" si="69"/>
        <v>7035480</v>
      </c>
      <c r="E52" s="34">
        <f t="shared" ca="1" si="69"/>
        <v>0</v>
      </c>
      <c r="F52" s="34">
        <f t="shared" ca="1" si="69"/>
        <v>7035480</v>
      </c>
      <c r="G52" s="34">
        <f t="shared" ca="1" si="69"/>
        <v>0</v>
      </c>
      <c r="H52" s="34">
        <f t="shared" ca="1" si="34"/>
        <v>2323539.7599999998</v>
      </c>
      <c r="I52" s="35">
        <f t="shared" ca="1" si="1"/>
        <v>33.026030349030904</v>
      </c>
      <c r="J52" s="34">
        <f ca="1">SUM(J53:J73)</f>
        <v>2323539.7599999998</v>
      </c>
      <c r="K52" s="35">
        <f t="shared" ca="1" si="43"/>
        <v>33.026030349030904</v>
      </c>
      <c r="L52" s="35">
        <f t="shared" ca="1" si="44"/>
        <v>33.026030349030904</v>
      </c>
      <c r="M52" s="34">
        <f t="shared" ref="M52:Q52" ca="1" si="70">SUM(M53:M73)</f>
        <v>1008437</v>
      </c>
      <c r="N52" s="34">
        <f t="shared" ca="1" si="70"/>
        <v>906385</v>
      </c>
      <c r="O52" s="34">
        <f t="shared" ca="1" si="70"/>
        <v>212166.68</v>
      </c>
      <c r="P52" s="34">
        <f t="shared" ca="1" si="70"/>
        <v>196551.08</v>
      </c>
      <c r="Q52" s="36">
        <f t="shared" ca="1" si="70"/>
        <v>0</v>
      </c>
      <c r="R52" s="36">
        <f t="shared" ca="1" si="46"/>
        <v>0</v>
      </c>
      <c r="S52" s="34">
        <f t="shared" ref="S52:U52" ca="1" si="71">SUM(S53:S73)</f>
        <v>825</v>
      </c>
      <c r="T52" s="34">
        <f t="shared" ca="1" si="71"/>
        <v>8100</v>
      </c>
      <c r="U52" s="34">
        <f t="shared" ca="1" si="71"/>
        <v>842</v>
      </c>
      <c r="V52" s="37">
        <f t="shared" ca="1" si="6"/>
        <v>102.06060606060606</v>
      </c>
      <c r="W52" s="34">
        <f ca="1">SUM(W53:W73)</f>
        <v>260</v>
      </c>
      <c r="X52" s="37">
        <f t="shared" ca="1" si="7"/>
        <v>3.2098765432098766</v>
      </c>
      <c r="Y52" s="34">
        <f t="shared" ref="Y52:Z52" ca="1" si="72">SUM(Y53:Y73)</f>
        <v>7290</v>
      </c>
      <c r="Z52" s="34">
        <f t="shared" ca="1" si="72"/>
        <v>6790</v>
      </c>
      <c r="AA52" s="37">
        <f t="shared" ca="1" si="35"/>
        <v>93.141289437585741</v>
      </c>
      <c r="AB52" s="34">
        <f t="shared" ref="AB52:AD52" ca="1" si="73">SUM(AB53:AB73)</f>
        <v>326</v>
      </c>
      <c r="AC52" s="34">
        <f t="shared" ca="1" si="73"/>
        <v>729</v>
      </c>
      <c r="AD52" s="34">
        <f t="shared" ca="1" si="73"/>
        <v>760</v>
      </c>
      <c r="AE52" s="37">
        <f t="shared" ca="1" si="36"/>
        <v>104.25240054869684</v>
      </c>
      <c r="AF52" s="34">
        <f t="shared" ref="AF52:AG52" ca="1" si="74">SUM(AF53:AF73)</f>
        <v>810</v>
      </c>
      <c r="AG52" s="34">
        <f t="shared" ca="1" si="74"/>
        <v>660</v>
      </c>
      <c r="AH52" s="37">
        <f t="shared" ca="1" si="37"/>
        <v>81.481481481481481</v>
      </c>
      <c r="AI52" s="34">
        <f t="shared" ref="AI52:AK52" ca="1" si="75">SUM(AI53:AI73)</f>
        <v>58</v>
      </c>
      <c r="AJ52" s="34">
        <f t="shared" ca="1" si="75"/>
        <v>81</v>
      </c>
      <c r="AK52" s="34">
        <f t="shared" ca="1" si="75"/>
        <v>68</v>
      </c>
      <c r="AL52" s="37">
        <f t="shared" ca="1" si="38"/>
        <v>83.950617283950621</v>
      </c>
      <c r="AM52" s="34">
        <f t="shared" ref="AM52:AO52" ca="1" si="76">SUM(AM53:AM73)</f>
        <v>7</v>
      </c>
      <c r="AN52" s="34">
        <f t="shared" ca="1" si="76"/>
        <v>15</v>
      </c>
      <c r="AO52" s="34">
        <f t="shared" ca="1" si="76"/>
        <v>14</v>
      </c>
      <c r="AP52" s="37">
        <f t="shared" ca="1" si="39"/>
        <v>93.333333333333329</v>
      </c>
      <c r="AQ52" s="34">
        <f t="shared" ref="AQ52:AR52" ca="1" si="77">SUM(AQ53:AQ73)</f>
        <v>7290</v>
      </c>
      <c r="AR52" s="34">
        <f t="shared" ca="1" si="77"/>
        <v>180</v>
      </c>
      <c r="AS52" s="37">
        <f t="shared" ca="1" si="40"/>
        <v>2.4691358024691357</v>
      </c>
      <c r="AT52" s="34">
        <f t="shared" ref="AT52:AV52" ca="1" si="78">SUM(AT53:AT73)</f>
        <v>0</v>
      </c>
      <c r="AU52" s="34">
        <f t="shared" ca="1" si="78"/>
        <v>810</v>
      </c>
      <c r="AV52" s="34">
        <f t="shared" ca="1" si="78"/>
        <v>80</v>
      </c>
      <c r="AW52" s="37">
        <f t="shared" ca="1" si="41"/>
        <v>9.8765432098765427</v>
      </c>
      <c r="AX52" s="34">
        <f ca="1">SUM(AX53:AX73)</f>
        <v>60</v>
      </c>
    </row>
    <row r="53" spans="1:50" ht="21" customHeight="1" x14ac:dyDescent="0.3">
      <c r="A53" s="54">
        <v>1</v>
      </c>
      <c r="B53" s="55" t="s">
        <v>74</v>
      </c>
      <c r="C53" s="56">
        <f t="shared" ref="C53:C73" ca="1" si="79">D53+E53</f>
        <v>1166838</v>
      </c>
      <c r="D53" s="57">
        <f ca="1">IFERROR(__xludf.DUMMYFUNCTION("IMPORTRANGE(""https://docs.google.com/spreadsheets/d/1hKO5uv94SSRZWOvrh72HRcpyoEQF9TsE_Cvxl77XNU4/edit?usp=sharing"",""กาญจนบุรี!L472"")"),1166838)</f>
        <v>1166838</v>
      </c>
      <c r="E53" s="57">
        <f ca="1">IFERROR(__xludf.DUMMYFUNCTION("IMPORTRANGE(""https://docs.google.com/spreadsheets/d/1hKO5uv94SSRZWOvrh72HRcpyoEQF9TsE_Cvxl77XNU4/edit?usp=sharing"",""กาญจนบุรี!L479"")"),0)</f>
        <v>0</v>
      </c>
      <c r="F53" s="57">
        <f ca="1">IFERROR(__xludf.DUMMYFUNCTION("IMPORTRANGE(""https://docs.google.com/spreadsheets/d/1hKO5uv94SSRZWOvrh72HRcpyoEQF9TsE_Cvxl77XNU4/edit?usp=sharing"",""กาญจนบุรี!M472"")"),1166838)</f>
        <v>1166838</v>
      </c>
      <c r="G53" s="57">
        <f ca="1">IFERROR(__xludf.DUMMYFUNCTION("IMPORTRANGE(""https://docs.google.com/spreadsheets/d/1hKO5uv94SSRZWOvrh72HRcpyoEQF9TsE_Cvxl77XNU4/edit?usp=sharing"",""กาญจนบุรี!M479"")"),0)</f>
        <v>0</v>
      </c>
      <c r="H53" s="58">
        <f t="shared" ca="1" si="34"/>
        <v>266841</v>
      </c>
      <c r="I53" s="59">
        <f t="shared" ca="1" si="1"/>
        <v>22.868727278336838</v>
      </c>
      <c r="J53" s="60">
        <f t="shared" ref="J53:J73" ca="1" si="80">M53+N53+O53+P53</f>
        <v>266841</v>
      </c>
      <c r="K53" s="61">
        <f t="shared" ca="1" si="43"/>
        <v>22.868727278336838</v>
      </c>
      <c r="L53" s="61">
        <f t="shared" ca="1" si="44"/>
        <v>22.868727278336838</v>
      </c>
      <c r="M53" s="57">
        <f ca="1">IFERROR(__xludf.DUMMYFUNCTION("IMPORTRANGE(""https://docs.google.com/spreadsheets/d/1hKO5uv94SSRZWOvrh72HRcpyoEQF9TsE_Cvxl77XNU4/edit?usp=sharing"",""กาญจนบุรี!N473"")"),159821)</f>
        <v>159821</v>
      </c>
      <c r="N53" s="57">
        <f ca="1">IFERROR(__xludf.DUMMYFUNCTION("IMPORTRANGE(""https://docs.google.com/spreadsheets/d/1hKO5uv94SSRZWOvrh72HRcpyoEQF9TsE_Cvxl77XNU4/edit?usp=sharing"",""กาญจนบุรี!N474"")"),0)</f>
        <v>0</v>
      </c>
      <c r="O53" s="57">
        <f ca="1">IFERROR(__xludf.DUMMYFUNCTION("IMPORTRANGE(""https://docs.google.com/spreadsheets/d/1hKO5uv94SSRZWOvrh72HRcpyoEQF9TsE_Cvxl77XNU4/edit?usp=sharing"",""กาญจนบุรี!N475"")"),78000)</f>
        <v>78000</v>
      </c>
      <c r="P53" s="57">
        <f ca="1">IFERROR(__xludf.DUMMYFUNCTION("IMPORTRANGE(""https://docs.google.com/spreadsheets/d/1hKO5uv94SSRZWOvrh72HRcpyoEQF9TsE_Cvxl77XNU4/edit?usp=sharing"",""กาญจนบุรี!N476"")"),29020)</f>
        <v>29020</v>
      </c>
      <c r="Q53" s="62">
        <f ca="1">IFERROR(__xludf.DUMMYFUNCTION("IMPORTRANGE(""https://docs.google.com/spreadsheets/d/1hKO5uv94SSRZWOvrh72HRcpyoEQF9TsE_Cvxl77XNU4/edit?usp=sharing"",""กาญจนบุรี!N479"")"),0)</f>
        <v>0</v>
      </c>
      <c r="R53" s="62">
        <f t="shared" ca="1" si="46"/>
        <v>0</v>
      </c>
      <c r="S53" s="57">
        <f ca="1">IFERROR(__xludf.DUMMYFUNCTION("IMPORTRANGE(""https://docs.google.com/spreadsheets/d/1hKO5uv94SSRZWOvrh72HRcpyoEQF9TsE_Cvxl77XNU4/edit?usp=sharing"",""กาญจนบุรี!I465"")"),131)</f>
        <v>131</v>
      </c>
      <c r="T53" s="57">
        <f ca="1">IFERROR(__xludf.DUMMYFUNCTION("IMPORTRANGE(""https://docs.google.com/spreadsheets/d/1hKO5uv94SSRZWOvrh72HRcpyoEQF9TsE_Cvxl77XNU4/edit?usp=sharing"",""กาญจนบุรี!I466"")"),1300)</f>
        <v>1300</v>
      </c>
      <c r="U53" s="57">
        <f ca="1">IFERROR(__xludf.DUMMYFUNCTION("IMPORTRANGE(""https://docs.google.com/spreadsheets/d/1hKO5uv94SSRZWOvrh72HRcpyoEQF9TsE_Cvxl77XNU4/edit?usp=sharing"",""กาญจนบุรี!J465"")"),131)</f>
        <v>131</v>
      </c>
      <c r="V53" s="63">
        <f t="shared" ca="1" si="6"/>
        <v>100</v>
      </c>
      <c r="W53" s="57">
        <f ca="1">IFERROR(__xludf.DUMMYFUNCTION("IMPORTRANGE(""https://docs.google.com/spreadsheets/d/1hKO5uv94SSRZWOvrh72HRcpyoEQF9TsE_Cvxl77XNU4/edit?usp=sharing"",""กาญจนบุรี!J466"")"),0)</f>
        <v>0</v>
      </c>
      <c r="X53" s="63">
        <f t="shared" ca="1" si="7"/>
        <v>0</v>
      </c>
      <c r="Y53" s="57">
        <f ca="1">IFERROR(__xludf.DUMMYFUNCTION("IMPORTRANGE(""https://docs.google.com/spreadsheets/d/1hKO5uv94SSRZWOvrh72HRcpyoEQF9TsE_Cvxl77XNU4/edit?usp=sharing"",""กาญจนบุรี!I483"")"),1170)</f>
        <v>1170</v>
      </c>
      <c r="Z53" s="57">
        <f ca="1">IFERROR(__xludf.DUMMYFUNCTION("IMPORTRANGE(""https://docs.google.com/spreadsheets/d/1hKO5uv94SSRZWOvrh72HRcpyoEQF9TsE_Cvxl77XNU4/edit?usp=sharing"",""กาญจนบุรี!J483"")"),1300)</f>
        <v>1300</v>
      </c>
      <c r="AA53" s="63">
        <f t="shared" ca="1" si="35"/>
        <v>111.11111111111111</v>
      </c>
      <c r="AB53" s="57">
        <f ca="1">IFERROR(__xludf.DUMMYFUNCTION("IMPORTRANGE(""https://docs.google.com/spreadsheets/d/1hKO5uv94SSRZWOvrh72HRcpyoEQF9TsE_Cvxl77XNU4/edit?usp=sharing"",""กาญจนบุรี!J484"")"),0)</f>
        <v>0</v>
      </c>
      <c r="AC53" s="57">
        <f ca="1">IFERROR(__xludf.DUMMYFUNCTION("IMPORTRANGE(""https://docs.google.com/spreadsheets/d/1hKO5uv94SSRZWOvrh72HRcpyoEQF9TsE_Cvxl77XNU4/edit?usp=sharing"",""กาญจนบุรี!I485"")"),117)</f>
        <v>117</v>
      </c>
      <c r="AD53" s="57">
        <f ca="1">IFERROR(__xludf.DUMMYFUNCTION("IMPORTRANGE(""https://docs.google.com/spreadsheets/d/1hKO5uv94SSRZWOvrh72HRcpyoEQF9TsE_Cvxl77XNU4/edit?usp=sharing"",""กาญจนบุรี!J485"")"),130)</f>
        <v>130</v>
      </c>
      <c r="AE53" s="63">
        <f t="shared" ca="1" si="36"/>
        <v>111.11111111111111</v>
      </c>
      <c r="AF53" s="57">
        <f ca="1">IFERROR(__xludf.DUMMYFUNCTION("IMPORTRANGE(""https://docs.google.com/spreadsheets/d/1hKO5uv94SSRZWOvrh72HRcpyoEQF9TsE_Cvxl77XNU4/edit?usp=sharing"",""กาญจนบุรี!I487"")"),130)</f>
        <v>130</v>
      </c>
      <c r="AG53" s="57">
        <f ca="1">IFERROR(__xludf.DUMMYFUNCTION("IMPORTRANGE(""https://docs.google.com/spreadsheets/d/1hKO5uv94SSRZWOvrh72HRcpyoEQF9TsE_Cvxl77XNU4/edit?usp=sharing"",""กาญจนบุรี!J487"")"),0)</f>
        <v>0</v>
      </c>
      <c r="AH53" s="63">
        <f t="shared" ca="1" si="37"/>
        <v>0</v>
      </c>
      <c r="AI53" s="57">
        <f ca="1">IFERROR(__xludf.DUMMYFUNCTION("IMPORTRANGE(""https://docs.google.com/spreadsheets/d/1hKO5uv94SSRZWOvrh72HRcpyoEQF9TsE_Cvxl77XNU4/edit?usp=sharing"",""กาญจนบุรี!J488"")"),0)</f>
        <v>0</v>
      </c>
      <c r="AJ53" s="57">
        <f ca="1">IFERROR(__xludf.DUMMYFUNCTION("IMPORTRANGE(""https://docs.google.com/spreadsheets/d/1hKO5uv94SSRZWOvrh72HRcpyoEQF9TsE_Cvxl77XNU4/edit?usp=sharing"",""กาญจนบุรี!I489"")"),13)</f>
        <v>13</v>
      </c>
      <c r="AK53" s="57">
        <f ca="1">IFERROR(__xludf.DUMMYFUNCTION("IMPORTRANGE(""https://docs.google.com/spreadsheets/d/1hKO5uv94SSRZWOvrh72HRcpyoEQF9TsE_Cvxl77XNU4/edit?usp=sharing"",""กาญจนบุรี!J489"")"),0)</f>
        <v>0</v>
      </c>
      <c r="AL53" s="63">
        <f t="shared" ca="1" si="38"/>
        <v>0</v>
      </c>
      <c r="AM53" s="57">
        <f ca="1">IFERROR(__xludf.DUMMYFUNCTION("IMPORTRANGE(""https://docs.google.com/spreadsheets/d/1hKO5uv94SSRZWOvrh72HRcpyoEQF9TsE_Cvxl77XNU4/edit?usp=sharing"",""กาญจนบุรี!J491"")"),0)</f>
        <v>0</v>
      </c>
      <c r="AN53" s="57">
        <f ca="1">IFERROR(__xludf.DUMMYFUNCTION("IMPORTRANGE(""https://docs.google.com/spreadsheets/d/1hKO5uv94SSRZWOvrh72HRcpyoEQF9TsE_Cvxl77XNU4/edit?usp=sharing"",""กาญจนบุรี!I492"")"),1)</f>
        <v>1</v>
      </c>
      <c r="AO53" s="57">
        <f ca="1">IFERROR(__xludf.DUMMYFUNCTION("IMPORTRANGE(""https://docs.google.com/spreadsheets/d/1hKO5uv94SSRZWOvrh72HRcpyoEQF9TsE_Cvxl77XNU4/edit?usp=sharing"",""กาญจนบุรี!J492"")"),1)</f>
        <v>1</v>
      </c>
      <c r="AP53" s="63">
        <f t="shared" ca="1" si="39"/>
        <v>100</v>
      </c>
      <c r="AQ53" s="57">
        <f ca="1">IFERROR(__xludf.DUMMYFUNCTION("IMPORTRANGE(""https://docs.google.com/spreadsheets/d/1hKO5uv94SSRZWOvrh72HRcpyoEQF9TsE_Cvxl77XNU4/edit?usp=sharing"",""กาญจนบุรี!I495"")"),1170)</f>
        <v>1170</v>
      </c>
      <c r="AR53" s="57">
        <f ca="1">IFERROR(__xludf.DUMMYFUNCTION("IMPORTRANGE(""https://docs.google.com/spreadsheets/d/1hKO5uv94SSRZWOvrh72HRcpyoEQF9TsE_Cvxl77XNU4/edit?usp=sharing"",""กาญจนบุรี!J495"")"),0)</f>
        <v>0</v>
      </c>
      <c r="AS53" s="63">
        <f t="shared" ca="1" si="40"/>
        <v>0</v>
      </c>
      <c r="AT53" s="57">
        <f ca="1">IFERROR(__xludf.DUMMYFUNCTION("IMPORTRANGE(""https://docs.google.com/spreadsheets/d/1hKO5uv94SSRZWOvrh72HRcpyoEQF9TsE_Cvxl77XNU4/edit?usp=sharing"",""กาญจนบุรี!J496"")"),0)</f>
        <v>0</v>
      </c>
      <c r="AU53" s="57">
        <f ca="1">IFERROR(__xludf.DUMMYFUNCTION("IMPORTRANGE(""https://docs.google.com/spreadsheets/d/1hKO5uv94SSRZWOvrh72HRcpyoEQF9TsE_Cvxl77XNU4/edit?usp=sharing"",""กาญจนบุรี!I498"")"),130)</f>
        <v>130</v>
      </c>
      <c r="AV53" s="57">
        <f ca="1">IFERROR(__xludf.DUMMYFUNCTION("IMPORTRANGE(""https://docs.google.com/spreadsheets/d/1hKO5uv94SSRZWOvrh72HRcpyoEQF9TsE_Cvxl77XNU4/edit?usp=sharing"",""กาญจนบุรี!J498"")"),0)</f>
        <v>0</v>
      </c>
      <c r="AW53" s="63">
        <f t="shared" ca="1" si="41"/>
        <v>0</v>
      </c>
      <c r="AX53" s="57">
        <f ca="1">IFERROR(__xludf.DUMMYFUNCTION("IMPORTRANGE(""https://docs.google.com/spreadsheets/d/1hKO5uv94SSRZWOvrh72HRcpyoEQF9TsE_Cvxl77XNU4/edit?usp=sharing"",""กาญจนบุรี!J499"")"),0)</f>
        <v>0</v>
      </c>
    </row>
    <row r="54" spans="1:50" ht="21" customHeight="1" x14ac:dyDescent="0.3">
      <c r="A54" s="54">
        <v>2</v>
      </c>
      <c r="B54" s="55" t="s">
        <v>75</v>
      </c>
      <c r="C54" s="56">
        <f t="shared" ca="1" si="79"/>
        <v>410113</v>
      </c>
      <c r="D54" s="57">
        <f ca="1">IFERROR(__xludf.DUMMYFUNCTION("IMPORTRANGE(""https://docs.google.com/spreadsheets/d/1njBaP_xXd-Uotvo2D9zb01TTCFkLJLDK97Tk1l9Qux0/edit?usp=sharing"",""จันทบุรี!L472"")"),410113)</f>
        <v>410113</v>
      </c>
      <c r="E54" s="64">
        <f ca="1">IFERROR(__xludf.DUMMYFUNCTION("IMPORTRANGE(""https://docs.google.com/spreadsheets/d/1njBaP_xXd-Uotvo2D9zb01TTCFkLJLDK97Tk1l9Qux0/edit?usp=sharing"",""จันทบุรี!L479"")"),0)</f>
        <v>0</v>
      </c>
      <c r="F54" s="64">
        <f ca="1">IFERROR(__xludf.DUMMYFUNCTION("IMPORTRANGE(""https://docs.google.com/spreadsheets/d/1njBaP_xXd-Uotvo2D9zb01TTCFkLJLDK97Tk1l9Qux0/edit?usp=sharing"",""จันทบุรี!M472"")"),410113)</f>
        <v>410113</v>
      </c>
      <c r="G54" s="64">
        <f ca="1">IFERROR(__xludf.DUMMYFUNCTION("IMPORTRANGE(""https://docs.google.com/spreadsheets/d/1njBaP_xXd-Uotvo2D9zb01TTCFkLJLDK97Tk1l9Qux0/edit?usp=sharing"",""จันทบุรี!M479"")"),0)</f>
        <v>0</v>
      </c>
      <c r="H54" s="58">
        <f t="shared" ca="1" si="34"/>
        <v>83100</v>
      </c>
      <c r="I54" s="59">
        <f t="shared" ca="1" si="1"/>
        <v>20.262708082894228</v>
      </c>
      <c r="J54" s="60">
        <f t="shared" ca="1" si="80"/>
        <v>83100</v>
      </c>
      <c r="K54" s="61">
        <f t="shared" ca="1" si="43"/>
        <v>20.262708082894228</v>
      </c>
      <c r="L54" s="61">
        <f t="shared" ca="1" si="44"/>
        <v>20.262708082894228</v>
      </c>
      <c r="M54" s="64">
        <f ca="1">IFERROR(__xludf.DUMMYFUNCTION("IMPORTRANGE(""https://docs.google.com/spreadsheets/d/1njBaP_xXd-Uotvo2D9zb01TTCFkLJLDK97Tk1l9Qux0/edit?usp=sharing"",""จันทบุรี!N473"")"),58570)</f>
        <v>58570</v>
      </c>
      <c r="N54" s="64">
        <f ca="1">IFERROR(__xludf.DUMMYFUNCTION("IMPORTRANGE(""https://docs.google.com/spreadsheets/d/1njBaP_xXd-Uotvo2D9zb01TTCFkLJLDK97Tk1l9Qux0/edit?usp=sharing"",""จันทบุรี!N474"")"),0)</f>
        <v>0</v>
      </c>
      <c r="O54" s="64">
        <f ca="1">IFERROR(__xludf.DUMMYFUNCTION("IMPORTRANGE(""https://docs.google.com/spreadsheets/d/1njBaP_xXd-Uotvo2D9zb01TTCFkLJLDK97Tk1l9Qux0/edit?usp=sharing"",""จันทบุรี!N475"")"),0)</f>
        <v>0</v>
      </c>
      <c r="P54" s="64">
        <f ca="1">IFERROR(__xludf.DUMMYFUNCTION("IMPORTRANGE(""https://docs.google.com/spreadsheets/d/1njBaP_xXd-Uotvo2D9zb01TTCFkLJLDK97Tk1l9Qux0/edit?usp=sharing"",""จันทบุรี!N476"")"),24530)</f>
        <v>24530</v>
      </c>
      <c r="Q54" s="62">
        <f ca="1">IFERROR(__xludf.DUMMYFUNCTION("IMPORTRANGE(""https://docs.google.com/spreadsheets/d/1njBaP_xXd-Uotvo2D9zb01TTCFkLJLDK97Tk1l9Qux0/edit?usp=sharing"",""จันทบุรี!N479"")"),0)</f>
        <v>0</v>
      </c>
      <c r="R54" s="62">
        <f t="shared" ca="1" si="46"/>
        <v>0</v>
      </c>
      <c r="S54" s="57">
        <f ca="1">IFERROR(__xludf.DUMMYFUNCTION("IMPORTRANGE(""https://docs.google.com/spreadsheets/d/1njBaP_xXd-Uotvo2D9zb01TTCFkLJLDK97Tk1l9Qux0/edit?usp=sharing"",""จันทบุรี!I465"")"),51)</f>
        <v>51</v>
      </c>
      <c r="T54" s="57">
        <f ca="1">IFERROR(__xludf.DUMMYFUNCTION("IMPORTRANGE(""https://docs.google.com/spreadsheets/d/1njBaP_xXd-Uotvo2D9zb01TTCFkLJLDK97Tk1l9Qux0/edit?usp=sharing"",""จันทบุรี!I466"")"),500)</f>
        <v>500</v>
      </c>
      <c r="U54" s="57">
        <f ca="1">IFERROR(__xludf.DUMMYFUNCTION("IMPORTRANGE(""https://docs.google.com/spreadsheets/d/1njBaP_xXd-Uotvo2D9zb01TTCFkLJLDK97Tk1l9Qux0/edit?usp=sharing"",""จันทบุรี!J465"")"),67)</f>
        <v>67</v>
      </c>
      <c r="V54" s="63">
        <f t="shared" ca="1" si="6"/>
        <v>131.37254901960785</v>
      </c>
      <c r="W54" s="57">
        <f ca="1">IFERROR(__xludf.DUMMYFUNCTION("IMPORTRANGE(""https://docs.google.com/spreadsheets/d/1njBaP_xXd-Uotvo2D9zb01TTCFkLJLDK97Tk1l9Qux0/edit?usp=sharing"",""จันทบุรี!J466"")"),0)</f>
        <v>0</v>
      </c>
      <c r="X54" s="63">
        <f t="shared" ca="1" si="7"/>
        <v>0</v>
      </c>
      <c r="Y54" s="57">
        <f ca="1">IFERROR(__xludf.DUMMYFUNCTION("IMPORTRANGE(""https://docs.google.com/spreadsheets/d/1njBaP_xXd-Uotvo2D9zb01TTCFkLJLDK97Tk1l9Qux0/edit?usp=sharing"",""จันทบุรี!I483"")"),450)</f>
        <v>450</v>
      </c>
      <c r="Z54" s="57">
        <f ca="1">IFERROR(__xludf.DUMMYFUNCTION("IMPORTRANGE(""https://docs.google.com/spreadsheets/d/1njBaP_xXd-Uotvo2D9zb01TTCFkLJLDK97Tk1l9Qux0/edit?usp=sharing"",""จันทบุรี!J483"")"),450)</f>
        <v>450</v>
      </c>
      <c r="AA54" s="63">
        <f t="shared" ca="1" si="35"/>
        <v>100</v>
      </c>
      <c r="AB54" s="57">
        <f ca="1">IFERROR(__xludf.DUMMYFUNCTION("IMPORTRANGE(""https://docs.google.com/spreadsheets/d/1njBaP_xXd-Uotvo2D9zb01TTCFkLJLDK97Tk1l9Qux0/edit?usp=sharing"",""จันทบุรี!J484"")"),0)</f>
        <v>0</v>
      </c>
      <c r="AC54" s="57">
        <f ca="1">IFERROR(__xludf.DUMMYFUNCTION("IMPORTRANGE(""https://docs.google.com/spreadsheets/d/1njBaP_xXd-Uotvo2D9zb01TTCFkLJLDK97Tk1l9Qux0/edit?usp=sharing"",""จันทบุรี!I485"")"),45)</f>
        <v>45</v>
      </c>
      <c r="AD54" s="57">
        <f ca="1">IFERROR(__xludf.DUMMYFUNCTION("IMPORTRANGE(""https://docs.google.com/spreadsheets/d/1njBaP_xXd-Uotvo2D9zb01TTCFkLJLDK97Tk1l9Qux0/edit?usp=sharing"",""จันทบุรี!J485"")"),61)</f>
        <v>61</v>
      </c>
      <c r="AE54" s="63">
        <f t="shared" ca="1" si="36"/>
        <v>135.55555555555554</v>
      </c>
      <c r="AF54" s="57">
        <f ca="1">IFERROR(__xludf.DUMMYFUNCTION("IMPORTRANGE(""https://docs.google.com/spreadsheets/d/1njBaP_xXd-Uotvo2D9zb01TTCFkLJLDK97Tk1l9Qux0/edit?usp=sharing"",""จันทบุรี!I487"")"),50)</f>
        <v>50</v>
      </c>
      <c r="AG54" s="57">
        <f ca="1">IFERROR(__xludf.DUMMYFUNCTION("IMPORTRANGE(""https://docs.google.com/spreadsheets/d/1njBaP_xXd-Uotvo2D9zb01TTCFkLJLDK97Tk1l9Qux0/edit?usp=sharing"",""จันทบุรี!J487"")"),50)</f>
        <v>50</v>
      </c>
      <c r="AH54" s="63">
        <f t="shared" ca="1" si="37"/>
        <v>100</v>
      </c>
      <c r="AI54" s="57">
        <f ca="1">IFERROR(__xludf.DUMMYFUNCTION("IMPORTRANGE(""https://docs.google.com/spreadsheets/d/1njBaP_xXd-Uotvo2D9zb01TTCFkLJLDK97Tk1l9Qux0/edit?usp=sharing"",""จันทบุรี!J488"")"),0)</f>
        <v>0</v>
      </c>
      <c r="AJ54" s="57">
        <f ca="1">IFERROR(__xludf.DUMMYFUNCTION("IMPORTRANGE(""https://docs.google.com/spreadsheets/d/1njBaP_xXd-Uotvo2D9zb01TTCFkLJLDK97Tk1l9Qux0/edit?usp=sharing"",""จันทบุรี!I489"")"),5)</f>
        <v>5</v>
      </c>
      <c r="AK54" s="57">
        <f ca="1">IFERROR(__xludf.DUMMYFUNCTION("IMPORTRANGE(""https://docs.google.com/spreadsheets/d/1njBaP_xXd-Uotvo2D9zb01TTCFkLJLDK97Tk1l9Qux0/edit?usp=sharing"",""จันทบุรี!J489"")"),5)</f>
        <v>5</v>
      </c>
      <c r="AL54" s="63">
        <f t="shared" ca="1" si="38"/>
        <v>100</v>
      </c>
      <c r="AM54" s="57">
        <f ca="1">IFERROR(__xludf.DUMMYFUNCTION("IMPORTRANGE(""https://docs.google.com/spreadsheets/d/1njBaP_xXd-Uotvo2D9zb01TTCFkLJLDK97Tk1l9Qux0/edit?usp=sharing"",""จันทบุรี!J491"")"),0)</f>
        <v>0</v>
      </c>
      <c r="AN54" s="57">
        <f ca="1">IFERROR(__xludf.DUMMYFUNCTION("IMPORTRANGE(""https://docs.google.com/spreadsheets/d/1njBaP_xXd-Uotvo2D9zb01TTCFkLJLDK97Tk1l9Qux0/edit?usp=sharing"",""จันทบุรี!I492"")"),1)</f>
        <v>1</v>
      </c>
      <c r="AO54" s="57">
        <f ca="1">IFERROR(__xludf.DUMMYFUNCTION("IMPORTRANGE(""https://docs.google.com/spreadsheets/d/1njBaP_xXd-Uotvo2D9zb01TTCFkLJLDK97Tk1l9Qux0/edit?usp=sharing"",""จันทบุรี!J492"")"),1)</f>
        <v>1</v>
      </c>
      <c r="AP54" s="63">
        <f t="shared" ca="1" si="39"/>
        <v>100</v>
      </c>
      <c r="AQ54" s="57">
        <f ca="1">IFERROR(__xludf.DUMMYFUNCTION("IMPORTRANGE(""https://docs.google.com/spreadsheets/d/1njBaP_xXd-Uotvo2D9zb01TTCFkLJLDK97Tk1l9Qux0/edit?usp=sharing"",""จันทบุรี!I495"")"),450)</f>
        <v>450</v>
      </c>
      <c r="AR54" s="57">
        <f ca="1">IFERROR(__xludf.DUMMYFUNCTION("IMPORTRANGE(""https://docs.google.com/spreadsheets/d/1njBaP_xXd-Uotvo2D9zb01TTCFkLJLDK97Tk1l9Qux0/edit?usp=sharing"",""จันทบุรี!J495"")"),0)</f>
        <v>0</v>
      </c>
      <c r="AS54" s="63">
        <f t="shared" ca="1" si="40"/>
        <v>0</v>
      </c>
      <c r="AT54" s="57">
        <f ca="1">IFERROR(__xludf.DUMMYFUNCTION("IMPORTRANGE(""https://docs.google.com/spreadsheets/d/1njBaP_xXd-Uotvo2D9zb01TTCFkLJLDK97Tk1l9Qux0/edit?usp=sharing"",""จันทบุรี!J496"")"),0)</f>
        <v>0</v>
      </c>
      <c r="AU54" s="57">
        <f ca="1">IFERROR(__xludf.DUMMYFUNCTION("IMPORTRANGE(""https://docs.google.com/spreadsheets/d/1njBaP_xXd-Uotvo2D9zb01TTCFkLJLDK97Tk1l9Qux0/edit?usp=sharing"",""จันทบุรี!I498"")"),50)</f>
        <v>50</v>
      </c>
      <c r="AV54" s="57">
        <f ca="1">IFERROR(__xludf.DUMMYFUNCTION("IMPORTRANGE(""https://docs.google.com/spreadsheets/d/1njBaP_xXd-Uotvo2D9zb01TTCFkLJLDK97Tk1l9Qux0/edit?usp=sharing"",""จันทบุรี!J498"")"),0)</f>
        <v>0</v>
      </c>
      <c r="AW54" s="63">
        <f t="shared" ca="1" si="41"/>
        <v>0</v>
      </c>
      <c r="AX54" s="57">
        <f ca="1">IFERROR(__xludf.DUMMYFUNCTION("IMPORTRANGE(""https://docs.google.com/spreadsheets/d/1njBaP_xXd-Uotvo2D9zb01TTCFkLJLDK97Tk1l9Qux0/edit?usp=sharing"",""จันทบุรี!J499"")"),0)</f>
        <v>0</v>
      </c>
    </row>
    <row r="55" spans="1:50" ht="21" customHeight="1" x14ac:dyDescent="0.3">
      <c r="A55" s="54">
        <v>3</v>
      </c>
      <c r="B55" s="55" t="s">
        <v>76</v>
      </c>
      <c r="C55" s="56">
        <f t="shared" ca="1" si="79"/>
        <v>1166418</v>
      </c>
      <c r="D55" s="57">
        <f ca="1">IFERROR(__xludf.DUMMYFUNCTION("IMPORTRANGE(""https://docs.google.com/spreadsheets/d/14xp6qUzrGFnUk_qnc1eEmfiaNRd4_grkhpfQH_46fa8/edit?usp=sharing"",""ฉะเชิงเทรา!L472"")"),1166418)</f>
        <v>1166418</v>
      </c>
      <c r="E55" s="64">
        <f ca="1">IFERROR(__xludf.DUMMYFUNCTION("IMPORTRANGE(""https://docs.google.com/spreadsheets/d/14xp6qUzrGFnUk_qnc1eEmfiaNRd4_grkhpfQH_46fa8/edit?usp=sharing"",""ฉะเชิงเทรา!L479"")"),0)</f>
        <v>0</v>
      </c>
      <c r="F55" s="64">
        <f ca="1">IFERROR(__xludf.DUMMYFUNCTION("IMPORTRANGE(""https://docs.google.com/spreadsheets/d/14xp6qUzrGFnUk_qnc1eEmfiaNRd4_grkhpfQH_46fa8/edit?usp=sharing"",""ฉะเชิงเทรา!M472"")"),1166418)</f>
        <v>1166418</v>
      </c>
      <c r="G55" s="64">
        <f ca="1">IFERROR(__xludf.DUMMYFUNCTION("IMPORTRANGE(""https://docs.google.com/spreadsheets/d/14xp6qUzrGFnUk_qnc1eEmfiaNRd4_grkhpfQH_46fa8/edit?usp=sharing"",""ฉะเชิงเทรา!M479"")"),0)</f>
        <v>0</v>
      </c>
      <c r="H55" s="58">
        <f t="shared" ca="1" si="34"/>
        <v>791183.67999999993</v>
      </c>
      <c r="I55" s="59">
        <f t="shared" ca="1" si="1"/>
        <v>67.830201522953175</v>
      </c>
      <c r="J55" s="60">
        <f t="shared" ca="1" si="80"/>
        <v>791183.67999999993</v>
      </c>
      <c r="K55" s="61">
        <f t="shared" ca="1" si="43"/>
        <v>67.830201522953175</v>
      </c>
      <c r="L55" s="61">
        <f t="shared" ca="1" si="44"/>
        <v>67.830201522953175</v>
      </c>
      <c r="M55" s="64">
        <f ca="1">IFERROR(__xludf.DUMMYFUNCTION("IMPORTRANGE(""https://docs.google.com/spreadsheets/d/14xp6qUzrGFnUk_qnc1eEmfiaNRd4_grkhpfQH_46fa8/edit?usp=sharing"",""ฉะเชิงเทรา!N473"")"),148065)</f>
        <v>148065</v>
      </c>
      <c r="N55" s="64">
        <f ca="1">IFERROR(__xludf.DUMMYFUNCTION("IMPORTRANGE(""https://docs.google.com/spreadsheets/d/14xp6qUzrGFnUk_qnc1eEmfiaNRd4_grkhpfQH_46fa8/edit?usp=sharing"",""ฉะเชิงเทรา!N474"")"),542100)</f>
        <v>542100</v>
      </c>
      <c r="O55" s="64">
        <f ca="1">IFERROR(__xludf.DUMMYFUNCTION("IMPORTRANGE(""https://docs.google.com/spreadsheets/d/14xp6qUzrGFnUk_qnc1eEmfiaNRd4_grkhpfQH_46fa8/edit?usp=sharing"",""ฉะเชิงเทรา!N475"")"),76266.68)</f>
        <v>76266.679999999993</v>
      </c>
      <c r="P55" s="64">
        <f ca="1">IFERROR(__xludf.DUMMYFUNCTION("IMPORTRANGE(""https://docs.google.com/spreadsheets/d/14xp6qUzrGFnUk_qnc1eEmfiaNRd4_grkhpfQH_46fa8/edit?usp=sharing"",""ฉะเชิงเทรา!N476"")"),24752)</f>
        <v>24752</v>
      </c>
      <c r="Q55" s="62">
        <f ca="1">IFERROR(__xludf.DUMMYFUNCTION("IMPORTRANGE(""https://docs.google.com/spreadsheets/d/14xp6qUzrGFnUk_qnc1eEmfiaNRd4_grkhpfQH_46fa8/edit?usp=sharing"",""ฉะเชิงเทรา!N479"")"),0)</f>
        <v>0</v>
      </c>
      <c r="R55" s="62">
        <f t="shared" ca="1" si="46"/>
        <v>0</v>
      </c>
      <c r="S55" s="57">
        <f ca="1">IFERROR(__xludf.DUMMYFUNCTION("IMPORTRANGE(""https://docs.google.com/spreadsheets/d/14xp6qUzrGFnUk_qnc1eEmfiaNRd4_grkhpfQH_46fa8/edit?usp=sharing"",""ฉะเชิงเทรา!I465"")"),131)</f>
        <v>131</v>
      </c>
      <c r="T55" s="57">
        <f ca="1">IFERROR(__xludf.DUMMYFUNCTION("IMPORTRANGE(""https://docs.google.com/spreadsheets/d/14xp6qUzrGFnUk_qnc1eEmfiaNRd4_grkhpfQH_46fa8/edit?usp=sharing"",""ฉะเชิงเทรา!I466"")"),1300)</f>
        <v>1300</v>
      </c>
      <c r="U55" s="57">
        <f ca="1">IFERROR(__xludf.DUMMYFUNCTION("IMPORTRANGE(""https://docs.google.com/spreadsheets/d/14xp6qUzrGFnUk_qnc1eEmfiaNRd4_grkhpfQH_46fa8/edit?usp=sharing"",""ฉะเชิงเทรา!J465"")"),131)</f>
        <v>131</v>
      </c>
      <c r="V55" s="63">
        <f t="shared" ca="1" si="6"/>
        <v>100</v>
      </c>
      <c r="W55" s="57">
        <f ca="1">IFERROR(__xludf.DUMMYFUNCTION("IMPORTRANGE(""https://docs.google.com/spreadsheets/d/14xp6qUzrGFnUk_qnc1eEmfiaNRd4_grkhpfQH_46fa8/edit?usp=sharing"",""ฉะเชิงเทรา!J466"")"),0)</f>
        <v>0</v>
      </c>
      <c r="X55" s="63">
        <f t="shared" ca="1" si="7"/>
        <v>0</v>
      </c>
      <c r="Y55" s="57">
        <f ca="1">IFERROR(__xludf.DUMMYFUNCTION("IMPORTRANGE(""https://docs.google.com/spreadsheets/d/14xp6qUzrGFnUk_qnc1eEmfiaNRd4_grkhpfQH_46fa8/edit?usp=sharing"",""ฉะเชิงเทรา!I483"")"),1170)</f>
        <v>1170</v>
      </c>
      <c r="Z55" s="57">
        <f ca="1">IFERROR(__xludf.DUMMYFUNCTION("IMPORTRANGE(""https://docs.google.com/spreadsheets/d/14xp6qUzrGFnUk_qnc1eEmfiaNRd4_grkhpfQH_46fa8/edit?usp=sharing"",""ฉะเชิงเทรา!J483"")"),1170)</f>
        <v>1170</v>
      </c>
      <c r="AA55" s="63">
        <f t="shared" ca="1" si="35"/>
        <v>100</v>
      </c>
      <c r="AB55" s="57">
        <f ca="1">IFERROR(__xludf.DUMMYFUNCTION("IMPORTRANGE(""https://docs.google.com/spreadsheets/d/14xp6qUzrGFnUk_qnc1eEmfiaNRd4_grkhpfQH_46fa8/edit?usp=sharing"",""ฉะเชิงเทรา!J484"")"),117)</f>
        <v>117</v>
      </c>
      <c r="AC55" s="57">
        <f ca="1">IFERROR(__xludf.DUMMYFUNCTION("IMPORTRANGE(""https://docs.google.com/spreadsheets/d/14xp6qUzrGFnUk_qnc1eEmfiaNRd4_grkhpfQH_46fa8/edit?usp=sharing"",""ฉะเชิงเทรา!I485"")"),117)</f>
        <v>117</v>
      </c>
      <c r="AD55" s="57">
        <f ca="1">IFERROR(__xludf.DUMMYFUNCTION("IMPORTRANGE(""https://docs.google.com/spreadsheets/d/14xp6qUzrGFnUk_qnc1eEmfiaNRd4_grkhpfQH_46fa8/edit?usp=sharing"",""ฉะเชิงเทรา!J485"")"),117)</f>
        <v>117</v>
      </c>
      <c r="AE55" s="63">
        <f t="shared" ca="1" si="36"/>
        <v>100</v>
      </c>
      <c r="AF55" s="57">
        <f ca="1">IFERROR(__xludf.DUMMYFUNCTION("IMPORTRANGE(""https://docs.google.com/spreadsheets/d/14xp6qUzrGFnUk_qnc1eEmfiaNRd4_grkhpfQH_46fa8/edit?usp=sharing"",""ฉะเชิงเทรา!I487"")"),130)</f>
        <v>130</v>
      </c>
      <c r="AG55" s="57">
        <f ca="1">IFERROR(__xludf.DUMMYFUNCTION("IMPORTRANGE(""https://docs.google.com/spreadsheets/d/14xp6qUzrGFnUk_qnc1eEmfiaNRd4_grkhpfQH_46fa8/edit?usp=sharing"",""ฉะเชิงเทรา!J487"")"),130)</f>
        <v>130</v>
      </c>
      <c r="AH55" s="63">
        <f t="shared" ca="1" si="37"/>
        <v>100</v>
      </c>
      <c r="AI55" s="57">
        <f ca="1">IFERROR(__xludf.DUMMYFUNCTION("IMPORTRANGE(""https://docs.google.com/spreadsheets/d/14xp6qUzrGFnUk_qnc1eEmfiaNRd4_grkhpfQH_46fa8/edit?usp=sharing"",""ฉะเชิงเทรา!J488"")"),13)</f>
        <v>13</v>
      </c>
      <c r="AJ55" s="57">
        <f ca="1">IFERROR(__xludf.DUMMYFUNCTION("IMPORTRANGE(""https://docs.google.com/spreadsheets/d/14xp6qUzrGFnUk_qnc1eEmfiaNRd4_grkhpfQH_46fa8/edit?usp=sharing"",""ฉะเชิงเทรา!I489"")"),13)</f>
        <v>13</v>
      </c>
      <c r="AK55" s="57">
        <f ca="1">IFERROR(__xludf.DUMMYFUNCTION("IMPORTRANGE(""https://docs.google.com/spreadsheets/d/14xp6qUzrGFnUk_qnc1eEmfiaNRd4_grkhpfQH_46fa8/edit?usp=sharing"",""ฉะเชิงเทรา!J489"")"),13)</f>
        <v>13</v>
      </c>
      <c r="AL55" s="63">
        <f t="shared" ca="1" si="38"/>
        <v>100</v>
      </c>
      <c r="AM55" s="57">
        <f ca="1">IFERROR(__xludf.DUMMYFUNCTION("IMPORTRANGE(""https://docs.google.com/spreadsheets/d/14xp6qUzrGFnUk_qnc1eEmfiaNRd4_grkhpfQH_46fa8/edit?usp=sharing"",""ฉะเชิงเทรา!J491"")"),1)</f>
        <v>1</v>
      </c>
      <c r="AN55" s="57">
        <f ca="1">IFERROR(__xludf.DUMMYFUNCTION("IMPORTRANGE(""https://docs.google.com/spreadsheets/d/14xp6qUzrGFnUk_qnc1eEmfiaNRd4_grkhpfQH_46fa8/edit?usp=sharing"",""ฉะเชิงเทรา!I492"")"),1)</f>
        <v>1</v>
      </c>
      <c r="AO55" s="57">
        <f ca="1">IFERROR(__xludf.DUMMYFUNCTION("IMPORTRANGE(""https://docs.google.com/spreadsheets/d/14xp6qUzrGFnUk_qnc1eEmfiaNRd4_grkhpfQH_46fa8/edit?usp=sharing"",""ฉะเชิงเทรา!J492"")"),1)</f>
        <v>1</v>
      </c>
      <c r="AP55" s="63">
        <f t="shared" ca="1" si="39"/>
        <v>100</v>
      </c>
      <c r="AQ55" s="57">
        <f ca="1">IFERROR(__xludf.DUMMYFUNCTION("IMPORTRANGE(""https://docs.google.com/spreadsheets/d/14xp6qUzrGFnUk_qnc1eEmfiaNRd4_grkhpfQH_46fa8/edit?usp=sharing"",""ฉะเชิงเทรา!I495"")"),1170)</f>
        <v>1170</v>
      </c>
      <c r="AR55" s="57">
        <f ca="1">IFERROR(__xludf.DUMMYFUNCTION("IMPORTRANGE(""https://docs.google.com/spreadsheets/d/14xp6qUzrGFnUk_qnc1eEmfiaNRd4_grkhpfQH_46fa8/edit?usp=sharing"",""ฉะเชิงเทรา!J495"")"),0)</f>
        <v>0</v>
      </c>
      <c r="AS55" s="63">
        <f t="shared" ca="1" si="40"/>
        <v>0</v>
      </c>
      <c r="AT55" s="57">
        <f ca="1">IFERROR(__xludf.DUMMYFUNCTION("IMPORTRANGE(""https://docs.google.com/spreadsheets/d/14xp6qUzrGFnUk_qnc1eEmfiaNRd4_grkhpfQH_46fa8/edit?usp=sharing"",""ฉะเชิงเทรา!J496"")"),0)</f>
        <v>0</v>
      </c>
      <c r="AU55" s="57">
        <f ca="1">IFERROR(__xludf.DUMMYFUNCTION("IMPORTRANGE(""https://docs.google.com/spreadsheets/d/14xp6qUzrGFnUk_qnc1eEmfiaNRd4_grkhpfQH_46fa8/edit?usp=sharing"",""ฉะเชิงเทรา!I498"")"),130)</f>
        <v>130</v>
      </c>
      <c r="AV55" s="57">
        <f ca="1">IFERROR(__xludf.DUMMYFUNCTION("IMPORTRANGE(""https://docs.google.com/spreadsheets/d/14xp6qUzrGFnUk_qnc1eEmfiaNRd4_grkhpfQH_46fa8/edit?usp=sharing"",""ฉะเชิงเทรา!J498"")"),0)</f>
        <v>0</v>
      </c>
      <c r="AW55" s="63">
        <f t="shared" ca="1" si="41"/>
        <v>0</v>
      </c>
      <c r="AX55" s="57">
        <f ca="1">IFERROR(__xludf.DUMMYFUNCTION("IMPORTRANGE(""https://docs.google.com/spreadsheets/d/14xp6qUzrGFnUk_qnc1eEmfiaNRd4_grkhpfQH_46fa8/edit?usp=sharing"",""ฉะเชิงเทรา!J499"")"),0)</f>
        <v>0</v>
      </c>
    </row>
    <row r="56" spans="1:50" ht="21" customHeight="1" x14ac:dyDescent="0.3">
      <c r="A56" s="54">
        <v>4</v>
      </c>
      <c r="B56" s="55" t="s">
        <v>77</v>
      </c>
      <c r="C56" s="56">
        <f t="shared" ca="1" si="79"/>
        <v>332943</v>
      </c>
      <c r="D56" s="57">
        <f ca="1">IFERROR(__xludf.DUMMYFUNCTION("IMPORTRANGE(""https://docs.google.com/spreadsheets/d/1_Zwps30dlVa-pZFsorjVf1Pil6WXwzCsJU0U2whO3NI/edit?usp=sharing"",""ชลบุรี!L472"")"),332943)</f>
        <v>332943</v>
      </c>
      <c r="E56" s="64">
        <f ca="1">IFERROR(__xludf.DUMMYFUNCTION("IMPORTRANGE(""https://docs.google.com/spreadsheets/d/1_Zwps30dlVa-pZFsorjVf1Pil6WXwzCsJU0U2whO3NI/edit?usp=sharing"",""ชลบุรี!L479"")"),0)</f>
        <v>0</v>
      </c>
      <c r="F56" s="64">
        <f ca="1">IFERROR(__xludf.DUMMYFUNCTION("IMPORTRANGE(""https://docs.google.com/spreadsheets/d/1_Zwps30dlVa-pZFsorjVf1Pil6WXwzCsJU0U2whO3NI/edit?usp=sharing"",""ชลบุรี!M472"")"),332943)</f>
        <v>332943</v>
      </c>
      <c r="G56" s="64">
        <f ca="1">IFERROR(__xludf.DUMMYFUNCTION("IMPORTRANGE(""https://docs.google.com/spreadsheets/d/1_Zwps30dlVa-pZFsorjVf1Pil6WXwzCsJU0U2whO3NI/edit?usp=sharing"",""ชลบุรี!M479"")"),0)</f>
        <v>0</v>
      </c>
      <c r="H56" s="58">
        <f t="shared" ca="1" si="34"/>
        <v>53328</v>
      </c>
      <c r="I56" s="59">
        <f t="shared" ca="1" si="1"/>
        <v>16.017156089781135</v>
      </c>
      <c r="J56" s="60">
        <f t="shared" ca="1" si="80"/>
        <v>53328</v>
      </c>
      <c r="K56" s="61">
        <f t="shared" ca="1" si="43"/>
        <v>16.017156089781135</v>
      </c>
      <c r="L56" s="61">
        <f t="shared" ca="1" si="44"/>
        <v>16.017156089781135</v>
      </c>
      <c r="M56" s="64">
        <f ca="1">IFERROR(__xludf.DUMMYFUNCTION("IMPORTRANGE(""https://docs.google.com/spreadsheets/d/1_Zwps30dlVa-pZFsorjVf1Pil6WXwzCsJU0U2whO3NI/edit?usp=sharing"",""ชลบุรี!N473"")"),45623)</f>
        <v>45623</v>
      </c>
      <c r="N56" s="64">
        <f ca="1">IFERROR(__xludf.DUMMYFUNCTION("IMPORTRANGE(""https://docs.google.com/spreadsheets/d/1_Zwps30dlVa-pZFsorjVf1Pil6WXwzCsJU0U2whO3NI/edit?usp=sharing"",""ชลบุรี!N474"")"),0)</f>
        <v>0</v>
      </c>
      <c r="O56" s="64">
        <f ca="1">IFERROR(__xludf.DUMMYFUNCTION("IMPORTRANGE(""https://docs.google.com/spreadsheets/d/1_Zwps30dlVa-pZFsorjVf1Pil6WXwzCsJU0U2whO3NI/edit?usp=sharing"",""ชลบุรี!N475"")"),0)</f>
        <v>0</v>
      </c>
      <c r="P56" s="64">
        <f ca="1">IFERROR(__xludf.DUMMYFUNCTION("IMPORTRANGE(""https://docs.google.com/spreadsheets/d/1_Zwps30dlVa-pZFsorjVf1Pil6WXwzCsJU0U2whO3NI/edit?usp=sharing"",""ชลบุรี!N476"")"),7705)</f>
        <v>7705</v>
      </c>
      <c r="Q56" s="62">
        <f ca="1">IFERROR(__xludf.DUMMYFUNCTION("IMPORTRANGE(""https://docs.google.com/spreadsheets/d/1_Zwps30dlVa-pZFsorjVf1Pil6WXwzCsJU0U2whO3NI/edit?usp=sharing"",""ชลบุรี!N479"")"),0)</f>
        <v>0</v>
      </c>
      <c r="R56" s="62">
        <f t="shared" ca="1" si="46"/>
        <v>0</v>
      </c>
      <c r="S56" s="57">
        <f ca="1">IFERROR(__xludf.DUMMYFUNCTION("IMPORTRANGE(""https://docs.google.com/spreadsheets/d/1_Zwps30dlVa-pZFsorjVf1Pil6WXwzCsJU0U2whO3NI/edit?usp=sharing"",""ชลบุรี!I465"")"),41)</f>
        <v>41</v>
      </c>
      <c r="T56" s="57">
        <f ca="1">IFERROR(__xludf.DUMMYFUNCTION("IMPORTRANGE(""https://docs.google.com/spreadsheets/d/1_Zwps30dlVa-pZFsorjVf1Pil6WXwzCsJU0U2whO3NI/edit?usp=sharing"",""ชลบุรี!I466"")"),400)</f>
        <v>400</v>
      </c>
      <c r="U56" s="57">
        <f ca="1">IFERROR(__xludf.DUMMYFUNCTION("IMPORTRANGE(""https://docs.google.com/spreadsheets/d/1_Zwps30dlVa-pZFsorjVf1Pil6WXwzCsJU0U2whO3NI/edit?usp=sharing"",""ชลบุรี!J465"")"),41)</f>
        <v>41</v>
      </c>
      <c r="V56" s="63">
        <f t="shared" ca="1" si="6"/>
        <v>100</v>
      </c>
      <c r="W56" s="57">
        <f ca="1">IFERROR(__xludf.DUMMYFUNCTION("IMPORTRANGE(""https://docs.google.com/spreadsheets/d/1_Zwps30dlVa-pZFsorjVf1Pil6WXwzCsJU0U2whO3NI/edit?usp=sharing"",""ชลบุรี!J466"")"),0)</f>
        <v>0</v>
      </c>
      <c r="X56" s="63">
        <f t="shared" ca="1" si="7"/>
        <v>0</v>
      </c>
      <c r="Y56" s="57">
        <f ca="1">IFERROR(__xludf.DUMMYFUNCTION("IMPORTRANGE(""https://docs.google.com/spreadsheets/d/1_Zwps30dlVa-pZFsorjVf1Pil6WXwzCsJU0U2whO3NI/edit?usp=sharing"",""ชลบุรี!I483"")"),360)</f>
        <v>360</v>
      </c>
      <c r="Z56" s="57">
        <f ca="1">IFERROR(__xludf.DUMMYFUNCTION("IMPORTRANGE(""https://docs.google.com/spreadsheets/d/1_Zwps30dlVa-pZFsorjVf1Pil6WXwzCsJU0U2whO3NI/edit?usp=sharing"",""ชลบุรี!J483"")"),360)</f>
        <v>360</v>
      </c>
      <c r="AA56" s="63">
        <f t="shared" ca="1" si="35"/>
        <v>100</v>
      </c>
      <c r="AB56" s="57">
        <f ca="1">IFERROR(__xludf.DUMMYFUNCTION("IMPORTRANGE(""https://docs.google.com/spreadsheets/d/1_Zwps30dlVa-pZFsorjVf1Pil6WXwzCsJU0U2whO3NI/edit?usp=sharing"",""ชลบุรี!J484"")"),0)</f>
        <v>0</v>
      </c>
      <c r="AC56" s="57">
        <f ca="1">IFERROR(__xludf.DUMMYFUNCTION("IMPORTRANGE(""https://docs.google.com/spreadsheets/d/1_Zwps30dlVa-pZFsorjVf1Pil6WXwzCsJU0U2whO3NI/edit?usp=sharing"",""ชลบุรี!I485"")"),36)</f>
        <v>36</v>
      </c>
      <c r="AD56" s="57">
        <f ca="1">IFERROR(__xludf.DUMMYFUNCTION("IMPORTRANGE(""https://docs.google.com/spreadsheets/d/1_Zwps30dlVa-pZFsorjVf1Pil6WXwzCsJU0U2whO3NI/edit?usp=sharing"",""ชลบุรี!J485"")"),36)</f>
        <v>36</v>
      </c>
      <c r="AE56" s="63">
        <f t="shared" ca="1" si="36"/>
        <v>100</v>
      </c>
      <c r="AF56" s="57">
        <f ca="1">IFERROR(__xludf.DUMMYFUNCTION("IMPORTRANGE(""https://docs.google.com/spreadsheets/d/1_Zwps30dlVa-pZFsorjVf1Pil6WXwzCsJU0U2whO3NI/edit?usp=sharing"",""ชลบุรี!I487"")"),40)</f>
        <v>40</v>
      </c>
      <c r="AG56" s="57">
        <f ca="1">IFERROR(__xludf.DUMMYFUNCTION("IMPORTRANGE(""https://docs.google.com/spreadsheets/d/1_Zwps30dlVa-pZFsorjVf1Pil6WXwzCsJU0U2whO3NI/edit?usp=sharing"",""ชลบุรี!J487"")"),40)</f>
        <v>40</v>
      </c>
      <c r="AH56" s="63">
        <f t="shared" ca="1" si="37"/>
        <v>100</v>
      </c>
      <c r="AI56" s="57">
        <f ca="1">IFERROR(__xludf.DUMMYFUNCTION("IMPORTRANGE(""https://docs.google.com/spreadsheets/d/1_Zwps30dlVa-pZFsorjVf1Pil6WXwzCsJU0U2whO3NI/edit?usp=sharing"",""ชลบุรี!J488"")"),0)</f>
        <v>0</v>
      </c>
      <c r="AJ56" s="57">
        <f ca="1">IFERROR(__xludf.DUMMYFUNCTION("IMPORTRANGE(""https://docs.google.com/spreadsheets/d/1_Zwps30dlVa-pZFsorjVf1Pil6WXwzCsJU0U2whO3NI/edit?usp=sharing"",""ชลบุรี!I489"")"),4)</f>
        <v>4</v>
      </c>
      <c r="AK56" s="57">
        <f ca="1">IFERROR(__xludf.DUMMYFUNCTION("IMPORTRANGE(""https://docs.google.com/spreadsheets/d/1_Zwps30dlVa-pZFsorjVf1Pil6WXwzCsJU0U2whO3NI/edit?usp=sharing"",""ชลบุรี!J489"")"),4)</f>
        <v>4</v>
      </c>
      <c r="AL56" s="63">
        <f t="shared" ca="1" si="38"/>
        <v>100</v>
      </c>
      <c r="AM56" s="57">
        <f ca="1">IFERROR(__xludf.DUMMYFUNCTION("IMPORTRANGE(""https://docs.google.com/spreadsheets/d/1_Zwps30dlVa-pZFsorjVf1Pil6WXwzCsJU0U2whO3NI/edit?usp=sharing"",""ชลบุรี!J491"")"),0)</f>
        <v>0</v>
      </c>
      <c r="AN56" s="57">
        <f ca="1">IFERROR(__xludf.DUMMYFUNCTION("IMPORTRANGE(""https://docs.google.com/spreadsheets/d/1_Zwps30dlVa-pZFsorjVf1Pil6WXwzCsJU0U2whO3NI/edit?usp=sharing"",""ชลบุรี!I492"")"),1)</f>
        <v>1</v>
      </c>
      <c r="AO56" s="57">
        <f ca="1">IFERROR(__xludf.DUMMYFUNCTION("IMPORTRANGE(""https://docs.google.com/spreadsheets/d/1_Zwps30dlVa-pZFsorjVf1Pil6WXwzCsJU0U2whO3NI/edit?usp=sharing"",""ชลบุรี!J492"")"),1)</f>
        <v>1</v>
      </c>
      <c r="AP56" s="63">
        <f t="shared" ca="1" si="39"/>
        <v>100</v>
      </c>
      <c r="AQ56" s="57">
        <f ca="1">IFERROR(__xludf.DUMMYFUNCTION("IMPORTRANGE(""https://docs.google.com/spreadsheets/d/1_Zwps30dlVa-pZFsorjVf1Pil6WXwzCsJU0U2whO3NI/edit?usp=sharing"",""ชลบุรี!I495"")"),360)</f>
        <v>360</v>
      </c>
      <c r="AR56" s="57">
        <f ca="1">IFERROR(__xludf.DUMMYFUNCTION("IMPORTRANGE(""https://docs.google.com/spreadsheets/d/1_Zwps30dlVa-pZFsorjVf1Pil6WXwzCsJU0U2whO3NI/edit?usp=sharing"",""ชลบุรี!J495"")"),0)</f>
        <v>0</v>
      </c>
      <c r="AS56" s="63">
        <f t="shared" ca="1" si="40"/>
        <v>0</v>
      </c>
      <c r="AT56" s="57">
        <f ca="1">IFERROR(__xludf.DUMMYFUNCTION("IMPORTRANGE(""https://docs.google.com/spreadsheets/d/1_Zwps30dlVa-pZFsorjVf1Pil6WXwzCsJU0U2whO3NI/edit?usp=sharing"",""ชลบุรี!J496"")"),0)</f>
        <v>0</v>
      </c>
      <c r="AU56" s="57">
        <f ca="1">IFERROR(__xludf.DUMMYFUNCTION("IMPORTRANGE(""https://docs.google.com/spreadsheets/d/1_Zwps30dlVa-pZFsorjVf1Pil6WXwzCsJU0U2whO3NI/edit?usp=sharing"",""ชลบุรี!I498"")"),40)</f>
        <v>40</v>
      </c>
      <c r="AV56" s="57">
        <f ca="1">IFERROR(__xludf.DUMMYFUNCTION("IMPORTRANGE(""https://docs.google.com/spreadsheets/d/1_Zwps30dlVa-pZFsorjVf1Pil6WXwzCsJU0U2whO3NI/edit?usp=sharing"",""ชลบุรี!J498"")"),0)</f>
        <v>0</v>
      </c>
      <c r="AW56" s="63">
        <f t="shared" ca="1" si="41"/>
        <v>0</v>
      </c>
      <c r="AX56" s="57">
        <f ca="1">IFERROR(__xludf.DUMMYFUNCTION("IMPORTRANGE(""https://docs.google.com/spreadsheets/d/1_Zwps30dlVa-pZFsorjVf1Pil6WXwzCsJU0U2whO3NI/edit?usp=sharing"",""ชลบุรี!J499"")"),0)</f>
        <v>0</v>
      </c>
    </row>
    <row r="57" spans="1:50" ht="21" customHeight="1" x14ac:dyDescent="0.3">
      <c r="A57" s="54">
        <v>5</v>
      </c>
      <c r="B57" s="55" t="s">
        <v>78</v>
      </c>
      <c r="C57" s="56">
        <f t="shared" ca="1" si="79"/>
        <v>179763</v>
      </c>
      <c r="D57" s="57">
        <f ca="1">IFERROR(__xludf.DUMMYFUNCTION("IMPORTRANGE(""https://docs.google.com/spreadsheets/d/1xAsT4sUbBlom7l0acStESh_15nvjZcXjZM7fK5uZSq8/edit?usp=sharing"",""ชัยนาท!L472"")"),179763)</f>
        <v>179763</v>
      </c>
      <c r="E57" s="64">
        <f ca="1">IFERROR(__xludf.DUMMYFUNCTION("IMPORTRANGE(""https://docs.google.com/spreadsheets/d/1xAsT4sUbBlom7l0acStESh_15nvjZcXjZM7fK5uZSq8/edit?usp=sharing"",""ชัยนาท!L479"")"),0)</f>
        <v>0</v>
      </c>
      <c r="F57" s="64">
        <f ca="1">IFERROR(__xludf.DUMMYFUNCTION("IMPORTRANGE(""https://docs.google.com/spreadsheets/d/1xAsT4sUbBlom7l0acStESh_15nvjZcXjZM7fK5uZSq8/edit?usp=sharing"",""ชัยนาท!M472"")"),179763)</f>
        <v>179763</v>
      </c>
      <c r="G57" s="64">
        <f ca="1">IFERROR(__xludf.DUMMYFUNCTION("IMPORTRANGE(""https://docs.google.com/spreadsheets/d/1xAsT4sUbBlom7l0acStESh_15nvjZcXjZM7fK5uZSq8/edit?usp=sharing"",""ชัยนาท!M479"")"),0)</f>
        <v>0</v>
      </c>
      <c r="H57" s="58">
        <f t="shared" ca="1" si="34"/>
        <v>41315</v>
      </c>
      <c r="I57" s="59">
        <f t="shared" ca="1" si="1"/>
        <v>22.98303877883658</v>
      </c>
      <c r="J57" s="60">
        <f t="shared" ca="1" si="80"/>
        <v>41315</v>
      </c>
      <c r="K57" s="61">
        <f t="shared" ca="1" si="43"/>
        <v>22.98303877883658</v>
      </c>
      <c r="L57" s="61">
        <f t="shared" ca="1" si="44"/>
        <v>22.98303877883658</v>
      </c>
      <c r="M57" s="64">
        <f ca="1">IFERROR(__xludf.DUMMYFUNCTION("IMPORTRANGE(""https://docs.google.com/spreadsheets/d/1xAsT4sUbBlom7l0acStESh_15nvjZcXjZM7fK5uZSq8/edit?usp=sharing"",""ชัยนาท!N473"")"),25780)</f>
        <v>25780</v>
      </c>
      <c r="N57" s="64">
        <f ca="1">IFERROR(__xludf.DUMMYFUNCTION("IMPORTRANGE(""https://docs.google.com/spreadsheets/d/1xAsT4sUbBlom7l0acStESh_15nvjZcXjZM7fK5uZSq8/edit?usp=sharing"",""ชัยนาท!N474"")"),5640)</f>
        <v>5640</v>
      </c>
      <c r="O57" s="64">
        <f ca="1">IFERROR(__xludf.DUMMYFUNCTION("IMPORTRANGE(""https://docs.google.com/spreadsheets/d/1xAsT4sUbBlom7l0acStESh_15nvjZcXjZM7fK5uZSq8/edit?usp=sharing"",""ชัยนาท!N475"")"),3500)</f>
        <v>3500</v>
      </c>
      <c r="P57" s="64">
        <f ca="1">IFERROR(__xludf.DUMMYFUNCTION("IMPORTRANGE(""https://docs.google.com/spreadsheets/d/1xAsT4sUbBlom7l0acStESh_15nvjZcXjZM7fK5uZSq8/edit?usp=sharing"",""ชัยนาท!N476"")"),6395)</f>
        <v>6395</v>
      </c>
      <c r="Q57" s="62">
        <f ca="1">IFERROR(__xludf.DUMMYFUNCTION("IMPORTRANGE(""https://docs.google.com/spreadsheets/d/1xAsT4sUbBlom7l0acStESh_15nvjZcXjZM7fK5uZSq8/edit?usp=sharing"",""ชัยนาท!N479"")"),0)</f>
        <v>0</v>
      </c>
      <c r="R57" s="62">
        <f t="shared" ca="1" si="46"/>
        <v>0</v>
      </c>
      <c r="S57" s="57">
        <f ca="1">IFERROR(__xludf.DUMMYFUNCTION("IMPORTRANGE(""https://docs.google.com/spreadsheets/d/1xAsT4sUbBlom7l0acStESh_15nvjZcXjZM7fK5uZSq8/edit?usp=sharing"",""ชัยนาท!I465"")"),21)</f>
        <v>21</v>
      </c>
      <c r="T57" s="57">
        <f ca="1">IFERROR(__xludf.DUMMYFUNCTION("IMPORTRANGE(""https://docs.google.com/spreadsheets/d/1xAsT4sUbBlom7l0acStESh_15nvjZcXjZM7fK5uZSq8/edit?usp=sharing"",""ชัยนาท!I466"")"),200)</f>
        <v>200</v>
      </c>
      <c r="U57" s="57">
        <f ca="1">IFERROR(__xludf.DUMMYFUNCTION("IMPORTRANGE(""https://docs.google.com/spreadsheets/d/1xAsT4sUbBlom7l0acStESh_15nvjZcXjZM7fK5uZSq8/edit?usp=sharing"",""ชัยนาท!J465"")"),21)</f>
        <v>21</v>
      </c>
      <c r="V57" s="63">
        <f t="shared" ca="1" si="6"/>
        <v>100</v>
      </c>
      <c r="W57" s="57">
        <f ca="1">IFERROR(__xludf.DUMMYFUNCTION("IMPORTRANGE(""https://docs.google.com/spreadsheets/d/1xAsT4sUbBlom7l0acStESh_15nvjZcXjZM7fK5uZSq8/edit?usp=sharing"",""ชัยนาท!J466"")"),0)</f>
        <v>0</v>
      </c>
      <c r="X57" s="63">
        <f t="shared" ca="1" si="7"/>
        <v>0</v>
      </c>
      <c r="Y57" s="57">
        <f ca="1">IFERROR(__xludf.DUMMYFUNCTION("IMPORTRANGE(""https://docs.google.com/spreadsheets/d/1xAsT4sUbBlom7l0acStESh_15nvjZcXjZM7fK5uZSq8/edit?usp=sharing"",""ชัยนาท!I483"")"),180)</f>
        <v>180</v>
      </c>
      <c r="Z57" s="57">
        <f ca="1">IFERROR(__xludf.DUMMYFUNCTION("IMPORTRANGE(""https://docs.google.com/spreadsheets/d/1xAsT4sUbBlom7l0acStESh_15nvjZcXjZM7fK5uZSq8/edit?usp=sharing"",""ชัยนาท!J483"")"),180)</f>
        <v>180</v>
      </c>
      <c r="AA57" s="63">
        <f t="shared" ca="1" si="35"/>
        <v>100</v>
      </c>
      <c r="AB57" s="57">
        <f ca="1">IFERROR(__xludf.DUMMYFUNCTION("IMPORTRANGE(""https://docs.google.com/spreadsheets/d/1xAsT4sUbBlom7l0acStESh_15nvjZcXjZM7fK5uZSq8/edit?usp=sharing"",""ชัยนาท!J484"")"),0)</f>
        <v>0</v>
      </c>
      <c r="AC57" s="57">
        <f ca="1">IFERROR(__xludf.DUMMYFUNCTION("IMPORTRANGE(""https://docs.google.com/spreadsheets/d/1xAsT4sUbBlom7l0acStESh_15nvjZcXjZM7fK5uZSq8/edit?usp=sharing"",""ชัยนาท!I485"")"),18)</f>
        <v>18</v>
      </c>
      <c r="AD57" s="57">
        <f ca="1">IFERROR(__xludf.DUMMYFUNCTION("IMPORTRANGE(""https://docs.google.com/spreadsheets/d/1xAsT4sUbBlom7l0acStESh_15nvjZcXjZM7fK5uZSq8/edit?usp=sharing"",""ชัยนาท!J485"")"),18)</f>
        <v>18</v>
      </c>
      <c r="AE57" s="63">
        <f t="shared" ca="1" si="36"/>
        <v>100</v>
      </c>
      <c r="AF57" s="57">
        <f ca="1">IFERROR(__xludf.DUMMYFUNCTION("IMPORTRANGE(""https://docs.google.com/spreadsheets/d/1xAsT4sUbBlom7l0acStESh_15nvjZcXjZM7fK5uZSq8/edit?usp=sharing"",""ชัยนาท!I487"")"),20)</f>
        <v>20</v>
      </c>
      <c r="AG57" s="57">
        <f ca="1">IFERROR(__xludf.DUMMYFUNCTION("IMPORTRANGE(""https://docs.google.com/spreadsheets/d/1xAsT4sUbBlom7l0acStESh_15nvjZcXjZM7fK5uZSq8/edit?usp=sharing"",""ชัยนาท!J487"")"),20)</f>
        <v>20</v>
      </c>
      <c r="AH57" s="63">
        <f t="shared" ca="1" si="37"/>
        <v>100</v>
      </c>
      <c r="AI57" s="57">
        <f ca="1">IFERROR(__xludf.DUMMYFUNCTION("IMPORTRANGE(""https://docs.google.com/spreadsheets/d/1xAsT4sUbBlom7l0acStESh_15nvjZcXjZM7fK5uZSq8/edit?usp=sharing"",""ชัยนาท!J488"")"),0)</f>
        <v>0</v>
      </c>
      <c r="AJ57" s="57">
        <f ca="1">IFERROR(__xludf.DUMMYFUNCTION("IMPORTRANGE(""https://docs.google.com/spreadsheets/d/1xAsT4sUbBlom7l0acStESh_15nvjZcXjZM7fK5uZSq8/edit?usp=sharing"",""ชัยนาท!I489"")"),2)</f>
        <v>2</v>
      </c>
      <c r="AK57" s="57">
        <f ca="1">IFERROR(__xludf.DUMMYFUNCTION("IMPORTRANGE(""https://docs.google.com/spreadsheets/d/1xAsT4sUbBlom7l0acStESh_15nvjZcXjZM7fK5uZSq8/edit?usp=sharing"",""ชัยนาท!J489"")"),2)</f>
        <v>2</v>
      </c>
      <c r="AL57" s="63">
        <f t="shared" ca="1" si="38"/>
        <v>100</v>
      </c>
      <c r="AM57" s="57">
        <f ca="1">IFERROR(__xludf.DUMMYFUNCTION("IMPORTRANGE(""https://docs.google.com/spreadsheets/d/1xAsT4sUbBlom7l0acStESh_15nvjZcXjZM7fK5uZSq8/edit?usp=sharing"",""ชัยนาท!J491"")"),0)</f>
        <v>0</v>
      </c>
      <c r="AN57" s="57">
        <f ca="1">IFERROR(__xludf.DUMMYFUNCTION("IMPORTRANGE(""https://docs.google.com/spreadsheets/d/1xAsT4sUbBlom7l0acStESh_15nvjZcXjZM7fK5uZSq8/edit?usp=sharing"",""ชัยนาท!I492"")"),1)</f>
        <v>1</v>
      </c>
      <c r="AO57" s="57">
        <f ca="1">IFERROR(__xludf.DUMMYFUNCTION("IMPORTRANGE(""https://docs.google.com/spreadsheets/d/1xAsT4sUbBlom7l0acStESh_15nvjZcXjZM7fK5uZSq8/edit?usp=sharing"",""ชัยนาท!J492"")"),1)</f>
        <v>1</v>
      </c>
      <c r="AP57" s="63">
        <f t="shared" ca="1" si="39"/>
        <v>100</v>
      </c>
      <c r="AQ57" s="57">
        <f ca="1">IFERROR(__xludf.DUMMYFUNCTION("IMPORTRANGE(""https://docs.google.com/spreadsheets/d/1xAsT4sUbBlom7l0acStESh_15nvjZcXjZM7fK5uZSq8/edit?usp=sharing"",""ชัยนาท!I495"")"),180)</f>
        <v>180</v>
      </c>
      <c r="AR57" s="57">
        <f ca="1">IFERROR(__xludf.DUMMYFUNCTION("IMPORTRANGE(""https://docs.google.com/spreadsheets/d/1xAsT4sUbBlom7l0acStESh_15nvjZcXjZM7fK5uZSq8/edit?usp=sharing"",""ชัยนาท!J495"")"),0)</f>
        <v>0</v>
      </c>
      <c r="AS57" s="63">
        <f t="shared" ca="1" si="40"/>
        <v>0</v>
      </c>
      <c r="AT57" s="57">
        <f ca="1">IFERROR(__xludf.DUMMYFUNCTION("IMPORTRANGE(""https://docs.google.com/spreadsheets/d/1xAsT4sUbBlom7l0acStESh_15nvjZcXjZM7fK5uZSq8/edit?usp=sharing"",""ชัยนาท!J496"")"),0)</f>
        <v>0</v>
      </c>
      <c r="AU57" s="57">
        <f ca="1">IFERROR(__xludf.DUMMYFUNCTION("IMPORTRANGE(""https://docs.google.com/spreadsheets/d/1xAsT4sUbBlom7l0acStESh_15nvjZcXjZM7fK5uZSq8/edit?usp=sharing"",""ชัยนาท!I498"")"),20)</f>
        <v>20</v>
      </c>
      <c r="AV57" s="57">
        <f ca="1">IFERROR(__xludf.DUMMYFUNCTION("IMPORTRANGE(""https://docs.google.com/spreadsheets/d/1xAsT4sUbBlom7l0acStESh_15nvjZcXjZM7fK5uZSq8/edit?usp=sharing"",""ชัยนาท!J498"")"),0)</f>
        <v>0</v>
      </c>
      <c r="AW57" s="63">
        <f t="shared" ca="1" si="41"/>
        <v>0</v>
      </c>
      <c r="AX57" s="57">
        <f ca="1">IFERROR(__xludf.DUMMYFUNCTION("IMPORTRANGE(""https://docs.google.com/spreadsheets/d/1xAsT4sUbBlom7l0acStESh_15nvjZcXjZM7fK5uZSq8/edit?usp=sharing"",""ชัยนาท!J499"")"),0)</f>
        <v>0</v>
      </c>
    </row>
    <row r="58" spans="1:50" ht="21" customHeight="1" x14ac:dyDescent="0.3">
      <c r="A58" s="54">
        <v>6</v>
      </c>
      <c r="B58" s="55" t="s">
        <v>79</v>
      </c>
      <c r="C58" s="56">
        <f t="shared" ca="1" si="79"/>
        <v>181023</v>
      </c>
      <c r="D58" s="57">
        <f ca="1">IFERROR(__xludf.DUMMYFUNCTION("IMPORTRANGE(""https://docs.google.com/spreadsheets/d/1vWPVBOAaZ6mHSI8yf95DNqHwTJ1cpeFsvqt6cxV34QA/edit?usp=sharing"",""ตราด!L472"")"),181023)</f>
        <v>181023</v>
      </c>
      <c r="E58" s="64">
        <f ca="1">IFERROR(__xludf.DUMMYFUNCTION("IMPORTRANGE(""https://docs.google.com/spreadsheets/d/1vWPVBOAaZ6mHSI8yf95DNqHwTJ1cpeFsvqt6cxV34QA/edit?usp=sharing"",""ตราด!L479"")"),0)</f>
        <v>0</v>
      </c>
      <c r="F58" s="64">
        <f ca="1">IFERROR(__xludf.DUMMYFUNCTION("IMPORTRANGE(""https://docs.google.com/spreadsheets/d/1vWPVBOAaZ6mHSI8yf95DNqHwTJ1cpeFsvqt6cxV34QA/edit?usp=sharing"",""ตราด!M472"")"),181023)</f>
        <v>181023</v>
      </c>
      <c r="G58" s="64">
        <f ca="1">IFERROR(__xludf.DUMMYFUNCTION("IMPORTRANGE(""https://docs.google.com/spreadsheets/d/1vWPVBOAaZ6mHSI8yf95DNqHwTJ1cpeFsvqt6cxV34QA/edit?usp=sharing"",""ตราด!M479"")"),0)</f>
        <v>0</v>
      </c>
      <c r="H58" s="58">
        <f t="shared" ca="1" si="34"/>
        <v>32028</v>
      </c>
      <c r="I58" s="59">
        <f t="shared" ca="1" si="1"/>
        <v>17.69277937057722</v>
      </c>
      <c r="J58" s="60">
        <f t="shared" ca="1" si="80"/>
        <v>32028</v>
      </c>
      <c r="K58" s="61">
        <f t="shared" ca="1" si="43"/>
        <v>17.69277937057722</v>
      </c>
      <c r="L58" s="61">
        <f t="shared" ca="1" si="44"/>
        <v>17.69277937057722</v>
      </c>
      <c r="M58" s="64">
        <f ca="1">IFERROR(__xludf.DUMMYFUNCTION("IMPORTRANGE(""https://docs.google.com/spreadsheets/d/1vWPVBOAaZ6mHSI8yf95DNqHwTJ1cpeFsvqt6cxV34QA/edit?usp=sharing"",""ตราด!N473"")"),24903)</f>
        <v>24903</v>
      </c>
      <c r="N58" s="64">
        <f ca="1">IFERROR(__xludf.DUMMYFUNCTION("IMPORTRANGE(""https://docs.google.com/spreadsheets/d/1vWPVBOAaZ6mHSI8yf95DNqHwTJ1cpeFsvqt6cxV34QA/edit?usp=sharing"",""ตราด!N474"")"),0)</f>
        <v>0</v>
      </c>
      <c r="O58" s="64">
        <f ca="1">IFERROR(__xludf.DUMMYFUNCTION("IMPORTRANGE(""https://docs.google.com/spreadsheets/d/1vWPVBOAaZ6mHSI8yf95DNqHwTJ1cpeFsvqt6cxV34QA/edit?usp=sharing"",""ตราด!N475"")"),0)</f>
        <v>0</v>
      </c>
      <c r="P58" s="64">
        <f ca="1">IFERROR(__xludf.DUMMYFUNCTION("IMPORTRANGE(""https://docs.google.com/spreadsheets/d/1vWPVBOAaZ6mHSI8yf95DNqHwTJ1cpeFsvqt6cxV34QA/edit?usp=sharing"",""ตราด!N476"")"),7125)</f>
        <v>7125</v>
      </c>
      <c r="Q58" s="62">
        <f ca="1">IFERROR(__xludf.DUMMYFUNCTION("IMPORTRANGE(""https://docs.google.com/spreadsheets/d/1vWPVBOAaZ6mHSI8yf95DNqHwTJ1cpeFsvqt6cxV34QA/edit?usp=sharing"",""ตราด!N479"")"),0)</f>
        <v>0</v>
      </c>
      <c r="R58" s="62">
        <f t="shared" ca="1" si="46"/>
        <v>0</v>
      </c>
      <c r="S58" s="57">
        <f ca="1">IFERROR(__xludf.DUMMYFUNCTION("IMPORTRANGE(""https://docs.google.com/spreadsheets/d/1vWPVBOAaZ6mHSI8yf95DNqHwTJ1cpeFsvqt6cxV34QA/edit?usp=sharing"",""ตราด!I465"")"),21)</f>
        <v>21</v>
      </c>
      <c r="T58" s="57">
        <f ca="1">IFERROR(__xludf.DUMMYFUNCTION("IMPORTRANGE(""https://docs.google.com/spreadsheets/d/1vWPVBOAaZ6mHSI8yf95DNqHwTJ1cpeFsvqt6cxV34QA/edit?usp=sharing"",""ตราด!I466"")"),200)</f>
        <v>200</v>
      </c>
      <c r="U58" s="57">
        <f ca="1">IFERROR(__xludf.DUMMYFUNCTION("IMPORTRANGE(""https://docs.google.com/spreadsheets/d/1vWPVBOAaZ6mHSI8yf95DNqHwTJ1cpeFsvqt6cxV34QA/edit?usp=sharing"",""ตราด!J465"")"),21)</f>
        <v>21</v>
      </c>
      <c r="V58" s="63">
        <f t="shared" ca="1" si="6"/>
        <v>100</v>
      </c>
      <c r="W58" s="57">
        <f ca="1">IFERROR(__xludf.DUMMYFUNCTION("IMPORTRANGE(""https://docs.google.com/spreadsheets/d/1vWPVBOAaZ6mHSI8yf95DNqHwTJ1cpeFsvqt6cxV34QA/edit?usp=sharing"",""ตราด!J466"")"),0)</f>
        <v>0</v>
      </c>
      <c r="X58" s="63">
        <f t="shared" ca="1" si="7"/>
        <v>0</v>
      </c>
      <c r="Y58" s="57">
        <f ca="1">IFERROR(__xludf.DUMMYFUNCTION("IMPORTRANGE(""https://docs.google.com/spreadsheets/d/1vWPVBOAaZ6mHSI8yf95DNqHwTJ1cpeFsvqt6cxV34QA/edit?usp=sharing"",""ตราด!I483"")"),180)</f>
        <v>180</v>
      </c>
      <c r="Z58" s="57">
        <f ca="1">IFERROR(__xludf.DUMMYFUNCTION("IMPORTRANGE(""https://docs.google.com/spreadsheets/d/1vWPVBOAaZ6mHSI8yf95DNqHwTJ1cpeFsvqt6cxV34QA/edit?usp=sharing"",""ตราด!J483"")"),180)</f>
        <v>180</v>
      </c>
      <c r="AA58" s="63">
        <f t="shared" ca="1" si="35"/>
        <v>100</v>
      </c>
      <c r="AB58" s="57">
        <f ca="1">IFERROR(__xludf.DUMMYFUNCTION("IMPORTRANGE(""https://docs.google.com/spreadsheets/d/1vWPVBOAaZ6mHSI8yf95DNqHwTJ1cpeFsvqt6cxV34QA/edit?usp=sharing"",""ตราด!J484"")"),18)</f>
        <v>18</v>
      </c>
      <c r="AC58" s="57">
        <f ca="1">IFERROR(__xludf.DUMMYFUNCTION("IMPORTRANGE(""https://docs.google.com/spreadsheets/d/1vWPVBOAaZ6mHSI8yf95DNqHwTJ1cpeFsvqt6cxV34QA/edit?usp=sharing"",""ตราด!I485"")"),18)</f>
        <v>18</v>
      </c>
      <c r="AD58" s="57">
        <f ca="1">IFERROR(__xludf.DUMMYFUNCTION("IMPORTRANGE(""https://docs.google.com/spreadsheets/d/1vWPVBOAaZ6mHSI8yf95DNqHwTJ1cpeFsvqt6cxV34QA/edit?usp=sharing"",""ตราด!J485"")"),18)</f>
        <v>18</v>
      </c>
      <c r="AE58" s="63">
        <f t="shared" ca="1" si="36"/>
        <v>100</v>
      </c>
      <c r="AF58" s="57">
        <f ca="1">IFERROR(__xludf.DUMMYFUNCTION("IMPORTRANGE(""https://docs.google.com/spreadsheets/d/1vWPVBOAaZ6mHSI8yf95DNqHwTJ1cpeFsvqt6cxV34QA/edit?usp=sharing"",""ตราด!I487"")"),20)</f>
        <v>20</v>
      </c>
      <c r="AG58" s="57">
        <f ca="1">IFERROR(__xludf.DUMMYFUNCTION("IMPORTRANGE(""https://docs.google.com/spreadsheets/d/1vWPVBOAaZ6mHSI8yf95DNqHwTJ1cpeFsvqt6cxV34QA/edit?usp=sharing"",""ตราด!J487"")"),20)</f>
        <v>20</v>
      </c>
      <c r="AH58" s="63">
        <f t="shared" ca="1" si="37"/>
        <v>100</v>
      </c>
      <c r="AI58" s="57">
        <f ca="1">IFERROR(__xludf.DUMMYFUNCTION("IMPORTRANGE(""https://docs.google.com/spreadsheets/d/1vWPVBOAaZ6mHSI8yf95DNqHwTJ1cpeFsvqt6cxV34QA/edit?usp=sharing"",""ตราด!J488"")"),20)</f>
        <v>20</v>
      </c>
      <c r="AJ58" s="57">
        <f ca="1">IFERROR(__xludf.DUMMYFUNCTION("IMPORTRANGE(""https://docs.google.com/spreadsheets/d/1vWPVBOAaZ6mHSI8yf95DNqHwTJ1cpeFsvqt6cxV34QA/edit?usp=sharing"",""ตราด!I489"")"),2)</f>
        <v>2</v>
      </c>
      <c r="AK58" s="57">
        <f ca="1">IFERROR(__xludf.DUMMYFUNCTION("IMPORTRANGE(""https://docs.google.com/spreadsheets/d/1vWPVBOAaZ6mHSI8yf95DNqHwTJ1cpeFsvqt6cxV34QA/edit?usp=sharing"",""ตราด!J489"")"),2)</f>
        <v>2</v>
      </c>
      <c r="AL58" s="63">
        <f t="shared" ca="1" si="38"/>
        <v>100</v>
      </c>
      <c r="AM58" s="57">
        <f ca="1">IFERROR(__xludf.DUMMYFUNCTION("IMPORTRANGE(""https://docs.google.com/spreadsheets/d/1vWPVBOAaZ6mHSI8yf95DNqHwTJ1cpeFsvqt6cxV34QA/edit?usp=sharing"",""ตราด!J491"")"),1)</f>
        <v>1</v>
      </c>
      <c r="AN58" s="57">
        <f ca="1">IFERROR(__xludf.DUMMYFUNCTION("IMPORTRANGE(""https://docs.google.com/spreadsheets/d/1vWPVBOAaZ6mHSI8yf95DNqHwTJ1cpeFsvqt6cxV34QA/edit?usp=sharing"",""ตราด!I492"")"),1)</f>
        <v>1</v>
      </c>
      <c r="AO58" s="57">
        <f ca="1">IFERROR(__xludf.DUMMYFUNCTION("IMPORTRANGE(""https://docs.google.com/spreadsheets/d/1vWPVBOAaZ6mHSI8yf95DNqHwTJ1cpeFsvqt6cxV34QA/edit?usp=sharing"",""ตราด!J492"")"),1)</f>
        <v>1</v>
      </c>
      <c r="AP58" s="63">
        <f t="shared" ca="1" si="39"/>
        <v>100</v>
      </c>
      <c r="AQ58" s="57">
        <f ca="1">IFERROR(__xludf.DUMMYFUNCTION("IMPORTRANGE(""https://docs.google.com/spreadsheets/d/1vWPVBOAaZ6mHSI8yf95DNqHwTJ1cpeFsvqt6cxV34QA/edit?usp=sharing"",""ตราด!I495"")"),180)</f>
        <v>180</v>
      </c>
      <c r="AR58" s="57">
        <f ca="1">IFERROR(__xludf.DUMMYFUNCTION("IMPORTRANGE(""https://docs.google.com/spreadsheets/d/1vWPVBOAaZ6mHSI8yf95DNqHwTJ1cpeFsvqt6cxV34QA/edit?usp=sharing"",""ตราด!J495"")"),0)</f>
        <v>0</v>
      </c>
      <c r="AS58" s="63">
        <f t="shared" ca="1" si="40"/>
        <v>0</v>
      </c>
      <c r="AT58" s="57">
        <f ca="1">IFERROR(__xludf.DUMMYFUNCTION("IMPORTRANGE(""https://docs.google.com/spreadsheets/d/1vWPVBOAaZ6mHSI8yf95DNqHwTJ1cpeFsvqt6cxV34QA/edit?usp=sharing"",""ตราด!J496"")"),0)</f>
        <v>0</v>
      </c>
      <c r="AU58" s="57">
        <f ca="1">IFERROR(__xludf.DUMMYFUNCTION("IMPORTRANGE(""https://docs.google.com/spreadsheets/d/1vWPVBOAaZ6mHSI8yf95DNqHwTJ1cpeFsvqt6cxV34QA/edit?usp=sharing"",""ตราด!I498"")"),20)</f>
        <v>20</v>
      </c>
      <c r="AV58" s="57">
        <f ca="1">IFERROR(__xludf.DUMMYFUNCTION("IMPORTRANGE(""https://docs.google.com/spreadsheets/d/1vWPVBOAaZ6mHSI8yf95DNqHwTJ1cpeFsvqt6cxV34QA/edit?usp=sharing"",""ตราด!J498"")"),0)</f>
        <v>0</v>
      </c>
      <c r="AW58" s="63">
        <f t="shared" ca="1" si="41"/>
        <v>0</v>
      </c>
      <c r="AX58" s="57">
        <f ca="1">IFERROR(__xludf.DUMMYFUNCTION("IMPORTRANGE(""https://docs.google.com/spreadsheets/d/1vWPVBOAaZ6mHSI8yf95DNqHwTJ1cpeFsvqt6cxV34QA/edit?usp=sharing"",""ตราด!J499"")"),0)</f>
        <v>0</v>
      </c>
    </row>
    <row r="59" spans="1:50" ht="21" customHeight="1" x14ac:dyDescent="0.3">
      <c r="A59" s="54">
        <v>7</v>
      </c>
      <c r="B59" s="55" t="s">
        <v>80</v>
      </c>
      <c r="C59" s="56">
        <f t="shared" ca="1" si="79"/>
        <v>0</v>
      </c>
      <c r="D59" s="57">
        <f ca="1">IFERROR(__xludf.DUMMYFUNCTION("IMPORTRANGE(""https://docs.google.com/spreadsheets/d/1phaeSb9lTGgzDpbvVqI9hfmOQQzUom07-HEvpbARzEg/edit?usp=sharing"",""นครนายก!L472"")"),0)</f>
        <v>0</v>
      </c>
      <c r="E59" s="64">
        <f ca="1">IFERROR(__xludf.DUMMYFUNCTION("IMPORTRANGE(""https://docs.google.com/spreadsheets/d/1phaeSb9lTGgzDpbvVqI9hfmOQQzUom07-HEvpbARzEg/edit?usp=sharing"",""นครนายก!L479"")"),0)</f>
        <v>0</v>
      </c>
      <c r="F59" s="64">
        <f ca="1">IFERROR(__xludf.DUMMYFUNCTION("IMPORTRANGE(""https://docs.google.com/spreadsheets/d/1phaeSb9lTGgzDpbvVqI9hfmOQQzUom07-HEvpbARzEg/edit?usp=sharing"",""นครนายก!M472"")"),0)</f>
        <v>0</v>
      </c>
      <c r="G59" s="64">
        <f ca="1">IFERROR(__xludf.DUMMYFUNCTION("IMPORTRANGE(""https://docs.google.com/spreadsheets/d/1phaeSb9lTGgzDpbvVqI9hfmOQQzUom07-HEvpbARzEg/edit?usp=sharing"",""นครนายก!M479"")"),0)</f>
        <v>0</v>
      </c>
      <c r="H59" s="58">
        <f t="shared" ca="1" si="34"/>
        <v>0</v>
      </c>
      <c r="I59" s="59">
        <f t="shared" ca="1" si="1"/>
        <v>0</v>
      </c>
      <c r="J59" s="60">
        <f t="shared" ca="1" si="80"/>
        <v>0</v>
      </c>
      <c r="K59" s="61">
        <f t="shared" ca="1" si="43"/>
        <v>0</v>
      </c>
      <c r="L59" s="61">
        <f t="shared" ca="1" si="44"/>
        <v>0</v>
      </c>
      <c r="M59" s="64">
        <f ca="1">IFERROR(__xludf.DUMMYFUNCTION("IMPORTRANGE(""https://docs.google.com/spreadsheets/d/1phaeSb9lTGgzDpbvVqI9hfmOQQzUom07-HEvpbARzEg/edit?usp=sharing"",""นครนายก!N473"")"),0)</f>
        <v>0</v>
      </c>
      <c r="N59" s="64">
        <f ca="1">IFERROR(__xludf.DUMMYFUNCTION("IMPORTRANGE(""https://docs.google.com/spreadsheets/d/1phaeSb9lTGgzDpbvVqI9hfmOQQzUom07-HEvpbARzEg/edit?usp=sharing"",""นครนายก!N474"")"),0)</f>
        <v>0</v>
      </c>
      <c r="O59" s="64">
        <f ca="1">IFERROR(__xludf.DUMMYFUNCTION("IMPORTRANGE(""https://docs.google.com/spreadsheets/d/1phaeSb9lTGgzDpbvVqI9hfmOQQzUom07-HEvpbARzEg/edit?usp=sharing"",""นครนายก!N475"")"),0)</f>
        <v>0</v>
      </c>
      <c r="P59" s="64">
        <f ca="1">IFERROR(__xludf.DUMMYFUNCTION("IMPORTRANGE(""https://docs.google.com/spreadsheets/d/1phaeSb9lTGgzDpbvVqI9hfmOQQzUom07-HEvpbARzEg/edit?usp=sharing"",""นครนายก!N476"")"),0)</f>
        <v>0</v>
      </c>
      <c r="Q59" s="62">
        <f ca="1">IFERROR(__xludf.DUMMYFUNCTION("IMPORTRANGE(""https://docs.google.com/spreadsheets/d/1phaeSb9lTGgzDpbvVqI9hfmOQQzUom07-HEvpbARzEg/edit?usp=sharing"",""นครนายก!N479"")"),0)</f>
        <v>0</v>
      </c>
      <c r="R59" s="62">
        <f t="shared" ca="1" si="46"/>
        <v>0</v>
      </c>
      <c r="S59" s="57">
        <f ca="1">IFERROR(__xludf.DUMMYFUNCTION("IMPORTRANGE(""https://docs.google.com/spreadsheets/d/1phaeSb9lTGgzDpbvVqI9hfmOQQzUom07-HEvpbARzEg/edit?usp=sharing"",""นครนายก!I465"")"),0)</f>
        <v>0</v>
      </c>
      <c r="T59" s="57">
        <f ca="1">IFERROR(__xludf.DUMMYFUNCTION("IMPORTRANGE(""https://docs.google.com/spreadsheets/d/1phaeSb9lTGgzDpbvVqI9hfmOQQzUom07-HEvpbARzEg/edit?usp=sharing"",""นครนายก!I466"")"),0)</f>
        <v>0</v>
      </c>
      <c r="U59" s="57">
        <f ca="1">IFERROR(__xludf.DUMMYFUNCTION("IMPORTRANGE(""https://docs.google.com/spreadsheets/d/1phaeSb9lTGgzDpbvVqI9hfmOQQzUom07-HEvpbARzEg/edit?usp=sharing"",""นครนายก!J465"")"),0)</f>
        <v>0</v>
      </c>
      <c r="V59" s="63">
        <f t="shared" ca="1" si="6"/>
        <v>0</v>
      </c>
      <c r="W59" s="57">
        <f ca="1">IFERROR(__xludf.DUMMYFUNCTION("IMPORTRANGE(""https://docs.google.com/spreadsheets/d/1phaeSb9lTGgzDpbvVqI9hfmOQQzUom07-HEvpbARzEg/edit?usp=sharing"",""นครนายก!J466"")"),0)</f>
        <v>0</v>
      </c>
      <c r="X59" s="63">
        <f t="shared" ca="1" si="7"/>
        <v>0</v>
      </c>
      <c r="Y59" s="57">
        <f ca="1">IFERROR(__xludf.DUMMYFUNCTION("IMPORTRANGE(""https://docs.google.com/spreadsheets/d/1phaeSb9lTGgzDpbvVqI9hfmOQQzUom07-HEvpbARzEg/edit?usp=sharing"",""นครนายก!I483"")"),0)</f>
        <v>0</v>
      </c>
      <c r="Z59" s="57">
        <f ca="1">IFERROR(__xludf.DUMMYFUNCTION("IMPORTRANGE(""https://docs.google.com/spreadsheets/d/1phaeSb9lTGgzDpbvVqI9hfmOQQzUom07-HEvpbARzEg/edit?usp=sharing"",""นครนายก!J483"")"),0)</f>
        <v>0</v>
      </c>
      <c r="AA59" s="63">
        <f t="shared" ca="1" si="35"/>
        <v>0</v>
      </c>
      <c r="AB59" s="57">
        <f ca="1">IFERROR(__xludf.DUMMYFUNCTION("IMPORTRANGE(""https://docs.google.com/spreadsheets/d/1phaeSb9lTGgzDpbvVqI9hfmOQQzUom07-HEvpbARzEg/edit?usp=sharing"",""นครนายก!J484"")"),0)</f>
        <v>0</v>
      </c>
      <c r="AC59" s="57">
        <f ca="1">IFERROR(__xludf.DUMMYFUNCTION("IMPORTRANGE(""https://docs.google.com/spreadsheets/d/1phaeSb9lTGgzDpbvVqI9hfmOQQzUom07-HEvpbARzEg/edit?usp=sharing"",""นครนายก!I485"")"),0)</f>
        <v>0</v>
      </c>
      <c r="AD59" s="57">
        <f ca="1">IFERROR(__xludf.DUMMYFUNCTION("IMPORTRANGE(""https://docs.google.com/spreadsheets/d/1phaeSb9lTGgzDpbvVqI9hfmOQQzUom07-HEvpbARzEg/edit?usp=sharing"",""นครนายก!J485"")"),0)</f>
        <v>0</v>
      </c>
      <c r="AE59" s="63">
        <f t="shared" ca="1" si="36"/>
        <v>0</v>
      </c>
      <c r="AF59" s="57">
        <f ca="1">IFERROR(__xludf.DUMMYFUNCTION("IMPORTRANGE(""https://docs.google.com/spreadsheets/d/1phaeSb9lTGgzDpbvVqI9hfmOQQzUom07-HEvpbARzEg/edit?usp=sharing"",""นครนายก!I487"")"),0)</f>
        <v>0</v>
      </c>
      <c r="AG59" s="57">
        <f ca="1">IFERROR(__xludf.DUMMYFUNCTION("IMPORTRANGE(""https://docs.google.com/spreadsheets/d/1phaeSb9lTGgzDpbvVqI9hfmOQQzUom07-HEvpbARzEg/edit?usp=sharing"",""นครนายก!J487"")"),0)</f>
        <v>0</v>
      </c>
      <c r="AH59" s="63">
        <f t="shared" ca="1" si="37"/>
        <v>0</v>
      </c>
      <c r="AI59" s="57">
        <f ca="1">IFERROR(__xludf.DUMMYFUNCTION("IMPORTRANGE(""https://docs.google.com/spreadsheets/d/1phaeSb9lTGgzDpbvVqI9hfmOQQzUom07-HEvpbARzEg/edit?usp=sharing"",""นครนายก!J488"")"),0)</f>
        <v>0</v>
      </c>
      <c r="AJ59" s="57">
        <f ca="1">IFERROR(__xludf.DUMMYFUNCTION("IMPORTRANGE(""https://docs.google.com/spreadsheets/d/1phaeSb9lTGgzDpbvVqI9hfmOQQzUom07-HEvpbARzEg/edit?usp=sharing"",""นครนายก!I489"")"),0)</f>
        <v>0</v>
      </c>
      <c r="AK59" s="57">
        <f ca="1">IFERROR(__xludf.DUMMYFUNCTION("IMPORTRANGE(""https://docs.google.com/spreadsheets/d/1phaeSb9lTGgzDpbvVqI9hfmOQQzUom07-HEvpbARzEg/edit?usp=sharing"",""นครนายก!J489"")"),0)</f>
        <v>0</v>
      </c>
      <c r="AL59" s="63">
        <f t="shared" ca="1" si="38"/>
        <v>0</v>
      </c>
      <c r="AM59" s="57">
        <f ca="1">IFERROR(__xludf.DUMMYFUNCTION("IMPORTRANGE(""https://docs.google.com/spreadsheets/d/1phaeSb9lTGgzDpbvVqI9hfmOQQzUom07-HEvpbARzEg/edit?usp=sharing"",""นครนายก!J491"")"),0)</f>
        <v>0</v>
      </c>
      <c r="AN59" s="57">
        <f ca="1">IFERROR(__xludf.DUMMYFUNCTION("IMPORTRANGE(""https://docs.google.com/spreadsheets/d/1phaeSb9lTGgzDpbvVqI9hfmOQQzUom07-HEvpbARzEg/edit?usp=sharing"",""นครนายก!I492"")"),0)</f>
        <v>0</v>
      </c>
      <c r="AO59" s="57">
        <f ca="1">IFERROR(__xludf.DUMMYFUNCTION("IMPORTRANGE(""https://docs.google.com/spreadsheets/d/1phaeSb9lTGgzDpbvVqI9hfmOQQzUom07-HEvpbARzEg/edit?usp=sharing"",""นครนายก!J492"")"),0)</f>
        <v>0</v>
      </c>
      <c r="AP59" s="63">
        <f t="shared" ca="1" si="39"/>
        <v>0</v>
      </c>
      <c r="AQ59" s="57">
        <f ca="1">IFERROR(__xludf.DUMMYFUNCTION("IMPORTRANGE(""https://docs.google.com/spreadsheets/d/1phaeSb9lTGgzDpbvVqI9hfmOQQzUom07-HEvpbARzEg/edit?usp=sharing"",""นครนายก!I495"")"),0)</f>
        <v>0</v>
      </c>
      <c r="AR59" s="57">
        <f ca="1">IFERROR(__xludf.DUMMYFUNCTION("IMPORTRANGE(""https://docs.google.com/spreadsheets/d/1phaeSb9lTGgzDpbvVqI9hfmOQQzUom07-HEvpbARzEg/edit?usp=sharing"",""นครนายก!J495"")"),0)</f>
        <v>0</v>
      </c>
      <c r="AS59" s="63">
        <f t="shared" ca="1" si="40"/>
        <v>0</v>
      </c>
      <c r="AT59" s="57">
        <f ca="1">IFERROR(__xludf.DUMMYFUNCTION("IMPORTRANGE(""https://docs.google.com/spreadsheets/d/1phaeSb9lTGgzDpbvVqI9hfmOQQzUom07-HEvpbARzEg/edit?usp=sharing"",""นครนายก!J496"")"),0)</f>
        <v>0</v>
      </c>
      <c r="AU59" s="57">
        <f ca="1">IFERROR(__xludf.DUMMYFUNCTION("IMPORTRANGE(""https://docs.google.com/spreadsheets/d/1phaeSb9lTGgzDpbvVqI9hfmOQQzUom07-HEvpbARzEg/edit?usp=sharing"",""นครนายก!I498"")"),0)</f>
        <v>0</v>
      </c>
      <c r="AV59" s="57">
        <f ca="1">IFERROR(__xludf.DUMMYFUNCTION("IMPORTRANGE(""https://docs.google.com/spreadsheets/d/1phaeSb9lTGgzDpbvVqI9hfmOQQzUom07-HEvpbARzEg/edit?usp=sharing"",""นครนายก!J498"")"),0)</f>
        <v>0</v>
      </c>
      <c r="AW59" s="63">
        <f t="shared" ca="1" si="41"/>
        <v>0</v>
      </c>
      <c r="AX59" s="57">
        <f ca="1">IFERROR(__xludf.DUMMYFUNCTION("IMPORTRANGE(""https://docs.google.com/spreadsheets/d/1phaeSb9lTGgzDpbvVqI9hfmOQQzUom07-HEvpbARzEg/edit?usp=sharing"",""นครนายก!J499"")"),0)</f>
        <v>0</v>
      </c>
    </row>
    <row r="60" spans="1:50" ht="21" customHeight="1" x14ac:dyDescent="0.3">
      <c r="A60" s="54">
        <v>8</v>
      </c>
      <c r="B60" s="55" t="s">
        <v>81</v>
      </c>
      <c r="C60" s="56">
        <f t="shared" ca="1" si="79"/>
        <v>0</v>
      </c>
      <c r="D60" s="57">
        <f ca="1">IFERROR(__xludf.DUMMYFUNCTION("IMPORTRANGE(""https://docs.google.com/spreadsheets/d/1tpwhWwkqkBeiSWCcfB5f2fbwPRbM9hHOEDSDHpl2MIc/edit?usp=sharing"",""นครปฐม!L472"")"),0)</f>
        <v>0</v>
      </c>
      <c r="E60" s="64">
        <f ca="1">IFERROR(__xludf.DUMMYFUNCTION("IMPORTRANGE(""https://docs.google.com/spreadsheets/d/1tpwhWwkqkBeiSWCcfB5f2fbwPRbM9hHOEDSDHpl2MIc/edit?usp=sharing"",""นครปฐม!L479"")"),0)</f>
        <v>0</v>
      </c>
      <c r="F60" s="64">
        <f ca="1">IFERROR(__xludf.DUMMYFUNCTION("IMPORTRANGE(""https://docs.google.com/spreadsheets/d/1tpwhWwkqkBeiSWCcfB5f2fbwPRbM9hHOEDSDHpl2MIc/edit?usp=sharing"",""นครปฐม!M472"")"),0)</f>
        <v>0</v>
      </c>
      <c r="G60" s="64">
        <f ca="1">IFERROR(__xludf.DUMMYFUNCTION("IMPORTRANGE(""https://docs.google.com/spreadsheets/d/1tpwhWwkqkBeiSWCcfB5f2fbwPRbM9hHOEDSDHpl2MIc/edit?usp=sharing"",""นครปฐม!M479"")"),0)</f>
        <v>0</v>
      </c>
      <c r="H60" s="58">
        <f t="shared" ca="1" si="34"/>
        <v>0</v>
      </c>
      <c r="I60" s="59">
        <f t="shared" ca="1" si="1"/>
        <v>0</v>
      </c>
      <c r="J60" s="60">
        <f t="shared" ca="1" si="80"/>
        <v>0</v>
      </c>
      <c r="K60" s="61">
        <f t="shared" ca="1" si="43"/>
        <v>0</v>
      </c>
      <c r="L60" s="61">
        <f t="shared" ca="1" si="44"/>
        <v>0</v>
      </c>
      <c r="M60" s="64">
        <f ca="1">IFERROR(__xludf.DUMMYFUNCTION("IMPORTRANGE(""https://docs.google.com/spreadsheets/d/1tpwhWwkqkBeiSWCcfB5f2fbwPRbM9hHOEDSDHpl2MIc/edit?usp=sharing"",""นครปฐม!N473"")"),0)</f>
        <v>0</v>
      </c>
      <c r="N60" s="64">
        <f ca="1">IFERROR(__xludf.DUMMYFUNCTION("IMPORTRANGE(""https://docs.google.com/spreadsheets/d/1tpwhWwkqkBeiSWCcfB5f2fbwPRbM9hHOEDSDHpl2MIc/edit?usp=sharing"",""นครปฐม!N474"")"),0)</f>
        <v>0</v>
      </c>
      <c r="O60" s="64">
        <f ca="1">IFERROR(__xludf.DUMMYFUNCTION("IMPORTRANGE(""https://docs.google.com/spreadsheets/d/1tpwhWwkqkBeiSWCcfB5f2fbwPRbM9hHOEDSDHpl2MIc/edit?usp=sharing"",""นครปฐม!N475"")"),0)</f>
        <v>0</v>
      </c>
      <c r="P60" s="64">
        <f ca="1">IFERROR(__xludf.DUMMYFUNCTION("IMPORTRANGE(""https://docs.google.com/spreadsheets/d/1tpwhWwkqkBeiSWCcfB5f2fbwPRbM9hHOEDSDHpl2MIc/edit?usp=sharing"",""นครปฐม!N476"")"),0)</f>
        <v>0</v>
      </c>
      <c r="Q60" s="62">
        <f ca="1">IFERROR(__xludf.DUMMYFUNCTION("IMPORTRANGE(""https://docs.google.com/spreadsheets/d/1tpwhWwkqkBeiSWCcfB5f2fbwPRbM9hHOEDSDHpl2MIc/edit?usp=sharing"",""นครปฐม!N479"")"),0)</f>
        <v>0</v>
      </c>
      <c r="R60" s="62">
        <f t="shared" ca="1" si="46"/>
        <v>0</v>
      </c>
      <c r="S60" s="57">
        <f ca="1">IFERROR(__xludf.DUMMYFUNCTION("IMPORTRANGE(""https://docs.google.com/spreadsheets/d/1tpwhWwkqkBeiSWCcfB5f2fbwPRbM9hHOEDSDHpl2MIc/edit?usp=sharing"",""นครปฐม!I465"")"),0)</f>
        <v>0</v>
      </c>
      <c r="T60" s="57">
        <f ca="1">IFERROR(__xludf.DUMMYFUNCTION("IMPORTRANGE(""https://docs.google.com/spreadsheets/d/1tpwhWwkqkBeiSWCcfB5f2fbwPRbM9hHOEDSDHpl2MIc/edit?usp=sharing"",""นครปฐม!I466"")"),0)</f>
        <v>0</v>
      </c>
      <c r="U60" s="57">
        <f ca="1">IFERROR(__xludf.DUMMYFUNCTION("IMPORTRANGE(""https://docs.google.com/spreadsheets/d/1tpwhWwkqkBeiSWCcfB5f2fbwPRbM9hHOEDSDHpl2MIc/edit?usp=sharing"",""นครปฐม!J465"")"),0)</f>
        <v>0</v>
      </c>
      <c r="V60" s="63">
        <f t="shared" ca="1" si="6"/>
        <v>0</v>
      </c>
      <c r="W60" s="57">
        <f ca="1">IFERROR(__xludf.DUMMYFUNCTION("IMPORTRANGE(""https://docs.google.com/spreadsheets/d/1tpwhWwkqkBeiSWCcfB5f2fbwPRbM9hHOEDSDHpl2MIc/edit?usp=sharing"",""นครปฐม!J466"")"),0)</f>
        <v>0</v>
      </c>
      <c r="X60" s="63">
        <f t="shared" ca="1" si="7"/>
        <v>0</v>
      </c>
      <c r="Y60" s="57">
        <f ca="1">IFERROR(__xludf.DUMMYFUNCTION("IMPORTRANGE(""https://docs.google.com/spreadsheets/d/1tpwhWwkqkBeiSWCcfB5f2fbwPRbM9hHOEDSDHpl2MIc/edit?usp=sharing"",""นครปฐม!I483"")"),0)</f>
        <v>0</v>
      </c>
      <c r="Z60" s="57">
        <f ca="1">IFERROR(__xludf.DUMMYFUNCTION("IMPORTRANGE(""https://docs.google.com/spreadsheets/d/1tpwhWwkqkBeiSWCcfB5f2fbwPRbM9hHOEDSDHpl2MIc/edit?usp=sharing"",""นครปฐม!J483"")"),0)</f>
        <v>0</v>
      </c>
      <c r="AA60" s="63">
        <f t="shared" ca="1" si="35"/>
        <v>0</v>
      </c>
      <c r="AB60" s="57">
        <f ca="1">IFERROR(__xludf.DUMMYFUNCTION("IMPORTRANGE(""https://docs.google.com/spreadsheets/d/1tpwhWwkqkBeiSWCcfB5f2fbwPRbM9hHOEDSDHpl2MIc/edit?usp=sharing"",""นครปฐม!J484"")"),0)</f>
        <v>0</v>
      </c>
      <c r="AC60" s="57">
        <f ca="1">IFERROR(__xludf.DUMMYFUNCTION("IMPORTRANGE(""https://docs.google.com/spreadsheets/d/1tpwhWwkqkBeiSWCcfB5f2fbwPRbM9hHOEDSDHpl2MIc/edit?usp=sharing"",""นครปฐม!I485"")"),0)</f>
        <v>0</v>
      </c>
      <c r="AD60" s="57">
        <f ca="1">IFERROR(__xludf.DUMMYFUNCTION("IMPORTRANGE(""https://docs.google.com/spreadsheets/d/1tpwhWwkqkBeiSWCcfB5f2fbwPRbM9hHOEDSDHpl2MIc/edit?usp=sharing"",""นครปฐม!J485"")"),0)</f>
        <v>0</v>
      </c>
      <c r="AE60" s="63">
        <f t="shared" ca="1" si="36"/>
        <v>0</v>
      </c>
      <c r="AF60" s="57">
        <f ca="1">IFERROR(__xludf.DUMMYFUNCTION("IMPORTRANGE(""https://docs.google.com/spreadsheets/d/1tpwhWwkqkBeiSWCcfB5f2fbwPRbM9hHOEDSDHpl2MIc/edit?usp=sharing"",""นครปฐม!I487"")"),0)</f>
        <v>0</v>
      </c>
      <c r="AG60" s="57">
        <f ca="1">IFERROR(__xludf.DUMMYFUNCTION("IMPORTRANGE(""https://docs.google.com/spreadsheets/d/1tpwhWwkqkBeiSWCcfB5f2fbwPRbM9hHOEDSDHpl2MIc/edit?usp=sharing"",""นครปฐม!J487"")"),0)</f>
        <v>0</v>
      </c>
      <c r="AH60" s="63">
        <f t="shared" ca="1" si="37"/>
        <v>0</v>
      </c>
      <c r="AI60" s="57">
        <f ca="1">IFERROR(__xludf.DUMMYFUNCTION("IMPORTRANGE(""https://docs.google.com/spreadsheets/d/1tpwhWwkqkBeiSWCcfB5f2fbwPRbM9hHOEDSDHpl2MIc/edit?usp=sharing"",""นครปฐม!J488"")"),0)</f>
        <v>0</v>
      </c>
      <c r="AJ60" s="57">
        <f ca="1">IFERROR(__xludf.DUMMYFUNCTION("IMPORTRANGE(""https://docs.google.com/spreadsheets/d/1tpwhWwkqkBeiSWCcfB5f2fbwPRbM9hHOEDSDHpl2MIc/edit?usp=sharing"",""นครปฐม!I489"")"),0)</f>
        <v>0</v>
      </c>
      <c r="AK60" s="57">
        <f ca="1">IFERROR(__xludf.DUMMYFUNCTION("IMPORTRANGE(""https://docs.google.com/spreadsheets/d/1tpwhWwkqkBeiSWCcfB5f2fbwPRbM9hHOEDSDHpl2MIc/edit?usp=sharing"",""นครปฐม!J489"")"),0)</f>
        <v>0</v>
      </c>
      <c r="AL60" s="63">
        <f t="shared" ca="1" si="38"/>
        <v>0</v>
      </c>
      <c r="AM60" s="57">
        <f ca="1">IFERROR(__xludf.DUMMYFUNCTION("IMPORTRANGE(""https://docs.google.com/spreadsheets/d/1tpwhWwkqkBeiSWCcfB5f2fbwPRbM9hHOEDSDHpl2MIc/edit?usp=sharing"",""นครปฐม!J491"")"),0)</f>
        <v>0</v>
      </c>
      <c r="AN60" s="57">
        <f ca="1">IFERROR(__xludf.DUMMYFUNCTION("IMPORTRANGE(""https://docs.google.com/spreadsheets/d/1tpwhWwkqkBeiSWCcfB5f2fbwPRbM9hHOEDSDHpl2MIc/edit?usp=sharing"",""นครปฐม!I492"")"),0)</f>
        <v>0</v>
      </c>
      <c r="AO60" s="57">
        <f ca="1">IFERROR(__xludf.DUMMYFUNCTION("IMPORTRANGE(""https://docs.google.com/spreadsheets/d/1tpwhWwkqkBeiSWCcfB5f2fbwPRbM9hHOEDSDHpl2MIc/edit?usp=sharing"",""นครปฐม!J492"")"),0)</f>
        <v>0</v>
      </c>
      <c r="AP60" s="63">
        <f t="shared" ca="1" si="39"/>
        <v>0</v>
      </c>
      <c r="AQ60" s="57">
        <f ca="1">IFERROR(__xludf.DUMMYFUNCTION("IMPORTRANGE(""https://docs.google.com/spreadsheets/d/1tpwhWwkqkBeiSWCcfB5f2fbwPRbM9hHOEDSDHpl2MIc/edit?usp=sharing"",""นครปฐม!I495"")"),0)</f>
        <v>0</v>
      </c>
      <c r="AR60" s="57">
        <f ca="1">IFERROR(__xludf.DUMMYFUNCTION("IMPORTRANGE(""https://docs.google.com/spreadsheets/d/1tpwhWwkqkBeiSWCcfB5f2fbwPRbM9hHOEDSDHpl2MIc/edit?usp=sharing"",""นครปฐม!J495"")"),0)</f>
        <v>0</v>
      </c>
      <c r="AS60" s="63">
        <f t="shared" ca="1" si="40"/>
        <v>0</v>
      </c>
      <c r="AT60" s="57">
        <f ca="1">IFERROR(__xludf.DUMMYFUNCTION("IMPORTRANGE(""https://docs.google.com/spreadsheets/d/1tpwhWwkqkBeiSWCcfB5f2fbwPRbM9hHOEDSDHpl2MIc/edit?usp=sharing"",""นครปฐม!J496"")"),0)</f>
        <v>0</v>
      </c>
      <c r="AU60" s="57">
        <f ca="1">IFERROR(__xludf.DUMMYFUNCTION("IMPORTRANGE(""https://docs.google.com/spreadsheets/d/1tpwhWwkqkBeiSWCcfB5f2fbwPRbM9hHOEDSDHpl2MIc/edit?usp=sharing"",""นครปฐม!I498"")"),0)</f>
        <v>0</v>
      </c>
      <c r="AV60" s="57">
        <f ca="1">IFERROR(__xludf.DUMMYFUNCTION("IMPORTRANGE(""https://docs.google.com/spreadsheets/d/1tpwhWwkqkBeiSWCcfB5f2fbwPRbM9hHOEDSDHpl2MIc/edit?usp=sharing"",""นครปฐม!J498"")"),0)</f>
        <v>0</v>
      </c>
      <c r="AW60" s="63">
        <f t="shared" ca="1" si="41"/>
        <v>0</v>
      </c>
      <c r="AX60" s="57">
        <f ca="1">IFERROR(__xludf.DUMMYFUNCTION("IMPORTRANGE(""https://docs.google.com/spreadsheets/d/1tpwhWwkqkBeiSWCcfB5f2fbwPRbM9hHOEDSDHpl2MIc/edit?usp=sharing"",""นครปฐม!J499"")"),0)</f>
        <v>0</v>
      </c>
    </row>
    <row r="61" spans="1:50" ht="21" customHeight="1" x14ac:dyDescent="0.3">
      <c r="A61" s="54">
        <v>9</v>
      </c>
      <c r="B61" s="55" t="s">
        <v>82</v>
      </c>
      <c r="C61" s="56">
        <f t="shared" ca="1" si="79"/>
        <v>0</v>
      </c>
      <c r="D61" s="57">
        <f ca="1">IFERROR(__xludf.DUMMYFUNCTION("IMPORTRANGE(""https://docs.google.com/spreadsheets/d/1fJJCVBkBnhriyv0Cp5ZFMr0I_yrfdEITNpb4zILJgUQ/edit?usp=sharing"",""ปทุมธานี!L472"")"),0)</f>
        <v>0</v>
      </c>
      <c r="E61" s="64">
        <f ca="1">IFERROR(__xludf.DUMMYFUNCTION("IMPORTRANGE(""https://docs.google.com/spreadsheets/d/1fJJCVBkBnhriyv0Cp5ZFMr0I_yrfdEITNpb4zILJgUQ/edit?usp=sharing"",""ปทุมธานี!L479"")"),0)</f>
        <v>0</v>
      </c>
      <c r="F61" s="64">
        <f ca="1">IFERROR(__xludf.DUMMYFUNCTION("IMPORTRANGE(""https://docs.google.com/spreadsheets/d/1fJJCVBkBnhriyv0Cp5ZFMr0I_yrfdEITNpb4zILJgUQ/edit?usp=sharing"",""ปทุมธานี!M472"")"),0)</f>
        <v>0</v>
      </c>
      <c r="G61" s="64">
        <f ca="1">IFERROR(__xludf.DUMMYFUNCTION("IMPORTRANGE(""https://docs.google.com/spreadsheets/d/1fJJCVBkBnhriyv0Cp5ZFMr0I_yrfdEITNpb4zILJgUQ/edit?usp=sharing"",""ปทุมธานี!M479"")"),0)</f>
        <v>0</v>
      </c>
      <c r="H61" s="58">
        <f t="shared" ca="1" si="34"/>
        <v>0</v>
      </c>
      <c r="I61" s="59">
        <f t="shared" ca="1" si="1"/>
        <v>0</v>
      </c>
      <c r="J61" s="60">
        <f t="shared" ca="1" si="80"/>
        <v>0</v>
      </c>
      <c r="K61" s="61">
        <f t="shared" ca="1" si="43"/>
        <v>0</v>
      </c>
      <c r="L61" s="61">
        <f t="shared" ca="1" si="44"/>
        <v>0</v>
      </c>
      <c r="M61" s="64">
        <f ca="1">IFERROR(__xludf.DUMMYFUNCTION("IMPORTRANGE(""https://docs.google.com/spreadsheets/d/1fJJCVBkBnhriyv0Cp5ZFMr0I_yrfdEITNpb4zILJgUQ/edit?usp=sharing"",""ปทุมธานี!N473"")"),0)</f>
        <v>0</v>
      </c>
      <c r="N61" s="64">
        <f ca="1">IFERROR(__xludf.DUMMYFUNCTION("IMPORTRANGE(""https://docs.google.com/spreadsheets/d/1fJJCVBkBnhriyv0Cp5ZFMr0I_yrfdEITNpb4zILJgUQ/edit?usp=sharing"",""ปทุมธานี!N474"")"),0)</f>
        <v>0</v>
      </c>
      <c r="O61" s="64">
        <f ca="1">IFERROR(__xludf.DUMMYFUNCTION("IMPORTRANGE(""https://docs.google.com/spreadsheets/d/1fJJCVBkBnhriyv0Cp5ZFMr0I_yrfdEITNpb4zILJgUQ/edit?usp=sharing"",""ปทุมธานี!N475"")"),0)</f>
        <v>0</v>
      </c>
      <c r="P61" s="64">
        <f ca="1">IFERROR(__xludf.DUMMYFUNCTION("IMPORTRANGE(""https://docs.google.com/spreadsheets/d/1fJJCVBkBnhriyv0Cp5ZFMr0I_yrfdEITNpb4zILJgUQ/edit?usp=sharing"",""ปทุมธานี!N476"")"),0)</f>
        <v>0</v>
      </c>
      <c r="Q61" s="62">
        <f ca="1">IFERROR(__xludf.DUMMYFUNCTION("IMPORTRANGE(""https://docs.google.com/spreadsheets/d/1fJJCVBkBnhriyv0Cp5ZFMr0I_yrfdEITNpb4zILJgUQ/edit?usp=sharing"",""ปทุมธานี!N479"")"),0)</f>
        <v>0</v>
      </c>
      <c r="R61" s="62">
        <f t="shared" ca="1" si="46"/>
        <v>0</v>
      </c>
      <c r="S61" s="57">
        <f ca="1">IFERROR(__xludf.DUMMYFUNCTION("IMPORTRANGE(""https://docs.google.com/spreadsheets/d/1fJJCVBkBnhriyv0Cp5ZFMr0I_yrfdEITNpb4zILJgUQ/edit?usp=sharing"",""ปทุมธานี!I465"")"),0)</f>
        <v>0</v>
      </c>
      <c r="T61" s="57">
        <f ca="1">IFERROR(__xludf.DUMMYFUNCTION("IMPORTRANGE(""https://docs.google.com/spreadsheets/d/1fJJCVBkBnhriyv0Cp5ZFMr0I_yrfdEITNpb4zILJgUQ/edit?usp=sharing"",""ปทุมธานี!I466"")"),0)</f>
        <v>0</v>
      </c>
      <c r="U61" s="57">
        <f ca="1">IFERROR(__xludf.DUMMYFUNCTION("IMPORTRANGE(""https://docs.google.com/spreadsheets/d/1fJJCVBkBnhriyv0Cp5ZFMr0I_yrfdEITNpb4zILJgUQ/edit?usp=sharing"",""ปทุมธานี!J465"")"),0)</f>
        <v>0</v>
      </c>
      <c r="V61" s="63">
        <f t="shared" ca="1" si="6"/>
        <v>0</v>
      </c>
      <c r="W61" s="57">
        <f ca="1">IFERROR(__xludf.DUMMYFUNCTION("IMPORTRANGE(""https://docs.google.com/spreadsheets/d/1fJJCVBkBnhriyv0Cp5ZFMr0I_yrfdEITNpb4zILJgUQ/edit?usp=sharing"",""ปทุมธานี!J466"")"),0)</f>
        <v>0</v>
      </c>
      <c r="X61" s="63">
        <f t="shared" ca="1" si="7"/>
        <v>0</v>
      </c>
      <c r="Y61" s="57">
        <f ca="1">IFERROR(__xludf.DUMMYFUNCTION("IMPORTRANGE(""https://docs.google.com/spreadsheets/d/1fJJCVBkBnhriyv0Cp5ZFMr0I_yrfdEITNpb4zILJgUQ/edit?usp=sharing"",""ปทุมธานี!I483"")"),0)</f>
        <v>0</v>
      </c>
      <c r="Z61" s="57">
        <f ca="1">IFERROR(__xludf.DUMMYFUNCTION("IMPORTRANGE(""https://docs.google.com/spreadsheets/d/1fJJCVBkBnhriyv0Cp5ZFMr0I_yrfdEITNpb4zILJgUQ/edit?usp=sharing"",""ปทุมธานี!J483"")"),0)</f>
        <v>0</v>
      </c>
      <c r="AA61" s="63">
        <f t="shared" ca="1" si="35"/>
        <v>0</v>
      </c>
      <c r="AB61" s="57">
        <f ca="1">IFERROR(__xludf.DUMMYFUNCTION("IMPORTRANGE(""https://docs.google.com/spreadsheets/d/1fJJCVBkBnhriyv0Cp5ZFMr0I_yrfdEITNpb4zILJgUQ/edit?usp=sharing"",""ปทุมธานี!J484"")"),0)</f>
        <v>0</v>
      </c>
      <c r="AC61" s="57">
        <f ca="1">IFERROR(__xludf.DUMMYFUNCTION("IMPORTRANGE(""https://docs.google.com/spreadsheets/d/1fJJCVBkBnhriyv0Cp5ZFMr0I_yrfdEITNpb4zILJgUQ/edit?usp=sharing"",""ปทุมธานี!I485"")"),0)</f>
        <v>0</v>
      </c>
      <c r="AD61" s="57">
        <f ca="1">IFERROR(__xludf.DUMMYFUNCTION("IMPORTRANGE(""https://docs.google.com/spreadsheets/d/1fJJCVBkBnhriyv0Cp5ZFMr0I_yrfdEITNpb4zILJgUQ/edit?usp=sharing"",""ปทุมธานี!J485"")"),0)</f>
        <v>0</v>
      </c>
      <c r="AE61" s="63">
        <f t="shared" ca="1" si="36"/>
        <v>0</v>
      </c>
      <c r="AF61" s="57">
        <f ca="1">IFERROR(__xludf.DUMMYFUNCTION("IMPORTRANGE(""https://docs.google.com/spreadsheets/d/1fJJCVBkBnhriyv0Cp5ZFMr0I_yrfdEITNpb4zILJgUQ/edit?usp=sharing"",""ปทุมธานี!I487"")"),0)</f>
        <v>0</v>
      </c>
      <c r="AG61" s="57">
        <f ca="1">IFERROR(__xludf.DUMMYFUNCTION("IMPORTRANGE(""https://docs.google.com/spreadsheets/d/1fJJCVBkBnhriyv0Cp5ZFMr0I_yrfdEITNpb4zILJgUQ/edit?usp=sharing"",""ปทุมธานี!J487"")"),0)</f>
        <v>0</v>
      </c>
      <c r="AH61" s="63">
        <f t="shared" ca="1" si="37"/>
        <v>0</v>
      </c>
      <c r="AI61" s="57">
        <f ca="1">IFERROR(__xludf.DUMMYFUNCTION("IMPORTRANGE(""https://docs.google.com/spreadsheets/d/1fJJCVBkBnhriyv0Cp5ZFMr0I_yrfdEITNpb4zILJgUQ/edit?usp=sharing"",""ปทุมธานี!J488"")"),0)</f>
        <v>0</v>
      </c>
      <c r="AJ61" s="57">
        <f ca="1">IFERROR(__xludf.DUMMYFUNCTION("IMPORTRANGE(""https://docs.google.com/spreadsheets/d/1fJJCVBkBnhriyv0Cp5ZFMr0I_yrfdEITNpb4zILJgUQ/edit?usp=sharing"",""ปทุมธานี!I489"")"),0)</f>
        <v>0</v>
      </c>
      <c r="AK61" s="57">
        <f ca="1">IFERROR(__xludf.DUMMYFUNCTION("IMPORTRANGE(""https://docs.google.com/spreadsheets/d/1fJJCVBkBnhriyv0Cp5ZFMr0I_yrfdEITNpb4zILJgUQ/edit?usp=sharing"",""ปทุมธานี!J489"")"),0)</f>
        <v>0</v>
      </c>
      <c r="AL61" s="63">
        <f t="shared" ca="1" si="38"/>
        <v>0</v>
      </c>
      <c r="AM61" s="57">
        <f ca="1">IFERROR(__xludf.DUMMYFUNCTION("IMPORTRANGE(""https://docs.google.com/spreadsheets/d/1fJJCVBkBnhriyv0Cp5ZFMr0I_yrfdEITNpb4zILJgUQ/edit?usp=sharing"",""ปทุมธานี!J491"")"),0)</f>
        <v>0</v>
      </c>
      <c r="AN61" s="57">
        <f ca="1">IFERROR(__xludf.DUMMYFUNCTION("IMPORTRANGE(""https://docs.google.com/spreadsheets/d/1fJJCVBkBnhriyv0Cp5ZFMr0I_yrfdEITNpb4zILJgUQ/edit?usp=sharing"",""ปทุมธานี!I492"")"),0)</f>
        <v>0</v>
      </c>
      <c r="AO61" s="57">
        <f ca="1">IFERROR(__xludf.DUMMYFUNCTION("IMPORTRANGE(""https://docs.google.com/spreadsheets/d/1fJJCVBkBnhriyv0Cp5ZFMr0I_yrfdEITNpb4zILJgUQ/edit?usp=sharing"",""ปทุมธานี!J492"")"),0)</f>
        <v>0</v>
      </c>
      <c r="AP61" s="63">
        <f t="shared" ca="1" si="39"/>
        <v>0</v>
      </c>
      <c r="AQ61" s="57">
        <f ca="1">IFERROR(__xludf.DUMMYFUNCTION("IMPORTRANGE(""https://docs.google.com/spreadsheets/d/1fJJCVBkBnhriyv0Cp5ZFMr0I_yrfdEITNpb4zILJgUQ/edit?usp=sharing"",""ปทุมธานี!I495"")"),0)</f>
        <v>0</v>
      </c>
      <c r="AR61" s="57">
        <f ca="1">IFERROR(__xludf.DUMMYFUNCTION("IMPORTRANGE(""https://docs.google.com/spreadsheets/d/1fJJCVBkBnhriyv0Cp5ZFMr0I_yrfdEITNpb4zILJgUQ/edit?usp=sharing"",""ปทุมธานี!J495"")"),0)</f>
        <v>0</v>
      </c>
      <c r="AS61" s="63">
        <f t="shared" ca="1" si="40"/>
        <v>0</v>
      </c>
      <c r="AT61" s="57">
        <f ca="1">IFERROR(__xludf.DUMMYFUNCTION("IMPORTRANGE(""https://docs.google.com/spreadsheets/d/1fJJCVBkBnhriyv0Cp5ZFMr0I_yrfdEITNpb4zILJgUQ/edit?usp=sharing"",""ปทุมธานี!J496"")"),0)</f>
        <v>0</v>
      </c>
      <c r="AU61" s="57">
        <f ca="1">IFERROR(__xludf.DUMMYFUNCTION("IMPORTRANGE(""https://docs.google.com/spreadsheets/d/1fJJCVBkBnhriyv0Cp5ZFMr0I_yrfdEITNpb4zILJgUQ/edit?usp=sharing"",""ปทุมธานี!I498"")"),0)</f>
        <v>0</v>
      </c>
      <c r="AV61" s="57">
        <f ca="1">IFERROR(__xludf.DUMMYFUNCTION("IMPORTRANGE(""https://docs.google.com/spreadsheets/d/1fJJCVBkBnhriyv0Cp5ZFMr0I_yrfdEITNpb4zILJgUQ/edit?usp=sharing"",""ปทุมธานี!J498"")"),0)</f>
        <v>0</v>
      </c>
      <c r="AW61" s="63">
        <f t="shared" ca="1" si="41"/>
        <v>0</v>
      </c>
      <c r="AX61" s="57">
        <f ca="1">IFERROR(__xludf.DUMMYFUNCTION("IMPORTRANGE(""https://docs.google.com/spreadsheets/d/1fJJCVBkBnhriyv0Cp5ZFMr0I_yrfdEITNpb4zILJgUQ/edit?usp=sharing"",""ปทุมธานี!J499"")"),0)</f>
        <v>0</v>
      </c>
    </row>
    <row r="62" spans="1:50" ht="21" customHeight="1" x14ac:dyDescent="0.3">
      <c r="A62" s="54">
        <v>10</v>
      </c>
      <c r="B62" s="55" t="s">
        <v>83</v>
      </c>
      <c r="C62" s="56">
        <f t="shared" ca="1" si="79"/>
        <v>410533</v>
      </c>
      <c r="D62" s="57">
        <f ca="1">IFERROR(__xludf.DUMMYFUNCTION("IMPORTRANGE(""https://docs.google.com/spreadsheets/d/1W5Jj_S0gYw6wSO7QcMI02YgyOBDKYgmm0NSUk-AQEac/edit?usp=sharing"",""ประจวบคีรีขันธ์!L472"")"),410533)</f>
        <v>410533</v>
      </c>
      <c r="E62" s="64">
        <f ca="1">IFERROR(__xludf.DUMMYFUNCTION("IMPORTRANGE(""https://docs.google.com/spreadsheets/d/1W5Jj_S0gYw6wSO7QcMI02YgyOBDKYgmm0NSUk-AQEac/edit?usp=sharing"",""ประจวบคีรีขันธ์!L479"")"),0)</f>
        <v>0</v>
      </c>
      <c r="F62" s="64">
        <f ca="1">IFERROR(__xludf.DUMMYFUNCTION("IMPORTRANGE(""https://docs.google.com/spreadsheets/d/1W5Jj_S0gYw6wSO7QcMI02YgyOBDKYgmm0NSUk-AQEac/edit?usp=sharing"",""ประจวบคีรีขันธ์!M472"")"),410533)</f>
        <v>410533</v>
      </c>
      <c r="G62" s="64">
        <f ca="1">IFERROR(__xludf.DUMMYFUNCTION("IMPORTRANGE(""https://docs.google.com/spreadsheets/d/1W5Jj_S0gYw6wSO7QcMI02YgyOBDKYgmm0NSUk-AQEac/edit?usp=sharing"",""ประจวบคีรีขันธ์!M479"")"),0)</f>
        <v>0</v>
      </c>
      <c r="H62" s="58">
        <f t="shared" ca="1" si="34"/>
        <v>91400</v>
      </c>
      <c r="I62" s="59">
        <f t="shared" ca="1" si="1"/>
        <v>22.2637400647451</v>
      </c>
      <c r="J62" s="60">
        <f t="shared" ca="1" si="80"/>
        <v>91400</v>
      </c>
      <c r="K62" s="61">
        <f t="shared" ca="1" si="43"/>
        <v>22.2637400647451</v>
      </c>
      <c r="L62" s="61">
        <f t="shared" ca="1" si="44"/>
        <v>22.2637400647451</v>
      </c>
      <c r="M62" s="64">
        <f ca="1">IFERROR(__xludf.DUMMYFUNCTION("IMPORTRANGE(""https://docs.google.com/spreadsheets/d/1W5Jj_S0gYw6wSO7QcMI02YgyOBDKYgmm0NSUk-AQEac/edit?usp=sharing"",""ประจวบคีรีขันธ์!N473"")"),85030)</f>
        <v>85030</v>
      </c>
      <c r="N62" s="64">
        <f ca="1">IFERROR(__xludf.DUMMYFUNCTION("IMPORTRANGE(""https://docs.google.com/spreadsheets/d/1W5Jj_S0gYw6wSO7QcMI02YgyOBDKYgmm0NSUk-AQEac/edit?usp=sharing"",""ประจวบคีรีขันธ์!N474"")"),0)</f>
        <v>0</v>
      </c>
      <c r="O62" s="64">
        <f ca="1">IFERROR(__xludf.DUMMYFUNCTION("IMPORTRANGE(""https://docs.google.com/spreadsheets/d/1W5Jj_S0gYw6wSO7QcMI02YgyOBDKYgmm0NSUk-AQEac/edit?usp=sharing"",""ประจวบคีรีขันธ์!N475"")"),2400)</f>
        <v>2400</v>
      </c>
      <c r="P62" s="64">
        <f ca="1">IFERROR(__xludf.DUMMYFUNCTION("IMPORTRANGE(""https://docs.google.com/spreadsheets/d/1W5Jj_S0gYw6wSO7QcMI02YgyOBDKYgmm0NSUk-AQEac/edit?usp=sharing"",""ประจวบคีรีขันธ์!N476"")"),3970)</f>
        <v>3970</v>
      </c>
      <c r="Q62" s="62">
        <f ca="1">IFERROR(__xludf.DUMMYFUNCTION("IMPORTRANGE(""https://docs.google.com/spreadsheets/d/1W5Jj_S0gYw6wSO7QcMI02YgyOBDKYgmm0NSUk-AQEac/edit?usp=sharing"",""ประจวบคีรีขันธ์!N479"")"),0)</f>
        <v>0</v>
      </c>
      <c r="R62" s="62">
        <f t="shared" ca="1" si="46"/>
        <v>0</v>
      </c>
      <c r="S62" s="57">
        <f ca="1">IFERROR(__xludf.DUMMYFUNCTION("IMPORTRANGE(""https://docs.google.com/spreadsheets/d/1W5Jj_S0gYw6wSO7QcMI02YgyOBDKYgmm0NSUk-AQEac/edit?usp=sharing"",""ประจวบคีรีขันธ์!I465"")"),51)</f>
        <v>51</v>
      </c>
      <c r="T62" s="57">
        <f ca="1">IFERROR(__xludf.DUMMYFUNCTION("IMPORTRANGE(""https://docs.google.com/spreadsheets/d/1W5Jj_S0gYw6wSO7QcMI02YgyOBDKYgmm0NSUk-AQEac/edit?usp=sharing"",""ประจวบคีรีขันธ์!I466"")"),500)</f>
        <v>500</v>
      </c>
      <c r="U62" s="57">
        <f ca="1">IFERROR(__xludf.DUMMYFUNCTION("IMPORTRANGE(""https://docs.google.com/spreadsheets/d/1W5Jj_S0gYw6wSO7QcMI02YgyOBDKYgmm0NSUk-AQEac/edit?usp=sharing"",""ประจวบคีรีขันธ์!J465"")"),51)</f>
        <v>51</v>
      </c>
      <c r="V62" s="63">
        <f t="shared" ca="1" si="6"/>
        <v>100</v>
      </c>
      <c r="W62" s="57">
        <f ca="1">IFERROR(__xludf.DUMMYFUNCTION("IMPORTRANGE(""https://docs.google.com/spreadsheets/d/1W5Jj_S0gYw6wSO7QcMI02YgyOBDKYgmm0NSUk-AQEac/edit?usp=sharing"",""ประจวบคีรีขันธ์!J466"")"),0)</f>
        <v>0</v>
      </c>
      <c r="X62" s="63">
        <f t="shared" ca="1" si="7"/>
        <v>0</v>
      </c>
      <c r="Y62" s="57">
        <f ca="1">IFERROR(__xludf.DUMMYFUNCTION("IMPORTRANGE(""https://docs.google.com/spreadsheets/d/1W5Jj_S0gYw6wSO7QcMI02YgyOBDKYgmm0NSUk-AQEac/edit?usp=sharing"",""ประจวบคีรีขันธ์!I483"")"),450)</f>
        <v>450</v>
      </c>
      <c r="Z62" s="57">
        <f ca="1">IFERROR(__xludf.DUMMYFUNCTION("IMPORTRANGE(""https://docs.google.com/spreadsheets/d/1W5Jj_S0gYw6wSO7QcMI02YgyOBDKYgmm0NSUk-AQEac/edit?usp=sharing"",""ประจวบคีรีขันธ์!J483"")"),0)</f>
        <v>0</v>
      </c>
      <c r="AA62" s="63">
        <f t="shared" ca="1" si="35"/>
        <v>0</v>
      </c>
      <c r="AB62" s="57">
        <f ca="1">IFERROR(__xludf.DUMMYFUNCTION("IMPORTRANGE(""https://docs.google.com/spreadsheets/d/1W5Jj_S0gYw6wSO7QcMI02YgyOBDKYgmm0NSUk-AQEac/edit?usp=sharing"",""ประจวบคีรีขันธ์!J484"")"),0)</f>
        <v>0</v>
      </c>
      <c r="AC62" s="57">
        <f ca="1">IFERROR(__xludf.DUMMYFUNCTION("IMPORTRANGE(""https://docs.google.com/spreadsheets/d/1W5Jj_S0gYw6wSO7QcMI02YgyOBDKYgmm0NSUk-AQEac/edit?usp=sharing"",""ประจวบคีรีขันธ์!I485"")"),45)</f>
        <v>45</v>
      </c>
      <c r="AD62" s="57">
        <f ca="1">IFERROR(__xludf.DUMMYFUNCTION("IMPORTRANGE(""https://docs.google.com/spreadsheets/d/1W5Jj_S0gYw6wSO7QcMI02YgyOBDKYgmm0NSUk-AQEac/edit?usp=sharing"",""ประจวบคีรีขันธ์!J485"")"),45)</f>
        <v>45</v>
      </c>
      <c r="AE62" s="63">
        <f t="shared" ca="1" si="36"/>
        <v>100</v>
      </c>
      <c r="AF62" s="57">
        <f ca="1">IFERROR(__xludf.DUMMYFUNCTION("IMPORTRANGE(""https://docs.google.com/spreadsheets/d/1W5Jj_S0gYw6wSO7QcMI02YgyOBDKYgmm0NSUk-AQEac/edit?usp=sharing"",""ประจวบคีรีขันธ์!I487"")"),50)</f>
        <v>50</v>
      </c>
      <c r="AG62" s="57">
        <f ca="1">IFERROR(__xludf.DUMMYFUNCTION("IMPORTRANGE(""https://docs.google.com/spreadsheets/d/1W5Jj_S0gYw6wSO7QcMI02YgyOBDKYgmm0NSUk-AQEac/edit?usp=sharing"",""ประจวบคีรีขันธ์!J487"")"),50)</f>
        <v>50</v>
      </c>
      <c r="AH62" s="63">
        <f t="shared" ca="1" si="37"/>
        <v>100</v>
      </c>
      <c r="AI62" s="57">
        <f ca="1">IFERROR(__xludf.DUMMYFUNCTION("IMPORTRANGE(""https://docs.google.com/spreadsheets/d/1W5Jj_S0gYw6wSO7QcMI02YgyOBDKYgmm0NSUk-AQEac/edit?usp=sharing"",""ประจวบคีรีขันธ์!J488"")"),0)</f>
        <v>0</v>
      </c>
      <c r="AJ62" s="57">
        <f ca="1">IFERROR(__xludf.DUMMYFUNCTION("IMPORTRANGE(""https://docs.google.com/spreadsheets/d/1W5Jj_S0gYw6wSO7QcMI02YgyOBDKYgmm0NSUk-AQEac/edit?usp=sharing"",""ประจวบคีรีขันธ์!I489"")"),5)</f>
        <v>5</v>
      </c>
      <c r="AK62" s="57">
        <f ca="1">IFERROR(__xludf.DUMMYFUNCTION("IMPORTRANGE(""https://docs.google.com/spreadsheets/d/1W5Jj_S0gYw6wSO7QcMI02YgyOBDKYgmm0NSUk-AQEac/edit?usp=sharing"",""ประจวบคีรีขันธ์!J489"")"),5)</f>
        <v>5</v>
      </c>
      <c r="AL62" s="63">
        <f t="shared" ca="1" si="38"/>
        <v>100</v>
      </c>
      <c r="AM62" s="57">
        <f ca="1">IFERROR(__xludf.DUMMYFUNCTION("IMPORTRANGE(""https://docs.google.com/spreadsheets/d/1W5Jj_S0gYw6wSO7QcMI02YgyOBDKYgmm0NSUk-AQEac/edit?usp=sharing"",""ประจวบคีรีขันธ์!J491"")"),0)</f>
        <v>0</v>
      </c>
      <c r="AN62" s="57">
        <f ca="1">IFERROR(__xludf.DUMMYFUNCTION("IMPORTRANGE(""https://docs.google.com/spreadsheets/d/1W5Jj_S0gYw6wSO7QcMI02YgyOBDKYgmm0NSUk-AQEac/edit?usp=sharing"",""ประจวบคีรีขันธ์!I492"")"),1)</f>
        <v>1</v>
      </c>
      <c r="AO62" s="57">
        <f ca="1">IFERROR(__xludf.DUMMYFUNCTION("IMPORTRANGE(""https://docs.google.com/spreadsheets/d/1W5Jj_S0gYw6wSO7QcMI02YgyOBDKYgmm0NSUk-AQEac/edit?usp=sharing"",""ประจวบคีรีขันธ์!J492"")"),1)</f>
        <v>1</v>
      </c>
      <c r="AP62" s="63">
        <f t="shared" ca="1" si="39"/>
        <v>100</v>
      </c>
      <c r="AQ62" s="57">
        <f ca="1">IFERROR(__xludf.DUMMYFUNCTION("IMPORTRANGE(""https://docs.google.com/spreadsheets/d/1W5Jj_S0gYw6wSO7QcMI02YgyOBDKYgmm0NSUk-AQEac/edit?usp=sharing"",""ประจวบคีรีขันธ์!I495"")"),450)</f>
        <v>450</v>
      </c>
      <c r="AR62" s="57">
        <f ca="1">IFERROR(__xludf.DUMMYFUNCTION("IMPORTRANGE(""https://docs.google.com/spreadsheets/d/1W5Jj_S0gYw6wSO7QcMI02YgyOBDKYgmm0NSUk-AQEac/edit?usp=sharing"",""ประจวบคีรีขันธ์!J495"")"),0)</f>
        <v>0</v>
      </c>
      <c r="AS62" s="63">
        <f t="shared" ca="1" si="40"/>
        <v>0</v>
      </c>
      <c r="AT62" s="57">
        <f ca="1">IFERROR(__xludf.DUMMYFUNCTION("IMPORTRANGE(""https://docs.google.com/spreadsheets/d/1W5Jj_S0gYw6wSO7QcMI02YgyOBDKYgmm0NSUk-AQEac/edit?usp=sharing"",""ประจวบคีรีขันธ์!J496"")"),0)</f>
        <v>0</v>
      </c>
      <c r="AU62" s="57">
        <f ca="1">IFERROR(__xludf.DUMMYFUNCTION("IMPORTRANGE(""https://docs.google.com/spreadsheets/d/1W5Jj_S0gYw6wSO7QcMI02YgyOBDKYgmm0NSUk-AQEac/edit?usp=sharing"",""ประจวบคีรีขันธ์!I498"")"),50)</f>
        <v>50</v>
      </c>
      <c r="AV62" s="57">
        <f ca="1">IFERROR(__xludf.DUMMYFUNCTION("IMPORTRANGE(""https://docs.google.com/spreadsheets/d/1W5Jj_S0gYw6wSO7QcMI02YgyOBDKYgmm0NSUk-AQEac/edit?usp=sharing"",""ประจวบคีรีขันธ์!J498"")"),0)</f>
        <v>0</v>
      </c>
      <c r="AW62" s="63">
        <f t="shared" ca="1" si="41"/>
        <v>0</v>
      </c>
      <c r="AX62" s="57">
        <f ca="1">IFERROR(__xludf.DUMMYFUNCTION("IMPORTRANGE(""https://docs.google.com/spreadsheets/d/1W5Jj_S0gYw6wSO7QcMI02YgyOBDKYgmm0NSUk-AQEac/edit?usp=sharing"",""ประจวบคีรีขันธ์!J499"")"),0)</f>
        <v>0</v>
      </c>
    </row>
    <row r="63" spans="1:50" ht="21" customHeight="1" x14ac:dyDescent="0.3">
      <c r="A63" s="54">
        <v>11</v>
      </c>
      <c r="B63" s="55" t="s">
        <v>84</v>
      </c>
      <c r="C63" s="56">
        <f t="shared" ca="1" si="79"/>
        <v>255463</v>
      </c>
      <c r="D63" s="57">
        <f ca="1">IFERROR(__xludf.DUMMYFUNCTION("IMPORTRANGE(""https://docs.google.com/spreadsheets/d/1nYxRXgnCfTXtqUY1otYuTlnrzE0Tn-Y0YRsW5pkRVqo/edit?usp=sharing"",""ปราจีนบุรี!L472"")"),255463)</f>
        <v>255463</v>
      </c>
      <c r="E63" s="64">
        <f ca="1">IFERROR(__xludf.DUMMYFUNCTION("IMPORTRANGE(""https://docs.google.com/spreadsheets/d/1nYxRXgnCfTXtqUY1otYuTlnrzE0Tn-Y0YRsW5pkRVqo/edit?usp=sharing"",""ปราจีนบุรี!L479"")"),0)</f>
        <v>0</v>
      </c>
      <c r="F63" s="64">
        <f ca="1">IFERROR(__xludf.DUMMYFUNCTION("IMPORTRANGE(""https://docs.google.com/spreadsheets/d/1nYxRXgnCfTXtqUY1otYuTlnrzE0Tn-Y0YRsW5pkRVqo/edit?usp=sharing"",""ปราจีนบุรี!M472"")"),255463)</f>
        <v>255463</v>
      </c>
      <c r="G63" s="64">
        <f ca="1">IFERROR(__xludf.DUMMYFUNCTION("IMPORTRANGE(""https://docs.google.com/spreadsheets/d/1nYxRXgnCfTXtqUY1otYuTlnrzE0Tn-Y0YRsW5pkRVqo/edit?usp=sharing"",""ปราจีนบุรี!M479"")"),0)</f>
        <v>0</v>
      </c>
      <c r="H63" s="58">
        <f t="shared" ca="1" si="34"/>
        <v>251193</v>
      </c>
      <c r="I63" s="59">
        <f t="shared" ca="1" si="1"/>
        <v>98.32852507016672</v>
      </c>
      <c r="J63" s="60">
        <f t="shared" ca="1" si="80"/>
        <v>251193</v>
      </c>
      <c r="K63" s="61">
        <f t="shared" ca="1" si="43"/>
        <v>98.32852507016672</v>
      </c>
      <c r="L63" s="61">
        <f t="shared" ca="1" si="44"/>
        <v>98.32852507016672</v>
      </c>
      <c r="M63" s="64">
        <f ca="1">IFERROR(__xludf.DUMMYFUNCTION("IMPORTRANGE(""https://docs.google.com/spreadsheets/d/1nYxRXgnCfTXtqUY1otYuTlnrzE0Tn-Y0YRsW5pkRVqo/edit?usp=sharing"",""ปราจีนบุรี!N473"")"),32070)</f>
        <v>32070</v>
      </c>
      <c r="N63" s="64">
        <f ca="1">IFERROR(__xludf.DUMMYFUNCTION("IMPORTRANGE(""https://docs.google.com/spreadsheets/d/1nYxRXgnCfTXtqUY1otYuTlnrzE0Tn-Y0YRsW5pkRVqo/edit?usp=sharing"",""ปราจีนบุรี!N474"")"),190000)</f>
        <v>190000</v>
      </c>
      <c r="O63" s="64">
        <f ca="1">IFERROR(__xludf.DUMMYFUNCTION("IMPORTRANGE(""https://docs.google.com/spreadsheets/d/1nYxRXgnCfTXtqUY1otYuTlnrzE0Tn-Y0YRsW5pkRVqo/edit?usp=sharing"",""ปราจีนบุรี!N475"")"),0)</f>
        <v>0</v>
      </c>
      <c r="P63" s="64">
        <f ca="1">IFERROR(__xludf.DUMMYFUNCTION("IMPORTRANGE(""https://docs.google.com/spreadsheets/d/1nYxRXgnCfTXtqUY1otYuTlnrzE0Tn-Y0YRsW5pkRVqo/edit?usp=sharing"",""ปราจีนบุรี!N476"")"),29123)</f>
        <v>29123</v>
      </c>
      <c r="Q63" s="62">
        <f ca="1">IFERROR(__xludf.DUMMYFUNCTION("IMPORTRANGE(""https://docs.google.com/spreadsheets/d/1nYxRXgnCfTXtqUY1otYuTlnrzE0Tn-Y0YRsW5pkRVqo/edit?usp=sharing"",""ปราจีนบุรี!N479"")"),0)</f>
        <v>0</v>
      </c>
      <c r="R63" s="62">
        <f t="shared" ca="1" si="46"/>
        <v>0</v>
      </c>
      <c r="S63" s="57">
        <f ca="1">IFERROR(__xludf.DUMMYFUNCTION("IMPORTRANGE(""https://docs.google.com/spreadsheets/d/1nYxRXgnCfTXtqUY1otYuTlnrzE0Tn-Y0YRsW5pkRVqo/edit?usp=sharing"",""ปราจีนบุรี!I465"")"),31)</f>
        <v>31</v>
      </c>
      <c r="T63" s="57">
        <f ca="1">IFERROR(__xludf.DUMMYFUNCTION("IMPORTRANGE(""https://docs.google.com/spreadsheets/d/1nYxRXgnCfTXtqUY1otYuTlnrzE0Tn-Y0YRsW5pkRVqo/edit?usp=sharing"",""ปราจีนบุรี!I466"")"),300)</f>
        <v>300</v>
      </c>
      <c r="U63" s="57">
        <f ca="1">IFERROR(__xludf.DUMMYFUNCTION("IMPORTRANGE(""https://docs.google.com/spreadsheets/d/1nYxRXgnCfTXtqUY1otYuTlnrzE0Tn-Y0YRsW5pkRVqo/edit?usp=sharing"",""ปราจีนบุรี!J465"")"),31)</f>
        <v>31</v>
      </c>
      <c r="V63" s="63">
        <f t="shared" ca="1" si="6"/>
        <v>100</v>
      </c>
      <c r="W63" s="57">
        <f ca="1">IFERROR(__xludf.DUMMYFUNCTION("IMPORTRANGE(""https://docs.google.com/spreadsheets/d/1nYxRXgnCfTXtqUY1otYuTlnrzE0Tn-Y0YRsW5pkRVqo/edit?usp=sharing"",""ปราจีนบุรี!J466"")"),0)</f>
        <v>0</v>
      </c>
      <c r="X63" s="63">
        <f t="shared" ca="1" si="7"/>
        <v>0</v>
      </c>
      <c r="Y63" s="57">
        <f ca="1">IFERROR(__xludf.DUMMYFUNCTION("IMPORTRANGE(""https://docs.google.com/spreadsheets/d/1nYxRXgnCfTXtqUY1otYuTlnrzE0Tn-Y0YRsW5pkRVqo/edit?usp=sharing"",""ปราจีนบุรี!I483"")"),270)</f>
        <v>270</v>
      </c>
      <c r="Z63" s="57">
        <f ca="1">IFERROR(__xludf.DUMMYFUNCTION("IMPORTRANGE(""https://docs.google.com/spreadsheets/d/1nYxRXgnCfTXtqUY1otYuTlnrzE0Tn-Y0YRsW5pkRVqo/edit?usp=sharing"",""ปราจีนบุรี!J483"")"),270)</f>
        <v>270</v>
      </c>
      <c r="AA63" s="63">
        <f t="shared" ca="1" si="35"/>
        <v>100</v>
      </c>
      <c r="AB63" s="57">
        <f ca="1">IFERROR(__xludf.DUMMYFUNCTION("IMPORTRANGE(""https://docs.google.com/spreadsheets/d/1nYxRXgnCfTXtqUY1otYuTlnrzE0Tn-Y0YRsW5pkRVqo/edit?usp=sharing"",""ปราจีนบุรี!J484"")"),0)</f>
        <v>0</v>
      </c>
      <c r="AC63" s="57">
        <f ca="1">IFERROR(__xludf.DUMMYFUNCTION("IMPORTRANGE(""https://docs.google.com/spreadsheets/d/1nYxRXgnCfTXtqUY1otYuTlnrzE0Tn-Y0YRsW5pkRVqo/edit?usp=sharing"",""ปราจีนบุรี!I485"")"),27)</f>
        <v>27</v>
      </c>
      <c r="AD63" s="57">
        <f ca="1">IFERROR(__xludf.DUMMYFUNCTION("IMPORTRANGE(""https://docs.google.com/spreadsheets/d/1nYxRXgnCfTXtqUY1otYuTlnrzE0Tn-Y0YRsW5pkRVqo/edit?usp=sharing"",""ปราจีนบุรี!J485"")"),27)</f>
        <v>27</v>
      </c>
      <c r="AE63" s="63">
        <f t="shared" ca="1" si="36"/>
        <v>100</v>
      </c>
      <c r="AF63" s="57">
        <f ca="1">IFERROR(__xludf.DUMMYFUNCTION("IMPORTRANGE(""https://docs.google.com/spreadsheets/d/1nYxRXgnCfTXtqUY1otYuTlnrzE0Tn-Y0YRsW5pkRVqo/edit?usp=sharing"",""ปราจีนบุรี!I487"")"),30)</f>
        <v>30</v>
      </c>
      <c r="AG63" s="57">
        <f ca="1">IFERROR(__xludf.DUMMYFUNCTION("IMPORTRANGE(""https://docs.google.com/spreadsheets/d/1nYxRXgnCfTXtqUY1otYuTlnrzE0Tn-Y0YRsW5pkRVqo/edit?usp=sharing"",""ปราจีนบุรี!J487"")"),30)</f>
        <v>30</v>
      </c>
      <c r="AH63" s="63">
        <f t="shared" ca="1" si="37"/>
        <v>100</v>
      </c>
      <c r="AI63" s="57">
        <f ca="1">IFERROR(__xludf.DUMMYFUNCTION("IMPORTRANGE(""https://docs.google.com/spreadsheets/d/1nYxRXgnCfTXtqUY1otYuTlnrzE0Tn-Y0YRsW5pkRVqo/edit?usp=sharing"",""ปราจีนบุรี!J488"")"),0)</f>
        <v>0</v>
      </c>
      <c r="AJ63" s="57">
        <f ca="1">IFERROR(__xludf.DUMMYFUNCTION("IMPORTRANGE(""https://docs.google.com/spreadsheets/d/1nYxRXgnCfTXtqUY1otYuTlnrzE0Tn-Y0YRsW5pkRVqo/edit?usp=sharing"",""ปราจีนบุรี!I489"")"),3)</f>
        <v>3</v>
      </c>
      <c r="AK63" s="57">
        <f ca="1">IFERROR(__xludf.DUMMYFUNCTION("IMPORTRANGE(""https://docs.google.com/spreadsheets/d/1nYxRXgnCfTXtqUY1otYuTlnrzE0Tn-Y0YRsW5pkRVqo/edit?usp=sharing"",""ปราจีนบุรี!J489"")"),3)</f>
        <v>3</v>
      </c>
      <c r="AL63" s="63">
        <f t="shared" ca="1" si="38"/>
        <v>100</v>
      </c>
      <c r="AM63" s="57">
        <f ca="1">IFERROR(__xludf.DUMMYFUNCTION("IMPORTRANGE(""https://docs.google.com/spreadsheets/d/1nYxRXgnCfTXtqUY1otYuTlnrzE0Tn-Y0YRsW5pkRVqo/edit?usp=sharing"",""ปราจีนบุรี!J491"")"),0)</f>
        <v>0</v>
      </c>
      <c r="AN63" s="57">
        <f ca="1">IFERROR(__xludf.DUMMYFUNCTION("IMPORTRANGE(""https://docs.google.com/spreadsheets/d/1nYxRXgnCfTXtqUY1otYuTlnrzE0Tn-Y0YRsW5pkRVqo/edit?usp=sharing"",""ปราจีนบุรี!I492"")"),1)</f>
        <v>1</v>
      </c>
      <c r="AO63" s="57">
        <f ca="1">IFERROR(__xludf.DUMMYFUNCTION("IMPORTRANGE(""https://docs.google.com/spreadsheets/d/1nYxRXgnCfTXtqUY1otYuTlnrzE0Tn-Y0YRsW5pkRVqo/edit?usp=sharing"",""ปราจีนบุรี!J492"")"),1)</f>
        <v>1</v>
      </c>
      <c r="AP63" s="63">
        <f t="shared" ca="1" si="39"/>
        <v>100</v>
      </c>
      <c r="AQ63" s="57">
        <f ca="1">IFERROR(__xludf.DUMMYFUNCTION("IMPORTRANGE(""https://docs.google.com/spreadsheets/d/1nYxRXgnCfTXtqUY1otYuTlnrzE0Tn-Y0YRsW5pkRVqo/edit?usp=sharing"",""ปราจีนบุรี!I495"")"),270)</f>
        <v>270</v>
      </c>
      <c r="AR63" s="57">
        <f ca="1">IFERROR(__xludf.DUMMYFUNCTION("IMPORTRANGE(""https://docs.google.com/spreadsheets/d/1nYxRXgnCfTXtqUY1otYuTlnrzE0Tn-Y0YRsW5pkRVqo/edit?usp=sharing"",""ปราจีนบุรี!J495"")"),0)</f>
        <v>0</v>
      </c>
      <c r="AS63" s="63">
        <f t="shared" ca="1" si="40"/>
        <v>0</v>
      </c>
      <c r="AT63" s="57">
        <f ca="1">IFERROR(__xludf.DUMMYFUNCTION("IMPORTRANGE(""https://docs.google.com/spreadsheets/d/1nYxRXgnCfTXtqUY1otYuTlnrzE0Tn-Y0YRsW5pkRVqo/edit?usp=sharing"",""ปราจีนบุรี!J496"")"),0)</f>
        <v>0</v>
      </c>
      <c r="AU63" s="57">
        <f ca="1">IFERROR(__xludf.DUMMYFUNCTION("IMPORTRANGE(""https://docs.google.com/spreadsheets/d/1nYxRXgnCfTXtqUY1otYuTlnrzE0Tn-Y0YRsW5pkRVqo/edit?usp=sharing"",""ปราจีนบุรี!I498"")"),30)</f>
        <v>30</v>
      </c>
      <c r="AV63" s="57">
        <f ca="1">IFERROR(__xludf.DUMMYFUNCTION("IMPORTRANGE(""https://docs.google.com/spreadsheets/d/1nYxRXgnCfTXtqUY1otYuTlnrzE0Tn-Y0YRsW5pkRVqo/edit?usp=sharing"",""ปราจีนบุรี!J498"")"),0)</f>
        <v>0</v>
      </c>
      <c r="AW63" s="63">
        <f t="shared" ca="1" si="41"/>
        <v>0</v>
      </c>
      <c r="AX63" s="57">
        <f ca="1">IFERROR(__xludf.DUMMYFUNCTION("IMPORTRANGE(""https://docs.google.com/spreadsheets/d/1nYxRXgnCfTXtqUY1otYuTlnrzE0Tn-Y0YRsW5pkRVqo/edit?usp=sharing"",""ปราจีนบุรี!J499"")"),0)</f>
        <v>0</v>
      </c>
    </row>
    <row r="64" spans="1:50" ht="21" customHeight="1" x14ac:dyDescent="0.3">
      <c r="A64" s="54">
        <v>12</v>
      </c>
      <c r="B64" s="55" t="s">
        <v>85</v>
      </c>
      <c r="C64" s="56">
        <f t="shared" ca="1" si="79"/>
        <v>0</v>
      </c>
      <c r="D64" s="57">
        <f ca="1">IFERROR(__xludf.DUMMYFUNCTION("IMPORTRANGE(""https://docs.google.com/spreadsheets/d/1nNHCLO8ZAXOMfQvxux7cf_hrzPAh8FAvaHq_ClKbZNo/edit?usp=sharing"",""พระนครศรีอยุธยา!L472"")"),0)</f>
        <v>0</v>
      </c>
      <c r="E64" s="64">
        <f ca="1">IFERROR(__xludf.DUMMYFUNCTION("IMPORTRANGE(""https://docs.google.com/spreadsheets/d/1nNHCLO8ZAXOMfQvxux7cf_hrzPAh8FAvaHq_ClKbZNo/edit?usp=sharing"",""พระนครศรีอยุธยา!L479"")"),0)</f>
        <v>0</v>
      </c>
      <c r="F64" s="64">
        <f ca="1">IFERROR(__xludf.DUMMYFUNCTION("IMPORTRANGE(""https://docs.google.com/spreadsheets/d/1nNHCLO8ZAXOMfQvxux7cf_hrzPAh8FAvaHq_ClKbZNo/edit?usp=sharing"",""พระนครศรีอยุธยา!M472"")"),0)</f>
        <v>0</v>
      </c>
      <c r="G64" s="64">
        <f ca="1">IFERROR(__xludf.DUMMYFUNCTION("IMPORTRANGE(""https://docs.google.com/spreadsheets/d/1nNHCLO8ZAXOMfQvxux7cf_hrzPAh8FAvaHq_ClKbZNo/edit?usp=sharing"",""พระนครศรีอยุธยา!M479"")"),0)</f>
        <v>0</v>
      </c>
      <c r="H64" s="58">
        <f t="shared" ca="1" si="34"/>
        <v>0</v>
      </c>
      <c r="I64" s="59">
        <f t="shared" ca="1" si="1"/>
        <v>0</v>
      </c>
      <c r="J64" s="60">
        <f t="shared" ca="1" si="80"/>
        <v>0</v>
      </c>
      <c r="K64" s="61">
        <f t="shared" ca="1" si="43"/>
        <v>0</v>
      </c>
      <c r="L64" s="61">
        <f t="shared" ca="1" si="44"/>
        <v>0</v>
      </c>
      <c r="M64" s="64">
        <f ca="1">IFERROR(__xludf.DUMMYFUNCTION("IMPORTRANGE(""https://docs.google.com/spreadsheets/d/1nNHCLO8ZAXOMfQvxux7cf_hrzPAh8FAvaHq_ClKbZNo/edit?usp=sharing"",""พระนครศรีอยุธยา!N473"")"),0)</f>
        <v>0</v>
      </c>
      <c r="N64" s="64">
        <f ca="1">IFERROR(__xludf.DUMMYFUNCTION("IMPORTRANGE(""https://docs.google.com/spreadsheets/d/1nNHCLO8ZAXOMfQvxux7cf_hrzPAh8FAvaHq_ClKbZNo/edit?usp=sharing"",""พระนครศรีอยุธยา!N474"")"),0)</f>
        <v>0</v>
      </c>
      <c r="O64" s="64">
        <f ca="1">IFERROR(__xludf.DUMMYFUNCTION("IMPORTRANGE(""https://docs.google.com/spreadsheets/d/1nNHCLO8ZAXOMfQvxux7cf_hrzPAh8FAvaHq_ClKbZNo/edit?usp=sharing"",""พระนครศรีอยุธยา!N475"")"),0)</f>
        <v>0</v>
      </c>
      <c r="P64" s="64">
        <f ca="1">IFERROR(__xludf.DUMMYFUNCTION("IMPORTRANGE(""https://docs.google.com/spreadsheets/d/1nNHCLO8ZAXOMfQvxux7cf_hrzPAh8FAvaHq_ClKbZNo/edit?usp=sharing"",""พระนครศรีอยุธยา!N476"")"),0)</f>
        <v>0</v>
      </c>
      <c r="Q64" s="62">
        <f ca="1">IFERROR(__xludf.DUMMYFUNCTION("IMPORTRANGE(""https://docs.google.com/spreadsheets/d/1nNHCLO8ZAXOMfQvxux7cf_hrzPAh8FAvaHq_ClKbZNo/edit?usp=sharing"",""พระนครศรีอยุธยา!N479"")"),0)</f>
        <v>0</v>
      </c>
      <c r="R64" s="62">
        <f t="shared" ca="1" si="46"/>
        <v>0</v>
      </c>
      <c r="S64" s="57">
        <f ca="1">IFERROR(__xludf.DUMMYFUNCTION("IMPORTRANGE(""https://docs.google.com/spreadsheets/d/1nNHCLO8ZAXOMfQvxux7cf_hrzPAh8FAvaHq_ClKbZNo/edit?usp=sharing"",""พระนครศรีอยุธยา!I465"")"),0)</f>
        <v>0</v>
      </c>
      <c r="T64" s="57">
        <f ca="1">IFERROR(__xludf.DUMMYFUNCTION("IMPORTRANGE(""https://docs.google.com/spreadsheets/d/1nNHCLO8ZAXOMfQvxux7cf_hrzPAh8FAvaHq_ClKbZNo/edit?usp=sharing"",""พระนครศรีอยุธยา!I466"")"),0)</f>
        <v>0</v>
      </c>
      <c r="U64" s="57">
        <f ca="1">IFERROR(__xludf.DUMMYFUNCTION("IMPORTRANGE(""https://docs.google.com/spreadsheets/d/1nNHCLO8ZAXOMfQvxux7cf_hrzPAh8FAvaHq_ClKbZNo/edit?usp=sharing"",""พระนครศรีอยุธยา!J465"")"),0)</f>
        <v>0</v>
      </c>
      <c r="V64" s="63">
        <f t="shared" ca="1" si="6"/>
        <v>0</v>
      </c>
      <c r="W64" s="57">
        <f ca="1">IFERROR(__xludf.DUMMYFUNCTION("IMPORTRANGE(""https://docs.google.com/spreadsheets/d/1nNHCLO8ZAXOMfQvxux7cf_hrzPAh8FAvaHq_ClKbZNo/edit?usp=sharing"",""พระนครศรีอยุธยา!J466"")"),0)</f>
        <v>0</v>
      </c>
      <c r="X64" s="63">
        <f t="shared" ca="1" si="7"/>
        <v>0</v>
      </c>
      <c r="Y64" s="57">
        <f ca="1">IFERROR(__xludf.DUMMYFUNCTION("IMPORTRANGE(""https://docs.google.com/spreadsheets/d/1nNHCLO8ZAXOMfQvxux7cf_hrzPAh8FAvaHq_ClKbZNo/edit?usp=sharing"",""พระนครศรีอยุธยา!I483"")"),0)</f>
        <v>0</v>
      </c>
      <c r="Z64" s="57">
        <f ca="1">IFERROR(__xludf.DUMMYFUNCTION("IMPORTRANGE(""https://docs.google.com/spreadsheets/d/1nNHCLO8ZAXOMfQvxux7cf_hrzPAh8FAvaHq_ClKbZNo/edit?usp=sharing"",""พระนครศรีอยุธยา!J483"")"),0)</f>
        <v>0</v>
      </c>
      <c r="AA64" s="63">
        <f t="shared" ca="1" si="35"/>
        <v>0</v>
      </c>
      <c r="AB64" s="57">
        <f ca="1">IFERROR(__xludf.DUMMYFUNCTION("IMPORTRANGE(""https://docs.google.com/spreadsheets/d/1nNHCLO8ZAXOMfQvxux7cf_hrzPAh8FAvaHq_ClKbZNo/edit?usp=sharing"",""พระนครศรีอยุธยา!J484"")"),0)</f>
        <v>0</v>
      </c>
      <c r="AC64" s="57">
        <f ca="1">IFERROR(__xludf.DUMMYFUNCTION("IMPORTRANGE(""https://docs.google.com/spreadsheets/d/1nNHCLO8ZAXOMfQvxux7cf_hrzPAh8FAvaHq_ClKbZNo/edit?usp=sharing"",""พระนครศรีอยุธยา!I485"")"),0)</f>
        <v>0</v>
      </c>
      <c r="AD64" s="57">
        <f ca="1">IFERROR(__xludf.DUMMYFUNCTION("IMPORTRANGE(""https://docs.google.com/spreadsheets/d/1nNHCLO8ZAXOMfQvxux7cf_hrzPAh8FAvaHq_ClKbZNo/edit?usp=sharing"",""พระนครศรีอยุธยา!J485"")"),0)</f>
        <v>0</v>
      </c>
      <c r="AE64" s="63">
        <f t="shared" ca="1" si="36"/>
        <v>0</v>
      </c>
      <c r="AF64" s="57">
        <f ca="1">IFERROR(__xludf.DUMMYFUNCTION("IMPORTRANGE(""https://docs.google.com/spreadsheets/d/1nNHCLO8ZAXOMfQvxux7cf_hrzPAh8FAvaHq_ClKbZNo/edit?usp=sharing"",""พระนครศรีอยุธยา!I487"")"),0)</f>
        <v>0</v>
      </c>
      <c r="AG64" s="57">
        <f ca="1">IFERROR(__xludf.DUMMYFUNCTION("IMPORTRANGE(""https://docs.google.com/spreadsheets/d/1nNHCLO8ZAXOMfQvxux7cf_hrzPAh8FAvaHq_ClKbZNo/edit?usp=sharing"",""พระนครศรีอยุธยา!J487"")"),0)</f>
        <v>0</v>
      </c>
      <c r="AH64" s="63">
        <f t="shared" ca="1" si="37"/>
        <v>0</v>
      </c>
      <c r="AI64" s="57">
        <f ca="1">IFERROR(__xludf.DUMMYFUNCTION("IMPORTRANGE(""https://docs.google.com/spreadsheets/d/1nNHCLO8ZAXOMfQvxux7cf_hrzPAh8FAvaHq_ClKbZNo/edit?usp=sharing"",""พระนครศรีอยุธยา!J488"")"),0)</f>
        <v>0</v>
      </c>
      <c r="AJ64" s="57">
        <f ca="1">IFERROR(__xludf.DUMMYFUNCTION("IMPORTRANGE(""https://docs.google.com/spreadsheets/d/1nNHCLO8ZAXOMfQvxux7cf_hrzPAh8FAvaHq_ClKbZNo/edit?usp=sharing"",""พระนครศรีอยุธยา!I489"")"),0)</f>
        <v>0</v>
      </c>
      <c r="AK64" s="57">
        <f ca="1">IFERROR(__xludf.DUMMYFUNCTION("IMPORTRANGE(""https://docs.google.com/spreadsheets/d/1nNHCLO8ZAXOMfQvxux7cf_hrzPAh8FAvaHq_ClKbZNo/edit?usp=sharing"",""พระนครศรีอยุธยา!J489"")"),0)</f>
        <v>0</v>
      </c>
      <c r="AL64" s="63">
        <f t="shared" ca="1" si="38"/>
        <v>0</v>
      </c>
      <c r="AM64" s="57">
        <f ca="1">IFERROR(__xludf.DUMMYFUNCTION("IMPORTRANGE(""https://docs.google.com/spreadsheets/d/1nNHCLO8ZAXOMfQvxux7cf_hrzPAh8FAvaHq_ClKbZNo/edit?usp=sharing"",""พระนครศรีอยุธยา!J491"")"),0)</f>
        <v>0</v>
      </c>
      <c r="AN64" s="57">
        <f ca="1">IFERROR(__xludf.DUMMYFUNCTION("IMPORTRANGE(""https://docs.google.com/spreadsheets/d/1nNHCLO8ZAXOMfQvxux7cf_hrzPAh8FAvaHq_ClKbZNo/edit?usp=sharing"",""พระนครศรีอยุธยา!I492"")"),0)</f>
        <v>0</v>
      </c>
      <c r="AO64" s="57">
        <f ca="1">IFERROR(__xludf.DUMMYFUNCTION("IMPORTRANGE(""https://docs.google.com/spreadsheets/d/1nNHCLO8ZAXOMfQvxux7cf_hrzPAh8FAvaHq_ClKbZNo/edit?usp=sharing"",""พระนครศรีอยุธยา!J492"")"),0)</f>
        <v>0</v>
      </c>
      <c r="AP64" s="63">
        <f t="shared" ca="1" si="39"/>
        <v>0</v>
      </c>
      <c r="AQ64" s="57">
        <f ca="1">IFERROR(__xludf.DUMMYFUNCTION("IMPORTRANGE(""https://docs.google.com/spreadsheets/d/1nNHCLO8ZAXOMfQvxux7cf_hrzPAh8FAvaHq_ClKbZNo/edit?usp=sharing"",""พระนครศรีอยุธยา!I495"")"),0)</f>
        <v>0</v>
      </c>
      <c r="AR64" s="57">
        <f ca="1">IFERROR(__xludf.DUMMYFUNCTION("IMPORTRANGE(""https://docs.google.com/spreadsheets/d/1nNHCLO8ZAXOMfQvxux7cf_hrzPAh8FAvaHq_ClKbZNo/edit?usp=sharing"",""พระนครศรีอยุธยา!J495"")"),0)</f>
        <v>0</v>
      </c>
      <c r="AS64" s="63">
        <f t="shared" ca="1" si="40"/>
        <v>0</v>
      </c>
      <c r="AT64" s="57">
        <f ca="1">IFERROR(__xludf.DUMMYFUNCTION("IMPORTRANGE(""https://docs.google.com/spreadsheets/d/1nNHCLO8ZAXOMfQvxux7cf_hrzPAh8FAvaHq_ClKbZNo/edit?usp=sharing"",""พระนครศรีอยุธยา!J496"")"),0)</f>
        <v>0</v>
      </c>
      <c r="AU64" s="57">
        <f ca="1">IFERROR(__xludf.DUMMYFUNCTION("IMPORTRANGE(""https://docs.google.com/spreadsheets/d/1nNHCLO8ZAXOMfQvxux7cf_hrzPAh8FAvaHq_ClKbZNo/edit?usp=sharing"",""พระนครศรีอยุธยา!I498"")"),0)</f>
        <v>0</v>
      </c>
      <c r="AV64" s="57">
        <f ca="1">IFERROR(__xludf.DUMMYFUNCTION("IMPORTRANGE(""https://docs.google.com/spreadsheets/d/1nNHCLO8ZAXOMfQvxux7cf_hrzPAh8FAvaHq_ClKbZNo/edit?usp=sharing"",""พระนครศรีอยุธยา!J498"")"),0)</f>
        <v>0</v>
      </c>
      <c r="AW64" s="63">
        <f t="shared" ca="1" si="41"/>
        <v>0</v>
      </c>
      <c r="AX64" s="57">
        <f ca="1">IFERROR(__xludf.DUMMYFUNCTION("IMPORTRANGE(""https://docs.google.com/spreadsheets/d/1nNHCLO8ZAXOMfQvxux7cf_hrzPAh8FAvaHq_ClKbZNo/edit?usp=sharing"",""พระนครศรีอยุธยา!J499"")"),0)</f>
        <v>0</v>
      </c>
    </row>
    <row r="65" spans="1:50" ht="21" customHeight="1" x14ac:dyDescent="0.3">
      <c r="A65" s="54">
        <v>13</v>
      </c>
      <c r="B65" s="55" t="s">
        <v>86</v>
      </c>
      <c r="C65" s="56">
        <f t="shared" ca="1" si="79"/>
        <v>179833</v>
      </c>
      <c r="D65" s="57">
        <f ca="1">IFERROR(__xludf.DUMMYFUNCTION("IMPORTRANGE(""https://docs.google.com/spreadsheets/d/1CdNicvf3i6yt4tJlCePe3V1Va76wYqW0QzMzTsaGRrA/edit?usp=sharing"",""เพชรบุรี!L472"")"),179833)</f>
        <v>179833</v>
      </c>
      <c r="E65" s="64">
        <f ca="1">IFERROR(__xludf.DUMMYFUNCTION("IMPORTRANGE(""https://docs.google.com/spreadsheets/d/1CdNicvf3i6yt4tJlCePe3V1Va76wYqW0QzMzTsaGRrA/edit?usp=sharing"",""เพชรบุรี!L479"")"),0)</f>
        <v>0</v>
      </c>
      <c r="F65" s="64">
        <f ca="1">IFERROR(__xludf.DUMMYFUNCTION("IMPORTRANGE(""https://docs.google.com/spreadsheets/d/1CdNicvf3i6yt4tJlCePe3V1Va76wYqW0QzMzTsaGRrA/edit?usp=sharing"",""เพชรบุรี!M472"")"),179833)</f>
        <v>179833</v>
      </c>
      <c r="G65" s="64">
        <f ca="1">IFERROR(__xludf.DUMMYFUNCTION("IMPORTRANGE(""https://docs.google.com/spreadsheets/d/1CdNicvf3i6yt4tJlCePe3V1Va76wYqW0QzMzTsaGRrA/edit?usp=sharing"",""เพชรบุรี!M479"")"),0)</f>
        <v>0</v>
      </c>
      <c r="H65" s="58">
        <f t="shared" ca="1" si="34"/>
        <v>35138</v>
      </c>
      <c r="I65" s="59">
        <f t="shared" ca="1" si="1"/>
        <v>19.539239183019802</v>
      </c>
      <c r="J65" s="60">
        <f t="shared" ca="1" si="80"/>
        <v>35138</v>
      </c>
      <c r="K65" s="61">
        <f t="shared" ca="1" si="43"/>
        <v>19.539239183019802</v>
      </c>
      <c r="L65" s="61">
        <f t="shared" ca="1" si="44"/>
        <v>19.539239183019802</v>
      </c>
      <c r="M65" s="64">
        <f ca="1">IFERROR(__xludf.DUMMYFUNCTION("IMPORTRANGE(""https://docs.google.com/spreadsheets/d/1CdNicvf3i6yt4tJlCePe3V1Va76wYqW0QzMzTsaGRrA/edit?usp=sharing"",""เพชรบุรี!N473"")"),24903)</f>
        <v>24903</v>
      </c>
      <c r="N65" s="64">
        <f ca="1">IFERROR(__xludf.DUMMYFUNCTION("IMPORTRANGE(""https://docs.google.com/spreadsheets/d/1CdNicvf3i6yt4tJlCePe3V1Va76wYqW0QzMzTsaGRrA/edit?usp=sharing"",""เพชรบุรี!N474"")"),0)</f>
        <v>0</v>
      </c>
      <c r="O65" s="64">
        <f ca="1">IFERROR(__xludf.DUMMYFUNCTION("IMPORTRANGE(""https://docs.google.com/spreadsheets/d/1CdNicvf3i6yt4tJlCePe3V1Va76wYqW0QzMzTsaGRrA/edit?usp=sharing"",""เพชรบุรี!N475"")"),0)</f>
        <v>0</v>
      </c>
      <c r="P65" s="64">
        <f ca="1">IFERROR(__xludf.DUMMYFUNCTION("IMPORTRANGE(""https://docs.google.com/spreadsheets/d/1CdNicvf3i6yt4tJlCePe3V1Va76wYqW0QzMzTsaGRrA/edit?usp=sharing"",""เพชรบุรี!N476"")"),10235)</f>
        <v>10235</v>
      </c>
      <c r="Q65" s="62">
        <f ca="1">IFERROR(__xludf.DUMMYFUNCTION("IMPORTRANGE(""https://docs.google.com/spreadsheets/d/1CdNicvf3i6yt4tJlCePe3V1Va76wYqW0QzMzTsaGRrA/edit?usp=sharing"",""เพชรบุรี!N479"")"),0)</f>
        <v>0</v>
      </c>
      <c r="R65" s="62">
        <f t="shared" ca="1" si="46"/>
        <v>0</v>
      </c>
      <c r="S65" s="57">
        <f ca="1">IFERROR(__xludf.DUMMYFUNCTION("IMPORTRANGE(""https://docs.google.com/spreadsheets/d/1CdNicvf3i6yt4tJlCePe3V1Va76wYqW0QzMzTsaGRrA/edit?usp=sharing"",""เพชรบุรี!I465"")"),21)</f>
        <v>21</v>
      </c>
      <c r="T65" s="57">
        <f ca="1">IFERROR(__xludf.DUMMYFUNCTION("IMPORTRANGE(""https://docs.google.com/spreadsheets/d/1CdNicvf3i6yt4tJlCePe3V1Va76wYqW0QzMzTsaGRrA/edit?usp=sharing"",""เพชรบุรี!I466"")"),200)</f>
        <v>200</v>
      </c>
      <c r="U65" s="57">
        <f ca="1">IFERROR(__xludf.DUMMYFUNCTION("IMPORTRANGE(""https://docs.google.com/spreadsheets/d/1CdNicvf3i6yt4tJlCePe3V1Va76wYqW0QzMzTsaGRrA/edit?usp=sharing"",""เพชรบุรี!J465"")"),21)</f>
        <v>21</v>
      </c>
      <c r="V65" s="63">
        <f t="shared" ca="1" si="6"/>
        <v>100</v>
      </c>
      <c r="W65" s="57">
        <f ca="1">IFERROR(__xludf.DUMMYFUNCTION("IMPORTRANGE(""https://docs.google.com/spreadsheets/d/1CdNicvf3i6yt4tJlCePe3V1Va76wYqW0QzMzTsaGRrA/edit?usp=sharing"",""เพชรบุรี!J466"")"),0)</f>
        <v>0</v>
      </c>
      <c r="X65" s="63">
        <f t="shared" ca="1" si="7"/>
        <v>0</v>
      </c>
      <c r="Y65" s="57">
        <f ca="1">IFERROR(__xludf.DUMMYFUNCTION("IMPORTRANGE(""https://docs.google.com/spreadsheets/d/1CdNicvf3i6yt4tJlCePe3V1Va76wYqW0QzMzTsaGRrA/edit?usp=sharing"",""เพชรบุรี!I483"")"),180)</f>
        <v>180</v>
      </c>
      <c r="Z65" s="57">
        <f ca="1">IFERROR(__xludf.DUMMYFUNCTION("IMPORTRANGE(""https://docs.google.com/spreadsheets/d/1CdNicvf3i6yt4tJlCePe3V1Va76wYqW0QzMzTsaGRrA/edit?usp=sharing"",""เพชรบุรี!J483"")"),0)</f>
        <v>0</v>
      </c>
      <c r="AA65" s="63">
        <f t="shared" ca="1" si="35"/>
        <v>0</v>
      </c>
      <c r="AB65" s="57">
        <f ca="1">IFERROR(__xludf.DUMMYFUNCTION("IMPORTRANGE(""https://docs.google.com/spreadsheets/d/1CdNicvf3i6yt4tJlCePe3V1Va76wYqW0QzMzTsaGRrA/edit?usp=sharing"",""เพชรบุรี!J484"")"),18)</f>
        <v>18</v>
      </c>
      <c r="AC65" s="57">
        <f ca="1">IFERROR(__xludf.DUMMYFUNCTION("IMPORTRANGE(""https://docs.google.com/spreadsheets/d/1CdNicvf3i6yt4tJlCePe3V1Va76wYqW0QzMzTsaGRrA/edit?usp=sharing"",""เพชรบุรี!I485"")"),18)</f>
        <v>18</v>
      </c>
      <c r="AD65" s="57">
        <f ca="1">IFERROR(__xludf.DUMMYFUNCTION("IMPORTRANGE(""https://docs.google.com/spreadsheets/d/1CdNicvf3i6yt4tJlCePe3V1Va76wYqW0QzMzTsaGRrA/edit?usp=sharing"",""เพชรบุรี!J485"")"),18)</f>
        <v>18</v>
      </c>
      <c r="AE65" s="63">
        <f t="shared" ca="1" si="36"/>
        <v>100</v>
      </c>
      <c r="AF65" s="57">
        <f ca="1">IFERROR(__xludf.DUMMYFUNCTION("IMPORTRANGE(""https://docs.google.com/spreadsheets/d/1CdNicvf3i6yt4tJlCePe3V1Va76wYqW0QzMzTsaGRrA/edit?usp=sharing"",""เพชรบุรี!I487"")"),20)</f>
        <v>20</v>
      </c>
      <c r="AG65" s="57">
        <f ca="1">IFERROR(__xludf.DUMMYFUNCTION("IMPORTRANGE(""https://docs.google.com/spreadsheets/d/1CdNicvf3i6yt4tJlCePe3V1Va76wYqW0QzMzTsaGRrA/edit?usp=sharing"",""เพชรบุรี!J487"")"),0)</f>
        <v>0</v>
      </c>
      <c r="AH65" s="63">
        <f t="shared" ca="1" si="37"/>
        <v>0</v>
      </c>
      <c r="AI65" s="57">
        <f ca="1">IFERROR(__xludf.DUMMYFUNCTION("IMPORTRANGE(""https://docs.google.com/spreadsheets/d/1CdNicvf3i6yt4tJlCePe3V1Va76wYqW0QzMzTsaGRrA/edit?usp=sharing"",""เพชรบุรี!J488"")"),2)</f>
        <v>2</v>
      </c>
      <c r="AJ65" s="57">
        <f ca="1">IFERROR(__xludf.DUMMYFUNCTION("IMPORTRANGE(""https://docs.google.com/spreadsheets/d/1CdNicvf3i6yt4tJlCePe3V1Va76wYqW0QzMzTsaGRrA/edit?usp=sharing"",""เพชรบุรี!I489"")"),2)</f>
        <v>2</v>
      </c>
      <c r="AK65" s="57">
        <f ca="1">IFERROR(__xludf.DUMMYFUNCTION("IMPORTRANGE(""https://docs.google.com/spreadsheets/d/1CdNicvf3i6yt4tJlCePe3V1Va76wYqW0QzMzTsaGRrA/edit?usp=sharing"",""เพชรบุรี!J489"")"),2)</f>
        <v>2</v>
      </c>
      <c r="AL65" s="63">
        <f t="shared" ca="1" si="38"/>
        <v>100</v>
      </c>
      <c r="AM65" s="57">
        <f ca="1">IFERROR(__xludf.DUMMYFUNCTION("IMPORTRANGE(""https://docs.google.com/spreadsheets/d/1CdNicvf3i6yt4tJlCePe3V1Va76wYqW0QzMzTsaGRrA/edit?usp=sharing"",""เพชรบุรี!J491"")"),1)</f>
        <v>1</v>
      </c>
      <c r="AN65" s="57">
        <f ca="1">IFERROR(__xludf.DUMMYFUNCTION("IMPORTRANGE(""https://docs.google.com/spreadsheets/d/1CdNicvf3i6yt4tJlCePe3V1Va76wYqW0QzMzTsaGRrA/edit?usp=sharing"",""เพชรบุรี!I492"")"),1)</f>
        <v>1</v>
      </c>
      <c r="AO65" s="57">
        <f ca="1">IFERROR(__xludf.DUMMYFUNCTION("IMPORTRANGE(""https://docs.google.com/spreadsheets/d/1CdNicvf3i6yt4tJlCePe3V1Va76wYqW0QzMzTsaGRrA/edit?usp=sharing"",""เพชรบุรี!J492"")"),1)</f>
        <v>1</v>
      </c>
      <c r="AP65" s="63">
        <f t="shared" ca="1" si="39"/>
        <v>100</v>
      </c>
      <c r="AQ65" s="57">
        <f ca="1">IFERROR(__xludf.DUMMYFUNCTION("IMPORTRANGE(""https://docs.google.com/spreadsheets/d/1CdNicvf3i6yt4tJlCePe3V1Va76wYqW0QzMzTsaGRrA/edit?usp=sharing"",""เพชรบุรี!I495"")"),180)</f>
        <v>180</v>
      </c>
      <c r="AR65" s="57">
        <f ca="1">IFERROR(__xludf.DUMMYFUNCTION("IMPORTRANGE(""https://docs.google.com/spreadsheets/d/1CdNicvf3i6yt4tJlCePe3V1Va76wYqW0QzMzTsaGRrA/edit?usp=sharing"",""เพชรบุรี!J495"")"),0)</f>
        <v>0</v>
      </c>
      <c r="AS65" s="63">
        <f t="shared" ca="1" si="40"/>
        <v>0</v>
      </c>
      <c r="AT65" s="57">
        <f ca="1">IFERROR(__xludf.DUMMYFUNCTION("IMPORTRANGE(""https://docs.google.com/spreadsheets/d/1CdNicvf3i6yt4tJlCePe3V1Va76wYqW0QzMzTsaGRrA/edit?usp=sharing"",""เพชรบุรี!J496"")"),0)</f>
        <v>0</v>
      </c>
      <c r="AU65" s="57">
        <f ca="1">IFERROR(__xludf.DUMMYFUNCTION("IMPORTRANGE(""https://docs.google.com/spreadsheets/d/1CdNicvf3i6yt4tJlCePe3V1Va76wYqW0QzMzTsaGRrA/edit?usp=sharing"",""เพชรบุรี!I498"")"),20)</f>
        <v>20</v>
      </c>
      <c r="AV65" s="57">
        <f ca="1">IFERROR(__xludf.DUMMYFUNCTION("IMPORTRANGE(""https://docs.google.com/spreadsheets/d/1CdNicvf3i6yt4tJlCePe3V1Va76wYqW0QzMzTsaGRrA/edit?usp=sharing"",""เพชรบุรี!J498"")"),0)</f>
        <v>0</v>
      </c>
      <c r="AW65" s="63">
        <f t="shared" ca="1" si="41"/>
        <v>0</v>
      </c>
      <c r="AX65" s="57">
        <f ca="1">IFERROR(__xludf.DUMMYFUNCTION("IMPORTRANGE(""https://docs.google.com/spreadsheets/d/1CdNicvf3i6yt4tJlCePe3V1Va76wYqW0QzMzTsaGRrA/edit?usp=sharing"",""เพชรบุรี!J499"")"),0)</f>
        <v>0</v>
      </c>
    </row>
    <row r="66" spans="1:50" ht="21" customHeight="1" x14ac:dyDescent="0.3">
      <c r="A66" s="54">
        <v>14</v>
      </c>
      <c r="B66" s="55" t="s">
        <v>87</v>
      </c>
      <c r="C66" s="56">
        <f t="shared" ca="1" si="79"/>
        <v>180043</v>
      </c>
      <c r="D66" s="57">
        <f ca="1">IFERROR(__xludf.DUMMYFUNCTION("IMPORTRANGE(""https://docs.google.com/spreadsheets/d/1XiF77UIVHV0Kjc6xbXuOuJ10WgJYxd4p_22ngKVV5oM/edit?usp=sharing"",""ระยอง!L472"")"),180043)</f>
        <v>180043</v>
      </c>
      <c r="E66" s="64">
        <f ca="1">IFERROR(__xludf.DUMMYFUNCTION("IMPORTRANGE(""https://docs.google.com/spreadsheets/d/1XiF77UIVHV0Kjc6xbXuOuJ10WgJYxd4p_22ngKVV5oM/edit?usp=sharing"",""ระยอง!L479"")"),0)</f>
        <v>0</v>
      </c>
      <c r="F66" s="64">
        <f ca="1">IFERROR(__xludf.DUMMYFUNCTION("IMPORTRANGE(""https://docs.google.com/spreadsheets/d/1XiF77UIVHV0Kjc6xbXuOuJ10WgJYxd4p_22ngKVV5oM/edit?usp=sharing"",""ระยอง!M472"")"),180043)</f>
        <v>180043</v>
      </c>
      <c r="G66" s="64">
        <f ca="1">IFERROR(__xludf.DUMMYFUNCTION("IMPORTRANGE(""https://docs.google.com/spreadsheets/d/1XiF77UIVHV0Kjc6xbXuOuJ10WgJYxd4p_22ngKVV5oM/edit?usp=sharing"",""ระยอง!M479"")"),0)</f>
        <v>0</v>
      </c>
      <c r="H66" s="58">
        <f t="shared" ca="1" si="34"/>
        <v>31231</v>
      </c>
      <c r="I66" s="59">
        <f t="shared" ca="1" si="1"/>
        <v>17.346411690540592</v>
      </c>
      <c r="J66" s="60">
        <f t="shared" ca="1" si="80"/>
        <v>31231</v>
      </c>
      <c r="K66" s="61">
        <f t="shared" ca="1" si="43"/>
        <v>17.346411690540592</v>
      </c>
      <c r="L66" s="61">
        <f t="shared" ca="1" si="44"/>
        <v>17.346411690540592</v>
      </c>
      <c r="M66" s="64">
        <f ca="1">IFERROR(__xludf.DUMMYFUNCTION("IMPORTRANGE(""https://docs.google.com/spreadsheets/d/1XiF77UIVHV0Kjc6xbXuOuJ10WgJYxd4p_22ngKVV5oM/edit?usp=sharing"",""ระยอง!N473"")"),24903)</f>
        <v>24903</v>
      </c>
      <c r="N66" s="64">
        <f ca="1">IFERROR(__xludf.DUMMYFUNCTION("IMPORTRANGE(""https://docs.google.com/spreadsheets/d/1XiF77UIVHV0Kjc6xbXuOuJ10WgJYxd4p_22ngKVV5oM/edit?usp=sharing"",""ระยอง!N474"")"),0)</f>
        <v>0</v>
      </c>
      <c r="O66" s="64">
        <f ca="1">IFERROR(__xludf.DUMMYFUNCTION("IMPORTRANGE(""https://docs.google.com/spreadsheets/d/1XiF77UIVHV0Kjc6xbXuOuJ10WgJYxd4p_22ngKVV5oM/edit?usp=sharing"",""ระยอง!N475"")"),0)</f>
        <v>0</v>
      </c>
      <c r="P66" s="64">
        <f ca="1">IFERROR(__xludf.DUMMYFUNCTION("IMPORTRANGE(""https://docs.google.com/spreadsheets/d/1XiF77UIVHV0Kjc6xbXuOuJ10WgJYxd4p_22ngKVV5oM/edit?usp=sharing"",""ระยอง!N476"")"),6328)</f>
        <v>6328</v>
      </c>
      <c r="Q66" s="62">
        <f ca="1">IFERROR(__xludf.DUMMYFUNCTION("IMPORTRANGE(""https://docs.google.com/spreadsheets/d/1XiF77UIVHV0Kjc6xbXuOuJ10WgJYxd4p_22ngKVV5oM/edit?usp=sharing"",""ระยอง!N479"")"),0)</f>
        <v>0</v>
      </c>
      <c r="R66" s="62">
        <f t="shared" ca="1" si="46"/>
        <v>0</v>
      </c>
      <c r="S66" s="57">
        <f ca="1">IFERROR(__xludf.DUMMYFUNCTION("IMPORTRANGE(""https://docs.google.com/spreadsheets/d/1XiF77UIVHV0Kjc6xbXuOuJ10WgJYxd4p_22ngKVV5oM/edit?usp=sharing"",""ระยอง!I465"")"),21)</f>
        <v>21</v>
      </c>
      <c r="T66" s="57">
        <f ca="1">IFERROR(__xludf.DUMMYFUNCTION("IMPORTRANGE(""https://docs.google.com/spreadsheets/d/1XiF77UIVHV0Kjc6xbXuOuJ10WgJYxd4p_22ngKVV5oM/edit?usp=sharing"",""ระยอง!I466"")"),200)</f>
        <v>200</v>
      </c>
      <c r="U66" s="57">
        <f ca="1">IFERROR(__xludf.DUMMYFUNCTION("IMPORTRANGE(""https://docs.google.com/spreadsheets/d/1XiF77UIVHV0Kjc6xbXuOuJ10WgJYxd4p_22ngKVV5oM/edit?usp=sharing"",""ระยอง!J465"")"),20)</f>
        <v>20</v>
      </c>
      <c r="V66" s="63">
        <f t="shared" ca="1" si="6"/>
        <v>95.238095238095241</v>
      </c>
      <c r="W66" s="57">
        <f ca="1">IFERROR(__xludf.DUMMYFUNCTION("IMPORTRANGE(""https://docs.google.com/spreadsheets/d/1XiF77UIVHV0Kjc6xbXuOuJ10WgJYxd4p_22ngKVV5oM/edit?usp=sharing"",""ระยอง!J466"")"),0)</f>
        <v>0</v>
      </c>
      <c r="X66" s="63">
        <f t="shared" ca="1" si="7"/>
        <v>0</v>
      </c>
      <c r="Y66" s="57">
        <f ca="1">IFERROR(__xludf.DUMMYFUNCTION("IMPORTRANGE(""https://docs.google.com/spreadsheets/d/1XiF77UIVHV0Kjc6xbXuOuJ10WgJYxd4p_22ngKVV5oM/edit?usp=sharing"",""ระยอง!I483"")"),180)</f>
        <v>180</v>
      </c>
      <c r="Z66" s="57">
        <f ca="1">IFERROR(__xludf.DUMMYFUNCTION("IMPORTRANGE(""https://docs.google.com/spreadsheets/d/1XiF77UIVHV0Kjc6xbXuOuJ10WgJYxd4p_22ngKVV5oM/edit?usp=sharing"",""ระยอง!J483"")"),180)</f>
        <v>180</v>
      </c>
      <c r="AA66" s="63">
        <f t="shared" ca="1" si="35"/>
        <v>100</v>
      </c>
      <c r="AB66" s="57">
        <f ca="1">IFERROR(__xludf.DUMMYFUNCTION("IMPORTRANGE(""https://docs.google.com/spreadsheets/d/1XiF77UIVHV0Kjc6xbXuOuJ10WgJYxd4p_22ngKVV5oM/edit?usp=sharing"",""ระยอง!J484"")"),0)</f>
        <v>0</v>
      </c>
      <c r="AC66" s="57">
        <f ca="1">IFERROR(__xludf.DUMMYFUNCTION("IMPORTRANGE(""https://docs.google.com/spreadsheets/d/1XiF77UIVHV0Kjc6xbXuOuJ10WgJYxd4p_22ngKVV5oM/edit?usp=sharing"",""ระยอง!I485"")"),18)</f>
        <v>18</v>
      </c>
      <c r="AD66" s="57">
        <f ca="1">IFERROR(__xludf.DUMMYFUNCTION("IMPORTRANGE(""https://docs.google.com/spreadsheets/d/1XiF77UIVHV0Kjc6xbXuOuJ10WgJYxd4p_22ngKVV5oM/edit?usp=sharing"",""ระยอง!J485"")"),18)</f>
        <v>18</v>
      </c>
      <c r="AE66" s="63">
        <f t="shared" ca="1" si="36"/>
        <v>100</v>
      </c>
      <c r="AF66" s="57">
        <f ca="1">IFERROR(__xludf.DUMMYFUNCTION("IMPORTRANGE(""https://docs.google.com/spreadsheets/d/1XiF77UIVHV0Kjc6xbXuOuJ10WgJYxd4p_22ngKVV5oM/edit?usp=sharing"",""ระยอง!I487"")"),20)</f>
        <v>20</v>
      </c>
      <c r="AG66" s="57">
        <f ca="1">IFERROR(__xludf.DUMMYFUNCTION("IMPORTRANGE(""https://docs.google.com/spreadsheets/d/1XiF77UIVHV0Kjc6xbXuOuJ10WgJYxd4p_22ngKVV5oM/edit?usp=sharing"",""ระยอง!J487"")"),20)</f>
        <v>20</v>
      </c>
      <c r="AH66" s="63">
        <f t="shared" ca="1" si="37"/>
        <v>100</v>
      </c>
      <c r="AI66" s="57">
        <f ca="1">IFERROR(__xludf.DUMMYFUNCTION("IMPORTRANGE(""https://docs.google.com/spreadsheets/d/1XiF77UIVHV0Kjc6xbXuOuJ10WgJYxd4p_22ngKVV5oM/edit?usp=sharing"",""ระยอง!J488"")"),0)</f>
        <v>0</v>
      </c>
      <c r="AJ66" s="57">
        <f ca="1">IFERROR(__xludf.DUMMYFUNCTION("IMPORTRANGE(""https://docs.google.com/spreadsheets/d/1XiF77UIVHV0Kjc6xbXuOuJ10WgJYxd4p_22ngKVV5oM/edit?usp=sharing"",""ระยอง!I489"")"),2)</f>
        <v>2</v>
      </c>
      <c r="AK66" s="57">
        <f ca="1">IFERROR(__xludf.DUMMYFUNCTION("IMPORTRANGE(""https://docs.google.com/spreadsheets/d/1XiF77UIVHV0Kjc6xbXuOuJ10WgJYxd4p_22ngKVV5oM/edit?usp=sharing"",""ระยอง!J489"")"),2)</f>
        <v>2</v>
      </c>
      <c r="AL66" s="63">
        <f t="shared" ca="1" si="38"/>
        <v>100</v>
      </c>
      <c r="AM66" s="57">
        <f ca="1">IFERROR(__xludf.DUMMYFUNCTION("IMPORTRANGE(""https://docs.google.com/spreadsheets/d/1XiF77UIVHV0Kjc6xbXuOuJ10WgJYxd4p_22ngKVV5oM/edit?usp=sharing"",""ระยอง!J491"")"),0)</f>
        <v>0</v>
      </c>
      <c r="AN66" s="57">
        <f ca="1">IFERROR(__xludf.DUMMYFUNCTION("IMPORTRANGE(""https://docs.google.com/spreadsheets/d/1XiF77UIVHV0Kjc6xbXuOuJ10WgJYxd4p_22ngKVV5oM/edit?usp=sharing"",""ระยอง!I492"")"),1)</f>
        <v>1</v>
      </c>
      <c r="AO66" s="57">
        <f ca="1">IFERROR(__xludf.DUMMYFUNCTION("IMPORTRANGE(""https://docs.google.com/spreadsheets/d/1XiF77UIVHV0Kjc6xbXuOuJ10WgJYxd4p_22ngKVV5oM/edit?usp=sharing"",""ระยอง!J492"")"),0)</f>
        <v>0</v>
      </c>
      <c r="AP66" s="63">
        <f t="shared" ca="1" si="39"/>
        <v>0</v>
      </c>
      <c r="AQ66" s="57">
        <f ca="1">IFERROR(__xludf.DUMMYFUNCTION("IMPORTRANGE(""https://docs.google.com/spreadsheets/d/1XiF77UIVHV0Kjc6xbXuOuJ10WgJYxd4p_22ngKVV5oM/edit?usp=sharing"",""ระยอง!I495"")"),180)</f>
        <v>180</v>
      </c>
      <c r="AR66" s="57">
        <f ca="1">IFERROR(__xludf.DUMMYFUNCTION("IMPORTRANGE(""https://docs.google.com/spreadsheets/d/1XiF77UIVHV0Kjc6xbXuOuJ10WgJYxd4p_22ngKVV5oM/edit?usp=sharing"",""ระยอง!J495"")"),0)</f>
        <v>0</v>
      </c>
      <c r="AS66" s="63">
        <f t="shared" ca="1" si="40"/>
        <v>0</v>
      </c>
      <c r="AT66" s="57">
        <f ca="1">IFERROR(__xludf.DUMMYFUNCTION("IMPORTRANGE(""https://docs.google.com/spreadsheets/d/1XiF77UIVHV0Kjc6xbXuOuJ10WgJYxd4p_22ngKVV5oM/edit?usp=sharing"",""ระยอง!J496"")"),0)</f>
        <v>0</v>
      </c>
      <c r="AU66" s="57">
        <f ca="1">IFERROR(__xludf.DUMMYFUNCTION("IMPORTRANGE(""https://docs.google.com/spreadsheets/d/1XiF77UIVHV0Kjc6xbXuOuJ10WgJYxd4p_22ngKVV5oM/edit?usp=sharing"",""ระยอง!I498"")"),20)</f>
        <v>20</v>
      </c>
      <c r="AV66" s="57">
        <f ca="1">IFERROR(__xludf.DUMMYFUNCTION("IMPORTRANGE(""https://docs.google.com/spreadsheets/d/1XiF77UIVHV0Kjc6xbXuOuJ10WgJYxd4p_22ngKVV5oM/edit?usp=sharing"",""ระยอง!J498"")"),0)</f>
        <v>0</v>
      </c>
      <c r="AW66" s="63">
        <f t="shared" ca="1" si="41"/>
        <v>0</v>
      </c>
      <c r="AX66" s="57">
        <f ca="1">IFERROR(__xludf.DUMMYFUNCTION("IMPORTRANGE(""https://docs.google.com/spreadsheets/d/1XiF77UIVHV0Kjc6xbXuOuJ10WgJYxd4p_22ngKVV5oM/edit?usp=sharing"",""ระยอง!J499"")"),0)</f>
        <v>0</v>
      </c>
    </row>
    <row r="67" spans="1:50" ht="21" customHeight="1" x14ac:dyDescent="0.3">
      <c r="A67" s="54">
        <v>15</v>
      </c>
      <c r="B67" s="55" t="s">
        <v>88</v>
      </c>
      <c r="C67" s="56">
        <f t="shared" ca="1" si="79"/>
        <v>486543</v>
      </c>
      <c r="D67" s="57">
        <f ca="1">IFERROR(__xludf.DUMMYFUNCTION("IMPORTRANGE(""https://docs.google.com/spreadsheets/d/1qU-W_9MCQD1pgIVXGEOjCFo9QqlmJywuebyGgaN92r8/edit?usp=sharing"",""ราชบุรี!L472"")"),486543)</f>
        <v>486543</v>
      </c>
      <c r="E67" s="64">
        <f ca="1">IFERROR(__xludf.DUMMYFUNCTION("IMPORTRANGE(""https://docs.google.com/spreadsheets/d/1qU-W_9MCQD1pgIVXGEOjCFo9QqlmJywuebyGgaN92r8/edit?usp=sharing"",""ราชบุรี!L479"")"),0)</f>
        <v>0</v>
      </c>
      <c r="F67" s="64">
        <f ca="1">IFERROR(__xludf.DUMMYFUNCTION("IMPORTRANGE(""https://docs.google.com/spreadsheets/d/1qU-W_9MCQD1pgIVXGEOjCFo9QqlmJywuebyGgaN92r8/edit?usp=sharing"",""ราชบุรี!M472"")"),486543)</f>
        <v>486543</v>
      </c>
      <c r="G67" s="64">
        <f ca="1">IFERROR(__xludf.DUMMYFUNCTION("IMPORTRANGE(""https://docs.google.com/spreadsheets/d/1qU-W_9MCQD1pgIVXGEOjCFo9QqlmJywuebyGgaN92r8/edit?usp=sharing"",""ราชบุรี!M479"")"),0)</f>
        <v>0</v>
      </c>
      <c r="H67" s="58">
        <f t="shared" ca="1" si="34"/>
        <v>125448.08</v>
      </c>
      <c r="I67" s="59">
        <f t="shared" ca="1" si="1"/>
        <v>25.783554588186451</v>
      </c>
      <c r="J67" s="60">
        <f t="shared" ca="1" si="80"/>
        <v>125448.08</v>
      </c>
      <c r="K67" s="61">
        <f t="shared" ca="1" si="43"/>
        <v>25.783554588186451</v>
      </c>
      <c r="L67" s="61">
        <f t="shared" ca="1" si="44"/>
        <v>25.783554588186451</v>
      </c>
      <c r="M67" s="64">
        <f ca="1">IFERROR(__xludf.DUMMYFUNCTION("IMPORTRANGE(""https://docs.google.com/spreadsheets/d/1qU-W_9MCQD1pgIVXGEOjCFo9QqlmJywuebyGgaN92r8/edit?usp=sharing"",""ราชบุรี!N473"")"),80093)</f>
        <v>80093</v>
      </c>
      <c r="N67" s="64">
        <f ca="1">IFERROR(__xludf.DUMMYFUNCTION("IMPORTRANGE(""https://docs.google.com/spreadsheets/d/1qU-W_9MCQD1pgIVXGEOjCFo9QqlmJywuebyGgaN92r8/edit?usp=sharing"",""ราชบุรี!N474"")"),40645)</f>
        <v>40645</v>
      </c>
      <c r="O67" s="64">
        <f ca="1">IFERROR(__xludf.DUMMYFUNCTION("IMPORTRANGE(""https://docs.google.com/spreadsheets/d/1qU-W_9MCQD1pgIVXGEOjCFo9QqlmJywuebyGgaN92r8/edit?usp=sharing"",""ราชบุรี!N475"")"),0)</f>
        <v>0</v>
      </c>
      <c r="P67" s="64">
        <f ca="1">IFERROR(__xludf.DUMMYFUNCTION("IMPORTRANGE(""https://docs.google.com/spreadsheets/d/1qU-W_9MCQD1pgIVXGEOjCFo9QqlmJywuebyGgaN92r8/edit?usp=sharing"",""ราชบุรี!N476"")"),4710.08)</f>
        <v>4710.08</v>
      </c>
      <c r="Q67" s="62">
        <f ca="1">IFERROR(__xludf.DUMMYFUNCTION("IMPORTRANGE(""https://docs.google.com/spreadsheets/d/1qU-W_9MCQD1pgIVXGEOjCFo9QqlmJywuebyGgaN92r8/edit?usp=sharing"",""ราชบุรี!N479"")"),0)</f>
        <v>0</v>
      </c>
      <c r="R67" s="62">
        <f t="shared" ca="1" si="46"/>
        <v>0</v>
      </c>
      <c r="S67" s="57">
        <f ca="1">IFERROR(__xludf.DUMMYFUNCTION("IMPORTRANGE(""https://docs.google.com/spreadsheets/d/1qU-W_9MCQD1pgIVXGEOjCFo9QqlmJywuebyGgaN92r8/edit?usp=sharing"",""ราชบุรี!I465"")"),61)</f>
        <v>61</v>
      </c>
      <c r="T67" s="57">
        <f ca="1">IFERROR(__xludf.DUMMYFUNCTION("IMPORTRANGE(""https://docs.google.com/spreadsheets/d/1qU-W_9MCQD1pgIVXGEOjCFo9QqlmJywuebyGgaN92r8/edit?usp=sharing"",""ราชบุรี!I466"")"),600)</f>
        <v>600</v>
      </c>
      <c r="U67" s="57">
        <f ca="1">IFERROR(__xludf.DUMMYFUNCTION("IMPORTRANGE(""https://docs.google.com/spreadsheets/d/1qU-W_9MCQD1pgIVXGEOjCFo9QqlmJywuebyGgaN92r8/edit?usp=sharing"",""ราชบุรี!J465"")"),63)</f>
        <v>63</v>
      </c>
      <c r="V67" s="63">
        <f t="shared" ca="1" si="6"/>
        <v>103.27868852459017</v>
      </c>
      <c r="W67" s="57">
        <f ca="1">IFERROR(__xludf.DUMMYFUNCTION("IMPORTRANGE(""https://docs.google.com/spreadsheets/d/1qU-W_9MCQD1pgIVXGEOjCFo9QqlmJywuebyGgaN92r8/edit?usp=sharing"",""ราชบุรี!J466"")"),60)</f>
        <v>60</v>
      </c>
      <c r="X67" s="63">
        <f t="shared" ca="1" si="7"/>
        <v>10</v>
      </c>
      <c r="Y67" s="57">
        <f ca="1">IFERROR(__xludf.DUMMYFUNCTION("IMPORTRANGE(""https://docs.google.com/spreadsheets/d/1qU-W_9MCQD1pgIVXGEOjCFo9QqlmJywuebyGgaN92r8/edit?usp=sharing"",""ราชบุรี!I483"")"),540)</f>
        <v>540</v>
      </c>
      <c r="Z67" s="57">
        <f ca="1">IFERROR(__xludf.DUMMYFUNCTION("IMPORTRANGE(""https://docs.google.com/spreadsheets/d/1qU-W_9MCQD1pgIVXGEOjCFo9QqlmJywuebyGgaN92r8/edit?usp=sharing"",""ราชบุรี!J483"")"),540)</f>
        <v>540</v>
      </c>
      <c r="AA67" s="63">
        <f t="shared" ca="1" si="35"/>
        <v>100</v>
      </c>
      <c r="AB67" s="57">
        <f ca="1">IFERROR(__xludf.DUMMYFUNCTION("IMPORTRANGE(""https://docs.google.com/spreadsheets/d/1qU-W_9MCQD1pgIVXGEOjCFo9QqlmJywuebyGgaN92r8/edit?usp=sharing"",""ราชบุรี!J484"")"),56)</f>
        <v>56</v>
      </c>
      <c r="AC67" s="57">
        <f ca="1">IFERROR(__xludf.DUMMYFUNCTION("IMPORTRANGE(""https://docs.google.com/spreadsheets/d/1qU-W_9MCQD1pgIVXGEOjCFo9QqlmJywuebyGgaN92r8/edit?usp=sharing"",""ราชบุรี!I485"")"),54)</f>
        <v>54</v>
      </c>
      <c r="AD67" s="57">
        <f ca="1">IFERROR(__xludf.DUMMYFUNCTION("IMPORTRANGE(""https://docs.google.com/spreadsheets/d/1qU-W_9MCQD1pgIVXGEOjCFo9QqlmJywuebyGgaN92r8/edit?usp=sharing"",""ราชบุรี!J485"")"),56)</f>
        <v>56</v>
      </c>
      <c r="AE67" s="63">
        <f t="shared" ca="1" si="36"/>
        <v>103.70370370370371</v>
      </c>
      <c r="AF67" s="57">
        <f ca="1">IFERROR(__xludf.DUMMYFUNCTION("IMPORTRANGE(""https://docs.google.com/spreadsheets/d/1qU-W_9MCQD1pgIVXGEOjCFo9QqlmJywuebyGgaN92r8/edit?usp=sharing"",""ราชบุรี!I487"")"),60)</f>
        <v>60</v>
      </c>
      <c r="AG67" s="57">
        <f ca="1">IFERROR(__xludf.DUMMYFUNCTION("IMPORTRANGE(""https://docs.google.com/spreadsheets/d/1qU-W_9MCQD1pgIVXGEOjCFo9QqlmJywuebyGgaN92r8/edit?usp=sharing"",""ราชบุรี!J487"")"),60)</f>
        <v>60</v>
      </c>
      <c r="AH67" s="63">
        <f t="shared" ca="1" si="37"/>
        <v>100</v>
      </c>
      <c r="AI67" s="57">
        <f ca="1">IFERROR(__xludf.DUMMYFUNCTION("IMPORTRANGE(""https://docs.google.com/spreadsheets/d/1qU-W_9MCQD1pgIVXGEOjCFo9QqlmJywuebyGgaN92r8/edit?usp=sharing"",""ราชบุรี!J488"")"),6)</f>
        <v>6</v>
      </c>
      <c r="AJ67" s="57">
        <f ca="1">IFERROR(__xludf.DUMMYFUNCTION("IMPORTRANGE(""https://docs.google.com/spreadsheets/d/1qU-W_9MCQD1pgIVXGEOjCFo9QqlmJywuebyGgaN92r8/edit?usp=sharing"",""ราชบุรี!I489"")"),6)</f>
        <v>6</v>
      </c>
      <c r="AK67" s="57">
        <f ca="1">IFERROR(__xludf.DUMMYFUNCTION("IMPORTRANGE(""https://docs.google.com/spreadsheets/d/1qU-W_9MCQD1pgIVXGEOjCFo9QqlmJywuebyGgaN92r8/edit?usp=sharing"",""ราชบุรี!J489"")"),6)</f>
        <v>6</v>
      </c>
      <c r="AL67" s="63">
        <f t="shared" ca="1" si="38"/>
        <v>100</v>
      </c>
      <c r="AM67" s="57">
        <f ca="1">IFERROR(__xludf.DUMMYFUNCTION("IMPORTRANGE(""https://docs.google.com/spreadsheets/d/1qU-W_9MCQD1pgIVXGEOjCFo9QqlmJywuebyGgaN92r8/edit?usp=sharing"",""ราชบุรี!J491"")"),1)</f>
        <v>1</v>
      </c>
      <c r="AN67" s="57">
        <f ca="1">IFERROR(__xludf.DUMMYFUNCTION("IMPORTRANGE(""https://docs.google.com/spreadsheets/d/1qU-W_9MCQD1pgIVXGEOjCFo9QqlmJywuebyGgaN92r8/edit?usp=sharing"",""ราชบุรี!I492"")"),1)</f>
        <v>1</v>
      </c>
      <c r="AO67" s="57">
        <f ca="1">IFERROR(__xludf.DUMMYFUNCTION("IMPORTRANGE(""https://docs.google.com/spreadsheets/d/1qU-W_9MCQD1pgIVXGEOjCFo9QqlmJywuebyGgaN92r8/edit?usp=sharing"",""ราชบุรี!J492"")"),1)</f>
        <v>1</v>
      </c>
      <c r="AP67" s="63">
        <f t="shared" ca="1" si="39"/>
        <v>100</v>
      </c>
      <c r="AQ67" s="57">
        <f ca="1">IFERROR(__xludf.DUMMYFUNCTION("IMPORTRANGE(""https://docs.google.com/spreadsheets/d/1qU-W_9MCQD1pgIVXGEOjCFo9QqlmJywuebyGgaN92r8/edit?usp=sharing"",""ราชบุรี!I495"")"),540)</f>
        <v>540</v>
      </c>
      <c r="AR67" s="57">
        <f ca="1">IFERROR(__xludf.DUMMYFUNCTION("IMPORTRANGE(""https://docs.google.com/spreadsheets/d/1qU-W_9MCQD1pgIVXGEOjCFo9QqlmJywuebyGgaN92r8/edit?usp=sharing"",""ราชบุรี!J495"")"),0)</f>
        <v>0</v>
      </c>
      <c r="AS67" s="63">
        <f t="shared" ca="1" si="40"/>
        <v>0</v>
      </c>
      <c r="AT67" s="57">
        <f ca="1">IFERROR(__xludf.DUMMYFUNCTION("IMPORTRANGE(""https://docs.google.com/spreadsheets/d/1qU-W_9MCQD1pgIVXGEOjCFo9QqlmJywuebyGgaN92r8/edit?usp=sharing"",""ราชบุรี!J496"")"),0)</f>
        <v>0</v>
      </c>
      <c r="AU67" s="57">
        <f ca="1">IFERROR(__xludf.DUMMYFUNCTION("IMPORTRANGE(""https://docs.google.com/spreadsheets/d/1qU-W_9MCQD1pgIVXGEOjCFo9QqlmJywuebyGgaN92r8/edit?usp=sharing"",""ราชบุรี!I498"")"),60)</f>
        <v>60</v>
      </c>
      <c r="AV67" s="57">
        <f ca="1">IFERROR(__xludf.DUMMYFUNCTION("IMPORTRANGE(""https://docs.google.com/spreadsheets/d/1qU-W_9MCQD1pgIVXGEOjCFo9QqlmJywuebyGgaN92r8/edit?usp=sharing"",""ราชบุรี!J498"")"),60)</f>
        <v>60</v>
      </c>
      <c r="AW67" s="63">
        <f t="shared" ca="1" si="41"/>
        <v>100</v>
      </c>
      <c r="AX67" s="57">
        <f ca="1">IFERROR(__xludf.DUMMYFUNCTION("IMPORTRANGE(""https://docs.google.com/spreadsheets/d/1qU-W_9MCQD1pgIVXGEOjCFo9QqlmJywuebyGgaN92r8/edit?usp=sharing"",""ราชบุรี!J499"")"),60)</f>
        <v>60</v>
      </c>
    </row>
    <row r="68" spans="1:50" ht="24" customHeight="1" x14ac:dyDescent="0.3">
      <c r="A68" s="54">
        <v>16</v>
      </c>
      <c r="B68" s="55" t="s">
        <v>89</v>
      </c>
      <c r="C68" s="56">
        <f t="shared" ca="1" si="79"/>
        <v>1166488</v>
      </c>
      <c r="D68" s="57">
        <f ca="1">IFERROR(__xludf.DUMMYFUNCTION("IMPORTRANGE(""https://docs.google.com/spreadsheets/d/1xYFIxIM_CspAP5Q-5Zx_V0T_Ut3cjryrjd2hss28vGk/edit?usp=sharing"",""ลพบุรี!L472"")"),1166488)</f>
        <v>1166488</v>
      </c>
      <c r="E68" s="64">
        <f ca="1">IFERROR(__xludf.DUMMYFUNCTION("IMPORTRANGE(""https://docs.google.com/spreadsheets/d/1xYFIxIM_CspAP5Q-5Zx_V0T_Ut3cjryrjd2hss28vGk/edit?usp=sharing"",""ลพบุรี!L479"")"),0)</f>
        <v>0</v>
      </c>
      <c r="F68" s="64">
        <f ca="1">IFERROR(__xludf.DUMMYFUNCTION("IMPORTRANGE(""https://docs.google.com/spreadsheets/d/1xYFIxIM_CspAP5Q-5Zx_V0T_Ut3cjryrjd2hss28vGk/edit?usp=sharing"",""ลพบุรี!M472"")"),1166488)</f>
        <v>1166488</v>
      </c>
      <c r="G68" s="64">
        <f ca="1">IFERROR(__xludf.DUMMYFUNCTION("IMPORTRANGE(""https://docs.google.com/spreadsheets/d/1xYFIxIM_CspAP5Q-5Zx_V0T_Ut3cjryrjd2hss28vGk/edit?usp=sharing"",""ลพบุรี!M479"")"),0)</f>
        <v>0</v>
      </c>
      <c r="H68" s="58">
        <f t="shared" ca="1" si="34"/>
        <v>187382</v>
      </c>
      <c r="I68" s="59">
        <f t="shared" ca="1" si="1"/>
        <v>16.063774338012909</v>
      </c>
      <c r="J68" s="60">
        <f t="shared" ca="1" si="80"/>
        <v>187382</v>
      </c>
      <c r="K68" s="61">
        <f t="shared" ca="1" si="43"/>
        <v>16.063774338012909</v>
      </c>
      <c r="L68" s="61">
        <f t="shared" ca="1" si="44"/>
        <v>16.063774338012909</v>
      </c>
      <c r="M68" s="64">
        <f ca="1">IFERROR(__xludf.DUMMYFUNCTION("IMPORTRANGE(""https://docs.google.com/spreadsheets/d/1xYFIxIM_CspAP5Q-5Zx_V0T_Ut3cjryrjd2hss28vGk/edit?usp=sharing"",""ลพบุรี!N473"")"),128730)</f>
        <v>128730</v>
      </c>
      <c r="N68" s="64">
        <f ca="1">IFERROR(__xludf.DUMMYFUNCTION("IMPORTRANGE(""https://docs.google.com/spreadsheets/d/1xYFIxIM_CspAP5Q-5Zx_V0T_Ut3cjryrjd2hss28vGk/edit?usp=sharing"",""ลพบุรี!N474"")"),0)</f>
        <v>0</v>
      </c>
      <c r="O68" s="64">
        <f ca="1">IFERROR(__xludf.DUMMYFUNCTION("IMPORTRANGE(""https://docs.google.com/spreadsheets/d/1xYFIxIM_CspAP5Q-5Zx_V0T_Ut3cjryrjd2hss28vGk/edit?usp=sharing"",""ลพบุรี!N475"")"),52000)</f>
        <v>52000</v>
      </c>
      <c r="P68" s="64">
        <f ca="1">IFERROR(__xludf.DUMMYFUNCTION("IMPORTRANGE(""https://docs.google.com/spreadsheets/d/1xYFIxIM_CspAP5Q-5Zx_V0T_Ut3cjryrjd2hss28vGk/edit?usp=sharing"",""ลพบุรี!N476"")"),6652)</f>
        <v>6652</v>
      </c>
      <c r="Q68" s="62">
        <f ca="1">IFERROR(__xludf.DUMMYFUNCTION("IMPORTRANGE(""https://docs.google.com/spreadsheets/d/1xYFIxIM_CspAP5Q-5Zx_V0T_Ut3cjryrjd2hss28vGk/edit?usp=sharing"",""ลพบุรี!N479"")"),0)</f>
        <v>0</v>
      </c>
      <c r="R68" s="62">
        <f t="shared" ca="1" si="46"/>
        <v>0</v>
      </c>
      <c r="S68" s="57">
        <f ca="1">IFERROR(__xludf.DUMMYFUNCTION("IMPORTRANGE(""https://docs.google.com/spreadsheets/d/1xYFIxIM_CspAP5Q-5Zx_V0T_Ut3cjryrjd2hss28vGk/edit?usp=sharing"",""ลพบุรี!I465"")"),131)</f>
        <v>131</v>
      </c>
      <c r="T68" s="57">
        <f ca="1">IFERROR(__xludf.DUMMYFUNCTION("IMPORTRANGE(""https://docs.google.com/spreadsheets/d/1xYFIxIM_CspAP5Q-5Zx_V0T_Ut3cjryrjd2hss28vGk/edit?usp=sharing"",""ลพบุรี!I466"")"),1300)</f>
        <v>1300</v>
      </c>
      <c r="U68" s="57">
        <f ca="1">IFERROR(__xludf.DUMMYFUNCTION("IMPORTRANGE(""https://docs.google.com/spreadsheets/d/1xYFIxIM_CspAP5Q-5Zx_V0T_Ut3cjryrjd2hss28vGk/edit?usp=sharing"",""ลพบุรี!J465"")"),131)</f>
        <v>131</v>
      </c>
      <c r="V68" s="63">
        <f t="shared" ca="1" si="6"/>
        <v>100</v>
      </c>
      <c r="W68" s="57">
        <f ca="1">IFERROR(__xludf.DUMMYFUNCTION("IMPORTRANGE(""https://docs.google.com/spreadsheets/d/1xYFIxIM_CspAP5Q-5Zx_V0T_Ut3cjryrjd2hss28vGk/edit?usp=sharing"",""ลพบุรี!J466"")"),0)</f>
        <v>0</v>
      </c>
      <c r="X68" s="63">
        <f t="shared" ca="1" si="7"/>
        <v>0</v>
      </c>
      <c r="Y68" s="57">
        <f ca="1">IFERROR(__xludf.DUMMYFUNCTION("IMPORTRANGE(""https://docs.google.com/spreadsheets/d/1xYFIxIM_CspAP5Q-5Zx_V0T_Ut3cjryrjd2hss28vGk/edit?usp=sharing"",""ลพบุรี!I483"")"),1170)</f>
        <v>1170</v>
      </c>
      <c r="Z68" s="57">
        <f ca="1">IFERROR(__xludf.DUMMYFUNCTION("IMPORTRANGE(""https://docs.google.com/spreadsheets/d/1xYFIxIM_CspAP5Q-5Zx_V0T_Ut3cjryrjd2hss28vGk/edit?usp=sharing"",""ลพบุรี!J483"")"),1170)</f>
        <v>1170</v>
      </c>
      <c r="AA68" s="63">
        <f t="shared" ca="1" si="35"/>
        <v>100</v>
      </c>
      <c r="AB68" s="57">
        <f ca="1">IFERROR(__xludf.DUMMYFUNCTION("IMPORTRANGE(""https://docs.google.com/spreadsheets/d/1xYFIxIM_CspAP5Q-5Zx_V0T_Ut3cjryrjd2hss28vGk/edit?usp=sharing"",""ลพบุรี!J484"")"),117)</f>
        <v>117</v>
      </c>
      <c r="AC68" s="57">
        <f ca="1">IFERROR(__xludf.DUMMYFUNCTION("IMPORTRANGE(""https://docs.google.com/spreadsheets/d/1xYFIxIM_CspAP5Q-5Zx_V0T_Ut3cjryrjd2hss28vGk/edit?usp=sharing"",""ลพบุรี!I485"")"),117)</f>
        <v>117</v>
      </c>
      <c r="AD68" s="57">
        <f ca="1">IFERROR(__xludf.DUMMYFUNCTION("IMPORTRANGE(""https://docs.google.com/spreadsheets/d/1xYFIxIM_CspAP5Q-5Zx_V0T_Ut3cjryrjd2hss28vGk/edit?usp=sharing"",""ลพบุรี!J485"")"),117)</f>
        <v>117</v>
      </c>
      <c r="AE68" s="63">
        <f t="shared" ca="1" si="36"/>
        <v>100</v>
      </c>
      <c r="AF68" s="57">
        <f ca="1">IFERROR(__xludf.DUMMYFUNCTION("IMPORTRANGE(""https://docs.google.com/spreadsheets/d/1xYFIxIM_CspAP5Q-5Zx_V0T_Ut3cjryrjd2hss28vGk/edit?usp=sharing"",""ลพบุรี!I487"")"),130)</f>
        <v>130</v>
      </c>
      <c r="AG68" s="57">
        <f ca="1">IFERROR(__xludf.DUMMYFUNCTION("IMPORTRANGE(""https://docs.google.com/spreadsheets/d/1xYFIxIM_CspAP5Q-5Zx_V0T_Ut3cjryrjd2hss28vGk/edit?usp=sharing"",""ลพบุรี!J487"")"),130)</f>
        <v>130</v>
      </c>
      <c r="AH68" s="63">
        <f t="shared" ca="1" si="37"/>
        <v>100</v>
      </c>
      <c r="AI68" s="57">
        <f ca="1">IFERROR(__xludf.DUMMYFUNCTION("IMPORTRANGE(""https://docs.google.com/spreadsheets/d/1xYFIxIM_CspAP5Q-5Zx_V0T_Ut3cjryrjd2hss28vGk/edit?usp=sharing"",""ลพบุรี!J488"")"),13)</f>
        <v>13</v>
      </c>
      <c r="AJ68" s="57">
        <f ca="1">IFERROR(__xludf.DUMMYFUNCTION("IMPORTRANGE(""https://docs.google.com/spreadsheets/d/1xYFIxIM_CspAP5Q-5Zx_V0T_Ut3cjryrjd2hss28vGk/edit?usp=sharing"",""ลพบุรี!I489"")"),13)</f>
        <v>13</v>
      </c>
      <c r="AK68" s="57">
        <f ca="1">IFERROR(__xludf.DUMMYFUNCTION("IMPORTRANGE(""https://docs.google.com/spreadsheets/d/1xYFIxIM_CspAP5Q-5Zx_V0T_Ut3cjryrjd2hss28vGk/edit?usp=sharing"",""ลพบุรี!J489"")"),13)</f>
        <v>13</v>
      </c>
      <c r="AL68" s="63">
        <f t="shared" ca="1" si="38"/>
        <v>100</v>
      </c>
      <c r="AM68" s="57">
        <f ca="1">IFERROR(__xludf.DUMMYFUNCTION("IMPORTRANGE(""https://docs.google.com/spreadsheets/d/1xYFIxIM_CspAP5Q-5Zx_V0T_Ut3cjryrjd2hss28vGk/edit?usp=sharing"",""ลพบุรี!J491"")"),1)</f>
        <v>1</v>
      </c>
      <c r="AN68" s="57">
        <f ca="1">IFERROR(__xludf.DUMMYFUNCTION("IMPORTRANGE(""https://docs.google.com/spreadsheets/d/1xYFIxIM_CspAP5Q-5Zx_V0T_Ut3cjryrjd2hss28vGk/edit?usp=sharing"",""ลพบุรี!I492"")"),1)</f>
        <v>1</v>
      </c>
      <c r="AO68" s="57">
        <f ca="1">IFERROR(__xludf.DUMMYFUNCTION("IMPORTRANGE(""https://docs.google.com/spreadsheets/d/1xYFIxIM_CspAP5Q-5Zx_V0T_Ut3cjryrjd2hss28vGk/edit?usp=sharing"",""ลพบุรี!J492"")"),1)</f>
        <v>1</v>
      </c>
      <c r="AP68" s="63">
        <f t="shared" ca="1" si="39"/>
        <v>100</v>
      </c>
      <c r="AQ68" s="57">
        <f ca="1">IFERROR(__xludf.DUMMYFUNCTION("IMPORTRANGE(""https://docs.google.com/spreadsheets/d/1xYFIxIM_CspAP5Q-5Zx_V0T_Ut3cjryrjd2hss28vGk/edit?usp=sharing"",""ลพบุรี!I495"")"),1170)</f>
        <v>1170</v>
      </c>
      <c r="AR68" s="57">
        <f ca="1">IFERROR(__xludf.DUMMYFUNCTION("IMPORTRANGE(""https://docs.google.com/spreadsheets/d/1xYFIxIM_CspAP5Q-5Zx_V0T_Ut3cjryrjd2hss28vGk/edit?usp=sharing"",""ลพบุรี!J495"")"),0)</f>
        <v>0</v>
      </c>
      <c r="AS68" s="63">
        <f t="shared" ca="1" si="40"/>
        <v>0</v>
      </c>
      <c r="AT68" s="57">
        <f ca="1">IFERROR(__xludf.DUMMYFUNCTION("IMPORTRANGE(""https://docs.google.com/spreadsheets/d/1xYFIxIM_CspAP5Q-5Zx_V0T_Ut3cjryrjd2hss28vGk/edit?usp=sharing"",""ลพบุรี!J496"")"),0)</f>
        <v>0</v>
      </c>
      <c r="AU68" s="57">
        <f ca="1">IFERROR(__xludf.DUMMYFUNCTION("IMPORTRANGE(""https://docs.google.com/spreadsheets/d/1xYFIxIM_CspAP5Q-5Zx_V0T_Ut3cjryrjd2hss28vGk/edit?usp=sharing"",""ลพบุรี!I498"")"),130)</f>
        <v>130</v>
      </c>
      <c r="AV68" s="57">
        <f ca="1">IFERROR(__xludf.DUMMYFUNCTION("IMPORTRANGE(""https://docs.google.com/spreadsheets/d/1xYFIxIM_CspAP5Q-5Zx_V0T_Ut3cjryrjd2hss28vGk/edit?usp=sharing"",""ลพบุรี!J498"")"),0)</f>
        <v>0</v>
      </c>
      <c r="AW68" s="63">
        <f t="shared" ca="1" si="41"/>
        <v>0</v>
      </c>
      <c r="AX68" s="57">
        <f ca="1">IFERROR(__xludf.DUMMYFUNCTION("IMPORTRANGE(""https://docs.google.com/spreadsheets/d/1xYFIxIM_CspAP5Q-5Zx_V0T_Ut3cjryrjd2hss28vGk/edit?usp=sharing"",""ลพบุรี!J499"")"),0)</f>
        <v>0</v>
      </c>
    </row>
    <row r="69" spans="1:50" ht="21" customHeight="1" x14ac:dyDescent="0.3">
      <c r="A69" s="54">
        <v>17</v>
      </c>
      <c r="B69" s="55" t="s">
        <v>90</v>
      </c>
      <c r="C69" s="56">
        <f t="shared" ca="1" si="79"/>
        <v>409553</v>
      </c>
      <c r="D69" s="57">
        <f ca="1">IFERROR(__xludf.DUMMYFUNCTION("IMPORTRANGE(""https://docs.google.com/spreadsheets/d/11s9m3tKsCBdPWq6syhZm27eBGbKneDLZc75co106bio/edit?usp=sharing"",""สระแก้ว!L472"")"),409553)</f>
        <v>409553</v>
      </c>
      <c r="E69" s="64">
        <f ca="1">IFERROR(__xludf.DUMMYFUNCTION("IMPORTRANGE(""https://docs.google.com/spreadsheets/d/11s9m3tKsCBdPWq6syhZm27eBGbKneDLZc75co106bio/edit?usp=sharing"",""สระแก้ว!L479"")"),0)</f>
        <v>0</v>
      </c>
      <c r="F69" s="64">
        <f ca="1">IFERROR(__xludf.DUMMYFUNCTION("IMPORTRANGE(""https://docs.google.com/spreadsheets/d/11s9m3tKsCBdPWq6syhZm27eBGbKneDLZc75co106bio/edit?usp=sharing"",""สระแก้ว!M472"")"),409553)</f>
        <v>409553</v>
      </c>
      <c r="G69" s="64">
        <f ca="1">IFERROR(__xludf.DUMMYFUNCTION("IMPORTRANGE(""https://docs.google.com/spreadsheets/d/11s9m3tKsCBdPWq6syhZm27eBGbKneDLZc75co106bio/edit?usp=sharing"",""สระแก้ว!M479"")"),0)</f>
        <v>0</v>
      </c>
      <c r="H69" s="58">
        <f t="shared" ca="1" si="34"/>
        <v>87833</v>
      </c>
      <c r="I69" s="59">
        <f t="shared" ca="1" si="1"/>
        <v>21.44606436773751</v>
      </c>
      <c r="J69" s="60">
        <f t="shared" ca="1" si="80"/>
        <v>87833</v>
      </c>
      <c r="K69" s="61">
        <f t="shared" ca="1" si="43"/>
        <v>21.44606436773751</v>
      </c>
      <c r="L69" s="61">
        <f t="shared" ca="1" si="44"/>
        <v>21.44606436773751</v>
      </c>
      <c r="M69" s="64">
        <f ca="1">IFERROR(__xludf.DUMMYFUNCTION("IMPORTRANGE(""https://docs.google.com/spreadsheets/d/11s9m3tKsCBdPWq6syhZm27eBGbKneDLZc75co106bio/edit?usp=sharing"",""สระแก้ว!N473"")"),71453)</f>
        <v>71453</v>
      </c>
      <c r="N69" s="64">
        <f ca="1">IFERROR(__xludf.DUMMYFUNCTION("IMPORTRANGE(""https://docs.google.com/spreadsheets/d/11s9m3tKsCBdPWq6syhZm27eBGbKneDLZc75co106bio/edit?usp=sharing"",""สระแก้ว!N474"")"),0)</f>
        <v>0</v>
      </c>
      <c r="O69" s="64">
        <f ca="1">IFERROR(__xludf.DUMMYFUNCTION("IMPORTRANGE(""https://docs.google.com/spreadsheets/d/11s9m3tKsCBdPWq6syhZm27eBGbKneDLZc75co106bio/edit?usp=sharing"",""สระแก้ว!N475"")"),0)</f>
        <v>0</v>
      </c>
      <c r="P69" s="64">
        <f ca="1">IFERROR(__xludf.DUMMYFUNCTION("IMPORTRANGE(""https://docs.google.com/spreadsheets/d/11s9m3tKsCBdPWq6syhZm27eBGbKneDLZc75co106bio/edit?usp=sharing"",""สระแก้ว!N476"")"),16380)</f>
        <v>16380</v>
      </c>
      <c r="Q69" s="62">
        <f ca="1">IFERROR(__xludf.DUMMYFUNCTION("IMPORTRANGE(""https://docs.google.com/spreadsheets/d/11s9m3tKsCBdPWq6syhZm27eBGbKneDLZc75co106bio/edit?usp=sharing"",""สระแก้ว!N479"")"),0)</f>
        <v>0</v>
      </c>
      <c r="R69" s="62">
        <f t="shared" ca="1" si="46"/>
        <v>0</v>
      </c>
      <c r="S69" s="57">
        <f ca="1">IFERROR(__xludf.DUMMYFUNCTION("IMPORTRANGE(""https://docs.google.com/spreadsheets/d/11s9m3tKsCBdPWq6syhZm27eBGbKneDLZc75co106bio/edit?usp=sharing"",""สระแก้ว!I465"")"),51)</f>
        <v>51</v>
      </c>
      <c r="T69" s="57">
        <f ca="1">IFERROR(__xludf.DUMMYFUNCTION("IMPORTRANGE(""https://docs.google.com/spreadsheets/d/11s9m3tKsCBdPWq6syhZm27eBGbKneDLZc75co106bio/edit?usp=sharing"",""สระแก้ว!I466"")"),500)</f>
        <v>500</v>
      </c>
      <c r="U69" s="57">
        <f ca="1">IFERROR(__xludf.DUMMYFUNCTION("IMPORTRANGE(""https://docs.google.com/spreadsheets/d/11s9m3tKsCBdPWq6syhZm27eBGbKneDLZc75co106bio/edit?usp=sharing"",""สระแก้ว!J465"")"),51)</f>
        <v>51</v>
      </c>
      <c r="V69" s="63">
        <f t="shared" ca="1" si="6"/>
        <v>100</v>
      </c>
      <c r="W69" s="57">
        <f ca="1">IFERROR(__xludf.DUMMYFUNCTION("IMPORTRANGE(""https://docs.google.com/spreadsheets/d/11s9m3tKsCBdPWq6syhZm27eBGbKneDLZc75co106bio/edit?usp=sharing"",""สระแก้ว!J466"")"),0)</f>
        <v>0</v>
      </c>
      <c r="X69" s="63">
        <f t="shared" ca="1" si="7"/>
        <v>0</v>
      </c>
      <c r="Y69" s="57">
        <f ca="1">IFERROR(__xludf.DUMMYFUNCTION("IMPORTRANGE(""https://docs.google.com/spreadsheets/d/11s9m3tKsCBdPWq6syhZm27eBGbKneDLZc75co106bio/edit?usp=sharing"",""สระแก้ว!I483"")"),450)</f>
        <v>450</v>
      </c>
      <c r="Z69" s="57">
        <f ca="1">IFERROR(__xludf.DUMMYFUNCTION("IMPORTRANGE(""https://docs.google.com/spreadsheets/d/11s9m3tKsCBdPWq6syhZm27eBGbKneDLZc75co106bio/edit?usp=sharing"",""สระแก้ว!J483"")"),450)</f>
        <v>450</v>
      </c>
      <c r="AA69" s="63">
        <f t="shared" ca="1" si="35"/>
        <v>100</v>
      </c>
      <c r="AB69" s="57">
        <f ca="1">IFERROR(__xludf.DUMMYFUNCTION("IMPORTRANGE(""https://docs.google.com/spreadsheets/d/11s9m3tKsCBdPWq6syhZm27eBGbKneDLZc75co106bio/edit?usp=sharing"",""สระแก้ว!J484"")"),0)</f>
        <v>0</v>
      </c>
      <c r="AC69" s="57">
        <f ca="1">IFERROR(__xludf.DUMMYFUNCTION("IMPORTRANGE(""https://docs.google.com/spreadsheets/d/11s9m3tKsCBdPWq6syhZm27eBGbKneDLZc75co106bio/edit?usp=sharing"",""สระแก้ว!I485"")"),45)</f>
        <v>45</v>
      </c>
      <c r="AD69" s="57">
        <f ca="1">IFERROR(__xludf.DUMMYFUNCTION("IMPORTRANGE(""https://docs.google.com/spreadsheets/d/11s9m3tKsCBdPWq6syhZm27eBGbKneDLZc75co106bio/edit?usp=sharing"",""สระแก้ว!J485"")"),45)</f>
        <v>45</v>
      </c>
      <c r="AE69" s="63">
        <f t="shared" ca="1" si="36"/>
        <v>100</v>
      </c>
      <c r="AF69" s="57">
        <f ca="1">IFERROR(__xludf.DUMMYFUNCTION("IMPORTRANGE(""https://docs.google.com/spreadsheets/d/11s9m3tKsCBdPWq6syhZm27eBGbKneDLZc75co106bio/edit?usp=sharing"",""สระแก้ว!I487"")"),50)</f>
        <v>50</v>
      </c>
      <c r="AG69" s="57">
        <f ca="1">IFERROR(__xludf.DUMMYFUNCTION("IMPORTRANGE(""https://docs.google.com/spreadsheets/d/11s9m3tKsCBdPWq6syhZm27eBGbKneDLZc75co106bio/edit?usp=sharing"",""สระแก้ว!J487"")"),50)</f>
        <v>50</v>
      </c>
      <c r="AH69" s="63">
        <f t="shared" ca="1" si="37"/>
        <v>100</v>
      </c>
      <c r="AI69" s="57">
        <f ca="1">IFERROR(__xludf.DUMMYFUNCTION("IMPORTRANGE(""https://docs.google.com/spreadsheets/d/11s9m3tKsCBdPWq6syhZm27eBGbKneDLZc75co106bio/edit?usp=sharing"",""สระแก้ว!J488"")"),0)</f>
        <v>0</v>
      </c>
      <c r="AJ69" s="57">
        <f ca="1">IFERROR(__xludf.DUMMYFUNCTION("IMPORTRANGE(""https://docs.google.com/spreadsheets/d/11s9m3tKsCBdPWq6syhZm27eBGbKneDLZc75co106bio/edit?usp=sharing"",""สระแก้ว!I489"")"),5)</f>
        <v>5</v>
      </c>
      <c r="AK69" s="57">
        <f ca="1">IFERROR(__xludf.DUMMYFUNCTION("IMPORTRANGE(""https://docs.google.com/spreadsheets/d/11s9m3tKsCBdPWq6syhZm27eBGbKneDLZc75co106bio/edit?usp=sharing"",""สระแก้ว!J489"")"),5)</f>
        <v>5</v>
      </c>
      <c r="AL69" s="63">
        <f t="shared" ca="1" si="38"/>
        <v>100</v>
      </c>
      <c r="AM69" s="57">
        <f ca="1">IFERROR(__xludf.DUMMYFUNCTION("IMPORTRANGE(""https://docs.google.com/spreadsheets/d/11s9m3tKsCBdPWq6syhZm27eBGbKneDLZc75co106bio/edit?usp=sharing"",""สระแก้ว!J491"")"),1)</f>
        <v>1</v>
      </c>
      <c r="AN69" s="57">
        <f ca="1">IFERROR(__xludf.DUMMYFUNCTION("IMPORTRANGE(""https://docs.google.com/spreadsheets/d/11s9m3tKsCBdPWq6syhZm27eBGbKneDLZc75co106bio/edit?usp=sharing"",""สระแก้ว!I492"")"),1)</f>
        <v>1</v>
      </c>
      <c r="AO69" s="57">
        <f ca="1">IFERROR(__xludf.DUMMYFUNCTION("IMPORTRANGE(""https://docs.google.com/spreadsheets/d/11s9m3tKsCBdPWq6syhZm27eBGbKneDLZc75co106bio/edit?usp=sharing"",""สระแก้ว!J492"")"),1)</f>
        <v>1</v>
      </c>
      <c r="AP69" s="63">
        <f t="shared" ca="1" si="39"/>
        <v>100</v>
      </c>
      <c r="AQ69" s="57">
        <f ca="1">IFERROR(__xludf.DUMMYFUNCTION("IMPORTRANGE(""https://docs.google.com/spreadsheets/d/11s9m3tKsCBdPWq6syhZm27eBGbKneDLZc75co106bio/edit?usp=sharing"",""สระแก้ว!I495"")"),450)</f>
        <v>450</v>
      </c>
      <c r="AR69" s="57">
        <f ca="1">IFERROR(__xludf.DUMMYFUNCTION("IMPORTRANGE(""https://docs.google.com/spreadsheets/d/11s9m3tKsCBdPWq6syhZm27eBGbKneDLZc75co106bio/edit?usp=sharing"",""สระแก้ว!J495"")"),0)</f>
        <v>0</v>
      </c>
      <c r="AS69" s="63">
        <f t="shared" ca="1" si="40"/>
        <v>0</v>
      </c>
      <c r="AT69" s="57">
        <f ca="1">IFERROR(__xludf.DUMMYFUNCTION("IMPORTRANGE(""https://docs.google.com/spreadsheets/d/11s9m3tKsCBdPWq6syhZm27eBGbKneDLZc75co106bio/edit?usp=sharing"",""สระแก้ว!J496"")"),0)</f>
        <v>0</v>
      </c>
      <c r="AU69" s="57">
        <f ca="1">IFERROR(__xludf.DUMMYFUNCTION("IMPORTRANGE(""https://docs.google.com/spreadsheets/d/11s9m3tKsCBdPWq6syhZm27eBGbKneDLZc75co106bio/edit?usp=sharing"",""สระแก้ว!I498"")"),50)</f>
        <v>50</v>
      </c>
      <c r="AV69" s="57">
        <f ca="1">IFERROR(__xludf.DUMMYFUNCTION("IMPORTRANGE(""https://docs.google.com/spreadsheets/d/11s9m3tKsCBdPWq6syhZm27eBGbKneDLZc75co106bio/edit?usp=sharing"",""สระแก้ว!J498"")"),0)</f>
        <v>0</v>
      </c>
      <c r="AW69" s="63">
        <f t="shared" ca="1" si="41"/>
        <v>0</v>
      </c>
      <c r="AX69" s="57">
        <f ca="1">IFERROR(__xludf.DUMMYFUNCTION("IMPORTRANGE(""https://docs.google.com/spreadsheets/d/11s9m3tKsCBdPWq6syhZm27eBGbKneDLZc75co106bio/edit?usp=sharing"",""สระแก้ว!J499"")"),0)</f>
        <v>0</v>
      </c>
    </row>
    <row r="70" spans="1:50" ht="21" customHeight="1" x14ac:dyDescent="0.3">
      <c r="A70" s="54">
        <v>18</v>
      </c>
      <c r="B70" s="55" t="s">
        <v>91</v>
      </c>
      <c r="C70" s="56">
        <f t="shared" ca="1" si="79"/>
        <v>179063</v>
      </c>
      <c r="D70" s="57">
        <f ca="1">IFERROR(__xludf.DUMMYFUNCTION("IMPORTRANGE(""https://docs.google.com/spreadsheets/d/1Nn1EvsFPtXldgpgVb3Rcng2K2cls68LFQsBh2FyW0Bg/edit?usp=sharing"",""สระบุรี!L472"")"),179063)</f>
        <v>179063</v>
      </c>
      <c r="E70" s="64">
        <f ca="1">IFERROR(__xludf.DUMMYFUNCTION("IMPORTRANGE(""https://docs.google.com/spreadsheets/d/1Nn1EvsFPtXldgpgVb3Rcng2K2cls68LFQsBh2FyW0Bg/edit?usp=sharing"",""สระบุรี!L479"")"),0)</f>
        <v>0</v>
      </c>
      <c r="F70" s="64">
        <f ca="1">IFERROR(__xludf.DUMMYFUNCTION("IMPORTRANGE(""https://docs.google.com/spreadsheets/d/1Nn1EvsFPtXldgpgVb3Rcng2K2cls68LFQsBh2FyW0Bg/edit?usp=sharing"",""สระบุรี!M472"")"),179063)</f>
        <v>179063</v>
      </c>
      <c r="G70" s="64">
        <f ca="1">IFERROR(__xludf.DUMMYFUNCTION("IMPORTRANGE(""https://docs.google.com/spreadsheets/d/1Nn1EvsFPtXldgpgVb3Rcng2K2cls68LFQsBh2FyW0Bg/edit?usp=sharing"",""สระบุรี!M479"")"),0)</f>
        <v>0</v>
      </c>
      <c r="H70" s="58">
        <f t="shared" ca="1" si="34"/>
        <v>177170</v>
      </c>
      <c r="I70" s="59">
        <f t="shared" ca="1" si="1"/>
        <v>98.94283017708851</v>
      </c>
      <c r="J70" s="60">
        <f t="shared" ca="1" si="80"/>
        <v>177170</v>
      </c>
      <c r="K70" s="61">
        <f t="shared" ca="1" si="43"/>
        <v>98.94283017708851</v>
      </c>
      <c r="L70" s="61">
        <f t="shared" ca="1" si="44"/>
        <v>98.94283017708851</v>
      </c>
      <c r="M70" s="64">
        <f ca="1">IFERROR(__xludf.DUMMYFUNCTION("IMPORTRANGE(""https://docs.google.com/spreadsheets/d/1Nn1EvsFPtXldgpgVb3Rcng2K2cls68LFQsBh2FyW0Bg/edit?usp=sharing"",""สระบุรี!N473"")"),46890)</f>
        <v>46890</v>
      </c>
      <c r="N70" s="64">
        <f ca="1">IFERROR(__xludf.DUMMYFUNCTION("IMPORTRANGE(""https://docs.google.com/spreadsheets/d/1Nn1EvsFPtXldgpgVb3Rcng2K2cls68LFQsBh2FyW0Bg/edit?usp=sharing"",""สระบุรี!N474"")"),124000)</f>
        <v>124000</v>
      </c>
      <c r="O70" s="64">
        <f ca="1">IFERROR(__xludf.DUMMYFUNCTION("IMPORTRANGE(""https://docs.google.com/spreadsheets/d/1Nn1EvsFPtXldgpgVb3Rcng2K2cls68LFQsBh2FyW0Bg/edit?usp=sharing"",""สระบุรี!N475"")"),0)</f>
        <v>0</v>
      </c>
      <c r="P70" s="64">
        <f ca="1">IFERROR(__xludf.DUMMYFUNCTION("IMPORTRANGE(""https://docs.google.com/spreadsheets/d/1Nn1EvsFPtXldgpgVb3Rcng2K2cls68LFQsBh2FyW0Bg/edit?usp=sharing"",""สระบุรี!N476"")"),6280)</f>
        <v>6280</v>
      </c>
      <c r="Q70" s="62">
        <f ca="1">IFERROR(__xludf.DUMMYFUNCTION("IMPORTRANGE(""https://docs.google.com/spreadsheets/d/1Nn1EvsFPtXldgpgVb3Rcng2K2cls68LFQsBh2FyW0Bg/edit?usp=sharing"",""สระบุรี!N479"")"),0)</f>
        <v>0</v>
      </c>
      <c r="R70" s="62">
        <f t="shared" ca="1" si="46"/>
        <v>0</v>
      </c>
      <c r="S70" s="57">
        <f ca="1">IFERROR(__xludf.DUMMYFUNCTION("IMPORTRANGE(""https://docs.google.com/spreadsheets/d/1Nn1EvsFPtXldgpgVb3Rcng2K2cls68LFQsBh2FyW0Bg/edit?usp=sharing"",""สระบุรี!I465"")"),21)</f>
        <v>21</v>
      </c>
      <c r="T70" s="57">
        <f ca="1">IFERROR(__xludf.DUMMYFUNCTION("IMPORTRANGE(""https://docs.google.com/spreadsheets/d/1Nn1EvsFPtXldgpgVb3Rcng2K2cls68LFQsBh2FyW0Bg/edit?usp=sharing"",""สระบุรี!I466"")"),200)</f>
        <v>200</v>
      </c>
      <c r="U70" s="57">
        <f ca="1">IFERROR(__xludf.DUMMYFUNCTION("IMPORTRANGE(""https://docs.google.com/spreadsheets/d/1Nn1EvsFPtXldgpgVb3Rcng2K2cls68LFQsBh2FyW0Bg/edit?usp=sharing"",""สระบุรี!J465"")"),21)</f>
        <v>21</v>
      </c>
      <c r="V70" s="63">
        <f t="shared" ca="1" si="6"/>
        <v>100</v>
      </c>
      <c r="W70" s="57">
        <f ca="1">IFERROR(__xludf.DUMMYFUNCTION("IMPORTRANGE(""https://docs.google.com/spreadsheets/d/1Nn1EvsFPtXldgpgVb3Rcng2K2cls68LFQsBh2FyW0Bg/edit?usp=sharing"",""สระบุรี!J466"")"),200)</f>
        <v>200</v>
      </c>
      <c r="X70" s="63">
        <f t="shared" ca="1" si="7"/>
        <v>100</v>
      </c>
      <c r="Y70" s="57">
        <f ca="1">IFERROR(__xludf.DUMMYFUNCTION("IMPORTRANGE(""https://docs.google.com/spreadsheets/d/1Nn1EvsFPtXldgpgVb3Rcng2K2cls68LFQsBh2FyW0Bg/edit?usp=sharing"",""สระบุรี!I483"")"),180)</f>
        <v>180</v>
      </c>
      <c r="Z70" s="57">
        <f ca="1">IFERROR(__xludf.DUMMYFUNCTION("IMPORTRANGE(""https://docs.google.com/spreadsheets/d/1Nn1EvsFPtXldgpgVb3Rcng2K2cls68LFQsBh2FyW0Bg/edit?usp=sharing"",""สระบุรี!J483"")"),180)</f>
        <v>180</v>
      </c>
      <c r="AA70" s="63">
        <f t="shared" ca="1" si="35"/>
        <v>100</v>
      </c>
      <c r="AB70" s="57">
        <f ca="1">IFERROR(__xludf.DUMMYFUNCTION("IMPORTRANGE(""https://docs.google.com/spreadsheets/d/1Nn1EvsFPtXldgpgVb3Rcng2K2cls68LFQsBh2FyW0Bg/edit?usp=sharing"",""สระบุรี!J484"")"),0)</f>
        <v>0</v>
      </c>
      <c r="AC70" s="57">
        <f ca="1">IFERROR(__xludf.DUMMYFUNCTION("IMPORTRANGE(""https://docs.google.com/spreadsheets/d/1Nn1EvsFPtXldgpgVb3Rcng2K2cls68LFQsBh2FyW0Bg/edit?usp=sharing"",""สระบุรี!I485"")"),18)</f>
        <v>18</v>
      </c>
      <c r="AD70" s="57">
        <f ca="1">IFERROR(__xludf.DUMMYFUNCTION("IMPORTRANGE(""https://docs.google.com/spreadsheets/d/1Nn1EvsFPtXldgpgVb3Rcng2K2cls68LFQsBh2FyW0Bg/edit?usp=sharing"",""สระบุรี!J485"")"),18)</f>
        <v>18</v>
      </c>
      <c r="AE70" s="63">
        <f t="shared" ca="1" si="36"/>
        <v>100</v>
      </c>
      <c r="AF70" s="57">
        <f ca="1">IFERROR(__xludf.DUMMYFUNCTION("IMPORTRANGE(""https://docs.google.com/spreadsheets/d/1Nn1EvsFPtXldgpgVb3Rcng2K2cls68LFQsBh2FyW0Bg/edit?usp=sharing"",""สระบุรี!I487"")"),20)</f>
        <v>20</v>
      </c>
      <c r="AG70" s="57">
        <f ca="1">IFERROR(__xludf.DUMMYFUNCTION("IMPORTRANGE(""https://docs.google.com/spreadsheets/d/1Nn1EvsFPtXldgpgVb3Rcng2K2cls68LFQsBh2FyW0Bg/edit?usp=sharing"",""สระบุรี!J487"")"),20)</f>
        <v>20</v>
      </c>
      <c r="AH70" s="63">
        <f t="shared" ca="1" si="37"/>
        <v>100</v>
      </c>
      <c r="AI70" s="57">
        <f ca="1">IFERROR(__xludf.DUMMYFUNCTION("IMPORTRANGE(""https://docs.google.com/spreadsheets/d/1Nn1EvsFPtXldgpgVb3Rcng2K2cls68LFQsBh2FyW0Bg/edit?usp=sharing"",""สระบุรี!J488"")"),0)</f>
        <v>0</v>
      </c>
      <c r="AJ70" s="57">
        <f ca="1">IFERROR(__xludf.DUMMYFUNCTION("IMPORTRANGE(""https://docs.google.com/spreadsheets/d/1Nn1EvsFPtXldgpgVb3Rcng2K2cls68LFQsBh2FyW0Bg/edit?usp=sharing"",""สระบุรี!I489"")"),2)</f>
        <v>2</v>
      </c>
      <c r="AK70" s="57">
        <f ca="1">IFERROR(__xludf.DUMMYFUNCTION("IMPORTRANGE(""https://docs.google.com/spreadsheets/d/1Nn1EvsFPtXldgpgVb3Rcng2K2cls68LFQsBh2FyW0Bg/edit?usp=sharing"",""สระบุรี!J489"")"),2)</f>
        <v>2</v>
      </c>
      <c r="AL70" s="63">
        <f t="shared" ca="1" si="38"/>
        <v>100</v>
      </c>
      <c r="AM70" s="57">
        <f ca="1">IFERROR(__xludf.DUMMYFUNCTION("IMPORTRANGE(""https://docs.google.com/spreadsheets/d/1Nn1EvsFPtXldgpgVb3Rcng2K2cls68LFQsBh2FyW0Bg/edit?usp=sharing"",""สระบุรี!J491"")"),0)</f>
        <v>0</v>
      </c>
      <c r="AN70" s="57">
        <f ca="1">IFERROR(__xludf.DUMMYFUNCTION("IMPORTRANGE(""https://docs.google.com/spreadsheets/d/1Nn1EvsFPtXldgpgVb3Rcng2K2cls68LFQsBh2FyW0Bg/edit?usp=sharing"",""สระบุรี!I492"")"),1)</f>
        <v>1</v>
      </c>
      <c r="AO70" s="57">
        <f ca="1">IFERROR(__xludf.DUMMYFUNCTION("IMPORTRANGE(""https://docs.google.com/spreadsheets/d/1Nn1EvsFPtXldgpgVb3Rcng2K2cls68LFQsBh2FyW0Bg/edit?usp=sharing"",""สระบุรี!J492"")"),1)</f>
        <v>1</v>
      </c>
      <c r="AP70" s="63">
        <f t="shared" ca="1" si="39"/>
        <v>100</v>
      </c>
      <c r="AQ70" s="57">
        <f ca="1">IFERROR(__xludf.DUMMYFUNCTION("IMPORTRANGE(""https://docs.google.com/spreadsheets/d/1Nn1EvsFPtXldgpgVb3Rcng2K2cls68LFQsBh2FyW0Bg/edit?usp=sharing"",""สระบุรี!I495"")"),180)</f>
        <v>180</v>
      </c>
      <c r="AR70" s="57">
        <f ca="1">IFERROR(__xludf.DUMMYFUNCTION("IMPORTRANGE(""https://docs.google.com/spreadsheets/d/1Nn1EvsFPtXldgpgVb3Rcng2K2cls68LFQsBh2FyW0Bg/edit?usp=sharing"",""สระบุรี!J495"")"),180)</f>
        <v>180</v>
      </c>
      <c r="AS70" s="63">
        <f t="shared" ca="1" si="40"/>
        <v>100</v>
      </c>
      <c r="AT70" s="57">
        <f ca="1">IFERROR(__xludf.DUMMYFUNCTION("IMPORTRANGE(""https://docs.google.com/spreadsheets/d/1Nn1EvsFPtXldgpgVb3Rcng2K2cls68LFQsBh2FyW0Bg/edit?usp=sharing"",""สระบุรี!J496"")"),0)</f>
        <v>0</v>
      </c>
      <c r="AU70" s="57">
        <f ca="1">IFERROR(__xludf.DUMMYFUNCTION("IMPORTRANGE(""https://docs.google.com/spreadsheets/d/1Nn1EvsFPtXldgpgVb3Rcng2K2cls68LFQsBh2FyW0Bg/edit?usp=sharing"",""สระบุรี!I498"")"),20)</f>
        <v>20</v>
      </c>
      <c r="AV70" s="57">
        <f ca="1">IFERROR(__xludf.DUMMYFUNCTION("IMPORTRANGE(""https://docs.google.com/spreadsheets/d/1Nn1EvsFPtXldgpgVb3Rcng2K2cls68LFQsBh2FyW0Bg/edit?usp=sharing"",""สระบุรี!J498"")"),20)</f>
        <v>20</v>
      </c>
      <c r="AW70" s="63">
        <f t="shared" ca="1" si="41"/>
        <v>100</v>
      </c>
      <c r="AX70" s="57">
        <f ca="1">IFERROR(__xludf.DUMMYFUNCTION("IMPORTRANGE(""https://docs.google.com/spreadsheets/d/1Nn1EvsFPtXldgpgVb3Rcng2K2cls68LFQsBh2FyW0Bg/edit?usp=sharing"",""สระบุรี!J499"")"),0)</f>
        <v>0</v>
      </c>
    </row>
    <row r="71" spans="1:50" ht="21" customHeight="1" x14ac:dyDescent="0.3">
      <c r="A71" s="54">
        <v>19</v>
      </c>
      <c r="B71" s="55" t="s">
        <v>92</v>
      </c>
      <c r="C71" s="56">
        <f t="shared" ca="1" si="79"/>
        <v>0</v>
      </c>
      <c r="D71" s="57">
        <f ca="1">IFERROR(__xludf.DUMMYFUNCTION("IMPORTRANGE(""https://docs.google.com/spreadsheets/d/149xufxukrnEciK3WPbNpHwUK8BKEJxp3UcBG3Al6dA4/edit?usp=sharing"",""สิงห์บุรี!L472"")"),0)</f>
        <v>0</v>
      </c>
      <c r="E71" s="64">
        <f ca="1">IFERROR(__xludf.DUMMYFUNCTION("IMPORTRANGE(""https://docs.google.com/spreadsheets/d/149xufxukrnEciK3WPbNpHwUK8BKEJxp3UcBG3Al6dA4/edit?usp=sharing"",""สิงห์บุรี!L479"")"),0)</f>
        <v>0</v>
      </c>
      <c r="F71" s="64">
        <f ca="1">IFERROR(__xludf.DUMMYFUNCTION("IMPORTRANGE(""https://docs.google.com/spreadsheets/d/149xufxukrnEciK3WPbNpHwUK8BKEJxp3UcBG3Al6dA4/edit?usp=sharing"",""สิงห์บุรี!M472"")"),0)</f>
        <v>0</v>
      </c>
      <c r="G71" s="64">
        <f ca="1">IFERROR(__xludf.DUMMYFUNCTION("IMPORTRANGE(""https://docs.google.com/spreadsheets/d/149xufxukrnEciK3WPbNpHwUK8BKEJxp3UcBG3Al6dA4/edit?usp=sharing"",""สิงห์บุรี!M479"")"),0)</f>
        <v>0</v>
      </c>
      <c r="H71" s="58">
        <f t="shared" ca="1" si="34"/>
        <v>0</v>
      </c>
      <c r="I71" s="59">
        <f t="shared" ca="1" si="1"/>
        <v>0</v>
      </c>
      <c r="J71" s="60">
        <f t="shared" ca="1" si="80"/>
        <v>0</v>
      </c>
      <c r="K71" s="61">
        <f t="shared" ca="1" si="43"/>
        <v>0</v>
      </c>
      <c r="L71" s="61">
        <f t="shared" ca="1" si="44"/>
        <v>0</v>
      </c>
      <c r="M71" s="64">
        <f ca="1">IFERROR(__xludf.DUMMYFUNCTION("IMPORTRANGE(""https://docs.google.com/spreadsheets/d/149xufxukrnEciK3WPbNpHwUK8BKEJxp3UcBG3Al6dA4/edit?usp=sharing"",""สิงห์บุรี!N473"")"),0)</f>
        <v>0</v>
      </c>
      <c r="N71" s="64">
        <f ca="1">IFERROR(__xludf.DUMMYFUNCTION("IMPORTRANGE(""https://docs.google.com/spreadsheets/d/149xufxukrnEciK3WPbNpHwUK8BKEJxp3UcBG3Al6dA4/edit?usp=sharing"",""สิงห์บุรี!N474"")"),0)</f>
        <v>0</v>
      </c>
      <c r="O71" s="64">
        <f ca="1">IFERROR(__xludf.DUMMYFUNCTION("IMPORTRANGE(""https://docs.google.com/spreadsheets/d/149xufxukrnEciK3WPbNpHwUK8BKEJxp3UcBG3Al6dA4/edit?usp=sharing"",""สิงห์บุรี!N475"")"),0)</f>
        <v>0</v>
      </c>
      <c r="P71" s="64">
        <f ca="1">IFERROR(__xludf.DUMMYFUNCTION("IMPORTRANGE(""https://docs.google.com/spreadsheets/d/149xufxukrnEciK3WPbNpHwUK8BKEJxp3UcBG3Al6dA4/edit?usp=sharing"",""สิงห์บุรี!N476"")"),0)</f>
        <v>0</v>
      </c>
      <c r="Q71" s="62">
        <f ca="1">IFERROR(__xludf.DUMMYFUNCTION("IMPORTRANGE(""https://docs.google.com/spreadsheets/d/149xufxukrnEciK3WPbNpHwUK8BKEJxp3UcBG3Al6dA4/edit?usp=sharing"",""สิงห์บุรี!N479"")"),0)</f>
        <v>0</v>
      </c>
      <c r="R71" s="62">
        <f t="shared" ca="1" si="46"/>
        <v>0</v>
      </c>
      <c r="S71" s="57">
        <f ca="1">IFERROR(__xludf.DUMMYFUNCTION("IMPORTRANGE(""https://docs.google.com/spreadsheets/d/149xufxukrnEciK3WPbNpHwUK8BKEJxp3UcBG3Al6dA4/edit?usp=sharing"",""สิงห์บุรี!I465"")"),0)</f>
        <v>0</v>
      </c>
      <c r="T71" s="57">
        <f ca="1">IFERROR(__xludf.DUMMYFUNCTION("IMPORTRANGE(""https://docs.google.com/spreadsheets/d/149xufxukrnEciK3WPbNpHwUK8BKEJxp3UcBG3Al6dA4/edit?usp=sharing"",""สิงห์บุรี!I466"")"),0)</f>
        <v>0</v>
      </c>
      <c r="U71" s="57">
        <f ca="1">IFERROR(__xludf.DUMMYFUNCTION("IMPORTRANGE(""https://docs.google.com/spreadsheets/d/149xufxukrnEciK3WPbNpHwUK8BKEJxp3UcBG3Al6dA4/edit?usp=sharing"",""สิงห์บุรี!J465"")"),0)</f>
        <v>0</v>
      </c>
      <c r="V71" s="63">
        <f t="shared" ca="1" si="6"/>
        <v>0</v>
      </c>
      <c r="W71" s="57">
        <f ca="1">IFERROR(__xludf.DUMMYFUNCTION("IMPORTRANGE(""https://docs.google.com/spreadsheets/d/149xufxukrnEciK3WPbNpHwUK8BKEJxp3UcBG3Al6dA4/edit?usp=sharing"",""สิงห์บุรี!J466"")"),0)</f>
        <v>0</v>
      </c>
      <c r="X71" s="63">
        <f t="shared" ca="1" si="7"/>
        <v>0</v>
      </c>
      <c r="Y71" s="57">
        <f ca="1">IFERROR(__xludf.DUMMYFUNCTION("IMPORTRANGE(""https://docs.google.com/spreadsheets/d/149xufxukrnEciK3WPbNpHwUK8BKEJxp3UcBG3Al6dA4/edit?usp=sharing"",""สิงห์บุรี!I483"")"),0)</f>
        <v>0</v>
      </c>
      <c r="Z71" s="57">
        <f ca="1">IFERROR(__xludf.DUMMYFUNCTION("IMPORTRANGE(""https://docs.google.com/spreadsheets/d/149xufxukrnEciK3WPbNpHwUK8BKEJxp3UcBG3Al6dA4/edit?usp=sharing"",""สิงห์บุรี!J483"")"),0)</f>
        <v>0</v>
      </c>
      <c r="AA71" s="63">
        <f t="shared" ca="1" si="35"/>
        <v>0</v>
      </c>
      <c r="AB71" s="57">
        <f ca="1">IFERROR(__xludf.DUMMYFUNCTION("IMPORTRANGE(""https://docs.google.com/spreadsheets/d/149xufxukrnEciK3WPbNpHwUK8BKEJxp3UcBG3Al6dA4/edit?usp=sharing"",""สิงห์บุรี!J484"")"),0)</f>
        <v>0</v>
      </c>
      <c r="AC71" s="57">
        <f ca="1">IFERROR(__xludf.DUMMYFUNCTION("IMPORTRANGE(""https://docs.google.com/spreadsheets/d/149xufxukrnEciK3WPbNpHwUK8BKEJxp3UcBG3Al6dA4/edit?usp=sharing"",""สิงห์บุรี!I485"")"),0)</f>
        <v>0</v>
      </c>
      <c r="AD71" s="57">
        <f ca="1">IFERROR(__xludf.DUMMYFUNCTION("IMPORTRANGE(""https://docs.google.com/spreadsheets/d/149xufxukrnEciK3WPbNpHwUK8BKEJxp3UcBG3Al6dA4/edit?usp=sharing"",""สิงห์บุรี!J485"")"),0)</f>
        <v>0</v>
      </c>
      <c r="AE71" s="63">
        <f t="shared" ca="1" si="36"/>
        <v>0</v>
      </c>
      <c r="AF71" s="57">
        <f ca="1">IFERROR(__xludf.DUMMYFUNCTION("IMPORTRANGE(""https://docs.google.com/spreadsheets/d/149xufxukrnEciK3WPbNpHwUK8BKEJxp3UcBG3Al6dA4/edit?usp=sharing"",""สิงห์บุรี!I487"")"),0)</f>
        <v>0</v>
      </c>
      <c r="AG71" s="57">
        <f ca="1">IFERROR(__xludf.DUMMYFUNCTION("IMPORTRANGE(""https://docs.google.com/spreadsheets/d/149xufxukrnEciK3WPbNpHwUK8BKEJxp3UcBG3Al6dA4/edit?usp=sharing"",""สิงห์บุรี!J487"")"),0)</f>
        <v>0</v>
      </c>
      <c r="AH71" s="63">
        <f t="shared" ca="1" si="37"/>
        <v>0</v>
      </c>
      <c r="AI71" s="57">
        <f ca="1">IFERROR(__xludf.DUMMYFUNCTION("IMPORTRANGE(""https://docs.google.com/spreadsheets/d/149xufxukrnEciK3WPbNpHwUK8BKEJxp3UcBG3Al6dA4/edit?usp=sharing"",""สิงห์บุรี!J488"")"),0)</f>
        <v>0</v>
      </c>
      <c r="AJ71" s="57">
        <f ca="1">IFERROR(__xludf.DUMMYFUNCTION("IMPORTRANGE(""https://docs.google.com/spreadsheets/d/149xufxukrnEciK3WPbNpHwUK8BKEJxp3UcBG3Al6dA4/edit?usp=sharing"",""สิงห์บุรี!I489"")"),0)</f>
        <v>0</v>
      </c>
      <c r="AK71" s="57">
        <f ca="1">IFERROR(__xludf.DUMMYFUNCTION("IMPORTRANGE(""https://docs.google.com/spreadsheets/d/149xufxukrnEciK3WPbNpHwUK8BKEJxp3UcBG3Al6dA4/edit?usp=sharing"",""สิงห์บุรี!J489"")"),0)</f>
        <v>0</v>
      </c>
      <c r="AL71" s="63">
        <f t="shared" ca="1" si="38"/>
        <v>0</v>
      </c>
      <c r="AM71" s="57">
        <f ca="1">IFERROR(__xludf.DUMMYFUNCTION("IMPORTRANGE(""https://docs.google.com/spreadsheets/d/149xufxukrnEciK3WPbNpHwUK8BKEJxp3UcBG3Al6dA4/edit?usp=sharing"",""สิงห์บุรี!J491"")"),0)</f>
        <v>0</v>
      </c>
      <c r="AN71" s="57">
        <f ca="1">IFERROR(__xludf.DUMMYFUNCTION("IMPORTRANGE(""https://docs.google.com/spreadsheets/d/149xufxukrnEciK3WPbNpHwUK8BKEJxp3UcBG3Al6dA4/edit?usp=sharing"",""สิงห์บุรี!I492"")"),0)</f>
        <v>0</v>
      </c>
      <c r="AO71" s="57">
        <f ca="1">IFERROR(__xludf.DUMMYFUNCTION("IMPORTRANGE(""https://docs.google.com/spreadsheets/d/149xufxukrnEciK3WPbNpHwUK8BKEJxp3UcBG3Al6dA4/edit?usp=sharing"",""สิงห์บุรี!J492"")"),0)</f>
        <v>0</v>
      </c>
      <c r="AP71" s="63">
        <f t="shared" ca="1" si="39"/>
        <v>0</v>
      </c>
      <c r="AQ71" s="57">
        <f ca="1">IFERROR(__xludf.DUMMYFUNCTION("IMPORTRANGE(""https://docs.google.com/spreadsheets/d/149xufxukrnEciK3WPbNpHwUK8BKEJxp3UcBG3Al6dA4/edit?usp=sharing"",""สิงห์บุรี!I495"")"),0)</f>
        <v>0</v>
      </c>
      <c r="AR71" s="57">
        <f ca="1">IFERROR(__xludf.DUMMYFUNCTION("IMPORTRANGE(""https://docs.google.com/spreadsheets/d/149xufxukrnEciK3WPbNpHwUK8BKEJxp3UcBG3Al6dA4/edit?usp=sharing"",""สิงห์บุรี!J495"")"),0)</f>
        <v>0</v>
      </c>
      <c r="AS71" s="63">
        <f t="shared" ca="1" si="40"/>
        <v>0</v>
      </c>
      <c r="AT71" s="57">
        <f ca="1">IFERROR(__xludf.DUMMYFUNCTION("IMPORTRANGE(""https://docs.google.com/spreadsheets/d/149xufxukrnEciK3WPbNpHwUK8BKEJxp3UcBG3Al6dA4/edit?usp=sharing"",""สิงห์บุรี!J496"")"),0)</f>
        <v>0</v>
      </c>
      <c r="AU71" s="57">
        <f ca="1">IFERROR(__xludf.DUMMYFUNCTION("IMPORTRANGE(""https://docs.google.com/spreadsheets/d/149xufxukrnEciK3WPbNpHwUK8BKEJxp3UcBG3Al6dA4/edit?usp=sharing"",""สิงห์บุรี!I498"")"),0)</f>
        <v>0</v>
      </c>
      <c r="AV71" s="57">
        <f ca="1">IFERROR(__xludf.DUMMYFUNCTION("IMPORTRANGE(""https://docs.google.com/spreadsheets/d/149xufxukrnEciK3WPbNpHwUK8BKEJxp3UcBG3Al6dA4/edit?usp=sharing"",""สิงห์บุรี!J498"")"),0)</f>
        <v>0</v>
      </c>
      <c r="AW71" s="63">
        <f t="shared" ca="1" si="41"/>
        <v>0</v>
      </c>
      <c r="AX71" s="57">
        <f ca="1">IFERROR(__xludf.DUMMYFUNCTION("IMPORTRANGE(""https://docs.google.com/spreadsheets/d/149xufxukrnEciK3WPbNpHwUK8BKEJxp3UcBG3Al6dA4/edit?usp=sharing"",""สิงห์บุรี!J499"")"),0)</f>
        <v>0</v>
      </c>
    </row>
    <row r="72" spans="1:50" ht="21" customHeight="1" x14ac:dyDescent="0.3">
      <c r="A72" s="54">
        <v>20</v>
      </c>
      <c r="B72" s="55" t="s">
        <v>93</v>
      </c>
      <c r="C72" s="56">
        <f t="shared" ca="1" si="79"/>
        <v>330863</v>
      </c>
      <c r="D72" s="57">
        <f ca="1">IFERROR(__xludf.DUMMYFUNCTION("IMPORTRANGE(""https://docs.google.com/spreadsheets/d/132g-zJpz2uMKimp17uOIx8A7o3w1Z25zwJyXnwsB56c/edit?usp=sharing"",""สุพรรณบุรี!L472"")"),330863)</f>
        <v>330863</v>
      </c>
      <c r="E72" s="64">
        <f ca="1">IFERROR(__xludf.DUMMYFUNCTION("IMPORTRANGE(""https://docs.google.com/spreadsheets/d/132g-zJpz2uMKimp17uOIx8A7o3w1Z25zwJyXnwsB56c/edit?usp=sharing"",""สุพรรณบุรี!L479"")"),0)</f>
        <v>0</v>
      </c>
      <c r="F72" s="64">
        <f ca="1">IFERROR(__xludf.DUMMYFUNCTION("IMPORTRANGE(""https://docs.google.com/spreadsheets/d/132g-zJpz2uMKimp17uOIx8A7o3w1Z25zwJyXnwsB56c/edit?usp=sharing"",""สุพรรณบุรี!M472"")"),330863)</f>
        <v>330863</v>
      </c>
      <c r="G72" s="64">
        <f ca="1">IFERROR(__xludf.DUMMYFUNCTION("IMPORTRANGE(""https://docs.google.com/spreadsheets/d/132g-zJpz2uMKimp17uOIx8A7o3w1Z25zwJyXnwsB56c/edit?usp=sharing"",""สุพรรณบุรี!M479"")"),0)</f>
        <v>0</v>
      </c>
      <c r="H72" s="58">
        <f t="shared" ca="1" si="34"/>
        <v>68949</v>
      </c>
      <c r="I72" s="59">
        <f t="shared" ca="1" si="1"/>
        <v>20.839138858077209</v>
      </c>
      <c r="J72" s="60">
        <f t="shared" ca="1" si="80"/>
        <v>68949</v>
      </c>
      <c r="K72" s="61">
        <f t="shared" ca="1" si="43"/>
        <v>20.839138858077209</v>
      </c>
      <c r="L72" s="61">
        <f t="shared" ca="1" si="44"/>
        <v>20.839138858077209</v>
      </c>
      <c r="M72" s="64">
        <f ca="1">IFERROR(__xludf.DUMMYFUNCTION("IMPORTRANGE(""https://docs.google.com/spreadsheets/d/132g-zJpz2uMKimp17uOIx8A7o3w1Z25zwJyXnwsB56c/edit?usp=sharing"",""สุพรรณบุรี!N473"")"),51603)</f>
        <v>51603</v>
      </c>
      <c r="N72" s="64">
        <f ca="1">IFERROR(__xludf.DUMMYFUNCTION("IMPORTRANGE(""https://docs.google.com/spreadsheets/d/132g-zJpz2uMKimp17uOIx8A7o3w1Z25zwJyXnwsB56c/edit?usp=sharing"",""สุพรรณบุรี!N474"")"),4000)</f>
        <v>4000</v>
      </c>
      <c r="O72" s="64">
        <f ca="1">IFERROR(__xludf.DUMMYFUNCTION("IMPORTRANGE(""https://docs.google.com/spreadsheets/d/132g-zJpz2uMKimp17uOIx8A7o3w1Z25zwJyXnwsB56c/edit?usp=sharing"",""สุพรรณบุรี!N475"")"),0)</f>
        <v>0</v>
      </c>
      <c r="P72" s="64">
        <f ca="1">IFERROR(__xludf.DUMMYFUNCTION("IMPORTRANGE(""https://docs.google.com/spreadsheets/d/132g-zJpz2uMKimp17uOIx8A7o3w1Z25zwJyXnwsB56c/edit?usp=sharing"",""สุพรรณบุรี!N476"")"),13346)</f>
        <v>13346</v>
      </c>
      <c r="Q72" s="62">
        <f ca="1">IFERROR(__xludf.DUMMYFUNCTION("IMPORTRANGE(""https://docs.google.com/spreadsheets/d/132g-zJpz2uMKimp17uOIx8A7o3w1Z25zwJyXnwsB56c/edit?usp=sharing"",""สุพรรณบุรี!N479"")"),0)</f>
        <v>0</v>
      </c>
      <c r="R72" s="62">
        <f t="shared" ca="1" si="46"/>
        <v>0</v>
      </c>
      <c r="S72" s="57">
        <f ca="1">IFERROR(__xludf.DUMMYFUNCTION("IMPORTRANGE(""https://docs.google.com/spreadsheets/d/132g-zJpz2uMKimp17uOIx8A7o3w1Z25zwJyXnwsB56c/edit?usp=sharing"",""สุพรรณบุรี!I465"")"),41)</f>
        <v>41</v>
      </c>
      <c r="T72" s="57">
        <f ca="1">IFERROR(__xludf.DUMMYFUNCTION("IMPORTRANGE(""https://docs.google.com/spreadsheets/d/132g-zJpz2uMKimp17uOIx8A7o3w1Z25zwJyXnwsB56c/edit?usp=sharing"",""สุพรรณบุรี!I466"")"),400)</f>
        <v>400</v>
      </c>
      <c r="U72" s="57">
        <f ca="1">IFERROR(__xludf.DUMMYFUNCTION("IMPORTRANGE(""https://docs.google.com/spreadsheets/d/132g-zJpz2uMKimp17uOIx8A7o3w1Z25zwJyXnwsB56c/edit?usp=sharing"",""สุพรรณบุรี!J465"")"),41)</f>
        <v>41</v>
      </c>
      <c r="V72" s="63">
        <f t="shared" ca="1" si="6"/>
        <v>100</v>
      </c>
      <c r="W72" s="57">
        <f ca="1">IFERROR(__xludf.DUMMYFUNCTION("IMPORTRANGE(""https://docs.google.com/spreadsheets/d/132g-zJpz2uMKimp17uOIx8A7o3w1Z25zwJyXnwsB56c/edit?usp=sharing"",""สุพรรณบุรี!J466"")"),0)</f>
        <v>0</v>
      </c>
      <c r="X72" s="63">
        <f t="shared" ca="1" si="7"/>
        <v>0</v>
      </c>
      <c r="Y72" s="57">
        <f ca="1">IFERROR(__xludf.DUMMYFUNCTION("IMPORTRANGE(""https://docs.google.com/spreadsheets/d/132g-zJpz2uMKimp17uOIx8A7o3w1Z25zwJyXnwsB56c/edit?usp=sharing"",""สุพรรณบุรี!I483"")"),360)</f>
        <v>360</v>
      </c>
      <c r="Z72" s="57">
        <f ca="1">IFERROR(__xludf.DUMMYFUNCTION("IMPORTRANGE(""https://docs.google.com/spreadsheets/d/132g-zJpz2uMKimp17uOIx8A7o3w1Z25zwJyXnwsB56c/edit?usp=sharing"",""สุพรรณบุรี!J483"")"),360)</f>
        <v>360</v>
      </c>
      <c r="AA72" s="63">
        <f t="shared" ca="1" si="35"/>
        <v>100</v>
      </c>
      <c r="AB72" s="57">
        <f ca="1">IFERROR(__xludf.DUMMYFUNCTION("IMPORTRANGE(""https://docs.google.com/spreadsheets/d/132g-zJpz2uMKimp17uOIx8A7o3w1Z25zwJyXnwsB56c/edit?usp=sharing"",""สุพรรณบุรี!J484"")"),0)</f>
        <v>0</v>
      </c>
      <c r="AC72" s="57">
        <f ca="1">IFERROR(__xludf.DUMMYFUNCTION("IMPORTRANGE(""https://docs.google.com/spreadsheets/d/132g-zJpz2uMKimp17uOIx8A7o3w1Z25zwJyXnwsB56c/edit?usp=sharing"",""สุพรรณบุรี!I485"")"),36)</f>
        <v>36</v>
      </c>
      <c r="AD72" s="57">
        <f ca="1">IFERROR(__xludf.DUMMYFUNCTION("IMPORTRANGE(""https://docs.google.com/spreadsheets/d/132g-zJpz2uMKimp17uOIx8A7o3w1Z25zwJyXnwsB56c/edit?usp=sharing"",""สุพรรณบุรี!J485"")"),36)</f>
        <v>36</v>
      </c>
      <c r="AE72" s="63">
        <f t="shared" ca="1" si="36"/>
        <v>100</v>
      </c>
      <c r="AF72" s="57">
        <f ca="1">IFERROR(__xludf.DUMMYFUNCTION("IMPORTRANGE(""https://docs.google.com/spreadsheets/d/132g-zJpz2uMKimp17uOIx8A7o3w1Z25zwJyXnwsB56c/edit?usp=sharing"",""สุพรรณบุรี!I487"")"),40)</f>
        <v>40</v>
      </c>
      <c r="AG72" s="57">
        <f ca="1">IFERROR(__xludf.DUMMYFUNCTION("IMPORTRANGE(""https://docs.google.com/spreadsheets/d/132g-zJpz2uMKimp17uOIx8A7o3w1Z25zwJyXnwsB56c/edit?usp=sharing"",""สุพรรณบุรี!J487"")"),40)</f>
        <v>40</v>
      </c>
      <c r="AH72" s="63">
        <f t="shared" ca="1" si="37"/>
        <v>100</v>
      </c>
      <c r="AI72" s="57">
        <f ca="1">IFERROR(__xludf.DUMMYFUNCTION("IMPORTRANGE(""https://docs.google.com/spreadsheets/d/132g-zJpz2uMKimp17uOIx8A7o3w1Z25zwJyXnwsB56c/edit?usp=sharing"",""สุพรรณบุรี!J488"")"),4)</f>
        <v>4</v>
      </c>
      <c r="AJ72" s="57">
        <f ca="1">IFERROR(__xludf.DUMMYFUNCTION("IMPORTRANGE(""https://docs.google.com/spreadsheets/d/132g-zJpz2uMKimp17uOIx8A7o3w1Z25zwJyXnwsB56c/edit?usp=sharing"",""สุพรรณบุรี!I489"")"),4)</f>
        <v>4</v>
      </c>
      <c r="AK72" s="57">
        <f ca="1">IFERROR(__xludf.DUMMYFUNCTION("IMPORTRANGE(""https://docs.google.com/spreadsheets/d/132g-zJpz2uMKimp17uOIx8A7o3w1Z25zwJyXnwsB56c/edit?usp=sharing"",""สุพรรณบุรี!J489"")"),4)</f>
        <v>4</v>
      </c>
      <c r="AL72" s="63">
        <f t="shared" ca="1" si="38"/>
        <v>100</v>
      </c>
      <c r="AM72" s="57">
        <f ca="1">IFERROR(__xludf.DUMMYFUNCTION("IMPORTRANGE(""https://docs.google.com/spreadsheets/d/132g-zJpz2uMKimp17uOIx8A7o3w1Z25zwJyXnwsB56c/edit?usp=sharing"",""สุพรรณบุรี!J491"")"),1)</f>
        <v>1</v>
      </c>
      <c r="AN72" s="57">
        <f ca="1">IFERROR(__xludf.DUMMYFUNCTION("IMPORTRANGE(""https://docs.google.com/spreadsheets/d/132g-zJpz2uMKimp17uOIx8A7o3w1Z25zwJyXnwsB56c/edit?usp=sharing"",""สุพรรณบุรี!I492"")"),1)</f>
        <v>1</v>
      </c>
      <c r="AO72" s="57">
        <f ca="1">IFERROR(__xludf.DUMMYFUNCTION("IMPORTRANGE(""https://docs.google.com/spreadsheets/d/132g-zJpz2uMKimp17uOIx8A7o3w1Z25zwJyXnwsB56c/edit?usp=sharing"",""สุพรรณบุรี!J492"")"),1)</f>
        <v>1</v>
      </c>
      <c r="AP72" s="63">
        <f t="shared" ca="1" si="39"/>
        <v>100</v>
      </c>
      <c r="AQ72" s="57">
        <f ca="1">IFERROR(__xludf.DUMMYFUNCTION("IMPORTRANGE(""https://docs.google.com/spreadsheets/d/132g-zJpz2uMKimp17uOIx8A7o3w1Z25zwJyXnwsB56c/edit?usp=sharing"",""สุพรรณบุรี!I495"")"),360)</f>
        <v>360</v>
      </c>
      <c r="AR72" s="57">
        <f ca="1">IFERROR(__xludf.DUMMYFUNCTION("IMPORTRANGE(""https://docs.google.com/spreadsheets/d/132g-zJpz2uMKimp17uOIx8A7o3w1Z25zwJyXnwsB56c/edit?usp=sharing"",""สุพรรณบุรี!J495"")"),0)</f>
        <v>0</v>
      </c>
      <c r="AS72" s="63">
        <f t="shared" ca="1" si="40"/>
        <v>0</v>
      </c>
      <c r="AT72" s="57">
        <f ca="1">IFERROR(__xludf.DUMMYFUNCTION("IMPORTRANGE(""https://docs.google.com/spreadsheets/d/132g-zJpz2uMKimp17uOIx8A7o3w1Z25zwJyXnwsB56c/edit?usp=sharing"",""สุพรรณบุรี!J496"")"),0)</f>
        <v>0</v>
      </c>
      <c r="AU72" s="57">
        <f ca="1">IFERROR(__xludf.DUMMYFUNCTION("IMPORTRANGE(""https://docs.google.com/spreadsheets/d/132g-zJpz2uMKimp17uOIx8A7o3w1Z25zwJyXnwsB56c/edit?usp=sharing"",""สุพรรณบุรี!I498"")"),40)</f>
        <v>40</v>
      </c>
      <c r="AV72" s="57">
        <f ca="1">IFERROR(__xludf.DUMMYFUNCTION("IMPORTRANGE(""https://docs.google.com/spreadsheets/d/132g-zJpz2uMKimp17uOIx8A7o3w1Z25zwJyXnwsB56c/edit?usp=sharing"",""สุพรรณบุรี!J498"")"),0)</f>
        <v>0</v>
      </c>
      <c r="AW72" s="63">
        <f t="shared" ca="1" si="41"/>
        <v>0</v>
      </c>
      <c r="AX72" s="57">
        <f ca="1">IFERROR(__xludf.DUMMYFUNCTION("IMPORTRANGE(""https://docs.google.com/spreadsheets/d/132g-zJpz2uMKimp17uOIx8A7o3w1Z25zwJyXnwsB56c/edit?usp=sharing"",""สุพรรณบุรี!J499"")"),0)</f>
        <v>0</v>
      </c>
    </row>
    <row r="73" spans="1:50" ht="21" customHeight="1" x14ac:dyDescent="0.3">
      <c r="A73" s="65">
        <v>21</v>
      </c>
      <c r="B73" s="66" t="s">
        <v>94</v>
      </c>
      <c r="C73" s="67">
        <f t="shared" ca="1" si="79"/>
        <v>0</v>
      </c>
      <c r="D73" s="68">
        <f ca="1">IFERROR(__xludf.DUMMYFUNCTION("IMPORTRANGE(""https://docs.google.com/spreadsheets/d/12Q_U0nVnFdxDFwa0pej9xvx8ZvLC9Dpi_vRro_aiG5g/edit?usp=sharing"",""อ่างทอง!L472"")"),0)</f>
        <v>0</v>
      </c>
      <c r="E73" s="69">
        <f ca="1">IFERROR(__xludf.DUMMYFUNCTION("IMPORTRANGE(""https://docs.google.com/spreadsheets/d/12Q_U0nVnFdxDFwa0pej9xvx8ZvLC9Dpi_vRro_aiG5g/edit?usp=sharing"",""อ่างทอง!L479"")"),0)</f>
        <v>0</v>
      </c>
      <c r="F73" s="69">
        <f ca="1">IFERROR(__xludf.DUMMYFUNCTION("IMPORTRANGE(""https://docs.google.com/spreadsheets/d/12Q_U0nVnFdxDFwa0pej9xvx8ZvLC9Dpi_vRro_aiG5g/edit?usp=sharing"",""อ่างทอง!M472"")"),0)</f>
        <v>0</v>
      </c>
      <c r="G73" s="69">
        <f ca="1">IFERROR(__xludf.DUMMYFUNCTION("IMPORTRANGE(""https://docs.google.com/spreadsheets/d/12Q_U0nVnFdxDFwa0pej9xvx8ZvLC9Dpi_vRro_aiG5g/edit?usp=sharing"",""อ่างทอง!M479"")"),0)</f>
        <v>0</v>
      </c>
      <c r="H73" s="70">
        <f t="shared" ca="1" si="34"/>
        <v>0</v>
      </c>
      <c r="I73" s="71">
        <f t="shared" ca="1" si="1"/>
        <v>0</v>
      </c>
      <c r="J73" s="72">
        <f t="shared" ca="1" si="80"/>
        <v>0</v>
      </c>
      <c r="K73" s="73">
        <f t="shared" ca="1" si="43"/>
        <v>0</v>
      </c>
      <c r="L73" s="73">
        <f t="shared" ca="1" si="44"/>
        <v>0</v>
      </c>
      <c r="M73" s="69">
        <f ca="1">IFERROR(__xludf.DUMMYFUNCTION("IMPORTRANGE(""https://docs.google.com/spreadsheets/d/12Q_U0nVnFdxDFwa0pej9xvx8ZvLC9Dpi_vRro_aiG5g/edit?usp=sharing"",""อ่างทอง!N473"")"),0)</f>
        <v>0</v>
      </c>
      <c r="N73" s="69">
        <f ca="1">IFERROR(__xludf.DUMMYFUNCTION("IMPORTRANGE(""https://docs.google.com/spreadsheets/d/12Q_U0nVnFdxDFwa0pej9xvx8ZvLC9Dpi_vRro_aiG5g/edit?usp=sharing"",""อ่างทอง!N474"")"),0)</f>
        <v>0</v>
      </c>
      <c r="O73" s="69">
        <f ca="1">IFERROR(__xludf.DUMMYFUNCTION("IMPORTRANGE(""https://docs.google.com/spreadsheets/d/12Q_U0nVnFdxDFwa0pej9xvx8ZvLC9Dpi_vRro_aiG5g/edit?usp=sharing"",""อ่างทอง!N475"")"),0)</f>
        <v>0</v>
      </c>
      <c r="P73" s="69">
        <f ca="1">IFERROR(__xludf.DUMMYFUNCTION("IMPORTRANGE(""https://docs.google.com/spreadsheets/d/12Q_U0nVnFdxDFwa0pej9xvx8ZvLC9Dpi_vRro_aiG5g/edit?usp=sharing"",""อ่างทอง!N476"")"),0)</f>
        <v>0</v>
      </c>
      <c r="Q73" s="74">
        <f ca="1">IFERROR(__xludf.DUMMYFUNCTION("IMPORTRANGE(""https://docs.google.com/spreadsheets/d/12Q_U0nVnFdxDFwa0pej9xvx8ZvLC9Dpi_vRro_aiG5g/edit?usp=sharing"",""อ่างทอง!N479"")"),0)</f>
        <v>0</v>
      </c>
      <c r="R73" s="74">
        <f t="shared" ca="1" si="46"/>
        <v>0</v>
      </c>
      <c r="S73" s="68">
        <f ca="1">IFERROR(__xludf.DUMMYFUNCTION("IMPORTRANGE(""https://docs.google.com/spreadsheets/d/12Q_U0nVnFdxDFwa0pej9xvx8ZvLC9Dpi_vRro_aiG5g/edit?usp=sharing"",""อ่างทอง!I465"")"),0)</f>
        <v>0</v>
      </c>
      <c r="T73" s="68">
        <f ca="1">IFERROR(__xludf.DUMMYFUNCTION("IMPORTRANGE(""https://docs.google.com/spreadsheets/d/12Q_U0nVnFdxDFwa0pej9xvx8ZvLC9Dpi_vRro_aiG5g/edit?usp=sharing"",""อ่างทอง!I466"")"),0)</f>
        <v>0</v>
      </c>
      <c r="U73" s="68">
        <f ca="1">IFERROR(__xludf.DUMMYFUNCTION("IMPORTRANGE(""https://docs.google.com/spreadsheets/d/12Q_U0nVnFdxDFwa0pej9xvx8ZvLC9Dpi_vRro_aiG5g/edit?usp=sharing"",""อ่างทอง!J465"")"),0)</f>
        <v>0</v>
      </c>
      <c r="V73" s="75">
        <f t="shared" ca="1" si="6"/>
        <v>0</v>
      </c>
      <c r="W73" s="68">
        <f ca="1">IFERROR(__xludf.DUMMYFUNCTION("IMPORTRANGE(""https://docs.google.com/spreadsheets/d/12Q_U0nVnFdxDFwa0pej9xvx8ZvLC9Dpi_vRro_aiG5g/edit?usp=sharing"",""อ่างทอง!J466"")"),0)</f>
        <v>0</v>
      </c>
      <c r="X73" s="75">
        <f t="shared" ca="1" si="7"/>
        <v>0</v>
      </c>
      <c r="Y73" s="68">
        <f ca="1">IFERROR(__xludf.DUMMYFUNCTION("IMPORTRANGE(""https://docs.google.com/spreadsheets/d/12Q_U0nVnFdxDFwa0pej9xvx8ZvLC9Dpi_vRro_aiG5g/edit?usp=sharing"",""อ่างทอง!I483"")"),0)</f>
        <v>0</v>
      </c>
      <c r="Z73" s="68">
        <f ca="1">IFERROR(__xludf.DUMMYFUNCTION("IMPORTRANGE(""https://docs.google.com/spreadsheets/d/12Q_U0nVnFdxDFwa0pej9xvx8ZvLC9Dpi_vRro_aiG5g/edit?usp=sharing"",""อ่างทอง!J483"")"),0)</f>
        <v>0</v>
      </c>
      <c r="AA73" s="75">
        <f t="shared" ca="1" si="35"/>
        <v>0</v>
      </c>
      <c r="AB73" s="68">
        <f ca="1">IFERROR(__xludf.DUMMYFUNCTION("IMPORTRANGE(""https://docs.google.com/spreadsheets/d/12Q_U0nVnFdxDFwa0pej9xvx8ZvLC9Dpi_vRro_aiG5g/edit?usp=sharing"",""อ่างทอง!J484"")"),0)</f>
        <v>0</v>
      </c>
      <c r="AC73" s="68">
        <f ca="1">IFERROR(__xludf.DUMMYFUNCTION("IMPORTRANGE(""https://docs.google.com/spreadsheets/d/12Q_U0nVnFdxDFwa0pej9xvx8ZvLC9Dpi_vRro_aiG5g/edit?usp=sharing"",""อ่างทอง!I485"")"),0)</f>
        <v>0</v>
      </c>
      <c r="AD73" s="68">
        <f ca="1">IFERROR(__xludf.DUMMYFUNCTION("IMPORTRANGE(""https://docs.google.com/spreadsheets/d/12Q_U0nVnFdxDFwa0pej9xvx8ZvLC9Dpi_vRro_aiG5g/edit?usp=sharing"",""อ่างทอง!J485"")"),0)</f>
        <v>0</v>
      </c>
      <c r="AE73" s="75">
        <f t="shared" ca="1" si="36"/>
        <v>0</v>
      </c>
      <c r="AF73" s="68">
        <f ca="1">IFERROR(__xludf.DUMMYFUNCTION("IMPORTRANGE(""https://docs.google.com/spreadsheets/d/12Q_U0nVnFdxDFwa0pej9xvx8ZvLC9Dpi_vRro_aiG5g/edit?usp=sharing"",""อ่างทอง!I487"")"),0)</f>
        <v>0</v>
      </c>
      <c r="AG73" s="68">
        <f ca="1">IFERROR(__xludf.DUMMYFUNCTION("IMPORTRANGE(""https://docs.google.com/spreadsheets/d/12Q_U0nVnFdxDFwa0pej9xvx8ZvLC9Dpi_vRro_aiG5g/edit?usp=sharing"",""อ่างทอง!J487"")"),0)</f>
        <v>0</v>
      </c>
      <c r="AH73" s="75">
        <f t="shared" ca="1" si="37"/>
        <v>0</v>
      </c>
      <c r="AI73" s="68">
        <f ca="1">IFERROR(__xludf.DUMMYFUNCTION("IMPORTRANGE(""https://docs.google.com/spreadsheets/d/12Q_U0nVnFdxDFwa0pej9xvx8ZvLC9Dpi_vRro_aiG5g/edit?usp=sharing"",""อ่างทอง!J488"")"),0)</f>
        <v>0</v>
      </c>
      <c r="AJ73" s="68">
        <f ca="1">IFERROR(__xludf.DUMMYFUNCTION("IMPORTRANGE(""https://docs.google.com/spreadsheets/d/12Q_U0nVnFdxDFwa0pej9xvx8ZvLC9Dpi_vRro_aiG5g/edit?usp=sharing"",""อ่างทอง!I489"")"),0)</f>
        <v>0</v>
      </c>
      <c r="AK73" s="68">
        <f ca="1">IFERROR(__xludf.DUMMYFUNCTION("IMPORTRANGE(""https://docs.google.com/spreadsheets/d/12Q_U0nVnFdxDFwa0pej9xvx8ZvLC9Dpi_vRro_aiG5g/edit?usp=sharing"",""อ่างทอง!J489"")"),0)</f>
        <v>0</v>
      </c>
      <c r="AL73" s="75">
        <f t="shared" ca="1" si="38"/>
        <v>0</v>
      </c>
      <c r="AM73" s="68">
        <f ca="1">IFERROR(__xludf.DUMMYFUNCTION("IMPORTRANGE(""https://docs.google.com/spreadsheets/d/12Q_U0nVnFdxDFwa0pej9xvx8ZvLC9Dpi_vRro_aiG5g/edit?usp=sharing"",""อ่างทอง!J491"")"),0)</f>
        <v>0</v>
      </c>
      <c r="AN73" s="68">
        <f ca="1">IFERROR(__xludf.DUMMYFUNCTION("IMPORTRANGE(""https://docs.google.com/spreadsheets/d/12Q_U0nVnFdxDFwa0pej9xvx8ZvLC9Dpi_vRro_aiG5g/edit?usp=sharing"",""อ่างทอง!I492"")"),0)</f>
        <v>0</v>
      </c>
      <c r="AO73" s="68">
        <f ca="1">IFERROR(__xludf.DUMMYFUNCTION("IMPORTRANGE(""https://docs.google.com/spreadsheets/d/12Q_U0nVnFdxDFwa0pej9xvx8ZvLC9Dpi_vRro_aiG5g/edit?usp=sharing"",""อ่างทอง!J492"")"),0)</f>
        <v>0</v>
      </c>
      <c r="AP73" s="75">
        <f t="shared" ca="1" si="39"/>
        <v>0</v>
      </c>
      <c r="AQ73" s="68">
        <f ca="1">IFERROR(__xludf.DUMMYFUNCTION("IMPORTRANGE(""https://docs.google.com/spreadsheets/d/12Q_U0nVnFdxDFwa0pej9xvx8ZvLC9Dpi_vRro_aiG5g/edit?usp=sharing"",""อ่างทอง!I495"")"),0)</f>
        <v>0</v>
      </c>
      <c r="AR73" s="68">
        <f ca="1">IFERROR(__xludf.DUMMYFUNCTION("IMPORTRANGE(""https://docs.google.com/spreadsheets/d/12Q_U0nVnFdxDFwa0pej9xvx8ZvLC9Dpi_vRro_aiG5g/edit?usp=sharing"",""อ่างทอง!J495"")"),0)</f>
        <v>0</v>
      </c>
      <c r="AS73" s="75">
        <f t="shared" ca="1" si="40"/>
        <v>0</v>
      </c>
      <c r="AT73" s="68">
        <f ca="1">IFERROR(__xludf.DUMMYFUNCTION("IMPORTRANGE(""https://docs.google.com/spreadsheets/d/12Q_U0nVnFdxDFwa0pej9xvx8ZvLC9Dpi_vRro_aiG5g/edit?usp=sharing"",""อ่างทอง!J496"")"),0)</f>
        <v>0</v>
      </c>
      <c r="AU73" s="68">
        <f ca="1">IFERROR(__xludf.DUMMYFUNCTION("IMPORTRANGE(""https://docs.google.com/spreadsheets/d/12Q_U0nVnFdxDFwa0pej9xvx8ZvLC9Dpi_vRro_aiG5g/edit?usp=sharing"",""อ่างทอง!I498"")"),0)</f>
        <v>0</v>
      </c>
      <c r="AV73" s="68">
        <f ca="1">IFERROR(__xludf.DUMMYFUNCTION("IMPORTRANGE(""https://docs.google.com/spreadsheets/d/12Q_U0nVnFdxDFwa0pej9xvx8ZvLC9Dpi_vRro_aiG5g/edit?usp=sharing"",""อ่างทอง!J498"")"),0)</f>
        <v>0</v>
      </c>
      <c r="AW73" s="75">
        <f t="shared" ca="1" si="41"/>
        <v>0</v>
      </c>
      <c r="AX73" s="68">
        <f ca="1">IFERROR(__xludf.DUMMYFUNCTION("IMPORTRANGE(""https://docs.google.com/spreadsheets/d/12Q_U0nVnFdxDFwa0pej9xvx8ZvLC9Dpi_vRro_aiG5g/edit?usp=sharing"",""อ่างทอง!J499"")"),0)</f>
        <v>0</v>
      </c>
    </row>
    <row r="74" spans="1:50" ht="21" customHeight="1" x14ac:dyDescent="0.3">
      <c r="A74" s="177" t="s">
        <v>95</v>
      </c>
      <c r="B74" s="178"/>
      <c r="C74" s="76">
        <f t="shared" ref="C74:G74" ca="1" si="81">SUM(C75:C88)</f>
        <v>4311197</v>
      </c>
      <c r="D74" s="34">
        <f t="shared" ca="1" si="81"/>
        <v>4311197</v>
      </c>
      <c r="E74" s="34">
        <f t="shared" ca="1" si="81"/>
        <v>0</v>
      </c>
      <c r="F74" s="34">
        <f t="shared" ca="1" si="81"/>
        <v>4311197</v>
      </c>
      <c r="G74" s="34">
        <f t="shared" ca="1" si="81"/>
        <v>0</v>
      </c>
      <c r="H74" s="34">
        <f t="shared" ca="1" si="34"/>
        <v>1852929.99</v>
      </c>
      <c r="I74" s="35">
        <f t="shared" ca="1" si="1"/>
        <v>42.979478553172122</v>
      </c>
      <c r="J74" s="34">
        <f ca="1">SUM(J75:J88)</f>
        <v>1852929.99</v>
      </c>
      <c r="K74" s="35">
        <f t="shared" ca="1" si="43"/>
        <v>42.979478553172122</v>
      </c>
      <c r="L74" s="35">
        <f t="shared" ca="1" si="44"/>
        <v>42.979478553172122</v>
      </c>
      <c r="M74" s="34">
        <f t="shared" ref="M74:Q74" ca="1" si="82">SUM(M75:M88)</f>
        <v>702694.72</v>
      </c>
      <c r="N74" s="34">
        <f t="shared" ca="1" si="82"/>
        <v>842000</v>
      </c>
      <c r="O74" s="34">
        <f t="shared" ca="1" si="82"/>
        <v>65500</v>
      </c>
      <c r="P74" s="34">
        <f t="shared" ca="1" si="82"/>
        <v>242735.27</v>
      </c>
      <c r="Q74" s="36">
        <f t="shared" ca="1" si="82"/>
        <v>0</v>
      </c>
      <c r="R74" s="36">
        <f t="shared" ca="1" si="46"/>
        <v>0</v>
      </c>
      <c r="S74" s="34">
        <f t="shared" ref="S74:U74" ca="1" si="83">SUM(S75:S88)</f>
        <v>494</v>
      </c>
      <c r="T74" s="34">
        <f t="shared" ca="1" si="83"/>
        <v>4800</v>
      </c>
      <c r="U74" s="34">
        <f t="shared" ca="1" si="83"/>
        <v>500</v>
      </c>
      <c r="V74" s="37">
        <f t="shared" ca="1" si="6"/>
        <v>101.21457489878543</v>
      </c>
      <c r="W74" s="34">
        <f ca="1">SUM(W75:W88)</f>
        <v>1300</v>
      </c>
      <c r="X74" s="37">
        <f t="shared" ca="1" si="7"/>
        <v>27.083333333333332</v>
      </c>
      <c r="Y74" s="34">
        <f t="shared" ref="Y74:Z74" ca="1" si="84">SUM(Y75:Y88)</f>
        <v>4320</v>
      </c>
      <c r="Z74" s="34">
        <f t="shared" ca="1" si="84"/>
        <v>4066.36</v>
      </c>
      <c r="AA74" s="37">
        <f t="shared" ca="1" si="35"/>
        <v>94.128703703703707</v>
      </c>
      <c r="AB74" s="34">
        <f t="shared" ref="AB74:AD74" ca="1" si="85">SUM(AB75:AB88)</f>
        <v>230</v>
      </c>
      <c r="AC74" s="34">
        <f t="shared" ca="1" si="85"/>
        <v>432</v>
      </c>
      <c r="AD74" s="34">
        <f t="shared" ca="1" si="85"/>
        <v>437</v>
      </c>
      <c r="AE74" s="37">
        <f t="shared" ca="1" si="36"/>
        <v>101.1574074074074</v>
      </c>
      <c r="AF74" s="34">
        <f t="shared" ref="AF74:AG74" ca="1" si="86">SUM(AF75:AF88)</f>
        <v>480</v>
      </c>
      <c r="AG74" s="34">
        <f t="shared" ca="1" si="86"/>
        <v>452</v>
      </c>
      <c r="AH74" s="37">
        <f t="shared" ca="1" si="37"/>
        <v>94.166666666666671</v>
      </c>
      <c r="AI74" s="34">
        <f t="shared" ref="AI74:AK74" ca="1" si="87">SUM(AI75:AI88)</f>
        <v>29</v>
      </c>
      <c r="AJ74" s="34">
        <f t="shared" ca="1" si="87"/>
        <v>48</v>
      </c>
      <c r="AK74" s="34">
        <f t="shared" ca="1" si="87"/>
        <v>49</v>
      </c>
      <c r="AL74" s="37">
        <f t="shared" ca="1" si="38"/>
        <v>102.08333333333333</v>
      </c>
      <c r="AM74" s="34">
        <f t="shared" ref="AM74:AO74" ca="1" si="88">SUM(AM75:AM88)</f>
        <v>10</v>
      </c>
      <c r="AN74" s="34">
        <f t="shared" ca="1" si="88"/>
        <v>14</v>
      </c>
      <c r="AO74" s="34">
        <f t="shared" ca="1" si="88"/>
        <v>14</v>
      </c>
      <c r="AP74" s="37">
        <f t="shared" ca="1" si="39"/>
        <v>100</v>
      </c>
      <c r="AQ74" s="34">
        <f t="shared" ref="AQ74:AR74" ca="1" si="89">SUM(AQ75:AQ88)</f>
        <v>4320</v>
      </c>
      <c r="AR74" s="34">
        <f t="shared" ca="1" si="89"/>
        <v>1170</v>
      </c>
      <c r="AS74" s="37">
        <f t="shared" ca="1" si="40"/>
        <v>27.083333333333332</v>
      </c>
      <c r="AT74" s="34">
        <f t="shared" ref="AT74:AV74" ca="1" si="90">SUM(AT75:AT88)</f>
        <v>450</v>
      </c>
      <c r="AU74" s="34">
        <f t="shared" ca="1" si="90"/>
        <v>480</v>
      </c>
      <c r="AV74" s="34">
        <f t="shared" ca="1" si="90"/>
        <v>130</v>
      </c>
      <c r="AW74" s="37">
        <f t="shared" ca="1" si="41"/>
        <v>27.083333333333332</v>
      </c>
      <c r="AX74" s="34">
        <f ca="1">SUM(AX75:AX88)</f>
        <v>50</v>
      </c>
    </row>
    <row r="75" spans="1:50" ht="21" customHeight="1" x14ac:dyDescent="0.3">
      <c r="A75" s="54">
        <v>1</v>
      </c>
      <c r="B75" s="55" t="s">
        <v>96</v>
      </c>
      <c r="C75" s="56">
        <f t="shared" ref="C75:C88" ca="1" si="91">D75+E75</f>
        <v>263283</v>
      </c>
      <c r="D75" s="57">
        <f ca="1">IFERROR(__xludf.DUMMYFUNCTION("IMPORTRANGE(""https://docs.google.com/spreadsheets/d/1kC41EOXpGBFOW658Fs3oD8beYlym0-zO54WY-2Qnp9I/edit?usp=sharing"",""กระบี่!L472"")"),263283)</f>
        <v>263283</v>
      </c>
      <c r="E75" s="64">
        <f ca="1">IFERROR(__xludf.DUMMYFUNCTION("IMPORTRANGE(""https://docs.google.com/spreadsheets/d/1kC41EOXpGBFOW658Fs3oD8beYlym0-zO54WY-2Qnp9I/edit?usp=sharing"",""กระบี่!L479"")"),0)</f>
        <v>0</v>
      </c>
      <c r="F75" s="64">
        <f ca="1">IFERROR(__xludf.DUMMYFUNCTION("IMPORTRANGE(""https://docs.google.com/spreadsheets/d/1kC41EOXpGBFOW658Fs3oD8beYlym0-zO54WY-2Qnp9I/edit?usp=sharing"",""กระบี่!M472"")"),263283)</f>
        <v>263283</v>
      </c>
      <c r="G75" s="64">
        <f ca="1">IFERROR(__xludf.DUMMYFUNCTION("IMPORTRANGE(""https://docs.google.com/spreadsheets/d/1kC41EOXpGBFOW658Fs3oD8beYlym0-zO54WY-2Qnp9I/edit?usp=sharing"",""กระบี่!M479"")"),0)</f>
        <v>0</v>
      </c>
      <c r="H75" s="58">
        <f t="shared" ca="1" si="34"/>
        <v>57997</v>
      </c>
      <c r="I75" s="59">
        <f t="shared" ca="1" si="1"/>
        <v>22.028387704485286</v>
      </c>
      <c r="J75" s="60">
        <f t="shared" ref="J75:J88" ca="1" si="92">M75+N75+O75+P75</f>
        <v>57997</v>
      </c>
      <c r="K75" s="61">
        <f t="shared" ca="1" si="43"/>
        <v>22.028387704485286</v>
      </c>
      <c r="L75" s="61">
        <f t="shared" ca="1" si="44"/>
        <v>22.028387704485286</v>
      </c>
      <c r="M75" s="64">
        <f ca="1">IFERROR(__xludf.DUMMYFUNCTION("IMPORTRANGE(""https://docs.google.com/spreadsheets/d/1kC41EOXpGBFOW658Fs3oD8beYlym0-zO54WY-2Qnp9I/edit?usp=sharing"",""กระบี่!N473"")"),37652)</f>
        <v>37652</v>
      </c>
      <c r="N75" s="64">
        <f ca="1">IFERROR(__xludf.DUMMYFUNCTION("IMPORTRANGE(""https://docs.google.com/spreadsheets/d/1kC41EOXpGBFOW658Fs3oD8beYlym0-zO54WY-2Qnp9I/edit?usp=sharing"",""กระบี่!N474"")"),0)</f>
        <v>0</v>
      </c>
      <c r="O75" s="64">
        <f ca="1">IFERROR(__xludf.DUMMYFUNCTION("IMPORTRANGE(""https://docs.google.com/spreadsheets/d/1kC41EOXpGBFOW658Fs3oD8beYlym0-zO54WY-2Qnp9I/edit?usp=sharing"",""กระบี่!N475"")"),0)</f>
        <v>0</v>
      </c>
      <c r="P75" s="64">
        <f ca="1">IFERROR(__xludf.DUMMYFUNCTION("IMPORTRANGE(""https://docs.google.com/spreadsheets/d/1kC41EOXpGBFOW658Fs3oD8beYlym0-zO54WY-2Qnp9I/edit?usp=sharing"",""กระบี่!N476"")"),20345)</f>
        <v>20345</v>
      </c>
      <c r="Q75" s="62">
        <f ca="1">IFERROR(__xludf.DUMMYFUNCTION("IMPORTRANGE(""https://docs.google.com/spreadsheets/d/1kC41EOXpGBFOW658Fs3oD8beYlym0-zO54WY-2Qnp9I/edit?usp=sharing"",""กระบี่!N479"")"),0)</f>
        <v>0</v>
      </c>
      <c r="R75" s="62">
        <f t="shared" ca="1" si="46"/>
        <v>0</v>
      </c>
      <c r="S75" s="57">
        <f ca="1">IFERROR(__xludf.DUMMYFUNCTION("IMPORTRANGE(""https://docs.google.com/spreadsheets/d/1kC41EOXpGBFOW658Fs3oD8beYlym0-zO54WY-2Qnp9I/edit?usp=sharing"",""กระบี่!I465"")"),31)</f>
        <v>31</v>
      </c>
      <c r="T75" s="57">
        <f ca="1">IFERROR(__xludf.DUMMYFUNCTION("IMPORTRANGE(""https://docs.google.com/spreadsheets/d/1kC41EOXpGBFOW658Fs3oD8beYlym0-zO54WY-2Qnp9I/edit?usp=sharing"",""กระบี่!I466"")"),300)</f>
        <v>300</v>
      </c>
      <c r="U75" s="57">
        <f ca="1">IFERROR(__xludf.DUMMYFUNCTION("IMPORTRANGE(""https://docs.google.com/spreadsheets/d/1kC41EOXpGBFOW658Fs3oD8beYlym0-zO54WY-2Qnp9I/edit?usp=sharing"",""กระบี่!J465"")"),31)</f>
        <v>31</v>
      </c>
      <c r="V75" s="63">
        <f t="shared" ca="1" si="6"/>
        <v>100</v>
      </c>
      <c r="W75" s="57">
        <f ca="1">IFERROR(__xludf.DUMMYFUNCTION("IMPORTRANGE(""https://docs.google.com/spreadsheets/d/1kC41EOXpGBFOW658Fs3oD8beYlym0-zO54WY-2Qnp9I/edit?usp=sharing"",""กระบี่!J466"")"),0)</f>
        <v>0</v>
      </c>
      <c r="X75" s="63">
        <f t="shared" ca="1" si="7"/>
        <v>0</v>
      </c>
      <c r="Y75" s="57">
        <f ca="1">IFERROR(__xludf.DUMMYFUNCTION("IMPORTRANGE(""https://docs.google.com/spreadsheets/d/1kC41EOXpGBFOW658Fs3oD8beYlym0-zO54WY-2Qnp9I/edit?usp=sharing"",""กระบี่!I483"")"),270)</f>
        <v>270</v>
      </c>
      <c r="Z75" s="57">
        <f ca="1">IFERROR(__xludf.DUMMYFUNCTION("IMPORTRANGE(""https://docs.google.com/spreadsheets/d/1kC41EOXpGBFOW658Fs3oD8beYlym0-zO54WY-2Qnp9I/edit?usp=sharing"",""กระบี่!J483"")"),270)</f>
        <v>270</v>
      </c>
      <c r="AA75" s="63">
        <f t="shared" ca="1" si="35"/>
        <v>100</v>
      </c>
      <c r="AB75" s="57">
        <f ca="1">IFERROR(__xludf.DUMMYFUNCTION("IMPORTRANGE(""https://docs.google.com/spreadsheets/d/1kC41EOXpGBFOW658Fs3oD8beYlym0-zO54WY-2Qnp9I/edit?usp=sharing"",""กระบี่!J484"")"),34)</f>
        <v>34</v>
      </c>
      <c r="AC75" s="57">
        <f ca="1">IFERROR(__xludf.DUMMYFUNCTION("IMPORTRANGE(""https://docs.google.com/spreadsheets/d/1kC41EOXpGBFOW658Fs3oD8beYlym0-zO54WY-2Qnp9I/edit?usp=sharing"",""กระบี่!I485"")"),27)</f>
        <v>27</v>
      </c>
      <c r="AD75" s="57">
        <f ca="1">IFERROR(__xludf.DUMMYFUNCTION("IMPORTRANGE(""https://docs.google.com/spreadsheets/d/1kC41EOXpGBFOW658Fs3oD8beYlym0-zO54WY-2Qnp9I/edit?usp=sharing"",""กระบี่!J485"")"),27)</f>
        <v>27</v>
      </c>
      <c r="AE75" s="63">
        <f t="shared" ca="1" si="36"/>
        <v>100</v>
      </c>
      <c r="AF75" s="57">
        <f ca="1">IFERROR(__xludf.DUMMYFUNCTION("IMPORTRANGE(""https://docs.google.com/spreadsheets/d/1kC41EOXpGBFOW658Fs3oD8beYlym0-zO54WY-2Qnp9I/edit?usp=sharing"",""กระบี่!I487"")"),30)</f>
        <v>30</v>
      </c>
      <c r="AG75" s="57">
        <f ca="1">IFERROR(__xludf.DUMMYFUNCTION("IMPORTRANGE(""https://docs.google.com/spreadsheets/d/1kC41EOXpGBFOW658Fs3oD8beYlym0-zO54WY-2Qnp9I/edit?usp=sharing"",""กระบี่!J487"")"),30)</f>
        <v>30</v>
      </c>
      <c r="AH75" s="63">
        <f t="shared" ca="1" si="37"/>
        <v>100</v>
      </c>
      <c r="AI75" s="57">
        <f ca="1">IFERROR(__xludf.DUMMYFUNCTION("IMPORTRANGE(""https://docs.google.com/spreadsheets/d/1kC41EOXpGBFOW658Fs3oD8beYlym0-zO54WY-2Qnp9I/edit?usp=sharing"",""กระบี่!J488"")"),3)</f>
        <v>3</v>
      </c>
      <c r="AJ75" s="57">
        <f ca="1">IFERROR(__xludf.DUMMYFUNCTION("IMPORTRANGE(""https://docs.google.com/spreadsheets/d/1kC41EOXpGBFOW658Fs3oD8beYlym0-zO54WY-2Qnp9I/edit?usp=sharing"",""กระบี่!I489"")"),3)</f>
        <v>3</v>
      </c>
      <c r="AK75" s="57">
        <f ca="1">IFERROR(__xludf.DUMMYFUNCTION("IMPORTRANGE(""https://docs.google.com/spreadsheets/d/1kC41EOXpGBFOW658Fs3oD8beYlym0-zO54WY-2Qnp9I/edit?usp=sharing"",""กระบี่!J489"")"),3)</f>
        <v>3</v>
      </c>
      <c r="AL75" s="63">
        <f t="shared" ca="1" si="38"/>
        <v>100</v>
      </c>
      <c r="AM75" s="57">
        <f ca="1">IFERROR(__xludf.DUMMYFUNCTION("IMPORTRANGE(""https://docs.google.com/spreadsheets/d/1kC41EOXpGBFOW658Fs3oD8beYlym0-zO54WY-2Qnp9I/edit?usp=sharing"",""กระบี่!J491"")"),1)</f>
        <v>1</v>
      </c>
      <c r="AN75" s="57">
        <f ca="1">IFERROR(__xludf.DUMMYFUNCTION("IMPORTRANGE(""https://docs.google.com/spreadsheets/d/1kC41EOXpGBFOW658Fs3oD8beYlym0-zO54WY-2Qnp9I/edit?usp=sharing"",""กระบี่!I492"")"),1)</f>
        <v>1</v>
      </c>
      <c r="AO75" s="57">
        <f ca="1">IFERROR(__xludf.DUMMYFUNCTION("IMPORTRANGE(""https://docs.google.com/spreadsheets/d/1kC41EOXpGBFOW658Fs3oD8beYlym0-zO54WY-2Qnp9I/edit?usp=sharing"",""กระบี่!J492"")"),1)</f>
        <v>1</v>
      </c>
      <c r="AP75" s="63">
        <f t="shared" ca="1" si="39"/>
        <v>100</v>
      </c>
      <c r="AQ75" s="57">
        <f ca="1">IFERROR(__xludf.DUMMYFUNCTION("IMPORTRANGE(""https://docs.google.com/spreadsheets/d/1kC41EOXpGBFOW658Fs3oD8beYlym0-zO54WY-2Qnp9I/edit?usp=sharing"",""กระบี่!I495"")"),270)</f>
        <v>270</v>
      </c>
      <c r="AR75" s="57">
        <f ca="1">IFERROR(__xludf.DUMMYFUNCTION("IMPORTRANGE(""https://docs.google.com/spreadsheets/d/1kC41EOXpGBFOW658Fs3oD8beYlym0-zO54WY-2Qnp9I/edit?usp=sharing"",""กระบี่!J495"")"),0)</f>
        <v>0</v>
      </c>
      <c r="AS75" s="63">
        <f t="shared" ca="1" si="40"/>
        <v>0</v>
      </c>
      <c r="AT75" s="57">
        <f ca="1">IFERROR(__xludf.DUMMYFUNCTION("IMPORTRANGE(""https://docs.google.com/spreadsheets/d/1kC41EOXpGBFOW658Fs3oD8beYlym0-zO54WY-2Qnp9I/edit?usp=sharing"",""กระบี่!J496"")"),0)</f>
        <v>0</v>
      </c>
      <c r="AU75" s="57">
        <f ca="1">IFERROR(__xludf.DUMMYFUNCTION("IMPORTRANGE(""https://docs.google.com/spreadsheets/d/1kC41EOXpGBFOW658Fs3oD8beYlym0-zO54WY-2Qnp9I/edit?usp=sharing"",""กระบี่!I498"")"),30)</f>
        <v>30</v>
      </c>
      <c r="AV75" s="57">
        <f ca="1">IFERROR(__xludf.DUMMYFUNCTION("IMPORTRANGE(""https://docs.google.com/spreadsheets/d/1kC41EOXpGBFOW658Fs3oD8beYlym0-zO54WY-2Qnp9I/edit?usp=sharing"",""กระบี่!J498"")"),0)</f>
        <v>0</v>
      </c>
      <c r="AW75" s="63">
        <f t="shared" ca="1" si="41"/>
        <v>0</v>
      </c>
      <c r="AX75" s="57">
        <f ca="1">IFERROR(__xludf.DUMMYFUNCTION("IMPORTRANGE(""https://docs.google.com/spreadsheets/d/1kC41EOXpGBFOW658Fs3oD8beYlym0-zO54WY-2Qnp9I/edit?usp=sharing"",""กระบี่!J499"")"),0)</f>
        <v>0</v>
      </c>
    </row>
    <row r="76" spans="1:50" ht="21" customHeight="1" x14ac:dyDescent="0.3">
      <c r="A76" s="54">
        <v>2</v>
      </c>
      <c r="B76" s="55" t="s">
        <v>97</v>
      </c>
      <c r="C76" s="56">
        <f t="shared" ca="1" si="91"/>
        <v>413113</v>
      </c>
      <c r="D76" s="57">
        <f ca="1">IFERROR(__xludf.DUMMYFUNCTION("IMPORTRANGE(""https://docs.google.com/spreadsheets/d/1FbzMZY_f3MDiEuK7RpCQKrilJ_kpX0Wm7QBZ1L7EjIU/edit?usp=sharing"",""ชุมพร!L472"")"),413113)</f>
        <v>413113</v>
      </c>
      <c r="E76" s="64">
        <f ca="1">IFERROR(__xludf.DUMMYFUNCTION("IMPORTRANGE(""https://docs.google.com/spreadsheets/d/1FbzMZY_f3MDiEuK7RpCQKrilJ_kpX0Wm7QBZ1L7EjIU/edit?usp=sharing"",""ชุมพร!L479"")"),0)</f>
        <v>0</v>
      </c>
      <c r="F76" s="64">
        <f ca="1">IFERROR(__xludf.DUMMYFUNCTION("IMPORTRANGE(""https://docs.google.com/spreadsheets/d/1FbzMZY_f3MDiEuK7RpCQKrilJ_kpX0Wm7QBZ1L7EjIU/edit?usp=sharing"",""ชุมพร!M472"")"),413113)</f>
        <v>413113</v>
      </c>
      <c r="G76" s="64">
        <f ca="1">IFERROR(__xludf.DUMMYFUNCTION("IMPORTRANGE(""https://docs.google.com/spreadsheets/d/1FbzMZY_f3MDiEuK7RpCQKrilJ_kpX0Wm7QBZ1L7EjIU/edit?usp=sharing"",""ชุมพร!M479"")"),0)</f>
        <v>0</v>
      </c>
      <c r="H76" s="58">
        <f t="shared" ca="1" si="34"/>
        <v>387543</v>
      </c>
      <c r="I76" s="59">
        <f t="shared" ca="1" si="1"/>
        <v>93.810410226741837</v>
      </c>
      <c r="J76" s="60">
        <f t="shared" ca="1" si="92"/>
        <v>387543</v>
      </c>
      <c r="K76" s="61">
        <f t="shared" ca="1" si="43"/>
        <v>93.810410226741837</v>
      </c>
      <c r="L76" s="61">
        <f t="shared" ca="1" si="44"/>
        <v>93.810410226741837</v>
      </c>
      <c r="M76" s="64">
        <f ca="1">IFERROR(__xludf.DUMMYFUNCTION("IMPORTRANGE(""https://docs.google.com/spreadsheets/d/1FbzMZY_f3MDiEuK7RpCQKrilJ_kpX0Wm7QBZ1L7EjIU/edit?usp=sharing"",""ชุมพร!N473"")"),69583)</f>
        <v>69583</v>
      </c>
      <c r="N76" s="64">
        <f ca="1">IFERROR(__xludf.DUMMYFUNCTION("IMPORTRANGE(""https://docs.google.com/spreadsheets/d/1FbzMZY_f3MDiEuK7RpCQKrilJ_kpX0Wm7QBZ1L7EjIU/edit?usp=sharing"",""ชุมพร!N474"")"),314000)</f>
        <v>314000</v>
      </c>
      <c r="O76" s="64">
        <f ca="1">IFERROR(__xludf.DUMMYFUNCTION("IMPORTRANGE(""https://docs.google.com/spreadsheets/d/1FbzMZY_f3MDiEuK7RpCQKrilJ_kpX0Wm7QBZ1L7EjIU/edit?usp=sharing"",""ชุมพร!N475"")"),0)</f>
        <v>0</v>
      </c>
      <c r="P76" s="64">
        <f ca="1">IFERROR(__xludf.DUMMYFUNCTION("IMPORTRANGE(""https://docs.google.com/spreadsheets/d/1FbzMZY_f3MDiEuK7RpCQKrilJ_kpX0Wm7QBZ1L7EjIU/edit?usp=sharing"",""ชุมพร!N476"")"),3960)</f>
        <v>3960</v>
      </c>
      <c r="Q76" s="62">
        <f ca="1">IFERROR(__xludf.DUMMYFUNCTION("IMPORTRANGE(""https://docs.google.com/spreadsheets/d/1FbzMZY_f3MDiEuK7RpCQKrilJ_kpX0Wm7QBZ1L7EjIU/edit?usp=sharing"",""ชุมพร!N479"")"),0)</f>
        <v>0</v>
      </c>
      <c r="R76" s="62">
        <f t="shared" ca="1" si="46"/>
        <v>0</v>
      </c>
      <c r="S76" s="57">
        <f ca="1">IFERROR(__xludf.DUMMYFUNCTION("IMPORTRANGE(""https://docs.google.com/spreadsheets/d/1FbzMZY_f3MDiEuK7RpCQKrilJ_kpX0Wm7QBZ1L7EjIU/edit?usp=sharing"",""ชุมพร!I465"")"),51)</f>
        <v>51</v>
      </c>
      <c r="T76" s="57">
        <f ca="1">IFERROR(__xludf.DUMMYFUNCTION("IMPORTRANGE(""https://docs.google.com/spreadsheets/d/1FbzMZY_f3MDiEuK7RpCQKrilJ_kpX0Wm7QBZ1L7EjIU/edit?usp=sharing"",""ชุมพร!I466"")"),500)</f>
        <v>500</v>
      </c>
      <c r="U76" s="57">
        <f ca="1">IFERROR(__xludf.DUMMYFUNCTION("IMPORTRANGE(""https://docs.google.com/spreadsheets/d/1FbzMZY_f3MDiEuK7RpCQKrilJ_kpX0Wm7QBZ1L7EjIU/edit?usp=sharing"",""ชุมพร!J465"")"),51)</f>
        <v>51</v>
      </c>
      <c r="V76" s="63">
        <f t="shared" ca="1" si="6"/>
        <v>100</v>
      </c>
      <c r="W76" s="57">
        <f ca="1">IFERROR(__xludf.DUMMYFUNCTION("IMPORTRANGE(""https://docs.google.com/spreadsheets/d/1FbzMZY_f3MDiEuK7RpCQKrilJ_kpX0Wm7QBZ1L7EjIU/edit?usp=sharing"",""ชุมพร!J466"")"),500)</f>
        <v>500</v>
      </c>
      <c r="X76" s="63">
        <f t="shared" ca="1" si="7"/>
        <v>100</v>
      </c>
      <c r="Y76" s="57">
        <f ca="1">IFERROR(__xludf.DUMMYFUNCTION("IMPORTRANGE(""https://docs.google.com/spreadsheets/d/1FbzMZY_f3MDiEuK7RpCQKrilJ_kpX0Wm7QBZ1L7EjIU/edit?usp=sharing"",""ชุมพร!I483"")"),450)</f>
        <v>450</v>
      </c>
      <c r="Z76" s="57">
        <f ca="1">IFERROR(__xludf.DUMMYFUNCTION("IMPORTRANGE(""https://docs.google.com/spreadsheets/d/1FbzMZY_f3MDiEuK7RpCQKrilJ_kpX0Wm7QBZ1L7EjIU/edit?usp=sharing"",""ชุมพร!J483"")"),450)</f>
        <v>450</v>
      </c>
      <c r="AA76" s="63">
        <f t="shared" ca="1" si="35"/>
        <v>100</v>
      </c>
      <c r="AB76" s="57">
        <f ca="1">IFERROR(__xludf.DUMMYFUNCTION("IMPORTRANGE(""https://docs.google.com/spreadsheets/d/1FbzMZY_f3MDiEuK7RpCQKrilJ_kpX0Wm7QBZ1L7EjIU/edit?usp=sharing"",""ชุมพร!J484"")"),45)</f>
        <v>45</v>
      </c>
      <c r="AC76" s="57">
        <f ca="1">IFERROR(__xludf.DUMMYFUNCTION("IMPORTRANGE(""https://docs.google.com/spreadsheets/d/1FbzMZY_f3MDiEuK7RpCQKrilJ_kpX0Wm7QBZ1L7EjIU/edit?usp=sharing"",""ชุมพร!I485"")"),45)</f>
        <v>45</v>
      </c>
      <c r="AD76" s="57">
        <f ca="1">IFERROR(__xludf.DUMMYFUNCTION("IMPORTRANGE(""https://docs.google.com/spreadsheets/d/1FbzMZY_f3MDiEuK7RpCQKrilJ_kpX0Wm7QBZ1L7EjIU/edit?usp=sharing"",""ชุมพร!J485"")"),45)</f>
        <v>45</v>
      </c>
      <c r="AE76" s="63">
        <f t="shared" ca="1" si="36"/>
        <v>100</v>
      </c>
      <c r="AF76" s="57">
        <f ca="1">IFERROR(__xludf.DUMMYFUNCTION("IMPORTRANGE(""https://docs.google.com/spreadsheets/d/1FbzMZY_f3MDiEuK7RpCQKrilJ_kpX0Wm7QBZ1L7EjIU/edit?usp=sharing"",""ชุมพร!I487"")"),50)</f>
        <v>50</v>
      </c>
      <c r="AG76" s="57">
        <f ca="1">IFERROR(__xludf.DUMMYFUNCTION("IMPORTRANGE(""https://docs.google.com/spreadsheets/d/1FbzMZY_f3MDiEuK7RpCQKrilJ_kpX0Wm7QBZ1L7EjIU/edit?usp=sharing"",""ชุมพร!J487"")"),50)</f>
        <v>50</v>
      </c>
      <c r="AH76" s="63">
        <f t="shared" ca="1" si="37"/>
        <v>100</v>
      </c>
      <c r="AI76" s="57">
        <f ca="1">IFERROR(__xludf.DUMMYFUNCTION("IMPORTRANGE(""https://docs.google.com/spreadsheets/d/1FbzMZY_f3MDiEuK7RpCQKrilJ_kpX0Wm7QBZ1L7EjIU/edit?usp=sharing"",""ชุมพร!J488"")"),5)</f>
        <v>5</v>
      </c>
      <c r="AJ76" s="57">
        <f ca="1">IFERROR(__xludf.DUMMYFUNCTION("IMPORTRANGE(""https://docs.google.com/spreadsheets/d/1FbzMZY_f3MDiEuK7RpCQKrilJ_kpX0Wm7QBZ1L7EjIU/edit?usp=sharing"",""ชุมพร!I489"")"),5)</f>
        <v>5</v>
      </c>
      <c r="AK76" s="57">
        <f ca="1">IFERROR(__xludf.DUMMYFUNCTION("IMPORTRANGE(""https://docs.google.com/spreadsheets/d/1FbzMZY_f3MDiEuK7RpCQKrilJ_kpX0Wm7QBZ1L7EjIU/edit?usp=sharing"",""ชุมพร!J489"")"),5)</f>
        <v>5</v>
      </c>
      <c r="AL76" s="63">
        <f t="shared" ca="1" si="38"/>
        <v>100</v>
      </c>
      <c r="AM76" s="57">
        <f ca="1">IFERROR(__xludf.DUMMYFUNCTION("IMPORTRANGE(""https://docs.google.com/spreadsheets/d/1FbzMZY_f3MDiEuK7RpCQKrilJ_kpX0Wm7QBZ1L7EjIU/edit?usp=sharing"",""ชุมพร!J491"")"),1)</f>
        <v>1</v>
      </c>
      <c r="AN76" s="57">
        <f ca="1">IFERROR(__xludf.DUMMYFUNCTION("IMPORTRANGE(""https://docs.google.com/spreadsheets/d/1FbzMZY_f3MDiEuK7RpCQKrilJ_kpX0Wm7QBZ1L7EjIU/edit?usp=sharing"",""ชุมพร!I492"")"),1)</f>
        <v>1</v>
      </c>
      <c r="AO76" s="57">
        <f ca="1">IFERROR(__xludf.DUMMYFUNCTION("IMPORTRANGE(""https://docs.google.com/spreadsheets/d/1FbzMZY_f3MDiEuK7RpCQKrilJ_kpX0Wm7QBZ1L7EjIU/edit?usp=sharing"",""ชุมพร!J492"")"),1)</f>
        <v>1</v>
      </c>
      <c r="AP76" s="63">
        <f t="shared" ca="1" si="39"/>
        <v>100</v>
      </c>
      <c r="AQ76" s="57">
        <f ca="1">IFERROR(__xludf.DUMMYFUNCTION("IMPORTRANGE(""https://docs.google.com/spreadsheets/d/1FbzMZY_f3MDiEuK7RpCQKrilJ_kpX0Wm7QBZ1L7EjIU/edit?usp=sharing"",""ชุมพร!I495"")"),450)</f>
        <v>450</v>
      </c>
      <c r="AR76" s="57">
        <f ca="1">IFERROR(__xludf.DUMMYFUNCTION("IMPORTRANGE(""https://docs.google.com/spreadsheets/d/1FbzMZY_f3MDiEuK7RpCQKrilJ_kpX0Wm7QBZ1L7EjIU/edit?usp=sharing"",""ชุมพร!J495"")"),450)</f>
        <v>450</v>
      </c>
      <c r="AS76" s="63">
        <f t="shared" ca="1" si="40"/>
        <v>100</v>
      </c>
      <c r="AT76" s="57">
        <f ca="1">IFERROR(__xludf.DUMMYFUNCTION("IMPORTRANGE(""https://docs.google.com/spreadsheets/d/1FbzMZY_f3MDiEuK7RpCQKrilJ_kpX0Wm7QBZ1L7EjIU/edit?usp=sharing"",""ชุมพร!J496"")"),450)</f>
        <v>450</v>
      </c>
      <c r="AU76" s="57">
        <f ca="1">IFERROR(__xludf.DUMMYFUNCTION("IMPORTRANGE(""https://docs.google.com/spreadsheets/d/1FbzMZY_f3MDiEuK7RpCQKrilJ_kpX0Wm7QBZ1L7EjIU/edit?usp=sharing"",""ชุมพร!I498"")"),50)</f>
        <v>50</v>
      </c>
      <c r="AV76" s="57">
        <f ca="1">IFERROR(__xludf.DUMMYFUNCTION("IMPORTRANGE(""https://docs.google.com/spreadsheets/d/1FbzMZY_f3MDiEuK7RpCQKrilJ_kpX0Wm7QBZ1L7EjIU/edit?usp=sharing"",""ชุมพร!J498"")"),50)</f>
        <v>50</v>
      </c>
      <c r="AW76" s="63">
        <f t="shared" ca="1" si="41"/>
        <v>100</v>
      </c>
      <c r="AX76" s="57">
        <f ca="1">IFERROR(__xludf.DUMMYFUNCTION("IMPORTRANGE(""https://docs.google.com/spreadsheets/d/1FbzMZY_f3MDiEuK7RpCQKrilJ_kpX0Wm7QBZ1L7EjIU/edit?usp=sharing"",""ชุมพร!J499"")"),50)</f>
        <v>50</v>
      </c>
    </row>
    <row r="77" spans="1:50" ht="21" customHeight="1" x14ac:dyDescent="0.3">
      <c r="A77" s="54">
        <v>3</v>
      </c>
      <c r="B77" s="55" t="s">
        <v>98</v>
      </c>
      <c r="C77" s="56">
        <f t="shared" ca="1" si="91"/>
        <v>341043</v>
      </c>
      <c r="D77" s="57">
        <f ca="1">IFERROR(__xludf.DUMMYFUNCTION("IMPORTRANGE(""https://docs.google.com/spreadsheets/d/1v5sN-00LrXuhBxw4dkh2GrG_z4l5oAqOdJRBCsUyMaM/edit?usp=sharing"",""ตรัง!L472"")"),341043)</f>
        <v>341043</v>
      </c>
      <c r="E77" s="64">
        <f ca="1">IFERROR(__xludf.DUMMYFUNCTION("IMPORTRANGE(""https://docs.google.com/spreadsheets/d/1v5sN-00LrXuhBxw4dkh2GrG_z4l5oAqOdJRBCsUyMaM/edit?usp=sharing"",""ตรัง!L479"")"),0)</f>
        <v>0</v>
      </c>
      <c r="F77" s="64">
        <f ca="1">IFERROR(__xludf.DUMMYFUNCTION("IMPORTRANGE(""https://docs.google.com/spreadsheets/d/1v5sN-00LrXuhBxw4dkh2GrG_z4l5oAqOdJRBCsUyMaM/edit?usp=sharing"",""ตรัง!M472"")"),341043)</f>
        <v>341043</v>
      </c>
      <c r="G77" s="64">
        <f ca="1">IFERROR(__xludf.DUMMYFUNCTION("IMPORTRANGE(""https://docs.google.com/spreadsheets/d/1v5sN-00LrXuhBxw4dkh2GrG_z4l5oAqOdJRBCsUyMaM/edit?usp=sharing"",""ตรัง!M479"")"),0)</f>
        <v>0</v>
      </c>
      <c r="H77" s="58">
        <f t="shared" ca="1" si="34"/>
        <v>69240.27</v>
      </c>
      <c r="I77" s="59">
        <f t="shared" ca="1" si="1"/>
        <v>20.302504376280996</v>
      </c>
      <c r="J77" s="60">
        <f t="shared" ca="1" si="92"/>
        <v>69240.27</v>
      </c>
      <c r="K77" s="61">
        <f t="shared" ca="1" si="43"/>
        <v>20.302504376280996</v>
      </c>
      <c r="L77" s="61">
        <f t="shared" ca="1" si="44"/>
        <v>20.302504376280996</v>
      </c>
      <c r="M77" s="64">
        <f ca="1">IFERROR(__xludf.DUMMYFUNCTION("IMPORTRANGE(""https://docs.google.com/spreadsheets/d/1v5sN-00LrXuhBxw4dkh2GrG_z4l5oAqOdJRBCsUyMaM/edit?usp=sharing"",""ตรัง!N473"")"),61176.72)</f>
        <v>61176.72</v>
      </c>
      <c r="N77" s="64">
        <f ca="1">IFERROR(__xludf.DUMMYFUNCTION("IMPORTRANGE(""https://docs.google.com/spreadsheets/d/1v5sN-00LrXuhBxw4dkh2GrG_z4l5oAqOdJRBCsUyMaM/edit?usp=sharing"",""ตรัง!N474"")"),0)</f>
        <v>0</v>
      </c>
      <c r="O77" s="64">
        <f ca="1">IFERROR(__xludf.DUMMYFUNCTION("IMPORTRANGE(""https://docs.google.com/spreadsheets/d/1v5sN-00LrXuhBxw4dkh2GrG_z4l5oAqOdJRBCsUyMaM/edit?usp=sharing"",""ตรัง!N475"")"),0)</f>
        <v>0</v>
      </c>
      <c r="P77" s="64">
        <f ca="1">IFERROR(__xludf.DUMMYFUNCTION("IMPORTRANGE(""https://docs.google.com/spreadsheets/d/1v5sN-00LrXuhBxw4dkh2GrG_z4l5oAqOdJRBCsUyMaM/edit?usp=sharing"",""ตรัง!N476"")"),8063.55)</f>
        <v>8063.55</v>
      </c>
      <c r="Q77" s="62">
        <f ca="1">IFERROR(__xludf.DUMMYFUNCTION("IMPORTRANGE(""https://docs.google.com/spreadsheets/d/1v5sN-00LrXuhBxw4dkh2GrG_z4l5oAqOdJRBCsUyMaM/edit?usp=sharing"",""ตรัง!N479"")"),0)</f>
        <v>0</v>
      </c>
      <c r="R77" s="62">
        <f t="shared" ca="1" si="46"/>
        <v>0</v>
      </c>
      <c r="S77" s="57">
        <f ca="1">IFERROR(__xludf.DUMMYFUNCTION("IMPORTRANGE(""https://docs.google.com/spreadsheets/d/1v5sN-00LrXuhBxw4dkh2GrG_z4l5oAqOdJRBCsUyMaM/edit?usp=sharing"",""ตรัง!I465"")"),41)</f>
        <v>41</v>
      </c>
      <c r="T77" s="57">
        <f ca="1">IFERROR(__xludf.DUMMYFUNCTION("IMPORTRANGE(""https://docs.google.com/spreadsheets/d/1v5sN-00LrXuhBxw4dkh2GrG_z4l5oAqOdJRBCsUyMaM/edit?usp=sharing"",""ตรัง!I466"")"),400)</f>
        <v>400</v>
      </c>
      <c r="U77" s="57">
        <f ca="1">IFERROR(__xludf.DUMMYFUNCTION("IMPORTRANGE(""https://docs.google.com/spreadsheets/d/1v5sN-00LrXuhBxw4dkh2GrG_z4l5oAqOdJRBCsUyMaM/edit?usp=sharing"",""ตรัง!J465"")"),41)</f>
        <v>41</v>
      </c>
      <c r="V77" s="63">
        <f t="shared" ca="1" si="6"/>
        <v>100</v>
      </c>
      <c r="W77" s="57">
        <f ca="1">IFERROR(__xludf.DUMMYFUNCTION("IMPORTRANGE(""https://docs.google.com/spreadsheets/d/1v5sN-00LrXuhBxw4dkh2GrG_z4l5oAqOdJRBCsUyMaM/edit?usp=sharing"",""ตรัง!J466"")"),0)</f>
        <v>0</v>
      </c>
      <c r="X77" s="63">
        <f t="shared" ca="1" si="7"/>
        <v>0</v>
      </c>
      <c r="Y77" s="57">
        <f ca="1">IFERROR(__xludf.DUMMYFUNCTION("IMPORTRANGE(""https://docs.google.com/spreadsheets/d/1v5sN-00LrXuhBxw4dkh2GrG_z4l5oAqOdJRBCsUyMaM/edit?usp=sharing"",""ตรัง!I483"")"),360)</f>
        <v>360</v>
      </c>
      <c r="Z77" s="57">
        <f ca="1">IFERROR(__xludf.DUMMYFUNCTION("IMPORTRANGE(""https://docs.google.com/spreadsheets/d/1v5sN-00LrXuhBxw4dkh2GrG_z4l5oAqOdJRBCsUyMaM/edit?usp=sharing"",""ตรัง!J483"")"),360)</f>
        <v>360</v>
      </c>
      <c r="AA77" s="63">
        <f t="shared" ca="1" si="35"/>
        <v>100</v>
      </c>
      <c r="AB77" s="57">
        <f ca="1">IFERROR(__xludf.DUMMYFUNCTION("IMPORTRANGE(""https://docs.google.com/spreadsheets/d/1v5sN-00LrXuhBxw4dkh2GrG_z4l5oAqOdJRBCsUyMaM/edit?usp=sharing"",""ตรัง!J484"")"),36)</f>
        <v>36</v>
      </c>
      <c r="AC77" s="57">
        <f ca="1">IFERROR(__xludf.DUMMYFUNCTION("IMPORTRANGE(""https://docs.google.com/spreadsheets/d/1v5sN-00LrXuhBxw4dkh2GrG_z4l5oAqOdJRBCsUyMaM/edit?usp=sharing"",""ตรัง!I485"")"),36)</f>
        <v>36</v>
      </c>
      <c r="AD77" s="57">
        <f ca="1">IFERROR(__xludf.DUMMYFUNCTION("IMPORTRANGE(""https://docs.google.com/spreadsheets/d/1v5sN-00LrXuhBxw4dkh2GrG_z4l5oAqOdJRBCsUyMaM/edit?usp=sharing"",""ตรัง!J485"")"),36)</f>
        <v>36</v>
      </c>
      <c r="AE77" s="63">
        <f t="shared" ca="1" si="36"/>
        <v>100</v>
      </c>
      <c r="AF77" s="57">
        <f ca="1">IFERROR(__xludf.DUMMYFUNCTION("IMPORTRANGE(""https://docs.google.com/spreadsheets/d/1v5sN-00LrXuhBxw4dkh2GrG_z4l5oAqOdJRBCsUyMaM/edit?usp=sharing"",""ตรัง!I487"")"),40)</f>
        <v>40</v>
      </c>
      <c r="AG77" s="57">
        <f ca="1">IFERROR(__xludf.DUMMYFUNCTION("IMPORTRANGE(""https://docs.google.com/spreadsheets/d/1v5sN-00LrXuhBxw4dkh2GrG_z4l5oAqOdJRBCsUyMaM/edit?usp=sharing"",""ตรัง!J487"")"),40)</f>
        <v>40</v>
      </c>
      <c r="AH77" s="63">
        <f t="shared" ca="1" si="37"/>
        <v>100</v>
      </c>
      <c r="AI77" s="57">
        <f ca="1">IFERROR(__xludf.DUMMYFUNCTION("IMPORTRANGE(""https://docs.google.com/spreadsheets/d/1v5sN-00LrXuhBxw4dkh2GrG_z4l5oAqOdJRBCsUyMaM/edit?usp=sharing"",""ตรัง!J488"")"),4)</f>
        <v>4</v>
      </c>
      <c r="AJ77" s="57">
        <f ca="1">IFERROR(__xludf.DUMMYFUNCTION("IMPORTRANGE(""https://docs.google.com/spreadsheets/d/1v5sN-00LrXuhBxw4dkh2GrG_z4l5oAqOdJRBCsUyMaM/edit?usp=sharing"",""ตรัง!I489"")"),4)</f>
        <v>4</v>
      </c>
      <c r="AK77" s="57">
        <f ca="1">IFERROR(__xludf.DUMMYFUNCTION("IMPORTRANGE(""https://docs.google.com/spreadsheets/d/1v5sN-00LrXuhBxw4dkh2GrG_z4l5oAqOdJRBCsUyMaM/edit?usp=sharing"",""ตรัง!J489"")"),4)</f>
        <v>4</v>
      </c>
      <c r="AL77" s="63">
        <f t="shared" ca="1" si="38"/>
        <v>100</v>
      </c>
      <c r="AM77" s="57">
        <f ca="1">IFERROR(__xludf.DUMMYFUNCTION("IMPORTRANGE(""https://docs.google.com/spreadsheets/d/1v5sN-00LrXuhBxw4dkh2GrG_z4l5oAqOdJRBCsUyMaM/edit?usp=sharing"",""ตรัง!J491"")"),1)</f>
        <v>1</v>
      </c>
      <c r="AN77" s="57">
        <f ca="1">IFERROR(__xludf.DUMMYFUNCTION("IMPORTRANGE(""https://docs.google.com/spreadsheets/d/1v5sN-00LrXuhBxw4dkh2GrG_z4l5oAqOdJRBCsUyMaM/edit?usp=sharing"",""ตรัง!I492"")"),1)</f>
        <v>1</v>
      </c>
      <c r="AO77" s="57">
        <f ca="1">IFERROR(__xludf.DUMMYFUNCTION("IMPORTRANGE(""https://docs.google.com/spreadsheets/d/1v5sN-00LrXuhBxw4dkh2GrG_z4l5oAqOdJRBCsUyMaM/edit?usp=sharing"",""ตรัง!J492"")"),1)</f>
        <v>1</v>
      </c>
      <c r="AP77" s="63">
        <f t="shared" ca="1" si="39"/>
        <v>100</v>
      </c>
      <c r="AQ77" s="57">
        <f ca="1">IFERROR(__xludf.DUMMYFUNCTION("IMPORTRANGE(""https://docs.google.com/spreadsheets/d/1v5sN-00LrXuhBxw4dkh2GrG_z4l5oAqOdJRBCsUyMaM/edit?usp=sharing"",""ตรัง!I495"")"),360)</f>
        <v>360</v>
      </c>
      <c r="AR77" s="57">
        <f ca="1">IFERROR(__xludf.DUMMYFUNCTION("IMPORTRANGE(""https://docs.google.com/spreadsheets/d/1v5sN-00LrXuhBxw4dkh2GrG_z4l5oAqOdJRBCsUyMaM/edit?usp=sharing"",""ตรัง!J495"")"),0)</f>
        <v>0</v>
      </c>
      <c r="AS77" s="63">
        <f t="shared" ca="1" si="40"/>
        <v>0</v>
      </c>
      <c r="AT77" s="57">
        <f ca="1">IFERROR(__xludf.DUMMYFUNCTION("IMPORTRANGE(""https://docs.google.com/spreadsheets/d/1v5sN-00LrXuhBxw4dkh2GrG_z4l5oAqOdJRBCsUyMaM/edit?usp=sharing"",""ตรัง!J496"")"),0)</f>
        <v>0</v>
      </c>
      <c r="AU77" s="57">
        <f ca="1">IFERROR(__xludf.DUMMYFUNCTION("IMPORTRANGE(""https://docs.google.com/spreadsheets/d/1v5sN-00LrXuhBxw4dkh2GrG_z4l5oAqOdJRBCsUyMaM/edit?usp=sharing"",""ตรัง!I498"")"),40)</f>
        <v>40</v>
      </c>
      <c r="AV77" s="57">
        <f ca="1">IFERROR(__xludf.DUMMYFUNCTION("IMPORTRANGE(""https://docs.google.com/spreadsheets/d/1v5sN-00LrXuhBxw4dkh2GrG_z4l5oAqOdJRBCsUyMaM/edit?usp=sharing"",""ตรัง!J498"")"),0)</f>
        <v>0</v>
      </c>
      <c r="AW77" s="63">
        <f t="shared" ca="1" si="41"/>
        <v>0</v>
      </c>
      <c r="AX77" s="57">
        <f ca="1">IFERROR(__xludf.DUMMYFUNCTION("IMPORTRANGE(""https://docs.google.com/spreadsheets/d/1v5sN-00LrXuhBxw4dkh2GrG_z4l5oAqOdJRBCsUyMaM/edit?usp=sharing"",""ตรัง!J499"")"),0)</f>
        <v>0</v>
      </c>
    </row>
    <row r="78" spans="1:50" ht="21" customHeight="1" x14ac:dyDescent="0.3">
      <c r="A78" s="54">
        <v>4</v>
      </c>
      <c r="B78" s="55" t="s">
        <v>99</v>
      </c>
      <c r="C78" s="56">
        <f t="shared" ca="1" si="91"/>
        <v>187163</v>
      </c>
      <c r="D78" s="57">
        <f ca="1">IFERROR(__xludf.DUMMYFUNCTION("IMPORTRANGE(""https://docs.google.com/spreadsheets/d/1T5rRTzFc79aSIvqnzkZNvwPstq829QYz_xALlO1Z0s8/edit?usp=sharing"",""นครศรีธรรมราช!L472"")"),187163)</f>
        <v>187163</v>
      </c>
      <c r="E78" s="64">
        <f ca="1">IFERROR(__xludf.DUMMYFUNCTION("IMPORTRANGE(""https://docs.google.com/spreadsheets/d/1T5rRTzFc79aSIvqnzkZNvwPstq829QYz_xALlO1Z0s8/edit?usp=sharing"",""นครศรีธรรมราช!L479"")"),0)</f>
        <v>0</v>
      </c>
      <c r="F78" s="64">
        <f ca="1">IFERROR(__xludf.DUMMYFUNCTION("IMPORTRANGE(""https://docs.google.com/spreadsheets/d/1T5rRTzFc79aSIvqnzkZNvwPstq829QYz_xALlO1Z0s8/edit?usp=sharing"",""นครศรีธรรมราช!M472"")"),187163)</f>
        <v>187163</v>
      </c>
      <c r="G78" s="64">
        <f ca="1">IFERROR(__xludf.DUMMYFUNCTION("IMPORTRANGE(""https://docs.google.com/spreadsheets/d/1T5rRTzFc79aSIvqnzkZNvwPstq829QYz_xALlO1Z0s8/edit?usp=sharing"",""นครศรีธรรมราช!M479"")"),0)</f>
        <v>0</v>
      </c>
      <c r="H78" s="58">
        <f t="shared" ca="1" si="34"/>
        <v>43314</v>
      </c>
      <c r="I78" s="59">
        <f t="shared" ca="1" si="1"/>
        <v>23.14239459722274</v>
      </c>
      <c r="J78" s="60">
        <f t="shared" ca="1" si="92"/>
        <v>43314</v>
      </c>
      <c r="K78" s="61">
        <f t="shared" ca="1" si="43"/>
        <v>23.14239459722274</v>
      </c>
      <c r="L78" s="61">
        <f t="shared" ca="1" si="44"/>
        <v>23.14239459722274</v>
      </c>
      <c r="M78" s="64">
        <f ca="1">IFERROR(__xludf.DUMMYFUNCTION("IMPORTRANGE(""https://docs.google.com/spreadsheets/d/1T5rRTzFc79aSIvqnzkZNvwPstq829QYz_xALlO1Z0s8/edit?usp=sharing"",""นครศรีธรรมราช!N473"")"),37603)</f>
        <v>37603</v>
      </c>
      <c r="N78" s="64">
        <f ca="1">IFERROR(__xludf.DUMMYFUNCTION("IMPORTRANGE(""https://docs.google.com/spreadsheets/d/1T5rRTzFc79aSIvqnzkZNvwPstq829QYz_xALlO1Z0s8/edit?usp=sharing"",""นครศรีธรรมราช!N474"")"),0)</f>
        <v>0</v>
      </c>
      <c r="O78" s="64">
        <f ca="1">IFERROR(__xludf.DUMMYFUNCTION("IMPORTRANGE(""https://docs.google.com/spreadsheets/d/1T5rRTzFc79aSIvqnzkZNvwPstq829QYz_xALlO1Z0s8/edit?usp=sharing"",""นครศรีธรรมราช!N475"")"),0)</f>
        <v>0</v>
      </c>
      <c r="P78" s="64">
        <f ca="1">IFERROR(__xludf.DUMMYFUNCTION("IMPORTRANGE(""https://docs.google.com/spreadsheets/d/1T5rRTzFc79aSIvqnzkZNvwPstq829QYz_xALlO1Z0s8/edit?usp=sharing"",""นครศรีธรรมราช!N476"")"),5711)</f>
        <v>5711</v>
      </c>
      <c r="Q78" s="62">
        <f ca="1">IFERROR(__xludf.DUMMYFUNCTION("IMPORTRANGE(""https://docs.google.com/spreadsheets/d/1T5rRTzFc79aSIvqnzkZNvwPstq829QYz_xALlO1Z0s8/edit?usp=sharing"",""นครศรีธรรมราช!N479"")"),0)</f>
        <v>0</v>
      </c>
      <c r="R78" s="62">
        <f t="shared" ca="1" si="46"/>
        <v>0</v>
      </c>
      <c r="S78" s="57">
        <f ca="1">IFERROR(__xludf.DUMMYFUNCTION("IMPORTRANGE(""https://docs.google.com/spreadsheets/d/1T5rRTzFc79aSIvqnzkZNvwPstq829QYz_xALlO1Z0s8/edit?usp=sharing"",""นครศรีธรรมราช!I465"")"),21)</f>
        <v>21</v>
      </c>
      <c r="T78" s="57">
        <f ca="1">IFERROR(__xludf.DUMMYFUNCTION("IMPORTRANGE(""https://docs.google.com/spreadsheets/d/1T5rRTzFc79aSIvqnzkZNvwPstq829QYz_xALlO1Z0s8/edit?usp=sharing"",""นครศรีธรรมราช!I466"")"),200)</f>
        <v>200</v>
      </c>
      <c r="U78" s="57">
        <f ca="1">IFERROR(__xludf.DUMMYFUNCTION("IMPORTRANGE(""https://docs.google.com/spreadsheets/d/1T5rRTzFc79aSIvqnzkZNvwPstq829QYz_xALlO1Z0s8/edit?usp=sharing"",""นครศรีธรรมราช!J465"")"),21)</f>
        <v>21</v>
      </c>
      <c r="V78" s="63">
        <f t="shared" ca="1" si="6"/>
        <v>100</v>
      </c>
      <c r="W78" s="57">
        <f ca="1">IFERROR(__xludf.DUMMYFUNCTION("IMPORTRANGE(""https://docs.google.com/spreadsheets/d/1T5rRTzFc79aSIvqnzkZNvwPstq829QYz_xALlO1Z0s8/edit?usp=sharing"",""นครศรีธรรมราช!J466"")"),0)</f>
        <v>0</v>
      </c>
      <c r="X78" s="63">
        <f t="shared" ca="1" si="7"/>
        <v>0</v>
      </c>
      <c r="Y78" s="57">
        <f ca="1">IFERROR(__xludf.DUMMYFUNCTION("IMPORTRANGE(""https://docs.google.com/spreadsheets/d/1T5rRTzFc79aSIvqnzkZNvwPstq829QYz_xALlO1Z0s8/edit?usp=sharing"",""นครศรีธรรมราช!I483"")"),180)</f>
        <v>180</v>
      </c>
      <c r="Z78" s="57">
        <f ca="1">IFERROR(__xludf.DUMMYFUNCTION("IMPORTRANGE(""https://docs.google.com/spreadsheets/d/1T5rRTzFc79aSIvqnzkZNvwPstq829QYz_xALlO1Z0s8/edit?usp=sharing"",""นครศรีธรรมราช!J483"")"),0)</f>
        <v>0</v>
      </c>
      <c r="AA78" s="63">
        <f t="shared" ca="1" si="35"/>
        <v>0</v>
      </c>
      <c r="AB78" s="57">
        <f ca="1">IFERROR(__xludf.DUMMYFUNCTION("IMPORTRANGE(""https://docs.google.com/spreadsheets/d/1T5rRTzFc79aSIvqnzkZNvwPstq829QYz_xALlO1Z0s8/edit?usp=sharing"",""นครศรีธรรมราช!J484"")"),0)</f>
        <v>0</v>
      </c>
      <c r="AC78" s="57">
        <f ca="1">IFERROR(__xludf.DUMMYFUNCTION("IMPORTRANGE(""https://docs.google.com/spreadsheets/d/1T5rRTzFc79aSIvqnzkZNvwPstq829QYz_xALlO1Z0s8/edit?usp=sharing"",""นครศรีธรรมราช!I485"")"),18)</f>
        <v>18</v>
      </c>
      <c r="AD78" s="57">
        <f ca="1">IFERROR(__xludf.DUMMYFUNCTION("IMPORTRANGE(""https://docs.google.com/spreadsheets/d/1T5rRTzFc79aSIvqnzkZNvwPstq829QYz_xALlO1Z0s8/edit?usp=sharing"",""นครศรีธรรมราช!J485"")"),18)</f>
        <v>18</v>
      </c>
      <c r="AE78" s="63">
        <f t="shared" ca="1" si="36"/>
        <v>100</v>
      </c>
      <c r="AF78" s="57">
        <f ca="1">IFERROR(__xludf.DUMMYFUNCTION("IMPORTRANGE(""https://docs.google.com/spreadsheets/d/1T5rRTzFc79aSIvqnzkZNvwPstq829QYz_xALlO1Z0s8/edit?usp=sharing"",""นครศรีธรรมราช!I487"")"),20)</f>
        <v>20</v>
      </c>
      <c r="AG78" s="57">
        <f ca="1">IFERROR(__xludf.DUMMYFUNCTION("IMPORTRANGE(""https://docs.google.com/spreadsheets/d/1T5rRTzFc79aSIvqnzkZNvwPstq829QYz_xALlO1Z0s8/edit?usp=sharing"",""นครศรีธรรมราช!J487"")"),0)</f>
        <v>0</v>
      </c>
      <c r="AH78" s="63">
        <f t="shared" ca="1" si="37"/>
        <v>0</v>
      </c>
      <c r="AI78" s="57">
        <f ca="1">IFERROR(__xludf.DUMMYFUNCTION("IMPORTRANGE(""https://docs.google.com/spreadsheets/d/1T5rRTzFc79aSIvqnzkZNvwPstq829QYz_xALlO1Z0s8/edit?usp=sharing"",""นครศรีธรรมราช!J488"")"),0)</f>
        <v>0</v>
      </c>
      <c r="AJ78" s="57">
        <f ca="1">IFERROR(__xludf.DUMMYFUNCTION("IMPORTRANGE(""https://docs.google.com/spreadsheets/d/1T5rRTzFc79aSIvqnzkZNvwPstq829QYz_xALlO1Z0s8/edit?usp=sharing"",""นครศรีธรรมราช!I489"")"),2)</f>
        <v>2</v>
      </c>
      <c r="AK78" s="57">
        <f ca="1">IFERROR(__xludf.DUMMYFUNCTION("IMPORTRANGE(""https://docs.google.com/spreadsheets/d/1T5rRTzFc79aSIvqnzkZNvwPstq829QYz_xALlO1Z0s8/edit?usp=sharing"",""นครศรีธรรมราช!J489"")"),2)</f>
        <v>2</v>
      </c>
      <c r="AL78" s="63">
        <f t="shared" ca="1" si="38"/>
        <v>100</v>
      </c>
      <c r="AM78" s="57">
        <f ca="1">IFERROR(__xludf.DUMMYFUNCTION("IMPORTRANGE(""https://docs.google.com/spreadsheets/d/1T5rRTzFc79aSIvqnzkZNvwPstq829QYz_xALlO1Z0s8/edit?usp=sharing"",""นครศรีธรรมราช!J491"")"),0)</f>
        <v>0</v>
      </c>
      <c r="AN78" s="57">
        <f ca="1">IFERROR(__xludf.DUMMYFUNCTION("IMPORTRANGE(""https://docs.google.com/spreadsheets/d/1T5rRTzFc79aSIvqnzkZNvwPstq829QYz_xALlO1Z0s8/edit?usp=sharing"",""นครศรีธรรมราช!I492"")"),1)</f>
        <v>1</v>
      </c>
      <c r="AO78" s="57">
        <f ca="1">IFERROR(__xludf.DUMMYFUNCTION("IMPORTRANGE(""https://docs.google.com/spreadsheets/d/1T5rRTzFc79aSIvqnzkZNvwPstq829QYz_xALlO1Z0s8/edit?usp=sharing"",""นครศรีธรรมราช!J492"")"),1)</f>
        <v>1</v>
      </c>
      <c r="AP78" s="63">
        <f t="shared" ca="1" si="39"/>
        <v>100</v>
      </c>
      <c r="AQ78" s="57">
        <f ca="1">IFERROR(__xludf.DUMMYFUNCTION("IMPORTRANGE(""https://docs.google.com/spreadsheets/d/1T5rRTzFc79aSIvqnzkZNvwPstq829QYz_xALlO1Z0s8/edit?usp=sharing"",""นครศรีธรรมราช!I495"")"),180)</f>
        <v>180</v>
      </c>
      <c r="AR78" s="57">
        <f ca="1">IFERROR(__xludf.DUMMYFUNCTION("IMPORTRANGE(""https://docs.google.com/spreadsheets/d/1T5rRTzFc79aSIvqnzkZNvwPstq829QYz_xALlO1Z0s8/edit?usp=sharing"",""นครศรีธรรมราช!J495"")"),0)</f>
        <v>0</v>
      </c>
      <c r="AS78" s="63">
        <f t="shared" ca="1" si="40"/>
        <v>0</v>
      </c>
      <c r="AT78" s="57">
        <f ca="1">IFERROR(__xludf.DUMMYFUNCTION("IMPORTRANGE(""https://docs.google.com/spreadsheets/d/1T5rRTzFc79aSIvqnzkZNvwPstq829QYz_xALlO1Z0s8/edit?usp=sharing"",""นครศรีธรรมราช!J496"")"),0)</f>
        <v>0</v>
      </c>
      <c r="AU78" s="57">
        <f ca="1">IFERROR(__xludf.DUMMYFUNCTION("IMPORTRANGE(""https://docs.google.com/spreadsheets/d/1T5rRTzFc79aSIvqnzkZNvwPstq829QYz_xALlO1Z0s8/edit?usp=sharing"",""นครศรีธรรมราช!I498"")"),20)</f>
        <v>20</v>
      </c>
      <c r="AV78" s="57">
        <f ca="1">IFERROR(__xludf.DUMMYFUNCTION("IMPORTRANGE(""https://docs.google.com/spreadsheets/d/1T5rRTzFc79aSIvqnzkZNvwPstq829QYz_xALlO1Z0s8/edit?usp=sharing"",""นครศรีธรรมราช!J498"")"),0)</f>
        <v>0</v>
      </c>
      <c r="AW78" s="63">
        <f t="shared" ca="1" si="41"/>
        <v>0</v>
      </c>
      <c r="AX78" s="57">
        <f ca="1">IFERROR(__xludf.DUMMYFUNCTION("IMPORTRANGE(""https://docs.google.com/spreadsheets/d/1T5rRTzFc79aSIvqnzkZNvwPstq829QYz_xALlO1Z0s8/edit?usp=sharing"",""นครศรีธรรมราช!J499"")"),0)</f>
        <v>0</v>
      </c>
    </row>
    <row r="79" spans="1:50" ht="21" customHeight="1" x14ac:dyDescent="0.3">
      <c r="A79" s="54">
        <v>5</v>
      </c>
      <c r="B79" s="55" t="s">
        <v>100</v>
      </c>
      <c r="C79" s="56">
        <f t="shared" ca="1" si="91"/>
        <v>115023</v>
      </c>
      <c r="D79" s="57">
        <f ca="1">IFERROR(__xludf.DUMMYFUNCTION("IMPORTRANGE(""https://docs.google.com/spreadsheets/d/1BeghqumK0IvCmRd2QOy6_afsZq7ZtAGrSnVJy2u7WmY/edit?usp=sharing"",""นราธิวาส!L472"")"),115023)</f>
        <v>115023</v>
      </c>
      <c r="E79" s="64">
        <f ca="1">IFERROR(__xludf.DUMMYFUNCTION("IMPORTRANGE(""https://docs.google.com/spreadsheets/d/1BeghqumK0IvCmRd2QOy6_afsZq7ZtAGrSnVJy2u7WmY/edit?usp=sharing"",""นราธิวาส!L479"")"),0)</f>
        <v>0</v>
      </c>
      <c r="F79" s="64">
        <f ca="1">IFERROR(__xludf.DUMMYFUNCTION("IMPORTRANGE(""https://docs.google.com/spreadsheets/d/1BeghqumK0IvCmRd2QOy6_afsZq7ZtAGrSnVJy2u7WmY/edit?usp=sharing"",""นราธิวาส!M472"")"),115023)</f>
        <v>115023</v>
      </c>
      <c r="G79" s="64">
        <f ca="1">IFERROR(__xludf.DUMMYFUNCTION("IMPORTRANGE(""https://docs.google.com/spreadsheets/d/1BeghqumK0IvCmRd2QOy6_afsZq7ZtAGrSnVJy2u7WmY/edit?usp=sharing"",""นราธิวาส!M479"")"),0)</f>
        <v>0</v>
      </c>
      <c r="H79" s="58">
        <f t="shared" ca="1" si="34"/>
        <v>43473</v>
      </c>
      <c r="I79" s="59">
        <f t="shared" ca="1" si="1"/>
        <v>37.795049685715028</v>
      </c>
      <c r="J79" s="60">
        <f t="shared" ca="1" si="92"/>
        <v>43473</v>
      </c>
      <c r="K79" s="61">
        <f t="shared" ca="1" si="43"/>
        <v>37.795049685715028</v>
      </c>
      <c r="L79" s="61">
        <f t="shared" ca="1" si="44"/>
        <v>37.795049685715028</v>
      </c>
      <c r="M79" s="64">
        <f ca="1">IFERROR(__xludf.DUMMYFUNCTION("IMPORTRANGE(""https://docs.google.com/spreadsheets/d/1BeghqumK0IvCmRd2QOy6_afsZq7ZtAGrSnVJy2u7WmY/edit?usp=sharing"",""นราธิวาส!N473"")"),29793)</f>
        <v>29793</v>
      </c>
      <c r="N79" s="64">
        <f ca="1">IFERROR(__xludf.DUMMYFUNCTION("IMPORTRANGE(""https://docs.google.com/spreadsheets/d/1BeghqumK0IvCmRd2QOy6_afsZq7ZtAGrSnVJy2u7WmY/edit?usp=sharing"",""นราธิวาส!N474"")"),0)</f>
        <v>0</v>
      </c>
      <c r="O79" s="64">
        <f ca="1">IFERROR(__xludf.DUMMYFUNCTION("IMPORTRANGE(""https://docs.google.com/spreadsheets/d/1BeghqumK0IvCmRd2QOy6_afsZq7ZtAGrSnVJy2u7WmY/edit?usp=sharing"",""นราธิวาส!N475"")"),0)</f>
        <v>0</v>
      </c>
      <c r="P79" s="64">
        <f ca="1">IFERROR(__xludf.DUMMYFUNCTION("IMPORTRANGE(""https://docs.google.com/spreadsheets/d/1BeghqumK0IvCmRd2QOy6_afsZq7ZtAGrSnVJy2u7WmY/edit?usp=sharing"",""นราธิวาส!N476"")"),13680)</f>
        <v>13680</v>
      </c>
      <c r="Q79" s="62">
        <f ca="1">IFERROR(__xludf.DUMMYFUNCTION("IMPORTRANGE(""https://docs.google.com/spreadsheets/d/1BeghqumK0IvCmRd2QOy6_afsZq7ZtAGrSnVJy2u7WmY/edit?usp=sharing"",""นราธิวาส!N479"")"),0)</f>
        <v>0</v>
      </c>
      <c r="R79" s="62">
        <f t="shared" ca="1" si="46"/>
        <v>0</v>
      </c>
      <c r="S79" s="57">
        <f ca="1">IFERROR(__xludf.DUMMYFUNCTION("IMPORTRANGE(""https://docs.google.com/spreadsheets/d/1BeghqumK0IvCmRd2QOy6_afsZq7ZtAGrSnVJy2u7WmY/edit?usp=sharing"",""นราธิวาส!I465"")"),11)</f>
        <v>11</v>
      </c>
      <c r="T79" s="57">
        <f ca="1">IFERROR(__xludf.DUMMYFUNCTION("IMPORTRANGE(""https://docs.google.com/spreadsheets/d/1BeghqumK0IvCmRd2QOy6_afsZq7ZtAGrSnVJy2u7WmY/edit?usp=sharing"",""นราธิวาส!I466"")"),100)</f>
        <v>100</v>
      </c>
      <c r="U79" s="57">
        <f ca="1">IFERROR(__xludf.DUMMYFUNCTION("IMPORTRANGE(""https://docs.google.com/spreadsheets/d/1BeghqumK0IvCmRd2QOy6_afsZq7ZtAGrSnVJy2u7WmY/edit?usp=sharing"",""นราธิวาส!J465"")"),11)</f>
        <v>11</v>
      </c>
      <c r="V79" s="63">
        <f t="shared" ca="1" si="6"/>
        <v>100</v>
      </c>
      <c r="W79" s="57">
        <f ca="1">IFERROR(__xludf.DUMMYFUNCTION("IMPORTRANGE(""https://docs.google.com/spreadsheets/d/1BeghqumK0IvCmRd2QOy6_afsZq7ZtAGrSnVJy2u7WmY/edit?usp=sharing"",""นราธิวาส!J466"")"),0)</f>
        <v>0</v>
      </c>
      <c r="X79" s="63">
        <f t="shared" ca="1" si="7"/>
        <v>0</v>
      </c>
      <c r="Y79" s="57">
        <f ca="1">IFERROR(__xludf.DUMMYFUNCTION("IMPORTRANGE(""https://docs.google.com/spreadsheets/d/1BeghqumK0IvCmRd2QOy6_afsZq7ZtAGrSnVJy2u7WmY/edit?usp=sharing"",""นราธิวาส!I483"")"),90)</f>
        <v>90</v>
      </c>
      <c r="Z79" s="57">
        <f ca="1">IFERROR(__xludf.DUMMYFUNCTION("IMPORTRANGE(""https://docs.google.com/spreadsheets/d/1BeghqumK0IvCmRd2QOy6_afsZq7ZtAGrSnVJy2u7WmY/edit?usp=sharing"",""นราธิวาส!J483"")"),90)</f>
        <v>90</v>
      </c>
      <c r="AA79" s="63">
        <f t="shared" ca="1" si="35"/>
        <v>100</v>
      </c>
      <c r="AB79" s="57">
        <f ca="1">IFERROR(__xludf.DUMMYFUNCTION("IMPORTRANGE(""https://docs.google.com/spreadsheets/d/1BeghqumK0IvCmRd2QOy6_afsZq7ZtAGrSnVJy2u7WmY/edit?usp=sharing"",""นราธิวาส!J484"")"),13)</f>
        <v>13</v>
      </c>
      <c r="AC79" s="57">
        <f ca="1">IFERROR(__xludf.DUMMYFUNCTION("IMPORTRANGE(""https://docs.google.com/spreadsheets/d/1BeghqumK0IvCmRd2QOy6_afsZq7ZtAGrSnVJy2u7WmY/edit?usp=sharing"",""นราธิวาส!I485"")"),9)</f>
        <v>9</v>
      </c>
      <c r="AD79" s="57">
        <f ca="1">IFERROR(__xludf.DUMMYFUNCTION("IMPORTRANGE(""https://docs.google.com/spreadsheets/d/1BeghqumK0IvCmRd2QOy6_afsZq7ZtAGrSnVJy2u7WmY/edit?usp=sharing"",""นราธิวาส!J485"")"),9)</f>
        <v>9</v>
      </c>
      <c r="AE79" s="63">
        <f t="shared" ca="1" si="36"/>
        <v>100</v>
      </c>
      <c r="AF79" s="57">
        <f ca="1">IFERROR(__xludf.DUMMYFUNCTION("IMPORTRANGE(""https://docs.google.com/spreadsheets/d/1BeghqumK0IvCmRd2QOy6_afsZq7ZtAGrSnVJy2u7WmY/edit?usp=sharing"",""นราธิวาส!I487"")"),10)</f>
        <v>10</v>
      </c>
      <c r="AG79" s="57">
        <f ca="1">IFERROR(__xludf.DUMMYFUNCTION("IMPORTRANGE(""https://docs.google.com/spreadsheets/d/1BeghqumK0IvCmRd2QOy6_afsZq7ZtAGrSnVJy2u7WmY/edit?usp=sharing"",""นราธิวาส!J487"")"),10)</f>
        <v>10</v>
      </c>
      <c r="AH79" s="63">
        <f t="shared" ca="1" si="37"/>
        <v>100</v>
      </c>
      <c r="AI79" s="57">
        <f ca="1">IFERROR(__xludf.DUMMYFUNCTION("IMPORTRANGE(""https://docs.google.com/spreadsheets/d/1BeghqumK0IvCmRd2QOy6_afsZq7ZtAGrSnVJy2u7WmY/edit?usp=sharing"",""นราธิวาส!J488"")"),1)</f>
        <v>1</v>
      </c>
      <c r="AJ79" s="57">
        <f ca="1">IFERROR(__xludf.DUMMYFUNCTION("IMPORTRANGE(""https://docs.google.com/spreadsheets/d/1BeghqumK0IvCmRd2QOy6_afsZq7ZtAGrSnVJy2u7WmY/edit?usp=sharing"",""นราธิวาส!I489"")"),1)</f>
        <v>1</v>
      </c>
      <c r="AK79" s="57">
        <f ca="1">IFERROR(__xludf.DUMMYFUNCTION("IMPORTRANGE(""https://docs.google.com/spreadsheets/d/1BeghqumK0IvCmRd2QOy6_afsZq7ZtAGrSnVJy2u7WmY/edit?usp=sharing"",""นราธิวาส!J489"")"),1)</f>
        <v>1</v>
      </c>
      <c r="AL79" s="63">
        <f t="shared" ca="1" si="38"/>
        <v>100</v>
      </c>
      <c r="AM79" s="57">
        <f ca="1">IFERROR(__xludf.DUMMYFUNCTION("IMPORTRANGE(""https://docs.google.com/spreadsheets/d/1BeghqumK0IvCmRd2QOy6_afsZq7ZtAGrSnVJy2u7WmY/edit?usp=sharing"",""นราธิวาส!J491"")"),1)</f>
        <v>1</v>
      </c>
      <c r="AN79" s="57">
        <f ca="1">IFERROR(__xludf.DUMMYFUNCTION("IMPORTRANGE(""https://docs.google.com/spreadsheets/d/1BeghqumK0IvCmRd2QOy6_afsZq7ZtAGrSnVJy2u7WmY/edit?usp=sharing"",""นราธิวาส!I492"")"),1)</f>
        <v>1</v>
      </c>
      <c r="AO79" s="57">
        <f ca="1">IFERROR(__xludf.DUMMYFUNCTION("IMPORTRANGE(""https://docs.google.com/spreadsheets/d/1BeghqumK0IvCmRd2QOy6_afsZq7ZtAGrSnVJy2u7WmY/edit?usp=sharing"",""นราธิวาส!J492"")"),1)</f>
        <v>1</v>
      </c>
      <c r="AP79" s="63">
        <f t="shared" ca="1" si="39"/>
        <v>100</v>
      </c>
      <c r="AQ79" s="57">
        <f ca="1">IFERROR(__xludf.DUMMYFUNCTION("IMPORTRANGE(""https://docs.google.com/spreadsheets/d/1BeghqumK0IvCmRd2QOy6_afsZq7ZtAGrSnVJy2u7WmY/edit?usp=sharing"",""นราธิวาส!I495"")"),90)</f>
        <v>90</v>
      </c>
      <c r="AR79" s="57">
        <f ca="1">IFERROR(__xludf.DUMMYFUNCTION("IMPORTRANGE(""https://docs.google.com/spreadsheets/d/1BeghqumK0IvCmRd2QOy6_afsZq7ZtAGrSnVJy2u7WmY/edit?usp=sharing"",""นราธิวาส!J495"")"),0)</f>
        <v>0</v>
      </c>
      <c r="AS79" s="63">
        <f t="shared" ca="1" si="40"/>
        <v>0</v>
      </c>
      <c r="AT79" s="57">
        <f ca="1">IFERROR(__xludf.DUMMYFUNCTION("IMPORTRANGE(""https://docs.google.com/spreadsheets/d/1BeghqumK0IvCmRd2QOy6_afsZq7ZtAGrSnVJy2u7WmY/edit?usp=sharing"",""นราธิวาส!J496"")"),0)</f>
        <v>0</v>
      </c>
      <c r="AU79" s="57">
        <f ca="1">IFERROR(__xludf.DUMMYFUNCTION("IMPORTRANGE(""https://docs.google.com/spreadsheets/d/1BeghqumK0IvCmRd2QOy6_afsZq7ZtAGrSnVJy2u7WmY/edit?usp=sharing"",""นราธิวาส!I498"")"),10)</f>
        <v>10</v>
      </c>
      <c r="AV79" s="57">
        <f ca="1">IFERROR(__xludf.DUMMYFUNCTION("IMPORTRANGE(""https://docs.google.com/spreadsheets/d/1BeghqumK0IvCmRd2QOy6_afsZq7ZtAGrSnVJy2u7WmY/edit?usp=sharing"",""นราธิวาส!J498"")"),0)</f>
        <v>0</v>
      </c>
      <c r="AW79" s="63">
        <f t="shared" ca="1" si="41"/>
        <v>0</v>
      </c>
      <c r="AX79" s="57">
        <f ca="1">IFERROR(__xludf.DUMMYFUNCTION("IMPORTRANGE(""https://docs.google.com/spreadsheets/d/1BeghqumK0IvCmRd2QOy6_afsZq7ZtAGrSnVJy2u7WmY/edit?usp=sharing"",""นราธิวาส!J499"")"),0)</f>
        <v>0</v>
      </c>
    </row>
    <row r="80" spans="1:50" ht="21" customHeight="1" x14ac:dyDescent="0.3">
      <c r="A80" s="54">
        <v>6</v>
      </c>
      <c r="B80" s="55" t="s">
        <v>101</v>
      </c>
      <c r="C80" s="56">
        <f t="shared" ca="1" si="91"/>
        <v>114323</v>
      </c>
      <c r="D80" s="57">
        <f ca="1">IFERROR(__xludf.DUMMYFUNCTION("IMPORTRANGE(""https://docs.google.com/spreadsheets/d/1IwnW3-jjRf74MCLW-6PiFwMUffRQXZwZA7YM609NmRc/edit?usp=sharing"",""ปัตตานี!L472"")"),114323)</f>
        <v>114323</v>
      </c>
      <c r="E80" s="64">
        <f ca="1">IFERROR(__xludf.DUMMYFUNCTION("IMPORTRANGE(""https://docs.google.com/spreadsheets/d/1IwnW3-jjRf74MCLW-6PiFwMUffRQXZwZA7YM609NmRc/edit?usp=sharing"",""ปัตตานี!L479"")"),0)</f>
        <v>0</v>
      </c>
      <c r="F80" s="64">
        <f ca="1">IFERROR(__xludf.DUMMYFUNCTION("IMPORTRANGE(""https://docs.google.com/spreadsheets/d/1IwnW3-jjRf74MCLW-6PiFwMUffRQXZwZA7YM609NmRc/edit?usp=sharing"",""ปัตตานี!M472"")"),114323)</f>
        <v>114323</v>
      </c>
      <c r="G80" s="64">
        <f ca="1">IFERROR(__xludf.DUMMYFUNCTION("IMPORTRANGE(""https://docs.google.com/spreadsheets/d/1IwnW3-jjRf74MCLW-6PiFwMUffRQXZwZA7YM609NmRc/edit?usp=sharing"",""ปัตตานี!M479"")"),0)</f>
        <v>0</v>
      </c>
      <c r="H80" s="58">
        <f t="shared" ca="1" si="34"/>
        <v>29633</v>
      </c>
      <c r="I80" s="59">
        <f t="shared" ca="1" si="1"/>
        <v>25.920418463476292</v>
      </c>
      <c r="J80" s="60">
        <f t="shared" ca="1" si="92"/>
        <v>29633</v>
      </c>
      <c r="K80" s="61">
        <f t="shared" ca="1" si="43"/>
        <v>25.920418463476292</v>
      </c>
      <c r="L80" s="61">
        <f t="shared" ca="1" si="44"/>
        <v>25.920418463476292</v>
      </c>
      <c r="M80" s="64">
        <f ca="1">IFERROR(__xludf.DUMMYFUNCTION("IMPORTRANGE(""https://docs.google.com/spreadsheets/d/1IwnW3-jjRf74MCLW-6PiFwMUffRQXZwZA7YM609NmRc/edit?usp=sharing"",""ปัตตานี!N473"")"),26683)</f>
        <v>26683</v>
      </c>
      <c r="N80" s="64">
        <f ca="1">IFERROR(__xludf.DUMMYFUNCTION("IMPORTRANGE(""https://docs.google.com/spreadsheets/d/1IwnW3-jjRf74MCLW-6PiFwMUffRQXZwZA7YM609NmRc/edit?usp=sharing"",""ปัตตานี!N474"")"),0)</f>
        <v>0</v>
      </c>
      <c r="O80" s="64">
        <f ca="1">IFERROR(__xludf.DUMMYFUNCTION("IMPORTRANGE(""https://docs.google.com/spreadsheets/d/1IwnW3-jjRf74MCLW-6PiFwMUffRQXZwZA7YM609NmRc/edit?usp=sharing"",""ปัตตานี!N475"")"),500)</f>
        <v>500</v>
      </c>
      <c r="P80" s="64">
        <f ca="1">IFERROR(__xludf.DUMMYFUNCTION("IMPORTRANGE(""https://docs.google.com/spreadsheets/d/1IwnW3-jjRf74MCLW-6PiFwMUffRQXZwZA7YM609NmRc/edit?usp=sharing"",""ปัตตานี!N476"")"),2450)</f>
        <v>2450</v>
      </c>
      <c r="Q80" s="62">
        <f ca="1">IFERROR(__xludf.DUMMYFUNCTION("IMPORTRANGE(""https://docs.google.com/spreadsheets/d/1IwnW3-jjRf74MCLW-6PiFwMUffRQXZwZA7YM609NmRc/edit?usp=sharing"",""ปัตตานี!N479"")"),0)</f>
        <v>0</v>
      </c>
      <c r="R80" s="62">
        <f t="shared" ca="1" si="46"/>
        <v>0</v>
      </c>
      <c r="S80" s="57">
        <f ca="1">IFERROR(__xludf.DUMMYFUNCTION("IMPORTRANGE(""https://docs.google.com/spreadsheets/d/1IwnW3-jjRf74MCLW-6PiFwMUffRQXZwZA7YM609NmRc/edit?usp=sharing"",""ปัตตานี!I465"")"),11)</f>
        <v>11</v>
      </c>
      <c r="T80" s="57">
        <f ca="1">IFERROR(__xludf.DUMMYFUNCTION("IMPORTRANGE(""https://docs.google.com/spreadsheets/d/1IwnW3-jjRf74MCLW-6PiFwMUffRQXZwZA7YM609NmRc/edit?usp=sharing"",""ปัตตานี!I466"")"),100)</f>
        <v>100</v>
      </c>
      <c r="U80" s="57">
        <f ca="1">IFERROR(__xludf.DUMMYFUNCTION("IMPORTRANGE(""https://docs.google.com/spreadsheets/d/1IwnW3-jjRf74MCLW-6PiFwMUffRQXZwZA7YM609NmRc/edit?usp=sharing"",""ปัตตานี!J465"")"),11)</f>
        <v>11</v>
      </c>
      <c r="V80" s="63">
        <f t="shared" ca="1" si="6"/>
        <v>100</v>
      </c>
      <c r="W80" s="57">
        <f ca="1">IFERROR(__xludf.DUMMYFUNCTION("IMPORTRANGE(""https://docs.google.com/spreadsheets/d/1IwnW3-jjRf74MCLW-6PiFwMUffRQXZwZA7YM609NmRc/edit?usp=sharing"",""ปัตตานี!J466"")"),0)</f>
        <v>0</v>
      </c>
      <c r="X80" s="63">
        <f t="shared" ca="1" si="7"/>
        <v>0</v>
      </c>
      <c r="Y80" s="57">
        <f ca="1">IFERROR(__xludf.DUMMYFUNCTION("IMPORTRANGE(""https://docs.google.com/spreadsheets/d/1IwnW3-jjRf74MCLW-6PiFwMUffRQXZwZA7YM609NmRc/edit?usp=sharing"",""ปัตตานี!I483"")"),90)</f>
        <v>90</v>
      </c>
      <c r="Z80" s="57">
        <f ca="1">IFERROR(__xludf.DUMMYFUNCTION("IMPORTRANGE(""https://docs.google.com/spreadsheets/d/1IwnW3-jjRf74MCLW-6PiFwMUffRQXZwZA7YM609NmRc/edit?usp=sharing"",""ปัตตานี!J483"")"),90)</f>
        <v>90</v>
      </c>
      <c r="AA80" s="63">
        <f t="shared" ca="1" si="35"/>
        <v>100</v>
      </c>
      <c r="AB80" s="57">
        <f ca="1">IFERROR(__xludf.DUMMYFUNCTION("IMPORTRANGE(""https://docs.google.com/spreadsheets/d/1IwnW3-jjRf74MCLW-6PiFwMUffRQXZwZA7YM609NmRc/edit?usp=sharing"",""ปัตตานี!J484"")"),0)</f>
        <v>0</v>
      </c>
      <c r="AC80" s="57">
        <f ca="1">IFERROR(__xludf.DUMMYFUNCTION("IMPORTRANGE(""https://docs.google.com/spreadsheets/d/1IwnW3-jjRf74MCLW-6PiFwMUffRQXZwZA7YM609NmRc/edit?usp=sharing"",""ปัตตานี!I485"")"),9)</f>
        <v>9</v>
      </c>
      <c r="AD80" s="57">
        <f ca="1">IFERROR(__xludf.DUMMYFUNCTION("IMPORTRANGE(""https://docs.google.com/spreadsheets/d/1IwnW3-jjRf74MCLW-6PiFwMUffRQXZwZA7YM609NmRc/edit?usp=sharing"",""ปัตตานี!J485"")"),9)</f>
        <v>9</v>
      </c>
      <c r="AE80" s="63">
        <f t="shared" ca="1" si="36"/>
        <v>100</v>
      </c>
      <c r="AF80" s="57">
        <f ca="1">IFERROR(__xludf.DUMMYFUNCTION("IMPORTRANGE(""https://docs.google.com/spreadsheets/d/1IwnW3-jjRf74MCLW-6PiFwMUffRQXZwZA7YM609NmRc/edit?usp=sharing"",""ปัตตานี!I487"")"),10)</f>
        <v>10</v>
      </c>
      <c r="AG80" s="57">
        <f ca="1">IFERROR(__xludf.DUMMYFUNCTION("IMPORTRANGE(""https://docs.google.com/spreadsheets/d/1IwnW3-jjRf74MCLW-6PiFwMUffRQXZwZA7YM609NmRc/edit?usp=sharing"",""ปัตตานี!J487"")"),10)</f>
        <v>10</v>
      </c>
      <c r="AH80" s="63">
        <f t="shared" ca="1" si="37"/>
        <v>100</v>
      </c>
      <c r="AI80" s="57">
        <f ca="1">IFERROR(__xludf.DUMMYFUNCTION("IMPORTRANGE(""https://docs.google.com/spreadsheets/d/1IwnW3-jjRf74MCLW-6PiFwMUffRQXZwZA7YM609NmRc/edit?usp=sharing"",""ปัตตานี!J488"")"),1)</f>
        <v>1</v>
      </c>
      <c r="AJ80" s="57">
        <f ca="1">IFERROR(__xludf.DUMMYFUNCTION("IMPORTRANGE(""https://docs.google.com/spreadsheets/d/1IwnW3-jjRf74MCLW-6PiFwMUffRQXZwZA7YM609NmRc/edit?usp=sharing"",""ปัตตานี!I489"")"),1)</f>
        <v>1</v>
      </c>
      <c r="AK80" s="57">
        <f ca="1">IFERROR(__xludf.DUMMYFUNCTION("IMPORTRANGE(""https://docs.google.com/spreadsheets/d/1IwnW3-jjRf74MCLW-6PiFwMUffRQXZwZA7YM609NmRc/edit?usp=sharing"",""ปัตตานี!J489"")"),1)</f>
        <v>1</v>
      </c>
      <c r="AL80" s="63">
        <f t="shared" ca="1" si="38"/>
        <v>100</v>
      </c>
      <c r="AM80" s="57">
        <f ca="1">IFERROR(__xludf.DUMMYFUNCTION("IMPORTRANGE(""https://docs.google.com/spreadsheets/d/1IwnW3-jjRf74MCLW-6PiFwMUffRQXZwZA7YM609NmRc/edit?usp=sharing"",""ปัตตานี!J491"")"),1)</f>
        <v>1</v>
      </c>
      <c r="AN80" s="57">
        <f ca="1">IFERROR(__xludf.DUMMYFUNCTION("IMPORTRANGE(""https://docs.google.com/spreadsheets/d/1IwnW3-jjRf74MCLW-6PiFwMUffRQXZwZA7YM609NmRc/edit?usp=sharing"",""ปัตตานี!I492"")"),1)</f>
        <v>1</v>
      </c>
      <c r="AO80" s="57">
        <f ca="1">IFERROR(__xludf.DUMMYFUNCTION("IMPORTRANGE(""https://docs.google.com/spreadsheets/d/1IwnW3-jjRf74MCLW-6PiFwMUffRQXZwZA7YM609NmRc/edit?usp=sharing"",""ปัตตานี!J492"")"),1)</f>
        <v>1</v>
      </c>
      <c r="AP80" s="63">
        <f t="shared" ca="1" si="39"/>
        <v>100</v>
      </c>
      <c r="AQ80" s="57">
        <f ca="1">IFERROR(__xludf.DUMMYFUNCTION("IMPORTRANGE(""https://docs.google.com/spreadsheets/d/1IwnW3-jjRf74MCLW-6PiFwMUffRQXZwZA7YM609NmRc/edit?usp=sharing"",""ปัตตานี!I495"")"),90)</f>
        <v>90</v>
      </c>
      <c r="AR80" s="57">
        <f ca="1">IFERROR(__xludf.DUMMYFUNCTION("IMPORTRANGE(""https://docs.google.com/spreadsheets/d/1IwnW3-jjRf74MCLW-6PiFwMUffRQXZwZA7YM609NmRc/edit?usp=sharing"",""ปัตตานี!J495"")"),0)</f>
        <v>0</v>
      </c>
      <c r="AS80" s="63">
        <f t="shared" ca="1" si="40"/>
        <v>0</v>
      </c>
      <c r="AT80" s="57">
        <f ca="1">IFERROR(__xludf.DUMMYFUNCTION("IMPORTRANGE(""https://docs.google.com/spreadsheets/d/1IwnW3-jjRf74MCLW-6PiFwMUffRQXZwZA7YM609NmRc/edit?usp=sharing"",""ปัตตานี!J496"")"),0)</f>
        <v>0</v>
      </c>
      <c r="AU80" s="57">
        <f ca="1">IFERROR(__xludf.DUMMYFUNCTION("IMPORTRANGE(""https://docs.google.com/spreadsheets/d/1IwnW3-jjRf74MCLW-6PiFwMUffRQXZwZA7YM609NmRc/edit?usp=sharing"",""ปัตตานี!I498"")"),10)</f>
        <v>10</v>
      </c>
      <c r="AV80" s="57">
        <f ca="1">IFERROR(__xludf.DUMMYFUNCTION("IMPORTRANGE(""https://docs.google.com/spreadsheets/d/1IwnW3-jjRf74MCLW-6PiFwMUffRQXZwZA7YM609NmRc/edit?usp=sharing"",""ปัตตานี!J498"")"),0)</f>
        <v>0</v>
      </c>
      <c r="AW80" s="63">
        <f t="shared" ca="1" si="41"/>
        <v>0</v>
      </c>
      <c r="AX80" s="57">
        <f ca="1">IFERROR(__xludf.DUMMYFUNCTION("IMPORTRANGE(""https://docs.google.com/spreadsheets/d/1IwnW3-jjRf74MCLW-6PiFwMUffRQXZwZA7YM609NmRc/edit?usp=sharing"",""ปัตตานี!J499"")"),0)</f>
        <v>0</v>
      </c>
    </row>
    <row r="81" spans="1:50" ht="21" customHeight="1" x14ac:dyDescent="0.3">
      <c r="A81" s="54">
        <v>7</v>
      </c>
      <c r="B81" s="55" t="s">
        <v>102</v>
      </c>
      <c r="C81" s="56">
        <f t="shared" ca="1" si="91"/>
        <v>340483</v>
      </c>
      <c r="D81" s="57">
        <f ca="1">IFERROR(__xludf.DUMMYFUNCTION("IMPORTRANGE(""https://docs.google.com/spreadsheets/d/1vl4QWbWdFruual5o_wdo6ZSqXZ_it806oja4CctTLKs/edit?usp=sharing"",""พังงา!L472"")"),340483)</f>
        <v>340483</v>
      </c>
      <c r="E81" s="64">
        <f ca="1">IFERROR(__xludf.DUMMYFUNCTION("IMPORTRANGE(""https://docs.google.com/spreadsheets/d/1vl4QWbWdFruual5o_wdo6ZSqXZ_it806oja4CctTLKs/edit?usp=sharing"",""พังงา!L479"")"),0)</f>
        <v>0</v>
      </c>
      <c r="F81" s="64">
        <f ca="1">IFERROR(__xludf.DUMMYFUNCTION("IMPORTRANGE(""https://docs.google.com/spreadsheets/d/1vl4QWbWdFruual5o_wdo6ZSqXZ_it806oja4CctTLKs/edit?usp=sharing"",""พังงา!M472"")"),340483)</f>
        <v>340483</v>
      </c>
      <c r="G81" s="64">
        <f ca="1">IFERROR(__xludf.DUMMYFUNCTION("IMPORTRANGE(""https://docs.google.com/spreadsheets/d/1vl4QWbWdFruual5o_wdo6ZSqXZ_it806oja4CctTLKs/edit?usp=sharing"",""พังงา!M479"")"),0)</f>
        <v>0</v>
      </c>
      <c r="H81" s="58">
        <f t="shared" ca="1" si="34"/>
        <v>330870</v>
      </c>
      <c r="I81" s="59">
        <f t="shared" ca="1" si="1"/>
        <v>97.176657865444085</v>
      </c>
      <c r="J81" s="60">
        <f t="shared" ca="1" si="92"/>
        <v>330870</v>
      </c>
      <c r="K81" s="61">
        <f t="shared" ca="1" si="43"/>
        <v>97.176657865444085</v>
      </c>
      <c r="L81" s="61">
        <f t="shared" ca="1" si="44"/>
        <v>97.176657865444085</v>
      </c>
      <c r="M81" s="64">
        <f ca="1">IFERROR(__xludf.DUMMYFUNCTION("IMPORTRANGE(""https://docs.google.com/spreadsheets/d/1vl4QWbWdFruual5o_wdo6ZSqXZ_it806oja4CctTLKs/edit?usp=sharing"",""พังงา!N473"")"),46503)</f>
        <v>46503</v>
      </c>
      <c r="N81" s="64">
        <f ca="1">IFERROR(__xludf.DUMMYFUNCTION("IMPORTRANGE(""https://docs.google.com/spreadsheets/d/1vl4QWbWdFruual5o_wdo6ZSqXZ_it806oja4CctTLKs/edit?usp=sharing"",""พังงา!N474"")"),248000)</f>
        <v>248000</v>
      </c>
      <c r="O81" s="64">
        <f ca="1">IFERROR(__xludf.DUMMYFUNCTION("IMPORTRANGE(""https://docs.google.com/spreadsheets/d/1vl4QWbWdFruual5o_wdo6ZSqXZ_it806oja4CctTLKs/edit?usp=sharing"",""พังงา!N475"")"),0)</f>
        <v>0</v>
      </c>
      <c r="P81" s="64">
        <f ca="1">IFERROR(__xludf.DUMMYFUNCTION("IMPORTRANGE(""https://docs.google.com/spreadsheets/d/1vl4QWbWdFruual5o_wdo6ZSqXZ_it806oja4CctTLKs/edit?usp=sharing"",""พังงา!N476"")"),36367)</f>
        <v>36367</v>
      </c>
      <c r="Q81" s="62">
        <f ca="1">IFERROR(__xludf.DUMMYFUNCTION("IMPORTRANGE(""https://docs.google.com/spreadsheets/d/1vl4QWbWdFruual5o_wdo6ZSqXZ_it806oja4CctTLKs/edit?usp=sharing"",""พังงา!N479"")"),0)</f>
        <v>0</v>
      </c>
      <c r="R81" s="62">
        <f t="shared" ca="1" si="46"/>
        <v>0</v>
      </c>
      <c r="S81" s="57">
        <f ca="1">IFERROR(__xludf.DUMMYFUNCTION("IMPORTRANGE(""https://docs.google.com/spreadsheets/d/1vl4QWbWdFruual5o_wdo6ZSqXZ_it806oja4CctTLKs/edit?usp=sharing"",""พังงา!I465"")"),41)</f>
        <v>41</v>
      </c>
      <c r="T81" s="57">
        <f ca="1">IFERROR(__xludf.DUMMYFUNCTION("IMPORTRANGE(""https://docs.google.com/spreadsheets/d/1vl4QWbWdFruual5o_wdo6ZSqXZ_it806oja4CctTLKs/edit?usp=sharing"",""พังงา!I466"")"),400)</f>
        <v>400</v>
      </c>
      <c r="U81" s="57">
        <f ca="1">IFERROR(__xludf.DUMMYFUNCTION("IMPORTRANGE(""https://docs.google.com/spreadsheets/d/1vl4QWbWdFruual5o_wdo6ZSqXZ_it806oja4CctTLKs/edit?usp=sharing"",""พังงา!J465"")"),41)</f>
        <v>41</v>
      </c>
      <c r="V81" s="63">
        <f t="shared" ca="1" si="6"/>
        <v>100</v>
      </c>
      <c r="W81" s="57">
        <f ca="1">IFERROR(__xludf.DUMMYFUNCTION("IMPORTRANGE(""https://docs.google.com/spreadsheets/d/1vl4QWbWdFruual5o_wdo6ZSqXZ_it806oja4CctTLKs/edit?usp=sharing"",""พังงา!J466"")"),400)</f>
        <v>400</v>
      </c>
      <c r="X81" s="63">
        <f t="shared" ca="1" si="7"/>
        <v>100</v>
      </c>
      <c r="Y81" s="57">
        <f ca="1">IFERROR(__xludf.DUMMYFUNCTION("IMPORTRANGE(""https://docs.google.com/spreadsheets/d/1vl4QWbWdFruual5o_wdo6ZSqXZ_it806oja4CctTLKs/edit?usp=sharing"",""พังงา!I483"")"),360)</f>
        <v>360</v>
      </c>
      <c r="Z81" s="57">
        <f ca="1">IFERROR(__xludf.DUMMYFUNCTION("IMPORTRANGE(""https://docs.google.com/spreadsheets/d/1vl4QWbWdFruual5o_wdo6ZSqXZ_it806oja4CctTLKs/edit?usp=sharing"",""พังงา!J483"")"),0)</f>
        <v>0</v>
      </c>
      <c r="AA81" s="63">
        <f t="shared" ca="1" si="35"/>
        <v>0</v>
      </c>
      <c r="AB81" s="57">
        <f ca="1">IFERROR(__xludf.DUMMYFUNCTION("IMPORTRANGE(""https://docs.google.com/spreadsheets/d/1vl4QWbWdFruual5o_wdo6ZSqXZ_it806oja4CctTLKs/edit?usp=sharing"",""พังงา!J484"")"),0)</f>
        <v>0</v>
      </c>
      <c r="AC81" s="57">
        <f ca="1">IFERROR(__xludf.DUMMYFUNCTION("IMPORTRANGE(""https://docs.google.com/spreadsheets/d/1vl4QWbWdFruual5o_wdo6ZSqXZ_it806oja4CctTLKs/edit?usp=sharing"",""พังงา!I485"")"),36)</f>
        <v>36</v>
      </c>
      <c r="AD81" s="57">
        <f ca="1">IFERROR(__xludf.DUMMYFUNCTION("IMPORTRANGE(""https://docs.google.com/spreadsheets/d/1vl4QWbWdFruual5o_wdo6ZSqXZ_it806oja4CctTLKs/edit?usp=sharing"",""พังงา!J485"")"),36)</f>
        <v>36</v>
      </c>
      <c r="AE81" s="63">
        <f t="shared" ca="1" si="36"/>
        <v>100</v>
      </c>
      <c r="AF81" s="57">
        <f ca="1">IFERROR(__xludf.DUMMYFUNCTION("IMPORTRANGE(""https://docs.google.com/spreadsheets/d/1vl4QWbWdFruual5o_wdo6ZSqXZ_it806oja4CctTLKs/edit?usp=sharing"",""พังงา!I487"")"),40)</f>
        <v>40</v>
      </c>
      <c r="AG81" s="57">
        <f ca="1">IFERROR(__xludf.DUMMYFUNCTION("IMPORTRANGE(""https://docs.google.com/spreadsheets/d/1vl4QWbWdFruual5o_wdo6ZSqXZ_it806oja4CctTLKs/edit?usp=sharing"",""พังงา!J487"")"),0)</f>
        <v>0</v>
      </c>
      <c r="AH81" s="63">
        <f t="shared" ca="1" si="37"/>
        <v>0</v>
      </c>
      <c r="AI81" s="57">
        <f ca="1">IFERROR(__xludf.DUMMYFUNCTION("IMPORTRANGE(""https://docs.google.com/spreadsheets/d/1vl4QWbWdFruual5o_wdo6ZSqXZ_it806oja4CctTLKs/edit?usp=sharing"",""พังงา!J488"")"),0)</f>
        <v>0</v>
      </c>
      <c r="AJ81" s="57">
        <f ca="1">IFERROR(__xludf.DUMMYFUNCTION("IMPORTRANGE(""https://docs.google.com/spreadsheets/d/1vl4QWbWdFruual5o_wdo6ZSqXZ_it806oja4CctTLKs/edit?usp=sharing"",""พังงา!I489"")"),4)</f>
        <v>4</v>
      </c>
      <c r="AK81" s="57">
        <f ca="1">IFERROR(__xludf.DUMMYFUNCTION("IMPORTRANGE(""https://docs.google.com/spreadsheets/d/1vl4QWbWdFruual5o_wdo6ZSqXZ_it806oja4CctTLKs/edit?usp=sharing"",""พังงา!J489"")"),4)</f>
        <v>4</v>
      </c>
      <c r="AL81" s="63">
        <f t="shared" ca="1" si="38"/>
        <v>100</v>
      </c>
      <c r="AM81" s="57">
        <f ca="1">IFERROR(__xludf.DUMMYFUNCTION("IMPORTRANGE(""https://docs.google.com/spreadsheets/d/1vl4QWbWdFruual5o_wdo6ZSqXZ_it806oja4CctTLKs/edit?usp=sharing"",""พังงา!J491"")"),0)</f>
        <v>0</v>
      </c>
      <c r="AN81" s="57">
        <f ca="1">IFERROR(__xludf.DUMMYFUNCTION("IMPORTRANGE(""https://docs.google.com/spreadsheets/d/1vl4QWbWdFruual5o_wdo6ZSqXZ_it806oja4CctTLKs/edit?usp=sharing"",""พังงา!I492"")"),1)</f>
        <v>1</v>
      </c>
      <c r="AO81" s="57">
        <f ca="1">IFERROR(__xludf.DUMMYFUNCTION("IMPORTRANGE(""https://docs.google.com/spreadsheets/d/1vl4QWbWdFruual5o_wdo6ZSqXZ_it806oja4CctTLKs/edit?usp=sharing"",""พังงา!J492"")"),1)</f>
        <v>1</v>
      </c>
      <c r="AP81" s="63">
        <f t="shared" ca="1" si="39"/>
        <v>100</v>
      </c>
      <c r="AQ81" s="57">
        <f ca="1">IFERROR(__xludf.DUMMYFUNCTION("IMPORTRANGE(""https://docs.google.com/spreadsheets/d/1vl4QWbWdFruual5o_wdo6ZSqXZ_it806oja4CctTLKs/edit?usp=sharing"",""พังงา!I495"")"),360)</f>
        <v>360</v>
      </c>
      <c r="AR81" s="57">
        <f ca="1">IFERROR(__xludf.DUMMYFUNCTION("IMPORTRANGE(""https://docs.google.com/spreadsheets/d/1vl4QWbWdFruual5o_wdo6ZSqXZ_it806oja4CctTLKs/edit?usp=sharing"",""พังงา!J495"")"),360)</f>
        <v>360</v>
      </c>
      <c r="AS81" s="63">
        <f t="shared" ca="1" si="40"/>
        <v>100</v>
      </c>
      <c r="AT81" s="57">
        <f ca="1">IFERROR(__xludf.DUMMYFUNCTION("IMPORTRANGE(""https://docs.google.com/spreadsheets/d/1vl4QWbWdFruual5o_wdo6ZSqXZ_it806oja4CctTLKs/edit?usp=sharing"",""พังงา!J496"")"),0)</f>
        <v>0</v>
      </c>
      <c r="AU81" s="57">
        <f ca="1">IFERROR(__xludf.DUMMYFUNCTION("IMPORTRANGE(""https://docs.google.com/spreadsheets/d/1vl4QWbWdFruual5o_wdo6ZSqXZ_it806oja4CctTLKs/edit?usp=sharing"",""พังงา!I498"")"),40)</f>
        <v>40</v>
      </c>
      <c r="AV81" s="57">
        <f ca="1">IFERROR(__xludf.DUMMYFUNCTION("IMPORTRANGE(""https://docs.google.com/spreadsheets/d/1vl4QWbWdFruual5o_wdo6ZSqXZ_it806oja4CctTLKs/edit?usp=sharing"",""พังงา!J498"")"),40)</f>
        <v>40</v>
      </c>
      <c r="AW81" s="63">
        <f t="shared" ca="1" si="41"/>
        <v>100</v>
      </c>
      <c r="AX81" s="57">
        <f ca="1">IFERROR(__xludf.DUMMYFUNCTION("IMPORTRANGE(""https://docs.google.com/spreadsheets/d/1vl4QWbWdFruual5o_wdo6ZSqXZ_it806oja4CctTLKs/edit?usp=sharing"",""พังงา!J499"")"),0)</f>
        <v>0</v>
      </c>
    </row>
    <row r="82" spans="1:50" ht="21" customHeight="1" x14ac:dyDescent="0.3">
      <c r="A82" s="54">
        <v>8</v>
      </c>
      <c r="B82" s="55" t="s">
        <v>103</v>
      </c>
      <c r="C82" s="56">
        <f t="shared" ca="1" si="91"/>
        <v>263773</v>
      </c>
      <c r="D82" s="57">
        <f ca="1">IFERROR(__xludf.DUMMYFUNCTION("IMPORTRANGE(""https://docs.google.com/spreadsheets/d/1b6QssHQp2FoAPSMKHOy273KNzAomaIKhtdlvuZ_zDNE/edit?usp=sharing"",""พัทลุง!L472"")"),263773)</f>
        <v>263773</v>
      </c>
      <c r="E82" s="64">
        <f ca="1">IFERROR(__xludf.DUMMYFUNCTION("IMPORTRANGE(""https://docs.google.com/spreadsheets/d/1b6QssHQp2FoAPSMKHOy273KNzAomaIKhtdlvuZ_zDNE/edit?usp=sharing"",""พัทลุง!L479"")"),0)</f>
        <v>0</v>
      </c>
      <c r="F82" s="64">
        <f ca="1">IFERROR(__xludf.DUMMYFUNCTION("IMPORTRANGE(""https://docs.google.com/spreadsheets/d/1b6QssHQp2FoAPSMKHOy273KNzAomaIKhtdlvuZ_zDNE/edit?usp=sharing"",""พัทลุง!M472"")"),263773)</f>
        <v>263773</v>
      </c>
      <c r="G82" s="64">
        <f ca="1">IFERROR(__xludf.DUMMYFUNCTION("IMPORTRANGE(""https://docs.google.com/spreadsheets/d/1b6QssHQp2FoAPSMKHOy273KNzAomaIKhtdlvuZ_zDNE/edit?usp=sharing"",""พัทลุง!M479"")"),0)</f>
        <v>0</v>
      </c>
      <c r="H82" s="58">
        <f t="shared" ca="1" si="34"/>
        <v>258646</v>
      </c>
      <c r="I82" s="59">
        <f t="shared" ca="1" si="1"/>
        <v>98.056283243546531</v>
      </c>
      <c r="J82" s="60">
        <f t="shared" ca="1" si="92"/>
        <v>258646</v>
      </c>
      <c r="K82" s="61">
        <f t="shared" ca="1" si="43"/>
        <v>98.056283243546531</v>
      </c>
      <c r="L82" s="61">
        <f t="shared" ca="1" si="44"/>
        <v>98.056283243546531</v>
      </c>
      <c r="M82" s="64">
        <f ca="1">IFERROR(__xludf.DUMMYFUNCTION("IMPORTRANGE(""https://docs.google.com/spreadsheets/d/1b6QssHQp2FoAPSMKHOy273KNzAomaIKhtdlvuZ_zDNE/edit?usp=sharing"",""พัทลุง!N473"")"),47696)</f>
        <v>47696</v>
      </c>
      <c r="N82" s="64">
        <f ca="1">IFERROR(__xludf.DUMMYFUNCTION("IMPORTRANGE(""https://docs.google.com/spreadsheets/d/1b6QssHQp2FoAPSMKHOy273KNzAomaIKhtdlvuZ_zDNE/edit?usp=sharing"",""พัทลุง!N474"")"),190000)</f>
        <v>190000</v>
      </c>
      <c r="O82" s="64">
        <f ca="1">IFERROR(__xludf.DUMMYFUNCTION("IMPORTRANGE(""https://docs.google.com/spreadsheets/d/1b6QssHQp2FoAPSMKHOy273KNzAomaIKhtdlvuZ_zDNE/edit?usp=sharing"",""พัทลุง!N475"")"),0)</f>
        <v>0</v>
      </c>
      <c r="P82" s="64">
        <f ca="1">IFERROR(__xludf.DUMMYFUNCTION("IMPORTRANGE(""https://docs.google.com/spreadsheets/d/1b6QssHQp2FoAPSMKHOy273KNzAomaIKhtdlvuZ_zDNE/edit?usp=sharing"",""พัทลุง!N476"")"),20950)</f>
        <v>20950</v>
      </c>
      <c r="Q82" s="62">
        <f ca="1">IFERROR(__xludf.DUMMYFUNCTION("IMPORTRANGE(""https://docs.google.com/spreadsheets/d/1b6QssHQp2FoAPSMKHOy273KNzAomaIKhtdlvuZ_zDNE/edit?usp=sharing"",""พัทลุง!N479"")"),0)</f>
        <v>0</v>
      </c>
      <c r="R82" s="62">
        <f t="shared" ca="1" si="46"/>
        <v>0</v>
      </c>
      <c r="S82" s="57">
        <f ca="1">IFERROR(__xludf.DUMMYFUNCTION("IMPORTRANGE(""https://docs.google.com/spreadsheets/d/1b6QssHQp2FoAPSMKHOy273KNzAomaIKhtdlvuZ_zDNE/edit?usp=sharing"",""พัทลุง!I465"")"),31)</f>
        <v>31</v>
      </c>
      <c r="T82" s="57">
        <f ca="1">IFERROR(__xludf.DUMMYFUNCTION("IMPORTRANGE(""https://docs.google.com/spreadsheets/d/1b6QssHQp2FoAPSMKHOy273KNzAomaIKhtdlvuZ_zDNE/edit?usp=sharing"",""พัทลุง!I466"")"),300)</f>
        <v>300</v>
      </c>
      <c r="U82" s="57">
        <f ca="1">IFERROR(__xludf.DUMMYFUNCTION("IMPORTRANGE(""https://docs.google.com/spreadsheets/d/1b6QssHQp2FoAPSMKHOy273KNzAomaIKhtdlvuZ_zDNE/edit?usp=sharing"",""พัทลุง!J465"")"),31)</f>
        <v>31</v>
      </c>
      <c r="V82" s="63">
        <f t="shared" ca="1" si="6"/>
        <v>100</v>
      </c>
      <c r="W82" s="57">
        <f ca="1">IFERROR(__xludf.DUMMYFUNCTION("IMPORTRANGE(""https://docs.google.com/spreadsheets/d/1b6QssHQp2FoAPSMKHOy273KNzAomaIKhtdlvuZ_zDNE/edit?usp=sharing"",""พัทลุง!J466"")"),300)</f>
        <v>300</v>
      </c>
      <c r="X82" s="63">
        <f t="shared" ca="1" si="7"/>
        <v>100</v>
      </c>
      <c r="Y82" s="57">
        <f ca="1">IFERROR(__xludf.DUMMYFUNCTION("IMPORTRANGE(""https://docs.google.com/spreadsheets/d/1b6QssHQp2FoAPSMKHOy273KNzAomaIKhtdlvuZ_zDNE/edit?usp=sharing"",""พัทลุง!I483"")"),270)</f>
        <v>270</v>
      </c>
      <c r="Z82" s="57">
        <f ca="1">IFERROR(__xludf.DUMMYFUNCTION("IMPORTRANGE(""https://docs.google.com/spreadsheets/d/1b6QssHQp2FoAPSMKHOy273KNzAomaIKhtdlvuZ_zDNE/edit?usp=sharing"",""พัทลุง!J483"")"),270)</f>
        <v>270</v>
      </c>
      <c r="AA82" s="63">
        <f t="shared" ca="1" si="35"/>
        <v>100</v>
      </c>
      <c r="AB82" s="57">
        <f ca="1">IFERROR(__xludf.DUMMYFUNCTION("IMPORTRANGE(""https://docs.google.com/spreadsheets/d/1b6QssHQp2FoAPSMKHOy273KNzAomaIKhtdlvuZ_zDNE/edit?usp=sharing"",""พัทลุง!J484"")"),0)</f>
        <v>0</v>
      </c>
      <c r="AC82" s="57">
        <f ca="1">IFERROR(__xludf.DUMMYFUNCTION("IMPORTRANGE(""https://docs.google.com/spreadsheets/d/1b6QssHQp2FoAPSMKHOy273KNzAomaIKhtdlvuZ_zDNE/edit?usp=sharing"",""พัทลุง!I485"")"),27)</f>
        <v>27</v>
      </c>
      <c r="AD82" s="57">
        <f ca="1">IFERROR(__xludf.DUMMYFUNCTION("IMPORTRANGE(""https://docs.google.com/spreadsheets/d/1b6QssHQp2FoAPSMKHOy273KNzAomaIKhtdlvuZ_zDNE/edit?usp=sharing"",""พัทลุง!J485"")"),27)</f>
        <v>27</v>
      </c>
      <c r="AE82" s="63">
        <f t="shared" ca="1" si="36"/>
        <v>100</v>
      </c>
      <c r="AF82" s="57">
        <f ca="1">IFERROR(__xludf.DUMMYFUNCTION("IMPORTRANGE(""https://docs.google.com/spreadsheets/d/1b6QssHQp2FoAPSMKHOy273KNzAomaIKhtdlvuZ_zDNE/edit?usp=sharing"",""พัทลุง!I487"")"),30)</f>
        <v>30</v>
      </c>
      <c r="AG82" s="57">
        <f ca="1">IFERROR(__xludf.DUMMYFUNCTION("IMPORTRANGE(""https://docs.google.com/spreadsheets/d/1b6QssHQp2FoAPSMKHOy273KNzAomaIKhtdlvuZ_zDNE/edit?usp=sharing"",""พัทลุง!J487"")"),30)</f>
        <v>30</v>
      </c>
      <c r="AH82" s="63">
        <f t="shared" ca="1" si="37"/>
        <v>100</v>
      </c>
      <c r="AI82" s="57">
        <f ca="1">IFERROR(__xludf.DUMMYFUNCTION("IMPORTRANGE(""https://docs.google.com/spreadsheets/d/1b6QssHQp2FoAPSMKHOy273KNzAomaIKhtdlvuZ_zDNE/edit?usp=sharing"",""พัทลุง!J488"")"),4)</f>
        <v>4</v>
      </c>
      <c r="AJ82" s="57">
        <f ca="1">IFERROR(__xludf.DUMMYFUNCTION("IMPORTRANGE(""https://docs.google.com/spreadsheets/d/1b6QssHQp2FoAPSMKHOy273KNzAomaIKhtdlvuZ_zDNE/edit?usp=sharing"",""พัทลุง!I489"")"),3)</f>
        <v>3</v>
      </c>
      <c r="AK82" s="57">
        <f ca="1">IFERROR(__xludf.DUMMYFUNCTION("IMPORTRANGE(""https://docs.google.com/spreadsheets/d/1b6QssHQp2FoAPSMKHOy273KNzAomaIKhtdlvuZ_zDNE/edit?usp=sharing"",""พัทลุง!J489"")"),3)</f>
        <v>3</v>
      </c>
      <c r="AL82" s="63">
        <f t="shared" ca="1" si="38"/>
        <v>100</v>
      </c>
      <c r="AM82" s="57">
        <f ca="1">IFERROR(__xludf.DUMMYFUNCTION("IMPORTRANGE(""https://docs.google.com/spreadsheets/d/1b6QssHQp2FoAPSMKHOy273KNzAomaIKhtdlvuZ_zDNE/edit?usp=sharing"",""พัทลุง!J491"")"),0)</f>
        <v>0</v>
      </c>
      <c r="AN82" s="57">
        <f ca="1">IFERROR(__xludf.DUMMYFUNCTION("IMPORTRANGE(""https://docs.google.com/spreadsheets/d/1b6QssHQp2FoAPSMKHOy273KNzAomaIKhtdlvuZ_zDNE/edit?usp=sharing"",""พัทลุง!I492"")"),1)</f>
        <v>1</v>
      </c>
      <c r="AO82" s="57">
        <f ca="1">IFERROR(__xludf.DUMMYFUNCTION("IMPORTRANGE(""https://docs.google.com/spreadsheets/d/1b6QssHQp2FoAPSMKHOy273KNzAomaIKhtdlvuZ_zDNE/edit?usp=sharing"",""พัทลุง!J492"")"),1)</f>
        <v>1</v>
      </c>
      <c r="AP82" s="63">
        <f t="shared" ca="1" si="39"/>
        <v>100</v>
      </c>
      <c r="AQ82" s="57">
        <f ca="1">IFERROR(__xludf.DUMMYFUNCTION("IMPORTRANGE(""https://docs.google.com/spreadsheets/d/1b6QssHQp2FoAPSMKHOy273KNzAomaIKhtdlvuZ_zDNE/edit?usp=sharing"",""พัทลุง!I495"")"),270)</f>
        <v>270</v>
      </c>
      <c r="AR82" s="57">
        <f ca="1">IFERROR(__xludf.DUMMYFUNCTION("IMPORTRANGE(""https://docs.google.com/spreadsheets/d/1b6QssHQp2FoAPSMKHOy273KNzAomaIKhtdlvuZ_zDNE/edit?usp=sharing"",""พัทลุง!J495"")"),270)</f>
        <v>270</v>
      </c>
      <c r="AS82" s="63">
        <f t="shared" ca="1" si="40"/>
        <v>100</v>
      </c>
      <c r="AT82" s="57">
        <f ca="1">IFERROR(__xludf.DUMMYFUNCTION("IMPORTRANGE(""https://docs.google.com/spreadsheets/d/1b6QssHQp2FoAPSMKHOy273KNzAomaIKhtdlvuZ_zDNE/edit?usp=sharing"",""พัทลุง!J496"")"),0)</f>
        <v>0</v>
      </c>
      <c r="AU82" s="57">
        <f ca="1">IFERROR(__xludf.DUMMYFUNCTION("IMPORTRANGE(""https://docs.google.com/spreadsheets/d/1b6QssHQp2FoAPSMKHOy273KNzAomaIKhtdlvuZ_zDNE/edit?usp=sharing"",""พัทลุง!I498"")"),30)</f>
        <v>30</v>
      </c>
      <c r="AV82" s="57">
        <f ca="1">IFERROR(__xludf.DUMMYFUNCTION("IMPORTRANGE(""https://docs.google.com/spreadsheets/d/1b6QssHQp2FoAPSMKHOy273KNzAomaIKhtdlvuZ_zDNE/edit?usp=sharing"",""พัทลุง!J498"")"),30)</f>
        <v>30</v>
      </c>
      <c r="AW82" s="63">
        <f t="shared" ca="1" si="41"/>
        <v>100</v>
      </c>
      <c r="AX82" s="57">
        <f ca="1">IFERROR(__xludf.DUMMYFUNCTION("IMPORTRANGE(""https://docs.google.com/spreadsheets/d/1b6QssHQp2FoAPSMKHOy273KNzAomaIKhtdlvuZ_zDNE/edit?usp=sharing"",""พัทลุง!J499"")"),0)</f>
        <v>0</v>
      </c>
    </row>
    <row r="83" spans="1:50" ht="21" customHeight="1" x14ac:dyDescent="0.3">
      <c r="A83" s="54">
        <v>9</v>
      </c>
      <c r="B83" s="55" t="s">
        <v>104</v>
      </c>
      <c r="C83" s="56">
        <f t="shared" ca="1" si="91"/>
        <v>111463</v>
      </c>
      <c r="D83" s="57">
        <f ca="1">IFERROR(__xludf.DUMMYFUNCTION("IMPORTRANGE(""https://docs.google.com/spreadsheets/d/1o7UZe4_OqlqtLDHrj01Z2YFRSZDf1DMy1n3XViHaxRc/edit?usp=sharing"",""ภูเก็ต!L472"")"),111463)</f>
        <v>111463</v>
      </c>
      <c r="E83" s="64">
        <f ca="1">IFERROR(__xludf.DUMMYFUNCTION("IMPORTRANGE(""https://docs.google.com/spreadsheets/d/1o7UZe4_OqlqtLDHrj01Z2YFRSZDf1DMy1n3XViHaxRc/edit?usp=sharing"",""ภูเก็ต!L479"")"),0)</f>
        <v>0</v>
      </c>
      <c r="F83" s="64">
        <f ca="1">IFERROR(__xludf.DUMMYFUNCTION("IMPORTRANGE(""https://docs.google.com/spreadsheets/d/1o7UZe4_OqlqtLDHrj01Z2YFRSZDf1DMy1n3XViHaxRc/edit?usp=sharing"",""ภูเก็ต!M472"")"),111463)</f>
        <v>111463</v>
      </c>
      <c r="G83" s="64">
        <f ca="1">IFERROR(__xludf.DUMMYFUNCTION("IMPORTRANGE(""https://docs.google.com/spreadsheets/d/1o7UZe4_OqlqtLDHrj01Z2YFRSZDf1DMy1n3XViHaxRc/edit?usp=sharing"",""ภูเก็ต!M479"")"),0)</f>
        <v>0</v>
      </c>
      <c r="H83" s="58">
        <f t="shared" ca="1" si="34"/>
        <v>36230</v>
      </c>
      <c r="I83" s="59">
        <f t="shared" ca="1" si="1"/>
        <v>32.504059643110267</v>
      </c>
      <c r="J83" s="60">
        <f t="shared" ca="1" si="92"/>
        <v>36230</v>
      </c>
      <c r="K83" s="61">
        <f t="shared" ca="1" si="43"/>
        <v>32.504059643110267</v>
      </c>
      <c r="L83" s="61">
        <f t="shared" ca="1" si="44"/>
        <v>32.504059643110267</v>
      </c>
      <c r="M83" s="64">
        <f ca="1">IFERROR(__xludf.DUMMYFUNCTION("IMPORTRANGE(""https://docs.google.com/spreadsheets/d/1o7UZe4_OqlqtLDHrj01Z2YFRSZDf1DMy1n3XViHaxRc/edit?usp=sharing"",""ภูเก็ต!N473"")"),13040)</f>
        <v>13040</v>
      </c>
      <c r="N83" s="64">
        <f ca="1">IFERROR(__xludf.DUMMYFUNCTION("IMPORTRANGE(""https://docs.google.com/spreadsheets/d/1o7UZe4_OqlqtLDHrj01Z2YFRSZDf1DMy1n3XViHaxRc/edit?usp=sharing"",""ภูเก็ต!N474"")"),0)</f>
        <v>0</v>
      </c>
      <c r="O83" s="64">
        <f ca="1">IFERROR(__xludf.DUMMYFUNCTION("IMPORTRANGE(""https://docs.google.com/spreadsheets/d/1o7UZe4_OqlqtLDHrj01Z2YFRSZDf1DMy1n3XViHaxRc/edit?usp=sharing"",""ภูเก็ต!N475"")"),0)</f>
        <v>0</v>
      </c>
      <c r="P83" s="64">
        <f ca="1">IFERROR(__xludf.DUMMYFUNCTION("IMPORTRANGE(""https://docs.google.com/spreadsheets/d/1o7UZe4_OqlqtLDHrj01Z2YFRSZDf1DMy1n3XViHaxRc/edit?usp=sharing"",""ภูเก็ต!N476"")"),23190)</f>
        <v>23190</v>
      </c>
      <c r="Q83" s="62">
        <f ca="1">IFERROR(__xludf.DUMMYFUNCTION("IMPORTRANGE(""https://docs.google.com/spreadsheets/d/1o7UZe4_OqlqtLDHrj01Z2YFRSZDf1DMy1n3XViHaxRc/edit?usp=sharing"",""ภูเก็ต!N479"")"),0)</f>
        <v>0</v>
      </c>
      <c r="R83" s="62">
        <f t="shared" ca="1" si="46"/>
        <v>0</v>
      </c>
      <c r="S83" s="57">
        <f ca="1">IFERROR(__xludf.DUMMYFUNCTION("IMPORTRANGE(""https://docs.google.com/spreadsheets/d/1o7UZe4_OqlqtLDHrj01Z2YFRSZDf1DMy1n3XViHaxRc/edit?usp=sharing"",""ภูเก็ต!I465"")"),11)</f>
        <v>11</v>
      </c>
      <c r="T83" s="57">
        <f ca="1">IFERROR(__xludf.DUMMYFUNCTION("IMPORTRANGE(""https://docs.google.com/spreadsheets/d/1o7UZe4_OqlqtLDHrj01Z2YFRSZDf1DMy1n3XViHaxRc/edit?usp=sharing"",""ภูเก็ต!I466"")"),100)</f>
        <v>100</v>
      </c>
      <c r="U83" s="57">
        <f ca="1">IFERROR(__xludf.DUMMYFUNCTION("IMPORTRANGE(""https://docs.google.com/spreadsheets/d/1o7UZe4_OqlqtLDHrj01Z2YFRSZDf1DMy1n3XViHaxRc/edit?usp=sharing"",""ภูเก็ต!J465"")"),11)</f>
        <v>11</v>
      </c>
      <c r="V83" s="63">
        <f t="shared" ca="1" si="6"/>
        <v>100</v>
      </c>
      <c r="W83" s="57">
        <f ca="1">IFERROR(__xludf.DUMMYFUNCTION("IMPORTRANGE(""https://docs.google.com/spreadsheets/d/1o7UZe4_OqlqtLDHrj01Z2YFRSZDf1DMy1n3XViHaxRc/edit?usp=sharing"",""ภูเก็ต!J466"")"),0)</f>
        <v>0</v>
      </c>
      <c r="X83" s="63">
        <f t="shared" ca="1" si="7"/>
        <v>0</v>
      </c>
      <c r="Y83" s="57">
        <f ca="1">IFERROR(__xludf.DUMMYFUNCTION("IMPORTRANGE(""https://docs.google.com/spreadsheets/d/1o7UZe4_OqlqtLDHrj01Z2YFRSZDf1DMy1n3XViHaxRc/edit?usp=sharing"",""ภูเก็ต!I483"")"),90)</f>
        <v>90</v>
      </c>
      <c r="Z83" s="57">
        <f ca="1">IFERROR(__xludf.DUMMYFUNCTION("IMPORTRANGE(""https://docs.google.com/spreadsheets/d/1o7UZe4_OqlqtLDHrj01Z2YFRSZDf1DMy1n3XViHaxRc/edit?usp=sharing"",""ภูเก็ต!J483"")"),90)</f>
        <v>90</v>
      </c>
      <c r="AA83" s="63">
        <f t="shared" ca="1" si="35"/>
        <v>100</v>
      </c>
      <c r="AB83" s="57">
        <f ca="1">IFERROR(__xludf.DUMMYFUNCTION("IMPORTRANGE(""https://docs.google.com/spreadsheets/d/1o7UZe4_OqlqtLDHrj01Z2YFRSZDf1DMy1n3XViHaxRc/edit?usp=sharing"",""ภูเก็ต!J484"")"),9)</f>
        <v>9</v>
      </c>
      <c r="AC83" s="57">
        <f ca="1">IFERROR(__xludf.DUMMYFUNCTION("IMPORTRANGE(""https://docs.google.com/spreadsheets/d/1o7UZe4_OqlqtLDHrj01Z2YFRSZDf1DMy1n3XViHaxRc/edit?usp=sharing"",""ภูเก็ต!I485"")"),9)</f>
        <v>9</v>
      </c>
      <c r="AD83" s="57">
        <f ca="1">IFERROR(__xludf.DUMMYFUNCTION("IMPORTRANGE(""https://docs.google.com/spreadsheets/d/1o7UZe4_OqlqtLDHrj01Z2YFRSZDf1DMy1n3XViHaxRc/edit?usp=sharing"",""ภูเก็ต!J485"")"),9)</f>
        <v>9</v>
      </c>
      <c r="AE83" s="63">
        <f t="shared" ca="1" si="36"/>
        <v>100</v>
      </c>
      <c r="AF83" s="57">
        <f ca="1">IFERROR(__xludf.DUMMYFUNCTION("IMPORTRANGE(""https://docs.google.com/spreadsheets/d/1o7UZe4_OqlqtLDHrj01Z2YFRSZDf1DMy1n3XViHaxRc/edit?usp=sharing"",""ภูเก็ต!I487"")"),10)</f>
        <v>10</v>
      </c>
      <c r="AG83" s="57">
        <f ca="1">IFERROR(__xludf.DUMMYFUNCTION("IMPORTRANGE(""https://docs.google.com/spreadsheets/d/1o7UZe4_OqlqtLDHrj01Z2YFRSZDf1DMy1n3XViHaxRc/edit?usp=sharing"",""ภูเก็ต!J487"")"),10)</f>
        <v>10</v>
      </c>
      <c r="AH83" s="63">
        <f t="shared" ca="1" si="37"/>
        <v>100</v>
      </c>
      <c r="AI83" s="57">
        <f ca="1">IFERROR(__xludf.DUMMYFUNCTION("IMPORTRANGE(""https://docs.google.com/spreadsheets/d/1o7UZe4_OqlqtLDHrj01Z2YFRSZDf1DMy1n3XViHaxRc/edit?usp=sharing"",""ภูเก็ต!J488"")"),1)</f>
        <v>1</v>
      </c>
      <c r="AJ83" s="57">
        <f ca="1">IFERROR(__xludf.DUMMYFUNCTION("IMPORTRANGE(""https://docs.google.com/spreadsheets/d/1o7UZe4_OqlqtLDHrj01Z2YFRSZDf1DMy1n3XViHaxRc/edit?usp=sharing"",""ภูเก็ต!I489"")"),1)</f>
        <v>1</v>
      </c>
      <c r="AK83" s="57">
        <f ca="1">IFERROR(__xludf.DUMMYFUNCTION("IMPORTRANGE(""https://docs.google.com/spreadsheets/d/1o7UZe4_OqlqtLDHrj01Z2YFRSZDf1DMy1n3XViHaxRc/edit?usp=sharing"",""ภูเก็ต!J489"")"),1)</f>
        <v>1</v>
      </c>
      <c r="AL83" s="63">
        <f t="shared" ca="1" si="38"/>
        <v>100</v>
      </c>
      <c r="AM83" s="57">
        <f ca="1">IFERROR(__xludf.DUMMYFUNCTION("IMPORTRANGE(""https://docs.google.com/spreadsheets/d/1o7UZe4_OqlqtLDHrj01Z2YFRSZDf1DMy1n3XViHaxRc/edit?usp=sharing"",""ภูเก็ต!J491"")"),1)</f>
        <v>1</v>
      </c>
      <c r="AN83" s="57">
        <f ca="1">IFERROR(__xludf.DUMMYFUNCTION("IMPORTRANGE(""https://docs.google.com/spreadsheets/d/1o7UZe4_OqlqtLDHrj01Z2YFRSZDf1DMy1n3XViHaxRc/edit?usp=sharing"",""ภูเก็ต!I492"")"),1)</f>
        <v>1</v>
      </c>
      <c r="AO83" s="57">
        <f ca="1">IFERROR(__xludf.DUMMYFUNCTION("IMPORTRANGE(""https://docs.google.com/spreadsheets/d/1o7UZe4_OqlqtLDHrj01Z2YFRSZDf1DMy1n3XViHaxRc/edit?usp=sharing"",""ภูเก็ต!J492"")"),1)</f>
        <v>1</v>
      </c>
      <c r="AP83" s="63">
        <f t="shared" ca="1" si="39"/>
        <v>100</v>
      </c>
      <c r="AQ83" s="57">
        <f ca="1">IFERROR(__xludf.DUMMYFUNCTION("IMPORTRANGE(""https://docs.google.com/spreadsheets/d/1o7UZe4_OqlqtLDHrj01Z2YFRSZDf1DMy1n3XViHaxRc/edit?usp=sharing"",""ภูเก็ต!I495"")"),90)</f>
        <v>90</v>
      </c>
      <c r="AR83" s="57">
        <f ca="1">IFERROR(__xludf.DUMMYFUNCTION("IMPORTRANGE(""https://docs.google.com/spreadsheets/d/1o7UZe4_OqlqtLDHrj01Z2YFRSZDf1DMy1n3XViHaxRc/edit?usp=sharing"",""ภูเก็ต!J495"")"),0)</f>
        <v>0</v>
      </c>
      <c r="AS83" s="63">
        <f t="shared" ca="1" si="40"/>
        <v>0</v>
      </c>
      <c r="AT83" s="57">
        <f ca="1">IFERROR(__xludf.DUMMYFUNCTION("IMPORTRANGE(""https://docs.google.com/spreadsheets/d/1o7UZe4_OqlqtLDHrj01Z2YFRSZDf1DMy1n3XViHaxRc/edit?usp=sharing"",""ภูเก็ต!J496"")"),0)</f>
        <v>0</v>
      </c>
      <c r="AU83" s="57">
        <f ca="1">IFERROR(__xludf.DUMMYFUNCTION("IMPORTRANGE(""https://docs.google.com/spreadsheets/d/1o7UZe4_OqlqtLDHrj01Z2YFRSZDf1DMy1n3XViHaxRc/edit?usp=sharing"",""ภูเก็ต!I498"")"),10)</f>
        <v>10</v>
      </c>
      <c r="AV83" s="57">
        <f ca="1">IFERROR(__xludf.DUMMYFUNCTION("IMPORTRANGE(""https://docs.google.com/spreadsheets/d/1o7UZe4_OqlqtLDHrj01Z2YFRSZDf1DMy1n3XViHaxRc/edit?usp=sharing"",""ภูเก็ต!J498"")"),0)</f>
        <v>0</v>
      </c>
      <c r="AW83" s="63">
        <f t="shared" ca="1" si="41"/>
        <v>0</v>
      </c>
      <c r="AX83" s="57">
        <f ca="1">IFERROR(__xludf.DUMMYFUNCTION("IMPORTRANGE(""https://docs.google.com/spreadsheets/d/1o7UZe4_OqlqtLDHrj01Z2YFRSZDf1DMy1n3XViHaxRc/edit?usp=sharing"",""ภูเก็ต!J499"")"),0)</f>
        <v>0</v>
      </c>
    </row>
    <row r="84" spans="1:50" ht="21" customHeight="1" x14ac:dyDescent="0.3">
      <c r="A84" s="54">
        <v>10</v>
      </c>
      <c r="B84" s="55" t="s">
        <v>105</v>
      </c>
      <c r="C84" s="56">
        <f t="shared" ca="1" si="91"/>
        <v>114463</v>
      </c>
      <c r="D84" s="57">
        <f ca="1">IFERROR(__xludf.DUMMYFUNCTION("IMPORTRANGE(""https://docs.google.com/spreadsheets/d/1ctPm1vUzcUCPuOj9-eoHUD85PqINFqUB0TjdSWmR5-c/edit?usp=sharing"",""ยะลา!L472"")"),114463)</f>
        <v>114463</v>
      </c>
      <c r="E84" s="64">
        <f ca="1">IFERROR(__xludf.DUMMYFUNCTION("IMPORTRANGE(""https://docs.google.com/spreadsheets/d/1ctPm1vUzcUCPuOj9-eoHUD85PqINFqUB0TjdSWmR5-c/edit?usp=sharing"",""ยะลา!L479"")"),0)</f>
        <v>0</v>
      </c>
      <c r="F84" s="64">
        <f ca="1">IFERROR(__xludf.DUMMYFUNCTION("IMPORTRANGE(""https://docs.google.com/spreadsheets/d/1ctPm1vUzcUCPuOj9-eoHUD85PqINFqUB0TjdSWmR5-c/edit?usp=sharing"",""ยะลา!M472"")"),114463)</f>
        <v>114463</v>
      </c>
      <c r="G84" s="64">
        <f ca="1">IFERROR(__xludf.DUMMYFUNCTION("IMPORTRANGE(""https://docs.google.com/spreadsheets/d/1ctPm1vUzcUCPuOj9-eoHUD85PqINFqUB0TjdSWmR5-c/edit?usp=sharing"",""ยะลา!M479"")"),0)</f>
        <v>0</v>
      </c>
      <c r="H84" s="58">
        <f t="shared" ca="1" si="34"/>
        <v>112145</v>
      </c>
      <c r="I84" s="59">
        <f t="shared" ca="1" si="1"/>
        <v>97.974891449638747</v>
      </c>
      <c r="J84" s="60">
        <f t="shared" ca="1" si="92"/>
        <v>112145</v>
      </c>
      <c r="K84" s="61">
        <f t="shared" ca="1" si="43"/>
        <v>97.974891449638747</v>
      </c>
      <c r="L84" s="61">
        <f t="shared" ca="1" si="44"/>
        <v>97.974891449638747</v>
      </c>
      <c r="M84" s="64">
        <f ca="1">IFERROR(__xludf.DUMMYFUNCTION("IMPORTRANGE(""https://docs.google.com/spreadsheets/d/1ctPm1vUzcUCPuOj9-eoHUD85PqINFqUB0TjdSWmR5-c/edit?usp=sharing"",""ยะลา!N473"")"),14293)</f>
        <v>14293</v>
      </c>
      <c r="N84" s="64">
        <f ca="1">IFERROR(__xludf.DUMMYFUNCTION("IMPORTRANGE(""https://docs.google.com/spreadsheets/d/1ctPm1vUzcUCPuOj9-eoHUD85PqINFqUB0TjdSWmR5-c/edit?usp=sharing"",""ยะลา!N474"")"),66000)</f>
        <v>66000</v>
      </c>
      <c r="O84" s="64">
        <f ca="1">IFERROR(__xludf.DUMMYFUNCTION("IMPORTRANGE(""https://docs.google.com/spreadsheets/d/1ctPm1vUzcUCPuOj9-eoHUD85PqINFqUB0TjdSWmR5-c/edit?usp=sharing"",""ยะลา!N475"")"),0)</f>
        <v>0</v>
      </c>
      <c r="P84" s="64">
        <f ca="1">IFERROR(__xludf.DUMMYFUNCTION("IMPORTRANGE(""https://docs.google.com/spreadsheets/d/1ctPm1vUzcUCPuOj9-eoHUD85PqINFqUB0TjdSWmR5-c/edit?usp=sharing"",""ยะลา!N476"")"),31852)</f>
        <v>31852</v>
      </c>
      <c r="Q84" s="62">
        <f ca="1">IFERROR(__xludf.DUMMYFUNCTION("IMPORTRANGE(""https://docs.google.com/spreadsheets/d/1ctPm1vUzcUCPuOj9-eoHUD85PqINFqUB0TjdSWmR5-c/edit?usp=sharing"",""ยะลา!N479"")"),0)</f>
        <v>0</v>
      </c>
      <c r="R84" s="62">
        <f t="shared" ca="1" si="46"/>
        <v>0</v>
      </c>
      <c r="S84" s="57">
        <f ca="1">IFERROR(__xludf.DUMMYFUNCTION("IMPORTRANGE(""https://docs.google.com/spreadsheets/d/1ctPm1vUzcUCPuOj9-eoHUD85PqINFqUB0TjdSWmR5-c/edit?usp=sharing"",""ยะลา!I465"")"),11)</f>
        <v>11</v>
      </c>
      <c r="T84" s="57">
        <f ca="1">IFERROR(__xludf.DUMMYFUNCTION("IMPORTRANGE(""https://docs.google.com/spreadsheets/d/1ctPm1vUzcUCPuOj9-eoHUD85PqINFqUB0TjdSWmR5-c/edit?usp=sharing"",""ยะลา!I466"")"),100)</f>
        <v>100</v>
      </c>
      <c r="U84" s="57">
        <f ca="1">IFERROR(__xludf.DUMMYFUNCTION("IMPORTRANGE(""https://docs.google.com/spreadsheets/d/1ctPm1vUzcUCPuOj9-eoHUD85PqINFqUB0TjdSWmR5-c/edit?usp=sharing"",""ยะลา!J465"")"),11)</f>
        <v>11</v>
      </c>
      <c r="V84" s="63">
        <f t="shared" ca="1" si="6"/>
        <v>100</v>
      </c>
      <c r="W84" s="57">
        <f ca="1">IFERROR(__xludf.DUMMYFUNCTION("IMPORTRANGE(""https://docs.google.com/spreadsheets/d/1ctPm1vUzcUCPuOj9-eoHUD85PqINFqUB0TjdSWmR5-c/edit?usp=sharing"",""ยะลา!J466"")"),100)</f>
        <v>100</v>
      </c>
      <c r="X84" s="63">
        <f t="shared" ca="1" si="7"/>
        <v>100</v>
      </c>
      <c r="Y84" s="57">
        <f ca="1">IFERROR(__xludf.DUMMYFUNCTION("IMPORTRANGE(""https://docs.google.com/spreadsheets/d/1ctPm1vUzcUCPuOj9-eoHUD85PqINFqUB0TjdSWmR5-c/edit?usp=sharing"",""ยะลา!I483"")"),90)</f>
        <v>90</v>
      </c>
      <c r="Z84" s="57">
        <f ca="1">IFERROR(__xludf.DUMMYFUNCTION("IMPORTRANGE(""https://docs.google.com/spreadsheets/d/1ctPm1vUzcUCPuOj9-eoHUD85PqINFqUB0TjdSWmR5-c/edit?usp=sharing"",""ยะลา!J483"")"),90)</f>
        <v>90</v>
      </c>
      <c r="AA84" s="63">
        <f t="shared" ca="1" si="35"/>
        <v>100</v>
      </c>
      <c r="AB84" s="57">
        <f ca="1">IFERROR(__xludf.DUMMYFUNCTION("IMPORTRANGE(""https://docs.google.com/spreadsheets/d/1ctPm1vUzcUCPuOj9-eoHUD85PqINFqUB0TjdSWmR5-c/edit?usp=sharing"",""ยะลา!J484"")"),9)</f>
        <v>9</v>
      </c>
      <c r="AC84" s="57">
        <f ca="1">IFERROR(__xludf.DUMMYFUNCTION("IMPORTRANGE(""https://docs.google.com/spreadsheets/d/1ctPm1vUzcUCPuOj9-eoHUD85PqINFqUB0TjdSWmR5-c/edit?usp=sharing"",""ยะลา!I485"")"),9)</f>
        <v>9</v>
      </c>
      <c r="AD84" s="57">
        <f ca="1">IFERROR(__xludf.DUMMYFUNCTION("IMPORTRANGE(""https://docs.google.com/spreadsheets/d/1ctPm1vUzcUCPuOj9-eoHUD85PqINFqUB0TjdSWmR5-c/edit?usp=sharing"",""ยะลา!J485"")"),9)</f>
        <v>9</v>
      </c>
      <c r="AE84" s="63">
        <f t="shared" ca="1" si="36"/>
        <v>100</v>
      </c>
      <c r="AF84" s="57">
        <f ca="1">IFERROR(__xludf.DUMMYFUNCTION("IMPORTRANGE(""https://docs.google.com/spreadsheets/d/1ctPm1vUzcUCPuOj9-eoHUD85PqINFqUB0TjdSWmR5-c/edit?usp=sharing"",""ยะลา!I487"")"),10)</f>
        <v>10</v>
      </c>
      <c r="AG84" s="57">
        <f ca="1">IFERROR(__xludf.DUMMYFUNCTION("IMPORTRANGE(""https://docs.google.com/spreadsheets/d/1ctPm1vUzcUCPuOj9-eoHUD85PqINFqUB0TjdSWmR5-c/edit?usp=sharing"",""ยะลา!J487"")"),10)</f>
        <v>10</v>
      </c>
      <c r="AH84" s="63">
        <f t="shared" ca="1" si="37"/>
        <v>100</v>
      </c>
      <c r="AI84" s="57">
        <f ca="1">IFERROR(__xludf.DUMMYFUNCTION("IMPORTRANGE(""https://docs.google.com/spreadsheets/d/1ctPm1vUzcUCPuOj9-eoHUD85PqINFqUB0TjdSWmR5-c/edit?usp=sharing"",""ยะลา!J488"")"),1)</f>
        <v>1</v>
      </c>
      <c r="AJ84" s="57">
        <f ca="1">IFERROR(__xludf.DUMMYFUNCTION("IMPORTRANGE(""https://docs.google.com/spreadsheets/d/1ctPm1vUzcUCPuOj9-eoHUD85PqINFqUB0TjdSWmR5-c/edit?usp=sharing"",""ยะลา!I489"")"),1)</f>
        <v>1</v>
      </c>
      <c r="AK84" s="57">
        <f ca="1">IFERROR(__xludf.DUMMYFUNCTION("IMPORTRANGE(""https://docs.google.com/spreadsheets/d/1ctPm1vUzcUCPuOj9-eoHUD85PqINFqUB0TjdSWmR5-c/edit?usp=sharing"",""ยะลา!J489"")"),1)</f>
        <v>1</v>
      </c>
      <c r="AL84" s="63">
        <f t="shared" ca="1" si="38"/>
        <v>100</v>
      </c>
      <c r="AM84" s="57">
        <f ca="1">IFERROR(__xludf.DUMMYFUNCTION("IMPORTRANGE(""https://docs.google.com/spreadsheets/d/1ctPm1vUzcUCPuOj9-eoHUD85PqINFqUB0TjdSWmR5-c/edit?usp=sharing"",""ยะลา!J491"")"),1)</f>
        <v>1</v>
      </c>
      <c r="AN84" s="57">
        <f ca="1">IFERROR(__xludf.DUMMYFUNCTION("IMPORTRANGE(""https://docs.google.com/spreadsheets/d/1ctPm1vUzcUCPuOj9-eoHUD85PqINFqUB0TjdSWmR5-c/edit?usp=sharing"",""ยะลา!I492"")"),1)</f>
        <v>1</v>
      </c>
      <c r="AO84" s="57">
        <f ca="1">IFERROR(__xludf.DUMMYFUNCTION("IMPORTRANGE(""https://docs.google.com/spreadsheets/d/1ctPm1vUzcUCPuOj9-eoHUD85PqINFqUB0TjdSWmR5-c/edit?usp=sharing"",""ยะลา!J492"")"),1)</f>
        <v>1</v>
      </c>
      <c r="AP84" s="63">
        <f t="shared" ca="1" si="39"/>
        <v>100</v>
      </c>
      <c r="AQ84" s="57">
        <f ca="1">IFERROR(__xludf.DUMMYFUNCTION("IMPORTRANGE(""https://docs.google.com/spreadsheets/d/1ctPm1vUzcUCPuOj9-eoHUD85PqINFqUB0TjdSWmR5-c/edit?usp=sharing"",""ยะลา!I495"")"),90)</f>
        <v>90</v>
      </c>
      <c r="AR84" s="57">
        <f ca="1">IFERROR(__xludf.DUMMYFUNCTION("IMPORTRANGE(""https://docs.google.com/spreadsheets/d/1ctPm1vUzcUCPuOj9-eoHUD85PqINFqUB0TjdSWmR5-c/edit?usp=sharing"",""ยะลา!J495"")"),90)</f>
        <v>90</v>
      </c>
      <c r="AS84" s="63">
        <f t="shared" ca="1" si="40"/>
        <v>100</v>
      </c>
      <c r="AT84" s="57">
        <f ca="1">IFERROR(__xludf.DUMMYFUNCTION("IMPORTRANGE(""https://docs.google.com/spreadsheets/d/1ctPm1vUzcUCPuOj9-eoHUD85PqINFqUB0TjdSWmR5-c/edit?usp=sharing"",""ยะลา!J496"")"),0)</f>
        <v>0</v>
      </c>
      <c r="AU84" s="57">
        <f ca="1">IFERROR(__xludf.DUMMYFUNCTION("IMPORTRANGE(""https://docs.google.com/spreadsheets/d/1ctPm1vUzcUCPuOj9-eoHUD85PqINFqUB0TjdSWmR5-c/edit?usp=sharing"",""ยะลา!I498"")"),10)</f>
        <v>10</v>
      </c>
      <c r="AV84" s="57">
        <f ca="1">IFERROR(__xludf.DUMMYFUNCTION("IMPORTRANGE(""https://docs.google.com/spreadsheets/d/1ctPm1vUzcUCPuOj9-eoHUD85PqINFqUB0TjdSWmR5-c/edit?usp=sharing"",""ยะลา!J498"")"),10)</f>
        <v>10</v>
      </c>
      <c r="AW84" s="63">
        <f t="shared" ca="1" si="41"/>
        <v>100</v>
      </c>
      <c r="AX84" s="57">
        <f ca="1">IFERROR(__xludf.DUMMYFUNCTION("IMPORTRANGE(""https://docs.google.com/spreadsheets/d/1ctPm1vUzcUCPuOj9-eoHUD85PqINFqUB0TjdSWmR5-c/edit?usp=sharing"",""ยะลา!J499"")"),0)</f>
        <v>0</v>
      </c>
    </row>
    <row r="85" spans="1:50" ht="21" customHeight="1" x14ac:dyDescent="0.3">
      <c r="A85" s="54">
        <v>11</v>
      </c>
      <c r="B85" s="55" t="s">
        <v>106</v>
      </c>
      <c r="C85" s="56">
        <f t="shared" ca="1" si="91"/>
        <v>1172908</v>
      </c>
      <c r="D85" s="57">
        <f ca="1">IFERROR(__xludf.DUMMYFUNCTION("IMPORTRANGE(""https://docs.google.com/spreadsheets/d/1YiDIE7Klmt8osgdapRqYWNr7iPGFSsiJqq46S7PYRE0/edit?usp=sharing"",""ระนอง!L472"")"),1172908)</f>
        <v>1172908</v>
      </c>
      <c r="E85" s="64">
        <f ca="1">IFERROR(__xludf.DUMMYFUNCTION("IMPORTRANGE(""https://docs.google.com/spreadsheets/d/1YiDIE7Klmt8osgdapRqYWNr7iPGFSsiJqq46S7PYRE0/edit?usp=sharing"",""ระนอง!L479"")"),0)</f>
        <v>0</v>
      </c>
      <c r="F85" s="64">
        <f ca="1">IFERROR(__xludf.DUMMYFUNCTION("IMPORTRANGE(""https://docs.google.com/spreadsheets/d/1YiDIE7Klmt8osgdapRqYWNr7iPGFSsiJqq46S7PYRE0/edit?usp=sharing"",""ระนอง!M472"")"),1172908)</f>
        <v>1172908</v>
      </c>
      <c r="G85" s="64">
        <f ca="1">IFERROR(__xludf.DUMMYFUNCTION("IMPORTRANGE(""https://docs.google.com/spreadsheets/d/1YiDIE7Klmt8osgdapRqYWNr7iPGFSsiJqq46S7PYRE0/edit?usp=sharing"",""ระนอง!M479"")"),0)</f>
        <v>0</v>
      </c>
      <c r="H85" s="58">
        <f t="shared" ca="1" si="34"/>
        <v>254094.72</v>
      </c>
      <c r="I85" s="59">
        <f t="shared" ca="1" si="1"/>
        <v>21.663653074239413</v>
      </c>
      <c r="J85" s="60">
        <f t="shared" ca="1" si="92"/>
        <v>254094.72</v>
      </c>
      <c r="K85" s="61">
        <f t="shared" ca="1" si="43"/>
        <v>21.663653074239413</v>
      </c>
      <c r="L85" s="61">
        <f t="shared" ca="1" si="44"/>
        <v>21.663653074239413</v>
      </c>
      <c r="M85" s="64">
        <f ca="1">IFERROR(__xludf.DUMMYFUNCTION("IMPORTRANGE(""https://docs.google.com/spreadsheets/d/1YiDIE7Klmt8osgdapRqYWNr7iPGFSsiJqq46S7PYRE0/edit?usp=sharing"",""ระนอง!N473"")"),161485)</f>
        <v>161485</v>
      </c>
      <c r="N85" s="64">
        <f ca="1">IFERROR(__xludf.DUMMYFUNCTION("IMPORTRANGE(""https://docs.google.com/spreadsheets/d/1YiDIE7Klmt8osgdapRqYWNr7iPGFSsiJqq46S7PYRE0/edit?usp=sharing"",""ระนอง!N474"")"),0)</f>
        <v>0</v>
      </c>
      <c r="O85" s="64">
        <f ca="1">IFERROR(__xludf.DUMMYFUNCTION("IMPORTRANGE(""https://docs.google.com/spreadsheets/d/1YiDIE7Klmt8osgdapRqYWNr7iPGFSsiJqq46S7PYRE0/edit?usp=sharing"",""ระนอง!N475"")"),65000)</f>
        <v>65000</v>
      </c>
      <c r="P85" s="64">
        <f ca="1">IFERROR(__xludf.DUMMYFUNCTION("IMPORTRANGE(""https://docs.google.com/spreadsheets/d/1YiDIE7Klmt8osgdapRqYWNr7iPGFSsiJqq46S7PYRE0/edit?usp=sharing"",""ระนอง!N476"")"),27609.72)</f>
        <v>27609.72</v>
      </c>
      <c r="Q85" s="62">
        <f ca="1">IFERROR(__xludf.DUMMYFUNCTION("IMPORTRANGE(""https://docs.google.com/spreadsheets/d/1YiDIE7Klmt8osgdapRqYWNr7iPGFSsiJqq46S7PYRE0/edit?usp=sharing"",""ระนอง!N479"")"),0)</f>
        <v>0</v>
      </c>
      <c r="R85" s="62">
        <f t="shared" ca="1" si="46"/>
        <v>0</v>
      </c>
      <c r="S85" s="57">
        <f ca="1">IFERROR(__xludf.DUMMYFUNCTION("IMPORTRANGE(""https://docs.google.com/spreadsheets/d/1YiDIE7Klmt8osgdapRqYWNr7iPGFSsiJqq46S7PYRE0/edit?usp=sharing"",""ระนอง!I465"")"),131)</f>
        <v>131</v>
      </c>
      <c r="T85" s="57">
        <f ca="1">IFERROR(__xludf.DUMMYFUNCTION("IMPORTRANGE(""https://docs.google.com/spreadsheets/d/1YiDIE7Klmt8osgdapRqYWNr7iPGFSsiJqq46S7PYRE0/edit?usp=sharing"",""ระนอง!I466"")"),1300)</f>
        <v>1300</v>
      </c>
      <c r="U85" s="57">
        <f ca="1">IFERROR(__xludf.DUMMYFUNCTION("IMPORTRANGE(""https://docs.google.com/spreadsheets/d/1YiDIE7Klmt8osgdapRqYWNr7iPGFSsiJqq46S7PYRE0/edit?usp=sharing"",""ระนอง!J465"")"),131)</f>
        <v>131</v>
      </c>
      <c r="V85" s="63">
        <f t="shared" ca="1" si="6"/>
        <v>100</v>
      </c>
      <c r="W85" s="57">
        <f ca="1">IFERROR(__xludf.DUMMYFUNCTION("IMPORTRANGE(""https://docs.google.com/spreadsheets/d/1YiDIE7Klmt8osgdapRqYWNr7iPGFSsiJqq46S7PYRE0/edit?usp=sharing"",""ระนอง!J466"")"),0)</f>
        <v>0</v>
      </c>
      <c r="X85" s="63">
        <f t="shared" ca="1" si="7"/>
        <v>0</v>
      </c>
      <c r="Y85" s="57">
        <f ca="1">IFERROR(__xludf.DUMMYFUNCTION("IMPORTRANGE(""https://docs.google.com/spreadsheets/d/1YiDIE7Klmt8osgdapRqYWNr7iPGFSsiJqq46S7PYRE0/edit?usp=sharing"",""ระนอง!I483"")"),1170)</f>
        <v>1170</v>
      </c>
      <c r="Z85" s="57">
        <f ca="1">IFERROR(__xludf.DUMMYFUNCTION("IMPORTRANGE(""https://docs.google.com/spreadsheets/d/1YiDIE7Klmt8osgdapRqYWNr7iPGFSsiJqq46S7PYRE0/edit?usp=sharing"",""ระนอง!J483"")"),1455)</f>
        <v>1455</v>
      </c>
      <c r="AA85" s="63">
        <f t="shared" ca="1" si="35"/>
        <v>124.35897435897436</v>
      </c>
      <c r="AB85" s="57">
        <f ca="1">IFERROR(__xludf.DUMMYFUNCTION("IMPORTRANGE(""https://docs.google.com/spreadsheets/d/1YiDIE7Klmt8osgdapRqYWNr7iPGFSsiJqq46S7PYRE0/edit?usp=sharing"",""ระนอง!J484"")"),0)</f>
        <v>0</v>
      </c>
      <c r="AC85" s="57">
        <f ca="1">IFERROR(__xludf.DUMMYFUNCTION("IMPORTRANGE(""https://docs.google.com/spreadsheets/d/1YiDIE7Klmt8osgdapRqYWNr7iPGFSsiJqq46S7PYRE0/edit?usp=sharing"",""ระนอง!I485"")"),117)</f>
        <v>117</v>
      </c>
      <c r="AD85" s="57">
        <f ca="1">IFERROR(__xludf.DUMMYFUNCTION("IMPORTRANGE(""https://docs.google.com/spreadsheets/d/1YiDIE7Klmt8osgdapRqYWNr7iPGFSsiJqq46S7PYRE0/edit?usp=sharing"",""ระนอง!J485"")"),117)</f>
        <v>117</v>
      </c>
      <c r="AE85" s="63">
        <f t="shared" ca="1" si="36"/>
        <v>100</v>
      </c>
      <c r="AF85" s="57">
        <f ca="1">IFERROR(__xludf.DUMMYFUNCTION("IMPORTRANGE(""https://docs.google.com/spreadsheets/d/1YiDIE7Klmt8osgdapRqYWNr7iPGFSsiJqq46S7PYRE0/edit?usp=sharing"",""ระนอง!I487"")"),130)</f>
        <v>130</v>
      </c>
      <c r="AG85" s="57">
        <f ca="1">IFERROR(__xludf.DUMMYFUNCTION("IMPORTRANGE(""https://docs.google.com/spreadsheets/d/1YiDIE7Klmt8osgdapRqYWNr7iPGFSsiJqq46S7PYRE0/edit?usp=sharing"",""ระนอง!J487"")"),159)</f>
        <v>159</v>
      </c>
      <c r="AH85" s="63">
        <f t="shared" ca="1" si="37"/>
        <v>122.30769230769231</v>
      </c>
      <c r="AI85" s="57">
        <f ca="1">IFERROR(__xludf.DUMMYFUNCTION("IMPORTRANGE(""https://docs.google.com/spreadsheets/d/1YiDIE7Klmt8osgdapRqYWNr7iPGFSsiJqq46S7PYRE0/edit?usp=sharing"",""ระนอง!J488"")"),0)</f>
        <v>0</v>
      </c>
      <c r="AJ85" s="57">
        <f ca="1">IFERROR(__xludf.DUMMYFUNCTION("IMPORTRANGE(""https://docs.google.com/spreadsheets/d/1YiDIE7Klmt8osgdapRqYWNr7iPGFSsiJqq46S7PYRE0/edit?usp=sharing"",""ระนอง!I489"")"),13)</f>
        <v>13</v>
      </c>
      <c r="AK85" s="57">
        <f ca="1">IFERROR(__xludf.DUMMYFUNCTION("IMPORTRANGE(""https://docs.google.com/spreadsheets/d/1YiDIE7Klmt8osgdapRqYWNr7iPGFSsiJqq46S7PYRE0/edit?usp=sharing"",""ระนอง!J489"")"),13)</f>
        <v>13</v>
      </c>
      <c r="AL85" s="63">
        <f t="shared" ca="1" si="38"/>
        <v>100</v>
      </c>
      <c r="AM85" s="57">
        <f ca="1">IFERROR(__xludf.DUMMYFUNCTION("IMPORTRANGE(""https://docs.google.com/spreadsheets/d/1YiDIE7Klmt8osgdapRqYWNr7iPGFSsiJqq46S7PYRE0/edit?usp=sharing"",""ระนอง!J491"")"),1)</f>
        <v>1</v>
      </c>
      <c r="AN85" s="57">
        <f ca="1">IFERROR(__xludf.DUMMYFUNCTION("IMPORTRANGE(""https://docs.google.com/spreadsheets/d/1YiDIE7Klmt8osgdapRqYWNr7iPGFSsiJqq46S7PYRE0/edit?usp=sharing"",""ระนอง!I492"")"),1)</f>
        <v>1</v>
      </c>
      <c r="AO85" s="57">
        <f ca="1">IFERROR(__xludf.DUMMYFUNCTION("IMPORTRANGE(""https://docs.google.com/spreadsheets/d/1YiDIE7Klmt8osgdapRqYWNr7iPGFSsiJqq46S7PYRE0/edit?usp=sharing"",""ระนอง!J492"")"),1)</f>
        <v>1</v>
      </c>
      <c r="AP85" s="63">
        <f t="shared" ca="1" si="39"/>
        <v>100</v>
      </c>
      <c r="AQ85" s="57">
        <f ca="1">IFERROR(__xludf.DUMMYFUNCTION("IMPORTRANGE(""https://docs.google.com/spreadsheets/d/1YiDIE7Klmt8osgdapRqYWNr7iPGFSsiJqq46S7PYRE0/edit?usp=sharing"",""ระนอง!I495"")"),1170)</f>
        <v>1170</v>
      </c>
      <c r="AR85" s="57">
        <f ca="1">IFERROR(__xludf.DUMMYFUNCTION("IMPORTRANGE(""https://docs.google.com/spreadsheets/d/1YiDIE7Klmt8osgdapRqYWNr7iPGFSsiJqq46S7PYRE0/edit?usp=sharing"",""ระนอง!J495"")"),0)</f>
        <v>0</v>
      </c>
      <c r="AS85" s="63">
        <f t="shared" ca="1" si="40"/>
        <v>0</v>
      </c>
      <c r="AT85" s="57">
        <f ca="1">IFERROR(__xludf.DUMMYFUNCTION("IMPORTRANGE(""https://docs.google.com/spreadsheets/d/1YiDIE7Klmt8osgdapRqYWNr7iPGFSsiJqq46S7PYRE0/edit?usp=sharing"",""ระนอง!J496"")"),0)</f>
        <v>0</v>
      </c>
      <c r="AU85" s="57">
        <f ca="1">IFERROR(__xludf.DUMMYFUNCTION("IMPORTRANGE(""https://docs.google.com/spreadsheets/d/1YiDIE7Klmt8osgdapRqYWNr7iPGFSsiJqq46S7PYRE0/edit?usp=sharing"",""ระนอง!I498"")"),130)</f>
        <v>130</v>
      </c>
      <c r="AV85" s="57">
        <f ca="1">IFERROR(__xludf.DUMMYFUNCTION("IMPORTRANGE(""https://docs.google.com/spreadsheets/d/1YiDIE7Klmt8osgdapRqYWNr7iPGFSsiJqq46S7PYRE0/edit?usp=sharing"",""ระนอง!J498"")"),0)</f>
        <v>0</v>
      </c>
      <c r="AW85" s="63">
        <f t="shared" ca="1" si="41"/>
        <v>0</v>
      </c>
      <c r="AX85" s="57">
        <f ca="1">IFERROR(__xludf.DUMMYFUNCTION("IMPORTRANGE(""https://docs.google.com/spreadsheets/d/1YiDIE7Klmt8osgdapRqYWNr7iPGFSsiJqq46S7PYRE0/edit?usp=sharing"",""ระนอง!J499"")"),0)</f>
        <v>0</v>
      </c>
    </row>
    <row r="86" spans="1:50" ht="24" customHeight="1" x14ac:dyDescent="0.3">
      <c r="A86" s="54">
        <v>12</v>
      </c>
      <c r="B86" s="55" t="s">
        <v>107</v>
      </c>
      <c r="C86" s="56">
        <f t="shared" ca="1" si="91"/>
        <v>189883</v>
      </c>
      <c r="D86" s="57">
        <f ca="1">IFERROR(__xludf.DUMMYFUNCTION("IMPORTRANGE(""https://docs.google.com/spreadsheets/d/16o_4B-V7AWw_6E93bSpXj_XxVv1oVQctk-B6z1dNEWU/edit?usp=sharing"",""สงขลา!L472"")"),189883)</f>
        <v>189883</v>
      </c>
      <c r="E86" s="64">
        <f ca="1">IFERROR(__xludf.DUMMYFUNCTION("IMPORTRANGE(""https://docs.google.com/spreadsheets/d/16o_4B-V7AWw_6E93bSpXj_XxVv1oVQctk-B6z1dNEWU/edit?usp=sharing"",""สงขลา!L479"")"),0)</f>
        <v>0</v>
      </c>
      <c r="F86" s="64">
        <f ca="1">IFERROR(__xludf.DUMMYFUNCTION("IMPORTRANGE(""https://docs.google.com/spreadsheets/d/16o_4B-V7AWw_6E93bSpXj_XxVv1oVQctk-B6z1dNEWU/edit?usp=sharing"",""สงขลา!M472"")"),189883)</f>
        <v>189883</v>
      </c>
      <c r="G86" s="64">
        <f ca="1">IFERROR(__xludf.DUMMYFUNCTION("IMPORTRANGE(""https://docs.google.com/spreadsheets/d/16o_4B-V7AWw_6E93bSpXj_XxVv1oVQctk-B6z1dNEWU/edit?usp=sharing"",""สงขลา!M479"")"),0)</f>
        <v>0</v>
      </c>
      <c r="H86" s="58">
        <f t="shared" ca="1" si="34"/>
        <v>76353</v>
      </c>
      <c r="I86" s="59">
        <f t="shared" ca="1" si="1"/>
        <v>40.210550707540961</v>
      </c>
      <c r="J86" s="60">
        <f t="shared" ca="1" si="92"/>
        <v>76353</v>
      </c>
      <c r="K86" s="61">
        <f t="shared" ca="1" si="43"/>
        <v>40.210550707540961</v>
      </c>
      <c r="L86" s="61">
        <f t="shared" ca="1" si="44"/>
        <v>40.210550707540961</v>
      </c>
      <c r="M86" s="64">
        <f ca="1">IFERROR(__xludf.DUMMYFUNCTION("IMPORTRANGE(""https://docs.google.com/spreadsheets/d/16o_4B-V7AWw_6E93bSpXj_XxVv1oVQctk-B6z1dNEWU/edit?usp=sharing"",""สงขลา!N473"")"),41143)</f>
        <v>41143</v>
      </c>
      <c r="N86" s="64">
        <f ca="1">IFERROR(__xludf.DUMMYFUNCTION("IMPORTRANGE(""https://docs.google.com/spreadsheets/d/16o_4B-V7AWw_6E93bSpXj_XxVv1oVQctk-B6z1dNEWU/edit?usp=sharing"",""สงขลา!N474"")"),24000)</f>
        <v>24000</v>
      </c>
      <c r="O86" s="64">
        <f ca="1">IFERROR(__xludf.DUMMYFUNCTION("IMPORTRANGE(""https://docs.google.com/spreadsheets/d/16o_4B-V7AWw_6E93bSpXj_XxVv1oVQctk-B6z1dNEWU/edit?usp=sharing"",""สงขลา!N475"")"),0)</f>
        <v>0</v>
      </c>
      <c r="P86" s="64">
        <f ca="1">IFERROR(__xludf.DUMMYFUNCTION("IMPORTRANGE(""https://docs.google.com/spreadsheets/d/16o_4B-V7AWw_6E93bSpXj_XxVv1oVQctk-B6z1dNEWU/edit?usp=sharing"",""สงขลา!N476"")"),11210)</f>
        <v>11210</v>
      </c>
      <c r="Q86" s="62">
        <f ca="1">IFERROR(__xludf.DUMMYFUNCTION("IMPORTRANGE(""https://docs.google.com/spreadsheets/d/16o_4B-V7AWw_6E93bSpXj_XxVv1oVQctk-B6z1dNEWU/edit?usp=sharing"",""สงขลา!N479"")"),0)</f>
        <v>0</v>
      </c>
      <c r="R86" s="62">
        <f t="shared" ca="1" si="46"/>
        <v>0</v>
      </c>
      <c r="S86" s="57">
        <f ca="1">IFERROR(__xludf.DUMMYFUNCTION("IMPORTRANGE(""https://docs.google.com/spreadsheets/d/16o_4B-V7AWw_6E93bSpXj_XxVv1oVQctk-B6z1dNEWU/edit?usp=sharing"",""สงขลา!I465"")"),21)</f>
        <v>21</v>
      </c>
      <c r="T86" s="57">
        <f ca="1">IFERROR(__xludf.DUMMYFUNCTION("IMPORTRANGE(""https://docs.google.com/spreadsheets/d/16o_4B-V7AWw_6E93bSpXj_XxVv1oVQctk-B6z1dNEWU/edit?usp=sharing"",""สงขลา!I466"")"),200)</f>
        <v>200</v>
      </c>
      <c r="U86" s="57">
        <f ca="1">IFERROR(__xludf.DUMMYFUNCTION("IMPORTRANGE(""https://docs.google.com/spreadsheets/d/16o_4B-V7AWw_6E93bSpXj_XxVv1oVQctk-B6z1dNEWU/edit?usp=sharing"",""สงขลา!J465"")"),21)</f>
        <v>21</v>
      </c>
      <c r="V86" s="63">
        <f t="shared" ca="1" si="6"/>
        <v>100</v>
      </c>
      <c r="W86" s="57">
        <f ca="1">IFERROR(__xludf.DUMMYFUNCTION("IMPORTRANGE(""https://docs.google.com/spreadsheets/d/16o_4B-V7AWw_6E93bSpXj_XxVv1oVQctk-B6z1dNEWU/edit?usp=sharing"",""สงขลา!J466"")"),0)</f>
        <v>0</v>
      </c>
      <c r="X86" s="63">
        <f t="shared" ca="1" si="7"/>
        <v>0</v>
      </c>
      <c r="Y86" s="57">
        <f ca="1">IFERROR(__xludf.DUMMYFUNCTION("IMPORTRANGE(""https://docs.google.com/spreadsheets/d/16o_4B-V7AWw_6E93bSpXj_XxVv1oVQctk-B6z1dNEWU/edit?usp=sharing"",""สงขลา!I483"")"),180)</f>
        <v>180</v>
      </c>
      <c r="Z86" s="57">
        <f ca="1">IFERROR(__xludf.DUMMYFUNCTION("IMPORTRANGE(""https://docs.google.com/spreadsheets/d/16o_4B-V7AWw_6E93bSpXj_XxVv1oVQctk-B6z1dNEWU/edit?usp=sharing"",""สงขลา!J483"")"),181.36)</f>
        <v>181.36</v>
      </c>
      <c r="AA86" s="63">
        <f t="shared" ca="1" si="35"/>
        <v>100.75555555555556</v>
      </c>
      <c r="AB86" s="57">
        <f ca="1">IFERROR(__xludf.DUMMYFUNCTION("IMPORTRANGE(""https://docs.google.com/spreadsheets/d/16o_4B-V7AWw_6E93bSpXj_XxVv1oVQctk-B6z1dNEWU/edit?usp=sharing"",""สงขลา!J484"")"),21)</f>
        <v>21</v>
      </c>
      <c r="AC86" s="57">
        <f ca="1">IFERROR(__xludf.DUMMYFUNCTION("IMPORTRANGE(""https://docs.google.com/spreadsheets/d/16o_4B-V7AWw_6E93bSpXj_XxVv1oVQctk-B6z1dNEWU/edit?usp=sharing"",""สงขลา!I485"")"),18)</f>
        <v>18</v>
      </c>
      <c r="AD86" s="57">
        <f ca="1">IFERROR(__xludf.DUMMYFUNCTION("IMPORTRANGE(""https://docs.google.com/spreadsheets/d/16o_4B-V7AWw_6E93bSpXj_XxVv1oVQctk-B6z1dNEWU/edit?usp=sharing"",""สงขลา!J485"")"),18)</f>
        <v>18</v>
      </c>
      <c r="AE86" s="63">
        <f t="shared" ca="1" si="36"/>
        <v>100</v>
      </c>
      <c r="AF86" s="57">
        <f ca="1">IFERROR(__xludf.DUMMYFUNCTION("IMPORTRANGE(""https://docs.google.com/spreadsheets/d/16o_4B-V7AWw_6E93bSpXj_XxVv1oVQctk-B6z1dNEWU/edit?usp=sharing"",""สงขลา!I487"")"),20)</f>
        <v>20</v>
      </c>
      <c r="AG86" s="57">
        <f ca="1">IFERROR(__xludf.DUMMYFUNCTION("IMPORTRANGE(""https://docs.google.com/spreadsheets/d/16o_4B-V7AWw_6E93bSpXj_XxVv1oVQctk-B6z1dNEWU/edit?usp=sharing"",""สงขลา!J487"")"),23)</f>
        <v>23</v>
      </c>
      <c r="AH86" s="63">
        <f t="shared" ca="1" si="37"/>
        <v>115</v>
      </c>
      <c r="AI86" s="57">
        <f ca="1">IFERROR(__xludf.DUMMYFUNCTION("IMPORTRANGE(""https://docs.google.com/spreadsheets/d/16o_4B-V7AWw_6E93bSpXj_XxVv1oVQctk-B6z1dNEWU/edit?usp=sharing"",""สงขลา!J488"")"),2)</f>
        <v>2</v>
      </c>
      <c r="AJ86" s="57">
        <f ca="1">IFERROR(__xludf.DUMMYFUNCTION("IMPORTRANGE(""https://docs.google.com/spreadsheets/d/16o_4B-V7AWw_6E93bSpXj_XxVv1oVQctk-B6z1dNEWU/edit?usp=sharing"",""สงขลา!I489"")"),2)</f>
        <v>2</v>
      </c>
      <c r="AK86" s="57">
        <f ca="1">IFERROR(__xludf.DUMMYFUNCTION("IMPORTRANGE(""https://docs.google.com/spreadsheets/d/16o_4B-V7AWw_6E93bSpXj_XxVv1oVQctk-B6z1dNEWU/edit?usp=sharing"",""สงขลา!J489"")"),2)</f>
        <v>2</v>
      </c>
      <c r="AL86" s="63">
        <f t="shared" ca="1" si="38"/>
        <v>100</v>
      </c>
      <c r="AM86" s="57">
        <f ca="1">IFERROR(__xludf.DUMMYFUNCTION("IMPORTRANGE(""https://docs.google.com/spreadsheets/d/16o_4B-V7AWw_6E93bSpXj_XxVv1oVQctk-B6z1dNEWU/edit?usp=sharing"",""สงขลา!J491"")"),1)</f>
        <v>1</v>
      </c>
      <c r="AN86" s="57">
        <f ca="1">IFERROR(__xludf.DUMMYFUNCTION("IMPORTRANGE(""https://docs.google.com/spreadsheets/d/16o_4B-V7AWw_6E93bSpXj_XxVv1oVQctk-B6z1dNEWU/edit?usp=sharing"",""สงขลา!I492"")"),1)</f>
        <v>1</v>
      </c>
      <c r="AO86" s="57">
        <f ca="1">IFERROR(__xludf.DUMMYFUNCTION("IMPORTRANGE(""https://docs.google.com/spreadsheets/d/16o_4B-V7AWw_6E93bSpXj_XxVv1oVQctk-B6z1dNEWU/edit?usp=sharing"",""สงขลา!J492"")"),1)</f>
        <v>1</v>
      </c>
      <c r="AP86" s="63">
        <f t="shared" ca="1" si="39"/>
        <v>100</v>
      </c>
      <c r="AQ86" s="57">
        <f ca="1">IFERROR(__xludf.DUMMYFUNCTION("IMPORTRANGE(""https://docs.google.com/spreadsheets/d/16o_4B-V7AWw_6E93bSpXj_XxVv1oVQctk-B6z1dNEWU/edit?usp=sharing"",""สงขลา!I495"")"),180)</f>
        <v>180</v>
      </c>
      <c r="AR86" s="57">
        <f ca="1">IFERROR(__xludf.DUMMYFUNCTION("IMPORTRANGE(""https://docs.google.com/spreadsheets/d/16o_4B-V7AWw_6E93bSpXj_XxVv1oVQctk-B6z1dNEWU/edit?usp=sharing"",""สงขลา!J495"")"),0)</f>
        <v>0</v>
      </c>
      <c r="AS86" s="63">
        <f t="shared" ca="1" si="40"/>
        <v>0</v>
      </c>
      <c r="AT86" s="57">
        <f ca="1">IFERROR(__xludf.DUMMYFUNCTION("IMPORTRANGE(""https://docs.google.com/spreadsheets/d/16o_4B-V7AWw_6E93bSpXj_XxVv1oVQctk-B6z1dNEWU/edit?usp=sharing"",""สงขลา!J496"")"),0)</f>
        <v>0</v>
      </c>
      <c r="AU86" s="57">
        <f ca="1">IFERROR(__xludf.DUMMYFUNCTION("IMPORTRANGE(""https://docs.google.com/spreadsheets/d/16o_4B-V7AWw_6E93bSpXj_XxVv1oVQctk-B6z1dNEWU/edit?usp=sharing"",""สงขลา!I498"")"),20)</f>
        <v>20</v>
      </c>
      <c r="AV86" s="57">
        <f ca="1">IFERROR(__xludf.DUMMYFUNCTION("IMPORTRANGE(""https://docs.google.com/spreadsheets/d/16o_4B-V7AWw_6E93bSpXj_XxVv1oVQctk-B6z1dNEWU/edit?usp=sharing"",""สงขลา!J498"")"),0)</f>
        <v>0</v>
      </c>
      <c r="AW86" s="63">
        <f t="shared" ca="1" si="41"/>
        <v>0</v>
      </c>
      <c r="AX86" s="57">
        <f ca="1">IFERROR(__xludf.DUMMYFUNCTION("IMPORTRANGE(""https://docs.google.com/spreadsheets/d/16o_4B-V7AWw_6E93bSpXj_XxVv1oVQctk-B6z1dNEWU/edit?usp=sharing"",""สงขลา!J499"")"),0)</f>
        <v>0</v>
      </c>
    </row>
    <row r="87" spans="1:50" ht="24" customHeight="1" x14ac:dyDescent="0.3">
      <c r="A87" s="54">
        <v>13</v>
      </c>
      <c r="B87" s="55" t="s">
        <v>108</v>
      </c>
      <c r="C87" s="56">
        <f t="shared" ca="1" si="91"/>
        <v>113833</v>
      </c>
      <c r="D87" s="57">
        <f ca="1">IFERROR(__xludf.DUMMYFUNCTION("IMPORTRANGE(""https://docs.google.com/spreadsheets/d/16cywr71Fj4fA5OGRHsZh30ZG2gwJhMAQv69oVBzYHv0/edit?usp=sharing"",""สตูล!L472"")"),113833)</f>
        <v>113833</v>
      </c>
      <c r="E87" s="64">
        <f ca="1">IFERROR(__xludf.DUMMYFUNCTION("IMPORTRANGE(""https://docs.google.com/spreadsheets/d/16cywr71Fj4fA5OGRHsZh30ZG2gwJhMAQv69oVBzYHv0/edit?usp=sharing"",""สตูล!L479"")"),0)</f>
        <v>0</v>
      </c>
      <c r="F87" s="64">
        <f ca="1">IFERROR(__xludf.DUMMYFUNCTION("IMPORTRANGE(""https://docs.google.com/spreadsheets/d/16cywr71Fj4fA5OGRHsZh30ZG2gwJhMAQv69oVBzYHv0/edit?usp=sharing"",""สตูล!M472"")"),113833)</f>
        <v>113833</v>
      </c>
      <c r="G87" s="64">
        <f ca="1">IFERROR(__xludf.DUMMYFUNCTION("IMPORTRANGE(""https://docs.google.com/spreadsheets/d/16cywr71Fj4fA5OGRHsZh30ZG2gwJhMAQv69oVBzYHv0/edit?usp=sharing"",""สตูล!M479"")"),0)</f>
        <v>0</v>
      </c>
      <c r="H87" s="58">
        <f t="shared" ca="1" si="34"/>
        <v>36858</v>
      </c>
      <c r="I87" s="59">
        <f t="shared" ca="1" si="1"/>
        <v>32.379011358744826</v>
      </c>
      <c r="J87" s="60">
        <f t="shared" ca="1" si="92"/>
        <v>36858</v>
      </c>
      <c r="K87" s="61">
        <f t="shared" ca="1" si="43"/>
        <v>32.379011358744826</v>
      </c>
      <c r="L87" s="61">
        <f t="shared" ca="1" si="44"/>
        <v>32.379011358744826</v>
      </c>
      <c r="M87" s="64">
        <f ca="1">IFERROR(__xludf.DUMMYFUNCTION("IMPORTRANGE(""https://docs.google.com/spreadsheets/d/16cywr71Fj4fA5OGRHsZh30ZG2gwJhMAQv69oVBzYHv0/edit?usp=sharing"",""สตูล!N473"")"),31891)</f>
        <v>31891</v>
      </c>
      <c r="N87" s="64">
        <f ca="1">IFERROR(__xludf.DUMMYFUNCTION("IMPORTRANGE(""https://docs.google.com/spreadsheets/d/16cywr71Fj4fA5OGRHsZh30ZG2gwJhMAQv69oVBzYHv0/edit?usp=sharing"",""สตูล!N474"")"),0)</f>
        <v>0</v>
      </c>
      <c r="O87" s="64">
        <f ca="1">IFERROR(__xludf.DUMMYFUNCTION("IMPORTRANGE(""https://docs.google.com/spreadsheets/d/16cywr71Fj4fA5OGRHsZh30ZG2gwJhMAQv69oVBzYHv0/edit?usp=sharing"",""สตูล!N475"")"),0)</f>
        <v>0</v>
      </c>
      <c r="P87" s="64">
        <f ca="1">IFERROR(__xludf.DUMMYFUNCTION("IMPORTRANGE(""https://docs.google.com/spreadsheets/d/16cywr71Fj4fA5OGRHsZh30ZG2gwJhMAQv69oVBzYHv0/edit?usp=sharing"",""สตูล!N476"")"),4967)</f>
        <v>4967</v>
      </c>
      <c r="Q87" s="62">
        <f ca="1">IFERROR(__xludf.DUMMYFUNCTION("IMPORTRANGE(""https://docs.google.com/spreadsheets/d/16cywr71Fj4fA5OGRHsZh30ZG2gwJhMAQv69oVBzYHv0/edit?usp=sharing"",""สตูล!N479"")"),0)</f>
        <v>0</v>
      </c>
      <c r="R87" s="62">
        <f t="shared" ca="1" si="46"/>
        <v>0</v>
      </c>
      <c r="S87" s="57">
        <f ca="1">IFERROR(__xludf.DUMMYFUNCTION("IMPORTRANGE(""https://docs.google.com/spreadsheets/d/16cywr71Fj4fA5OGRHsZh30ZG2gwJhMAQv69oVBzYHv0/edit?usp=sharing"",""สตูล!I465"")"),11)</f>
        <v>11</v>
      </c>
      <c r="T87" s="57">
        <f ca="1">IFERROR(__xludf.DUMMYFUNCTION("IMPORTRANGE(""https://docs.google.com/spreadsheets/d/16cywr71Fj4fA5OGRHsZh30ZG2gwJhMAQv69oVBzYHv0/edit?usp=sharing"",""สตูล!I466"")"),100)</f>
        <v>100</v>
      </c>
      <c r="U87" s="57">
        <f ca="1">IFERROR(__xludf.DUMMYFUNCTION("IMPORTRANGE(""https://docs.google.com/spreadsheets/d/16cywr71Fj4fA5OGRHsZh30ZG2gwJhMAQv69oVBzYHv0/edit?usp=sharing"",""สตูล!J465"")"),17)</f>
        <v>17</v>
      </c>
      <c r="V87" s="63">
        <f t="shared" ca="1" si="6"/>
        <v>154.54545454545453</v>
      </c>
      <c r="W87" s="57">
        <f ca="1">IFERROR(__xludf.DUMMYFUNCTION("IMPORTRANGE(""https://docs.google.com/spreadsheets/d/16cywr71Fj4fA5OGRHsZh30ZG2gwJhMAQv69oVBzYHv0/edit?usp=sharing"",""สตูล!J466"")"),0)</f>
        <v>0</v>
      </c>
      <c r="X87" s="63">
        <f t="shared" ca="1" si="7"/>
        <v>0</v>
      </c>
      <c r="Y87" s="57">
        <f ca="1">IFERROR(__xludf.DUMMYFUNCTION("IMPORTRANGE(""https://docs.google.com/spreadsheets/d/16cywr71Fj4fA5OGRHsZh30ZG2gwJhMAQv69oVBzYHv0/edit?usp=sharing"",""สตูล!I483"")"),90)</f>
        <v>90</v>
      </c>
      <c r="Z87" s="57">
        <f ca="1">IFERROR(__xludf.DUMMYFUNCTION("IMPORTRANGE(""https://docs.google.com/spreadsheets/d/16cywr71Fj4fA5OGRHsZh30ZG2gwJhMAQv69oVBzYHv0/edit?usp=sharing"",""สตูล!J483"")"),90)</f>
        <v>90</v>
      </c>
      <c r="AA87" s="63">
        <f t="shared" ca="1" si="35"/>
        <v>100</v>
      </c>
      <c r="AB87" s="57">
        <f ca="1">IFERROR(__xludf.DUMMYFUNCTION("IMPORTRANGE(""https://docs.google.com/spreadsheets/d/16cywr71Fj4fA5OGRHsZh30ZG2gwJhMAQv69oVBzYHv0/edit?usp=sharing"",""สตูล!J484"")"),0)</f>
        <v>0</v>
      </c>
      <c r="AC87" s="57">
        <f ca="1">IFERROR(__xludf.DUMMYFUNCTION("IMPORTRANGE(""https://docs.google.com/spreadsheets/d/16cywr71Fj4fA5OGRHsZh30ZG2gwJhMAQv69oVBzYHv0/edit?usp=sharing"",""สตูล!I485"")"),9)</f>
        <v>9</v>
      </c>
      <c r="AD87" s="57">
        <f ca="1">IFERROR(__xludf.DUMMYFUNCTION("IMPORTRANGE(""https://docs.google.com/spreadsheets/d/16cywr71Fj4fA5OGRHsZh30ZG2gwJhMAQv69oVBzYHv0/edit?usp=sharing"",""สตูล!J485"")"),14)</f>
        <v>14</v>
      </c>
      <c r="AE87" s="63">
        <f t="shared" ca="1" si="36"/>
        <v>155.55555555555554</v>
      </c>
      <c r="AF87" s="57">
        <f ca="1">IFERROR(__xludf.DUMMYFUNCTION("IMPORTRANGE(""https://docs.google.com/spreadsheets/d/16cywr71Fj4fA5OGRHsZh30ZG2gwJhMAQv69oVBzYHv0/edit?usp=sharing"",""สตูล!I487"")"),10)</f>
        <v>10</v>
      </c>
      <c r="AG87" s="57">
        <f ca="1">IFERROR(__xludf.DUMMYFUNCTION("IMPORTRANGE(""https://docs.google.com/spreadsheets/d/16cywr71Fj4fA5OGRHsZh30ZG2gwJhMAQv69oVBzYHv0/edit?usp=sharing"",""สตูล!J487"")"),10)</f>
        <v>10</v>
      </c>
      <c r="AH87" s="63">
        <f t="shared" ca="1" si="37"/>
        <v>100</v>
      </c>
      <c r="AI87" s="57">
        <f ca="1">IFERROR(__xludf.DUMMYFUNCTION("IMPORTRANGE(""https://docs.google.com/spreadsheets/d/16cywr71Fj4fA5OGRHsZh30ZG2gwJhMAQv69oVBzYHv0/edit?usp=sharing"",""สตูล!J488"")"),0)</f>
        <v>0</v>
      </c>
      <c r="AJ87" s="57">
        <f ca="1">IFERROR(__xludf.DUMMYFUNCTION("IMPORTRANGE(""https://docs.google.com/spreadsheets/d/16cywr71Fj4fA5OGRHsZh30ZG2gwJhMAQv69oVBzYHv0/edit?usp=sharing"",""สตูล!I489"")"),1)</f>
        <v>1</v>
      </c>
      <c r="AK87" s="57">
        <f ca="1">IFERROR(__xludf.DUMMYFUNCTION("IMPORTRANGE(""https://docs.google.com/spreadsheets/d/16cywr71Fj4fA5OGRHsZh30ZG2gwJhMAQv69oVBzYHv0/edit?usp=sharing"",""สตูล!J489"")"),2)</f>
        <v>2</v>
      </c>
      <c r="AL87" s="63">
        <f t="shared" ca="1" si="38"/>
        <v>200</v>
      </c>
      <c r="AM87" s="57">
        <f ca="1">IFERROR(__xludf.DUMMYFUNCTION("IMPORTRANGE(""https://docs.google.com/spreadsheets/d/16cywr71Fj4fA5OGRHsZh30ZG2gwJhMAQv69oVBzYHv0/edit?usp=sharing"",""สตูล!J491"")"),0)</f>
        <v>0</v>
      </c>
      <c r="AN87" s="57">
        <f ca="1">IFERROR(__xludf.DUMMYFUNCTION("IMPORTRANGE(""https://docs.google.com/spreadsheets/d/16cywr71Fj4fA5OGRHsZh30ZG2gwJhMAQv69oVBzYHv0/edit?usp=sharing"",""สตูล!I492"")"),1)</f>
        <v>1</v>
      </c>
      <c r="AO87" s="57">
        <f ca="1">IFERROR(__xludf.DUMMYFUNCTION("IMPORTRANGE(""https://docs.google.com/spreadsheets/d/16cywr71Fj4fA5OGRHsZh30ZG2gwJhMAQv69oVBzYHv0/edit?usp=sharing"",""สตูล!J492"")"),1)</f>
        <v>1</v>
      </c>
      <c r="AP87" s="63">
        <f t="shared" ca="1" si="39"/>
        <v>100</v>
      </c>
      <c r="AQ87" s="57">
        <f ca="1">IFERROR(__xludf.DUMMYFUNCTION("IMPORTRANGE(""https://docs.google.com/spreadsheets/d/16cywr71Fj4fA5OGRHsZh30ZG2gwJhMAQv69oVBzYHv0/edit?usp=sharing"",""สตูล!I495"")"),90)</f>
        <v>90</v>
      </c>
      <c r="AR87" s="57">
        <f ca="1">IFERROR(__xludf.DUMMYFUNCTION("IMPORTRANGE(""https://docs.google.com/spreadsheets/d/16cywr71Fj4fA5OGRHsZh30ZG2gwJhMAQv69oVBzYHv0/edit?usp=sharing"",""สตูล!J495"")"),0)</f>
        <v>0</v>
      </c>
      <c r="AS87" s="63">
        <f t="shared" ca="1" si="40"/>
        <v>0</v>
      </c>
      <c r="AT87" s="57">
        <f ca="1">IFERROR(__xludf.DUMMYFUNCTION("IMPORTRANGE(""https://docs.google.com/spreadsheets/d/16cywr71Fj4fA5OGRHsZh30ZG2gwJhMAQv69oVBzYHv0/edit?usp=sharing"",""สตูล!J496"")"),0)</f>
        <v>0</v>
      </c>
      <c r="AU87" s="57">
        <f ca="1">IFERROR(__xludf.DUMMYFUNCTION("IMPORTRANGE(""https://docs.google.com/spreadsheets/d/16cywr71Fj4fA5OGRHsZh30ZG2gwJhMAQv69oVBzYHv0/edit?usp=sharing"",""สตูล!I498"")"),10)</f>
        <v>10</v>
      </c>
      <c r="AV87" s="57">
        <f ca="1">IFERROR(__xludf.DUMMYFUNCTION("IMPORTRANGE(""https://docs.google.com/spreadsheets/d/16cywr71Fj4fA5OGRHsZh30ZG2gwJhMAQv69oVBzYHv0/edit?usp=sharing"",""สตูล!J498"")"),0)</f>
        <v>0</v>
      </c>
      <c r="AW87" s="63">
        <f t="shared" ca="1" si="41"/>
        <v>0</v>
      </c>
      <c r="AX87" s="57">
        <f ca="1">IFERROR(__xludf.DUMMYFUNCTION("IMPORTRANGE(""https://docs.google.com/spreadsheets/d/16cywr71Fj4fA5OGRHsZh30ZG2gwJhMAQv69oVBzYHv0/edit?usp=sharing"",""สตูล!J499"")"),0)</f>
        <v>0</v>
      </c>
    </row>
    <row r="88" spans="1:50" ht="24" customHeight="1" x14ac:dyDescent="0.3">
      <c r="A88" s="65">
        <v>14</v>
      </c>
      <c r="B88" s="66" t="s">
        <v>109</v>
      </c>
      <c r="C88" s="67">
        <f t="shared" ca="1" si="91"/>
        <v>570443</v>
      </c>
      <c r="D88" s="68">
        <f ca="1">IFERROR(__xludf.DUMMYFUNCTION("IMPORTRANGE(""https://docs.google.com/spreadsheets/d/1vO9Sws6kMtrVtyvrAJptINXjK8TFBoX9xLYOVK_C8bQ/edit?usp=sharing"",""สุราษฎร์ธานี!L472"")"),570443)</f>
        <v>570443</v>
      </c>
      <c r="E88" s="69">
        <f ca="1">IFERROR(__xludf.DUMMYFUNCTION("IMPORTRANGE(""https://docs.google.com/spreadsheets/d/1vO9Sws6kMtrVtyvrAJptINXjK8TFBoX9xLYOVK_C8bQ/edit?usp=sharing"",""สุราษฎร์ธานี!L479"")"),0)</f>
        <v>0</v>
      </c>
      <c r="F88" s="69">
        <f ca="1">IFERROR(__xludf.DUMMYFUNCTION("IMPORTRANGE(""https://docs.google.com/spreadsheets/d/1vO9Sws6kMtrVtyvrAJptINXjK8TFBoX9xLYOVK_C8bQ/edit?usp=sharing"",""สุราษฎร์ธานี!M472"")"),570443)</f>
        <v>570443</v>
      </c>
      <c r="G88" s="69">
        <f ca="1">IFERROR(__xludf.DUMMYFUNCTION("IMPORTRANGE(""https://docs.google.com/spreadsheets/d/1vO9Sws6kMtrVtyvrAJptINXjK8TFBoX9xLYOVK_C8bQ/edit?usp=sharing"",""สุราษฎร์ธานี!M479"")"),0)</f>
        <v>0</v>
      </c>
      <c r="H88" s="70">
        <f t="shared" ca="1" si="34"/>
        <v>116533</v>
      </c>
      <c r="I88" s="71">
        <f t="shared" ca="1" si="1"/>
        <v>20.428509071020244</v>
      </c>
      <c r="J88" s="72">
        <f t="shared" ca="1" si="92"/>
        <v>116533</v>
      </c>
      <c r="K88" s="73">
        <f t="shared" ca="1" si="43"/>
        <v>20.428509071020244</v>
      </c>
      <c r="L88" s="73">
        <f t="shared" ca="1" si="44"/>
        <v>20.428509071020244</v>
      </c>
      <c r="M88" s="69">
        <f ca="1">IFERROR(__xludf.DUMMYFUNCTION("IMPORTRANGE(""https://docs.google.com/spreadsheets/d/1vO9Sws6kMtrVtyvrAJptINXjK8TFBoX9xLYOVK_C8bQ/edit?usp=sharing"",""สุราษฎร์ธานี!N473"")"),84153)</f>
        <v>84153</v>
      </c>
      <c r="N88" s="69">
        <f ca="1">IFERROR(__xludf.DUMMYFUNCTION("IMPORTRANGE(""https://docs.google.com/spreadsheets/d/1vO9Sws6kMtrVtyvrAJptINXjK8TFBoX9xLYOVK_C8bQ/edit?usp=sharing"",""สุราษฎร์ธานี!N474"")"),0)</f>
        <v>0</v>
      </c>
      <c r="O88" s="69">
        <f ca="1">IFERROR(__xludf.DUMMYFUNCTION("IMPORTRANGE(""https://docs.google.com/spreadsheets/d/1vO9Sws6kMtrVtyvrAJptINXjK8TFBoX9xLYOVK_C8bQ/edit?usp=sharing"",""สุราษฎร์ธานี!N475"")"),0)</f>
        <v>0</v>
      </c>
      <c r="P88" s="69">
        <f ca="1">IFERROR(__xludf.DUMMYFUNCTION("IMPORTRANGE(""https://docs.google.com/spreadsheets/d/1vO9Sws6kMtrVtyvrAJptINXjK8TFBoX9xLYOVK_C8bQ/edit?usp=sharing"",""สุราษฎร์ธานี!N476"")"),32380)</f>
        <v>32380</v>
      </c>
      <c r="Q88" s="74">
        <f ca="1">IFERROR(__xludf.DUMMYFUNCTION("IMPORTRANGE(""https://docs.google.com/spreadsheets/d/1vO9Sws6kMtrVtyvrAJptINXjK8TFBoX9xLYOVK_C8bQ/edit?usp=sharing"",""สุราษฎร์ธานี!N479"")"),0)</f>
        <v>0</v>
      </c>
      <c r="R88" s="74">
        <f t="shared" ca="1" si="46"/>
        <v>0</v>
      </c>
      <c r="S88" s="68">
        <f ca="1">IFERROR(__xludf.DUMMYFUNCTION("IMPORTRANGE(""https://docs.google.com/spreadsheets/d/1vO9Sws6kMtrVtyvrAJptINXjK8TFBoX9xLYOVK_C8bQ/edit?usp=sharing"",""สุราษฎร์ธานี!I465"")"),71)</f>
        <v>71</v>
      </c>
      <c r="T88" s="68">
        <f ca="1">IFERROR(__xludf.DUMMYFUNCTION("IMPORTRANGE(""https://docs.google.com/spreadsheets/d/1vO9Sws6kMtrVtyvrAJptINXjK8TFBoX9xLYOVK_C8bQ/edit?usp=sharing"",""สุราษฎร์ธานี!I466"")"),700)</f>
        <v>700</v>
      </c>
      <c r="U88" s="68">
        <f ca="1">IFERROR(__xludf.DUMMYFUNCTION("IMPORTRANGE(""https://docs.google.com/spreadsheets/d/1vO9Sws6kMtrVtyvrAJptINXjK8TFBoX9xLYOVK_C8bQ/edit?usp=sharing"",""สุราษฎร์ธานี!J465"")"),71)</f>
        <v>71</v>
      </c>
      <c r="V88" s="75">
        <f t="shared" ca="1" si="6"/>
        <v>100</v>
      </c>
      <c r="W88" s="68">
        <f ca="1">IFERROR(__xludf.DUMMYFUNCTION("IMPORTRANGE(""https://docs.google.com/spreadsheets/d/1vO9Sws6kMtrVtyvrAJptINXjK8TFBoX9xLYOVK_C8bQ/edit?usp=sharing"",""สุราษฎร์ธานี!J466"")"),0)</f>
        <v>0</v>
      </c>
      <c r="X88" s="75">
        <f t="shared" ca="1" si="7"/>
        <v>0</v>
      </c>
      <c r="Y88" s="68">
        <f ca="1">IFERROR(__xludf.DUMMYFUNCTION("IMPORTRANGE(""https://docs.google.com/spreadsheets/d/1vO9Sws6kMtrVtyvrAJptINXjK8TFBoX9xLYOVK_C8bQ/edit?usp=sharing"",""สุราษฎร์ธานี!I483"")"),630)</f>
        <v>630</v>
      </c>
      <c r="Z88" s="68">
        <f ca="1">IFERROR(__xludf.DUMMYFUNCTION("IMPORTRANGE(""https://docs.google.com/spreadsheets/d/1vO9Sws6kMtrVtyvrAJptINXjK8TFBoX9xLYOVK_C8bQ/edit?usp=sharing"",""สุราษฎร์ธานี!J483"")"),630)</f>
        <v>630</v>
      </c>
      <c r="AA88" s="75">
        <f t="shared" ca="1" si="35"/>
        <v>100</v>
      </c>
      <c r="AB88" s="68">
        <f ca="1">IFERROR(__xludf.DUMMYFUNCTION("IMPORTRANGE(""https://docs.google.com/spreadsheets/d/1vO9Sws6kMtrVtyvrAJptINXjK8TFBoX9xLYOVK_C8bQ/edit?usp=sharing"",""สุราษฎร์ธานี!J484"")"),63)</f>
        <v>63</v>
      </c>
      <c r="AC88" s="68">
        <f ca="1">IFERROR(__xludf.DUMMYFUNCTION("IMPORTRANGE(""https://docs.google.com/spreadsheets/d/1vO9Sws6kMtrVtyvrAJptINXjK8TFBoX9xLYOVK_C8bQ/edit?usp=sharing"",""สุราษฎร์ธานี!I485"")"),63)</f>
        <v>63</v>
      </c>
      <c r="AD88" s="68">
        <f ca="1">IFERROR(__xludf.DUMMYFUNCTION("IMPORTRANGE(""https://docs.google.com/spreadsheets/d/1vO9Sws6kMtrVtyvrAJptINXjK8TFBoX9xLYOVK_C8bQ/edit?usp=sharing"",""สุราษฎร์ธานี!J485"")"),63)</f>
        <v>63</v>
      </c>
      <c r="AE88" s="75">
        <f t="shared" ca="1" si="36"/>
        <v>100</v>
      </c>
      <c r="AF88" s="68">
        <f ca="1">IFERROR(__xludf.DUMMYFUNCTION("IMPORTRANGE(""https://docs.google.com/spreadsheets/d/1vO9Sws6kMtrVtyvrAJptINXjK8TFBoX9xLYOVK_C8bQ/edit?usp=sharing"",""สุราษฎร์ธานี!I487"")"),70)</f>
        <v>70</v>
      </c>
      <c r="AG88" s="68">
        <f ca="1">IFERROR(__xludf.DUMMYFUNCTION("IMPORTRANGE(""https://docs.google.com/spreadsheets/d/1vO9Sws6kMtrVtyvrAJptINXjK8TFBoX9xLYOVK_C8bQ/edit?usp=sharing"",""สุราษฎร์ธานี!J487"")"),70)</f>
        <v>70</v>
      </c>
      <c r="AH88" s="75">
        <f t="shared" ca="1" si="37"/>
        <v>100</v>
      </c>
      <c r="AI88" s="68">
        <f ca="1">IFERROR(__xludf.DUMMYFUNCTION("IMPORTRANGE(""https://docs.google.com/spreadsheets/d/1vO9Sws6kMtrVtyvrAJptINXjK8TFBoX9xLYOVK_C8bQ/edit?usp=sharing"",""สุราษฎร์ธานี!J488"")"),7)</f>
        <v>7</v>
      </c>
      <c r="AJ88" s="68">
        <f ca="1">IFERROR(__xludf.DUMMYFUNCTION("IMPORTRANGE(""https://docs.google.com/spreadsheets/d/1vO9Sws6kMtrVtyvrAJptINXjK8TFBoX9xLYOVK_C8bQ/edit?usp=sharing"",""สุราษฎร์ธานี!I489"")"),7)</f>
        <v>7</v>
      </c>
      <c r="AK88" s="68">
        <f ca="1">IFERROR(__xludf.DUMMYFUNCTION("IMPORTRANGE(""https://docs.google.com/spreadsheets/d/1vO9Sws6kMtrVtyvrAJptINXjK8TFBoX9xLYOVK_C8bQ/edit?usp=sharing"",""สุราษฎร์ธานี!J489"")"),7)</f>
        <v>7</v>
      </c>
      <c r="AL88" s="75">
        <f t="shared" ca="1" si="38"/>
        <v>100</v>
      </c>
      <c r="AM88" s="68">
        <f ca="1">IFERROR(__xludf.DUMMYFUNCTION("IMPORTRANGE(""https://docs.google.com/spreadsheets/d/1vO9Sws6kMtrVtyvrAJptINXjK8TFBoX9xLYOVK_C8bQ/edit?usp=sharing"",""สุราษฎร์ธานี!J491"")"),1)</f>
        <v>1</v>
      </c>
      <c r="AN88" s="68">
        <f ca="1">IFERROR(__xludf.DUMMYFUNCTION("IMPORTRANGE(""https://docs.google.com/spreadsheets/d/1vO9Sws6kMtrVtyvrAJptINXjK8TFBoX9xLYOVK_C8bQ/edit?usp=sharing"",""สุราษฎร์ธานี!I492"")"),1)</f>
        <v>1</v>
      </c>
      <c r="AO88" s="68">
        <f ca="1">IFERROR(__xludf.DUMMYFUNCTION("IMPORTRANGE(""https://docs.google.com/spreadsheets/d/1vO9Sws6kMtrVtyvrAJptINXjK8TFBoX9xLYOVK_C8bQ/edit?usp=sharing"",""สุราษฎร์ธานี!J492"")"),1)</f>
        <v>1</v>
      </c>
      <c r="AP88" s="75">
        <f t="shared" ca="1" si="39"/>
        <v>100</v>
      </c>
      <c r="AQ88" s="68">
        <f ca="1">IFERROR(__xludf.DUMMYFUNCTION("IMPORTRANGE(""https://docs.google.com/spreadsheets/d/1vO9Sws6kMtrVtyvrAJptINXjK8TFBoX9xLYOVK_C8bQ/edit?usp=sharing"",""สุราษฎร์ธานี!I495"")"),630)</f>
        <v>630</v>
      </c>
      <c r="AR88" s="68">
        <f ca="1">IFERROR(__xludf.DUMMYFUNCTION("IMPORTRANGE(""https://docs.google.com/spreadsheets/d/1vO9Sws6kMtrVtyvrAJptINXjK8TFBoX9xLYOVK_C8bQ/edit?usp=sharing"",""สุราษฎร์ธานี!J495"")"),0)</f>
        <v>0</v>
      </c>
      <c r="AS88" s="75">
        <f t="shared" ca="1" si="40"/>
        <v>0</v>
      </c>
      <c r="AT88" s="68">
        <f ca="1">IFERROR(__xludf.DUMMYFUNCTION("IMPORTRANGE(""https://docs.google.com/spreadsheets/d/1vO9Sws6kMtrVtyvrAJptINXjK8TFBoX9xLYOVK_C8bQ/edit?usp=sharing"",""สุราษฎร์ธานี!J496"")"),0)</f>
        <v>0</v>
      </c>
      <c r="AU88" s="68">
        <f ca="1">IFERROR(__xludf.DUMMYFUNCTION("IMPORTRANGE(""https://docs.google.com/spreadsheets/d/1vO9Sws6kMtrVtyvrAJptINXjK8TFBoX9xLYOVK_C8bQ/edit?usp=sharing"",""สุราษฎร์ธานี!I498"")"),70)</f>
        <v>70</v>
      </c>
      <c r="AV88" s="68">
        <f ca="1">IFERROR(__xludf.DUMMYFUNCTION("IMPORTRANGE(""https://docs.google.com/spreadsheets/d/1vO9Sws6kMtrVtyvrAJptINXjK8TFBoX9xLYOVK_C8bQ/edit?usp=sharing"",""สุราษฎร์ธานี!J498"")"),0)</f>
        <v>0</v>
      </c>
      <c r="AW88" s="75">
        <f t="shared" ca="1" si="41"/>
        <v>0</v>
      </c>
      <c r="AX88" s="68">
        <f ca="1">IFERROR(__xludf.DUMMYFUNCTION("IMPORTRANGE(""https://docs.google.com/spreadsheets/d/1vO9Sws6kMtrVtyvrAJptINXjK8TFBoX9xLYOVK_C8bQ/edit?usp=sharing"",""สุราษฎร์ธานี!J499"")"),0)</f>
        <v>0</v>
      </c>
    </row>
    <row r="89" spans="1:50" ht="21" hidden="1" customHeight="1" x14ac:dyDescent="0.3">
      <c r="A89" s="187" t="s">
        <v>110</v>
      </c>
      <c r="B89" s="178"/>
      <c r="C89" s="77">
        <f>+C90+C91+C92+C93+C94+C95+C96+C97+C98+C99+C100+C101+C102+C103</f>
        <v>0</v>
      </c>
      <c r="D89" s="43"/>
      <c r="E89" s="43"/>
      <c r="F89" s="43"/>
      <c r="G89" s="43"/>
      <c r="H89" s="40">
        <f t="shared" si="34"/>
        <v>0</v>
      </c>
      <c r="I89" s="41">
        <f t="shared" si="1"/>
        <v>0</v>
      </c>
      <c r="J89" s="40">
        <f>+J90+J91+J92+J93+J94+J95+J96+J97+J98+J99+J100+J101+J102+J103</f>
        <v>0</v>
      </c>
      <c r="K89" s="43"/>
      <c r="L89" s="43"/>
      <c r="M89" s="43"/>
      <c r="N89" s="43"/>
      <c r="O89" s="43"/>
      <c r="P89" s="43"/>
      <c r="Q89" s="78"/>
      <c r="R89" s="78">
        <f t="shared" si="46"/>
        <v>0</v>
      </c>
      <c r="S89" s="43"/>
      <c r="T89" s="43"/>
      <c r="U89" s="43"/>
      <c r="V89" s="43"/>
      <c r="W89" s="43"/>
      <c r="X89" s="43"/>
      <c r="Y89" s="43"/>
      <c r="Z89" s="43"/>
      <c r="AA89" s="44"/>
      <c r="AB89" s="43"/>
      <c r="AC89" s="43"/>
      <c r="AD89" s="43"/>
      <c r="AE89" s="44"/>
      <c r="AF89" s="43"/>
      <c r="AG89" s="43"/>
      <c r="AH89" s="44"/>
      <c r="AI89" s="43"/>
      <c r="AJ89" s="43"/>
      <c r="AK89" s="43"/>
      <c r="AL89" s="44"/>
      <c r="AM89" s="43"/>
      <c r="AN89" s="43"/>
      <c r="AO89" s="43"/>
      <c r="AP89" s="44"/>
      <c r="AQ89" s="43"/>
      <c r="AR89" s="43"/>
      <c r="AS89" s="44"/>
      <c r="AT89" s="43"/>
      <c r="AU89" s="43"/>
      <c r="AV89" s="43"/>
      <c r="AW89" s="44"/>
      <c r="AX89" s="43"/>
    </row>
    <row r="90" spans="1:50" ht="24" hidden="1" customHeight="1" x14ac:dyDescent="0.3">
      <c r="A90" s="54">
        <v>1</v>
      </c>
      <c r="B90" s="55" t="s">
        <v>111</v>
      </c>
      <c r="C90" s="56">
        <f t="shared" ref="C90:C103" si="93">D90+E90</f>
        <v>0</v>
      </c>
      <c r="D90" s="57">
        <v>0</v>
      </c>
      <c r="E90" s="64">
        <v>0</v>
      </c>
      <c r="F90" s="79"/>
      <c r="G90" s="79"/>
      <c r="H90" s="58">
        <f t="shared" si="34"/>
        <v>0</v>
      </c>
      <c r="I90" s="59">
        <f t="shared" si="1"/>
        <v>0</v>
      </c>
      <c r="J90" s="60">
        <f t="shared" ref="J90:J103" si="94">M90+N90+O90+P90</f>
        <v>0</v>
      </c>
      <c r="K90" s="80"/>
      <c r="L90" s="80"/>
      <c r="M90" s="64">
        <v>0</v>
      </c>
      <c r="N90" s="64">
        <v>0</v>
      </c>
      <c r="O90" s="64">
        <v>0</v>
      </c>
      <c r="P90" s="64">
        <v>0</v>
      </c>
      <c r="Q90" s="62">
        <v>0</v>
      </c>
      <c r="R90" s="62">
        <f t="shared" si="46"/>
        <v>0</v>
      </c>
      <c r="S90" s="79"/>
      <c r="T90" s="79"/>
      <c r="U90" s="79"/>
      <c r="V90" s="79"/>
      <c r="W90" s="79"/>
      <c r="X90" s="79"/>
      <c r="Y90" s="79"/>
      <c r="Z90" s="79"/>
      <c r="AA90" s="81"/>
      <c r="AB90" s="79"/>
      <c r="AC90" s="79"/>
      <c r="AD90" s="79"/>
      <c r="AE90" s="81"/>
      <c r="AF90" s="79"/>
      <c r="AG90" s="79"/>
      <c r="AH90" s="81"/>
      <c r="AI90" s="79"/>
      <c r="AJ90" s="79"/>
      <c r="AK90" s="79"/>
      <c r="AL90" s="81"/>
      <c r="AM90" s="79"/>
      <c r="AN90" s="79"/>
      <c r="AO90" s="79"/>
      <c r="AP90" s="81"/>
      <c r="AQ90" s="79"/>
      <c r="AR90" s="79"/>
      <c r="AS90" s="81"/>
      <c r="AT90" s="79"/>
      <c r="AU90" s="79"/>
      <c r="AV90" s="79"/>
      <c r="AW90" s="81"/>
      <c r="AX90" s="79"/>
    </row>
    <row r="91" spans="1:50" ht="24" hidden="1" customHeight="1" x14ac:dyDescent="0.3">
      <c r="A91" s="54">
        <v>2</v>
      </c>
      <c r="B91" s="55" t="s">
        <v>112</v>
      </c>
      <c r="C91" s="56">
        <f t="shared" si="93"/>
        <v>0</v>
      </c>
      <c r="D91" s="57">
        <v>0</v>
      </c>
      <c r="E91" s="64">
        <v>0</v>
      </c>
      <c r="F91" s="79"/>
      <c r="G91" s="79"/>
      <c r="H91" s="58">
        <f t="shared" si="34"/>
        <v>0</v>
      </c>
      <c r="I91" s="59">
        <f t="shared" si="1"/>
        <v>0</v>
      </c>
      <c r="J91" s="60">
        <f t="shared" si="94"/>
        <v>0</v>
      </c>
      <c r="K91" s="80"/>
      <c r="L91" s="80"/>
      <c r="M91" s="64">
        <v>0</v>
      </c>
      <c r="N91" s="64">
        <v>0</v>
      </c>
      <c r="O91" s="64">
        <v>0</v>
      </c>
      <c r="P91" s="64">
        <v>0</v>
      </c>
      <c r="Q91" s="62">
        <v>0</v>
      </c>
      <c r="R91" s="62">
        <f t="shared" si="46"/>
        <v>0</v>
      </c>
      <c r="S91" s="79"/>
      <c r="T91" s="79"/>
      <c r="U91" s="79"/>
      <c r="V91" s="79"/>
      <c r="W91" s="79"/>
      <c r="X91" s="79"/>
      <c r="Y91" s="79"/>
      <c r="Z91" s="79"/>
      <c r="AA91" s="81"/>
      <c r="AB91" s="79"/>
      <c r="AC91" s="79"/>
      <c r="AD91" s="79"/>
      <c r="AE91" s="81"/>
      <c r="AF91" s="79"/>
      <c r="AG91" s="79"/>
      <c r="AH91" s="81"/>
      <c r="AI91" s="79"/>
      <c r="AJ91" s="79"/>
      <c r="AK91" s="79"/>
      <c r="AL91" s="81"/>
      <c r="AM91" s="79"/>
      <c r="AN91" s="79"/>
      <c r="AO91" s="79"/>
      <c r="AP91" s="81"/>
      <c r="AQ91" s="79"/>
      <c r="AR91" s="79"/>
      <c r="AS91" s="81"/>
      <c r="AT91" s="79"/>
      <c r="AU91" s="79"/>
      <c r="AV91" s="79"/>
      <c r="AW91" s="81"/>
      <c r="AX91" s="79"/>
    </row>
    <row r="92" spans="1:50" ht="24" hidden="1" customHeight="1" x14ac:dyDescent="0.3">
      <c r="A92" s="54">
        <v>3</v>
      </c>
      <c r="B92" s="55" t="s">
        <v>113</v>
      </c>
      <c r="C92" s="56">
        <f t="shared" si="93"/>
        <v>0</v>
      </c>
      <c r="D92" s="57">
        <v>0</v>
      </c>
      <c r="E92" s="64">
        <v>0</v>
      </c>
      <c r="F92" s="79"/>
      <c r="G92" s="79"/>
      <c r="H92" s="58">
        <f t="shared" si="34"/>
        <v>0</v>
      </c>
      <c r="I92" s="59">
        <f t="shared" si="1"/>
        <v>0</v>
      </c>
      <c r="J92" s="60">
        <f t="shared" si="94"/>
        <v>0</v>
      </c>
      <c r="K92" s="80"/>
      <c r="L92" s="80"/>
      <c r="M92" s="64">
        <v>0</v>
      </c>
      <c r="N92" s="64">
        <v>0</v>
      </c>
      <c r="O92" s="64">
        <v>0</v>
      </c>
      <c r="P92" s="64">
        <v>0</v>
      </c>
      <c r="Q92" s="62">
        <v>0</v>
      </c>
      <c r="R92" s="62">
        <f t="shared" si="46"/>
        <v>0</v>
      </c>
      <c r="S92" s="79"/>
      <c r="T92" s="79"/>
      <c r="U92" s="79"/>
      <c r="V92" s="79"/>
      <c r="W92" s="79"/>
      <c r="X92" s="79"/>
      <c r="Y92" s="79"/>
      <c r="Z92" s="79"/>
      <c r="AA92" s="81"/>
      <c r="AB92" s="79"/>
      <c r="AC92" s="79"/>
      <c r="AD92" s="79"/>
      <c r="AE92" s="81"/>
      <c r="AF92" s="79"/>
      <c r="AG92" s="79"/>
      <c r="AH92" s="81"/>
      <c r="AI92" s="79"/>
      <c r="AJ92" s="79"/>
      <c r="AK92" s="79"/>
      <c r="AL92" s="81"/>
      <c r="AM92" s="79"/>
      <c r="AN92" s="79"/>
      <c r="AO92" s="79"/>
      <c r="AP92" s="81"/>
      <c r="AQ92" s="79"/>
      <c r="AR92" s="79"/>
      <c r="AS92" s="81"/>
      <c r="AT92" s="79"/>
      <c r="AU92" s="79"/>
      <c r="AV92" s="79"/>
      <c r="AW92" s="81"/>
      <c r="AX92" s="79"/>
    </row>
    <row r="93" spans="1:50" ht="24" hidden="1" customHeight="1" x14ac:dyDescent="0.3">
      <c r="A93" s="54">
        <f t="shared" ref="A93:A103" si="95">+A92+1</f>
        <v>4</v>
      </c>
      <c r="B93" s="55" t="s">
        <v>114</v>
      </c>
      <c r="C93" s="56">
        <f t="shared" si="93"/>
        <v>0</v>
      </c>
      <c r="D93" s="57">
        <v>0</v>
      </c>
      <c r="E93" s="64">
        <v>0</v>
      </c>
      <c r="F93" s="79"/>
      <c r="G93" s="79"/>
      <c r="H93" s="58">
        <f t="shared" si="34"/>
        <v>0</v>
      </c>
      <c r="I93" s="59">
        <f t="shared" si="1"/>
        <v>0</v>
      </c>
      <c r="J93" s="60">
        <f t="shared" si="94"/>
        <v>0</v>
      </c>
      <c r="K93" s="80"/>
      <c r="L93" s="80"/>
      <c r="M93" s="64">
        <v>0</v>
      </c>
      <c r="N93" s="64">
        <v>0</v>
      </c>
      <c r="O93" s="64">
        <v>0</v>
      </c>
      <c r="P93" s="64">
        <v>0</v>
      </c>
      <c r="Q93" s="62">
        <v>0</v>
      </c>
      <c r="R93" s="62">
        <f t="shared" si="46"/>
        <v>0</v>
      </c>
      <c r="S93" s="79"/>
      <c r="T93" s="79"/>
      <c r="U93" s="79"/>
      <c r="V93" s="79"/>
      <c r="W93" s="79"/>
      <c r="X93" s="79"/>
      <c r="Y93" s="79"/>
      <c r="Z93" s="79"/>
      <c r="AA93" s="81"/>
      <c r="AB93" s="79"/>
      <c r="AC93" s="79"/>
      <c r="AD93" s="79"/>
      <c r="AE93" s="81"/>
      <c r="AF93" s="79"/>
      <c r="AG93" s="79"/>
      <c r="AH93" s="81"/>
      <c r="AI93" s="79"/>
      <c r="AJ93" s="79"/>
      <c r="AK93" s="79"/>
      <c r="AL93" s="81"/>
      <c r="AM93" s="79"/>
      <c r="AN93" s="79"/>
      <c r="AO93" s="79"/>
      <c r="AP93" s="81"/>
      <c r="AQ93" s="79"/>
      <c r="AR93" s="79"/>
      <c r="AS93" s="81"/>
      <c r="AT93" s="79"/>
      <c r="AU93" s="79"/>
      <c r="AV93" s="79"/>
      <c r="AW93" s="81"/>
      <c r="AX93" s="79"/>
    </row>
    <row r="94" spans="1:50" ht="24" hidden="1" customHeight="1" x14ac:dyDescent="0.3">
      <c r="A94" s="54">
        <f t="shared" si="95"/>
        <v>5</v>
      </c>
      <c r="B94" s="55" t="s">
        <v>115</v>
      </c>
      <c r="C94" s="56">
        <f t="shared" si="93"/>
        <v>0</v>
      </c>
      <c r="D94" s="57">
        <v>0</v>
      </c>
      <c r="E94" s="64">
        <v>0</v>
      </c>
      <c r="F94" s="79"/>
      <c r="G94" s="79"/>
      <c r="H94" s="58">
        <f t="shared" si="34"/>
        <v>0</v>
      </c>
      <c r="I94" s="59">
        <f t="shared" si="1"/>
        <v>0</v>
      </c>
      <c r="J94" s="60">
        <f t="shared" si="94"/>
        <v>0</v>
      </c>
      <c r="K94" s="80"/>
      <c r="L94" s="80"/>
      <c r="M94" s="64">
        <v>0</v>
      </c>
      <c r="N94" s="64">
        <v>0</v>
      </c>
      <c r="O94" s="64">
        <v>0</v>
      </c>
      <c r="P94" s="64">
        <v>0</v>
      </c>
      <c r="Q94" s="62">
        <v>0</v>
      </c>
      <c r="R94" s="62">
        <f t="shared" si="46"/>
        <v>0</v>
      </c>
      <c r="S94" s="79"/>
      <c r="T94" s="79"/>
      <c r="U94" s="79"/>
      <c r="V94" s="79"/>
      <c r="W94" s="79"/>
      <c r="X94" s="79"/>
      <c r="Y94" s="79"/>
      <c r="Z94" s="79"/>
      <c r="AA94" s="81"/>
      <c r="AB94" s="79"/>
      <c r="AC94" s="79"/>
      <c r="AD94" s="79"/>
      <c r="AE94" s="81"/>
      <c r="AF94" s="79"/>
      <c r="AG94" s="79"/>
      <c r="AH94" s="81"/>
      <c r="AI94" s="79"/>
      <c r="AJ94" s="79"/>
      <c r="AK94" s="79"/>
      <c r="AL94" s="81"/>
      <c r="AM94" s="79"/>
      <c r="AN94" s="79"/>
      <c r="AO94" s="79"/>
      <c r="AP94" s="81"/>
      <c r="AQ94" s="79"/>
      <c r="AR94" s="79"/>
      <c r="AS94" s="81"/>
      <c r="AT94" s="79"/>
      <c r="AU94" s="79"/>
      <c r="AV94" s="79"/>
      <c r="AW94" s="81"/>
      <c r="AX94" s="79"/>
    </row>
    <row r="95" spans="1:50" ht="24" hidden="1" customHeight="1" x14ac:dyDescent="0.3">
      <c r="A95" s="54">
        <f t="shared" si="95"/>
        <v>6</v>
      </c>
      <c r="B95" s="55" t="s">
        <v>116</v>
      </c>
      <c r="C95" s="56">
        <f t="shared" si="93"/>
        <v>0</v>
      </c>
      <c r="D95" s="57">
        <v>0</v>
      </c>
      <c r="E95" s="64">
        <v>0</v>
      </c>
      <c r="F95" s="79"/>
      <c r="G95" s="79"/>
      <c r="H95" s="58">
        <f t="shared" si="34"/>
        <v>0</v>
      </c>
      <c r="I95" s="59">
        <f t="shared" si="1"/>
        <v>0</v>
      </c>
      <c r="J95" s="60">
        <f t="shared" si="94"/>
        <v>0</v>
      </c>
      <c r="K95" s="80"/>
      <c r="L95" s="80"/>
      <c r="M95" s="64">
        <v>0</v>
      </c>
      <c r="N95" s="64">
        <v>0</v>
      </c>
      <c r="O95" s="64">
        <v>0</v>
      </c>
      <c r="P95" s="64">
        <v>0</v>
      </c>
      <c r="Q95" s="62">
        <v>0</v>
      </c>
      <c r="R95" s="62">
        <f t="shared" si="46"/>
        <v>0</v>
      </c>
      <c r="S95" s="79"/>
      <c r="T95" s="79"/>
      <c r="U95" s="79"/>
      <c r="V95" s="79"/>
      <c r="W95" s="79"/>
      <c r="X95" s="79"/>
      <c r="Y95" s="79"/>
      <c r="Z95" s="79"/>
      <c r="AA95" s="81"/>
      <c r="AB95" s="79"/>
      <c r="AC95" s="79"/>
      <c r="AD95" s="79"/>
      <c r="AE95" s="81"/>
      <c r="AF95" s="79"/>
      <c r="AG95" s="79"/>
      <c r="AH95" s="81"/>
      <c r="AI95" s="79"/>
      <c r="AJ95" s="79"/>
      <c r="AK95" s="79"/>
      <c r="AL95" s="81"/>
      <c r="AM95" s="79"/>
      <c r="AN95" s="79"/>
      <c r="AO95" s="79"/>
      <c r="AP95" s="81"/>
      <c r="AQ95" s="79"/>
      <c r="AR95" s="79"/>
      <c r="AS95" s="81"/>
      <c r="AT95" s="79"/>
      <c r="AU95" s="79"/>
      <c r="AV95" s="79"/>
      <c r="AW95" s="81"/>
      <c r="AX95" s="79"/>
    </row>
    <row r="96" spans="1:50" ht="24" hidden="1" customHeight="1" x14ac:dyDescent="0.3">
      <c r="A96" s="54">
        <f t="shared" si="95"/>
        <v>7</v>
      </c>
      <c r="B96" s="55" t="s">
        <v>117</v>
      </c>
      <c r="C96" s="56">
        <f t="shared" si="93"/>
        <v>0</v>
      </c>
      <c r="D96" s="57">
        <v>0</v>
      </c>
      <c r="E96" s="64">
        <v>0</v>
      </c>
      <c r="F96" s="79"/>
      <c r="G96" s="79"/>
      <c r="H96" s="58">
        <f t="shared" si="34"/>
        <v>0</v>
      </c>
      <c r="I96" s="59">
        <f t="shared" si="1"/>
        <v>0</v>
      </c>
      <c r="J96" s="60">
        <f t="shared" si="94"/>
        <v>0</v>
      </c>
      <c r="K96" s="80"/>
      <c r="L96" s="80"/>
      <c r="M96" s="64">
        <v>0</v>
      </c>
      <c r="N96" s="64">
        <v>0</v>
      </c>
      <c r="O96" s="64">
        <v>0</v>
      </c>
      <c r="P96" s="64">
        <v>0</v>
      </c>
      <c r="Q96" s="62">
        <v>0</v>
      </c>
      <c r="R96" s="62">
        <f t="shared" si="46"/>
        <v>0</v>
      </c>
      <c r="S96" s="79"/>
      <c r="T96" s="79"/>
      <c r="U96" s="79"/>
      <c r="V96" s="79"/>
      <c r="W96" s="79"/>
      <c r="X96" s="79"/>
      <c r="Y96" s="79"/>
      <c r="Z96" s="79"/>
      <c r="AA96" s="81"/>
      <c r="AB96" s="79"/>
      <c r="AC96" s="79"/>
      <c r="AD96" s="79"/>
      <c r="AE96" s="81"/>
      <c r="AF96" s="79"/>
      <c r="AG96" s="79"/>
      <c r="AH96" s="81"/>
      <c r="AI96" s="79"/>
      <c r="AJ96" s="79"/>
      <c r="AK96" s="79"/>
      <c r="AL96" s="81"/>
      <c r="AM96" s="79"/>
      <c r="AN96" s="79"/>
      <c r="AO96" s="79"/>
      <c r="AP96" s="81"/>
      <c r="AQ96" s="79"/>
      <c r="AR96" s="79"/>
      <c r="AS96" s="81"/>
      <c r="AT96" s="79"/>
      <c r="AU96" s="79"/>
      <c r="AV96" s="79"/>
      <c r="AW96" s="81"/>
      <c r="AX96" s="79"/>
    </row>
    <row r="97" spans="1:50" ht="24" hidden="1" customHeight="1" x14ac:dyDescent="0.3">
      <c r="A97" s="54">
        <f t="shared" si="95"/>
        <v>8</v>
      </c>
      <c r="B97" s="55" t="s">
        <v>118</v>
      </c>
      <c r="C97" s="56">
        <f t="shared" si="93"/>
        <v>0</v>
      </c>
      <c r="D97" s="57">
        <v>0</v>
      </c>
      <c r="E97" s="64">
        <v>0</v>
      </c>
      <c r="F97" s="79"/>
      <c r="G97" s="79"/>
      <c r="H97" s="58">
        <f t="shared" si="34"/>
        <v>0</v>
      </c>
      <c r="I97" s="59">
        <f t="shared" si="1"/>
        <v>0</v>
      </c>
      <c r="J97" s="60">
        <f t="shared" si="94"/>
        <v>0</v>
      </c>
      <c r="K97" s="80"/>
      <c r="L97" s="80"/>
      <c r="M97" s="64">
        <v>0</v>
      </c>
      <c r="N97" s="64">
        <v>0</v>
      </c>
      <c r="O97" s="64">
        <v>0</v>
      </c>
      <c r="P97" s="64">
        <v>0</v>
      </c>
      <c r="Q97" s="62">
        <v>0</v>
      </c>
      <c r="R97" s="62">
        <f t="shared" si="46"/>
        <v>0</v>
      </c>
      <c r="S97" s="79"/>
      <c r="T97" s="79"/>
      <c r="U97" s="79"/>
      <c r="V97" s="79"/>
      <c r="W97" s="79"/>
      <c r="X97" s="79"/>
      <c r="Y97" s="79"/>
      <c r="Z97" s="79"/>
      <c r="AA97" s="81"/>
      <c r="AB97" s="79"/>
      <c r="AC97" s="79"/>
      <c r="AD97" s="79"/>
      <c r="AE97" s="81"/>
      <c r="AF97" s="79"/>
      <c r="AG97" s="79"/>
      <c r="AH97" s="81"/>
      <c r="AI97" s="79"/>
      <c r="AJ97" s="79"/>
      <c r="AK97" s="79"/>
      <c r="AL97" s="81"/>
      <c r="AM97" s="79"/>
      <c r="AN97" s="79"/>
      <c r="AO97" s="79"/>
      <c r="AP97" s="81"/>
      <c r="AQ97" s="79"/>
      <c r="AR97" s="79"/>
      <c r="AS97" s="81"/>
      <c r="AT97" s="79"/>
      <c r="AU97" s="79"/>
      <c r="AV97" s="79"/>
      <c r="AW97" s="81"/>
      <c r="AX97" s="79"/>
    </row>
    <row r="98" spans="1:50" ht="24" hidden="1" customHeight="1" x14ac:dyDescent="0.3">
      <c r="A98" s="54">
        <f t="shared" si="95"/>
        <v>9</v>
      </c>
      <c r="B98" s="55" t="s">
        <v>119</v>
      </c>
      <c r="C98" s="56">
        <f t="shared" si="93"/>
        <v>0</v>
      </c>
      <c r="D98" s="57">
        <v>0</v>
      </c>
      <c r="E98" s="64">
        <v>0</v>
      </c>
      <c r="F98" s="79"/>
      <c r="G98" s="79"/>
      <c r="H98" s="58">
        <f t="shared" si="34"/>
        <v>0</v>
      </c>
      <c r="I98" s="59">
        <f t="shared" si="1"/>
        <v>0</v>
      </c>
      <c r="J98" s="60">
        <f t="shared" si="94"/>
        <v>0</v>
      </c>
      <c r="K98" s="80"/>
      <c r="L98" s="80"/>
      <c r="M98" s="64">
        <v>0</v>
      </c>
      <c r="N98" s="64">
        <v>0</v>
      </c>
      <c r="O98" s="64">
        <v>0</v>
      </c>
      <c r="P98" s="64">
        <v>0</v>
      </c>
      <c r="Q98" s="62">
        <v>0</v>
      </c>
      <c r="R98" s="62">
        <f t="shared" si="46"/>
        <v>0</v>
      </c>
      <c r="S98" s="79"/>
      <c r="T98" s="79"/>
      <c r="U98" s="79"/>
      <c r="V98" s="79"/>
      <c r="W98" s="79"/>
      <c r="X98" s="79"/>
      <c r="Y98" s="79"/>
      <c r="Z98" s="79"/>
      <c r="AA98" s="81"/>
      <c r="AB98" s="79"/>
      <c r="AC98" s="79"/>
      <c r="AD98" s="79"/>
      <c r="AE98" s="81"/>
      <c r="AF98" s="79"/>
      <c r="AG98" s="79"/>
      <c r="AH98" s="81"/>
      <c r="AI98" s="79"/>
      <c r="AJ98" s="79"/>
      <c r="AK98" s="79"/>
      <c r="AL98" s="81"/>
      <c r="AM98" s="79"/>
      <c r="AN98" s="79"/>
      <c r="AO98" s="79"/>
      <c r="AP98" s="81"/>
      <c r="AQ98" s="79"/>
      <c r="AR98" s="79"/>
      <c r="AS98" s="81"/>
      <c r="AT98" s="79"/>
      <c r="AU98" s="79"/>
      <c r="AV98" s="79"/>
      <c r="AW98" s="81"/>
      <c r="AX98" s="79"/>
    </row>
    <row r="99" spans="1:50" ht="24" hidden="1" customHeight="1" x14ac:dyDescent="0.3">
      <c r="A99" s="54">
        <f t="shared" si="95"/>
        <v>10</v>
      </c>
      <c r="B99" s="55" t="s">
        <v>120</v>
      </c>
      <c r="C99" s="56">
        <f t="shared" si="93"/>
        <v>0</v>
      </c>
      <c r="D99" s="57">
        <v>0</v>
      </c>
      <c r="E99" s="64">
        <v>0</v>
      </c>
      <c r="F99" s="79"/>
      <c r="G99" s="79"/>
      <c r="H99" s="58">
        <f t="shared" si="34"/>
        <v>0</v>
      </c>
      <c r="I99" s="59">
        <f t="shared" si="1"/>
        <v>0</v>
      </c>
      <c r="J99" s="60">
        <f t="shared" si="94"/>
        <v>0</v>
      </c>
      <c r="K99" s="80"/>
      <c r="L99" s="80"/>
      <c r="M99" s="64">
        <v>0</v>
      </c>
      <c r="N99" s="64">
        <v>0</v>
      </c>
      <c r="O99" s="64">
        <v>0</v>
      </c>
      <c r="P99" s="64">
        <v>0</v>
      </c>
      <c r="Q99" s="62">
        <v>0</v>
      </c>
      <c r="R99" s="62">
        <f t="shared" si="46"/>
        <v>0</v>
      </c>
      <c r="S99" s="79"/>
      <c r="T99" s="79"/>
      <c r="U99" s="79"/>
      <c r="V99" s="79"/>
      <c r="W99" s="79"/>
      <c r="X99" s="79"/>
      <c r="Y99" s="79"/>
      <c r="Z99" s="79"/>
      <c r="AA99" s="81"/>
      <c r="AB99" s="79"/>
      <c r="AC99" s="79"/>
      <c r="AD99" s="79"/>
      <c r="AE99" s="81"/>
      <c r="AF99" s="79"/>
      <c r="AG99" s="79"/>
      <c r="AH99" s="81"/>
      <c r="AI99" s="79"/>
      <c r="AJ99" s="79"/>
      <c r="AK99" s="79"/>
      <c r="AL99" s="81"/>
      <c r="AM99" s="79"/>
      <c r="AN99" s="79"/>
      <c r="AO99" s="79"/>
      <c r="AP99" s="81"/>
      <c r="AQ99" s="79"/>
      <c r="AR99" s="79"/>
      <c r="AS99" s="81"/>
      <c r="AT99" s="79"/>
      <c r="AU99" s="79"/>
      <c r="AV99" s="79"/>
      <c r="AW99" s="81"/>
      <c r="AX99" s="79"/>
    </row>
    <row r="100" spans="1:50" ht="24" hidden="1" customHeight="1" x14ac:dyDescent="0.3">
      <c r="A100" s="54">
        <f t="shared" si="95"/>
        <v>11</v>
      </c>
      <c r="B100" s="55" t="s">
        <v>121</v>
      </c>
      <c r="C100" s="56">
        <f t="shared" si="93"/>
        <v>0</v>
      </c>
      <c r="D100" s="57">
        <v>0</v>
      </c>
      <c r="E100" s="64">
        <v>0</v>
      </c>
      <c r="F100" s="79"/>
      <c r="G100" s="79"/>
      <c r="H100" s="58">
        <f t="shared" si="34"/>
        <v>0</v>
      </c>
      <c r="I100" s="59">
        <f t="shared" si="1"/>
        <v>0</v>
      </c>
      <c r="J100" s="60">
        <f t="shared" si="94"/>
        <v>0</v>
      </c>
      <c r="K100" s="80"/>
      <c r="L100" s="80"/>
      <c r="M100" s="64">
        <v>0</v>
      </c>
      <c r="N100" s="64">
        <v>0</v>
      </c>
      <c r="O100" s="64">
        <v>0</v>
      </c>
      <c r="P100" s="64">
        <v>0</v>
      </c>
      <c r="Q100" s="62">
        <v>0</v>
      </c>
      <c r="R100" s="62">
        <f t="shared" si="46"/>
        <v>0</v>
      </c>
      <c r="S100" s="79"/>
      <c r="T100" s="79"/>
      <c r="U100" s="79"/>
      <c r="V100" s="79"/>
      <c r="W100" s="79"/>
      <c r="X100" s="79"/>
      <c r="Y100" s="79"/>
      <c r="Z100" s="79"/>
      <c r="AA100" s="81"/>
      <c r="AB100" s="79"/>
      <c r="AC100" s="79"/>
      <c r="AD100" s="79"/>
      <c r="AE100" s="81"/>
      <c r="AF100" s="79"/>
      <c r="AG100" s="79"/>
      <c r="AH100" s="81"/>
      <c r="AI100" s="79"/>
      <c r="AJ100" s="79"/>
      <c r="AK100" s="79"/>
      <c r="AL100" s="81"/>
      <c r="AM100" s="79"/>
      <c r="AN100" s="79"/>
      <c r="AO100" s="79"/>
      <c r="AP100" s="81"/>
      <c r="AQ100" s="79"/>
      <c r="AR100" s="79"/>
      <c r="AS100" s="81"/>
      <c r="AT100" s="79"/>
      <c r="AU100" s="79"/>
      <c r="AV100" s="79"/>
      <c r="AW100" s="81"/>
      <c r="AX100" s="79"/>
    </row>
    <row r="101" spans="1:50" ht="24" hidden="1" customHeight="1" x14ac:dyDescent="0.3">
      <c r="A101" s="54">
        <f t="shared" si="95"/>
        <v>12</v>
      </c>
      <c r="B101" s="55" t="s">
        <v>122</v>
      </c>
      <c r="C101" s="56">
        <f t="shared" si="93"/>
        <v>0</v>
      </c>
      <c r="D101" s="57">
        <v>0</v>
      </c>
      <c r="E101" s="64">
        <v>0</v>
      </c>
      <c r="F101" s="79"/>
      <c r="G101" s="79"/>
      <c r="H101" s="58">
        <f t="shared" si="34"/>
        <v>0</v>
      </c>
      <c r="I101" s="59">
        <f t="shared" si="1"/>
        <v>0</v>
      </c>
      <c r="J101" s="60">
        <f t="shared" si="94"/>
        <v>0</v>
      </c>
      <c r="K101" s="80"/>
      <c r="L101" s="80"/>
      <c r="M101" s="64">
        <v>0</v>
      </c>
      <c r="N101" s="64">
        <v>0</v>
      </c>
      <c r="O101" s="64">
        <v>0</v>
      </c>
      <c r="P101" s="64">
        <v>0</v>
      </c>
      <c r="Q101" s="62">
        <v>0</v>
      </c>
      <c r="R101" s="62">
        <f t="shared" si="46"/>
        <v>0</v>
      </c>
      <c r="S101" s="79"/>
      <c r="T101" s="79"/>
      <c r="U101" s="79"/>
      <c r="V101" s="79"/>
      <c r="W101" s="79"/>
      <c r="X101" s="79"/>
      <c r="Y101" s="79"/>
      <c r="Z101" s="79"/>
      <c r="AA101" s="81"/>
      <c r="AB101" s="79"/>
      <c r="AC101" s="79"/>
      <c r="AD101" s="79"/>
      <c r="AE101" s="81"/>
      <c r="AF101" s="79"/>
      <c r="AG101" s="79"/>
      <c r="AH101" s="81"/>
      <c r="AI101" s="79"/>
      <c r="AJ101" s="79"/>
      <c r="AK101" s="79"/>
      <c r="AL101" s="81"/>
      <c r="AM101" s="79"/>
      <c r="AN101" s="79"/>
      <c r="AO101" s="79"/>
      <c r="AP101" s="81"/>
      <c r="AQ101" s="79"/>
      <c r="AR101" s="79"/>
      <c r="AS101" s="81"/>
      <c r="AT101" s="79"/>
      <c r="AU101" s="79"/>
      <c r="AV101" s="79"/>
      <c r="AW101" s="81"/>
      <c r="AX101" s="79"/>
    </row>
    <row r="102" spans="1:50" ht="24" hidden="1" customHeight="1" x14ac:dyDescent="0.3">
      <c r="A102" s="54">
        <f t="shared" si="95"/>
        <v>13</v>
      </c>
      <c r="B102" s="55" t="s">
        <v>123</v>
      </c>
      <c r="C102" s="56">
        <f t="shared" si="93"/>
        <v>0</v>
      </c>
      <c r="D102" s="57">
        <v>0</v>
      </c>
      <c r="E102" s="64">
        <v>0</v>
      </c>
      <c r="F102" s="79"/>
      <c r="G102" s="79"/>
      <c r="H102" s="58">
        <f t="shared" si="34"/>
        <v>0</v>
      </c>
      <c r="I102" s="59">
        <f t="shared" si="1"/>
        <v>0</v>
      </c>
      <c r="J102" s="60">
        <f t="shared" si="94"/>
        <v>0</v>
      </c>
      <c r="K102" s="80"/>
      <c r="L102" s="80"/>
      <c r="M102" s="64">
        <v>0</v>
      </c>
      <c r="N102" s="64">
        <v>0</v>
      </c>
      <c r="O102" s="64">
        <v>0</v>
      </c>
      <c r="P102" s="64">
        <v>0</v>
      </c>
      <c r="Q102" s="62">
        <v>0</v>
      </c>
      <c r="R102" s="62">
        <f t="shared" si="46"/>
        <v>0</v>
      </c>
      <c r="S102" s="79"/>
      <c r="T102" s="79"/>
      <c r="U102" s="79"/>
      <c r="V102" s="79"/>
      <c r="W102" s="79"/>
      <c r="X102" s="79"/>
      <c r="Y102" s="79"/>
      <c r="Z102" s="79"/>
      <c r="AA102" s="81"/>
      <c r="AB102" s="79"/>
      <c r="AC102" s="79"/>
      <c r="AD102" s="79"/>
      <c r="AE102" s="81"/>
      <c r="AF102" s="79"/>
      <c r="AG102" s="79"/>
      <c r="AH102" s="81"/>
      <c r="AI102" s="79"/>
      <c r="AJ102" s="79"/>
      <c r="AK102" s="79"/>
      <c r="AL102" s="81"/>
      <c r="AM102" s="79"/>
      <c r="AN102" s="79"/>
      <c r="AO102" s="79"/>
      <c r="AP102" s="81"/>
      <c r="AQ102" s="79"/>
      <c r="AR102" s="79"/>
      <c r="AS102" s="81"/>
      <c r="AT102" s="79"/>
      <c r="AU102" s="79"/>
      <c r="AV102" s="79"/>
      <c r="AW102" s="81"/>
      <c r="AX102" s="79"/>
    </row>
    <row r="103" spans="1:50" ht="24" hidden="1" customHeight="1" x14ac:dyDescent="0.3">
      <c r="A103" s="65">
        <f t="shared" si="95"/>
        <v>14</v>
      </c>
      <c r="B103" s="66" t="s">
        <v>124</v>
      </c>
      <c r="C103" s="67">
        <f t="shared" si="93"/>
        <v>0</v>
      </c>
      <c r="D103" s="68">
        <v>0</v>
      </c>
      <c r="E103" s="69">
        <v>0</v>
      </c>
      <c r="F103" s="82"/>
      <c r="G103" s="82"/>
      <c r="H103" s="70">
        <f t="shared" si="34"/>
        <v>0</v>
      </c>
      <c r="I103" s="71">
        <f t="shared" si="1"/>
        <v>0</v>
      </c>
      <c r="J103" s="72">
        <f t="shared" si="94"/>
        <v>0</v>
      </c>
      <c r="K103" s="83"/>
      <c r="L103" s="83"/>
      <c r="M103" s="69">
        <v>0</v>
      </c>
      <c r="N103" s="69">
        <v>0</v>
      </c>
      <c r="O103" s="69">
        <v>0</v>
      </c>
      <c r="P103" s="69">
        <v>0</v>
      </c>
      <c r="Q103" s="74">
        <v>0</v>
      </c>
      <c r="R103" s="74">
        <f t="shared" si="46"/>
        <v>0</v>
      </c>
      <c r="S103" s="82"/>
      <c r="T103" s="82"/>
      <c r="U103" s="82"/>
      <c r="V103" s="82"/>
      <c r="W103" s="82"/>
      <c r="X103" s="82"/>
      <c r="Y103" s="82"/>
      <c r="Z103" s="82"/>
      <c r="AA103" s="84"/>
      <c r="AB103" s="82"/>
      <c r="AC103" s="82"/>
      <c r="AD103" s="82"/>
      <c r="AE103" s="84"/>
      <c r="AF103" s="82"/>
      <c r="AG103" s="82"/>
      <c r="AH103" s="84"/>
      <c r="AI103" s="82"/>
      <c r="AJ103" s="82"/>
      <c r="AK103" s="82"/>
      <c r="AL103" s="84"/>
      <c r="AM103" s="82"/>
      <c r="AN103" s="82"/>
      <c r="AO103" s="82"/>
      <c r="AP103" s="84"/>
      <c r="AQ103" s="82"/>
      <c r="AR103" s="82"/>
      <c r="AS103" s="84"/>
      <c r="AT103" s="82"/>
      <c r="AU103" s="82"/>
      <c r="AV103" s="82"/>
      <c r="AW103" s="84"/>
      <c r="AX103" s="82"/>
    </row>
    <row r="104" spans="1:50" ht="21" hidden="1" customHeight="1" x14ac:dyDescent="0.3">
      <c r="A104" s="187" t="s">
        <v>125</v>
      </c>
      <c r="B104" s="178"/>
      <c r="C104" s="77">
        <f>SUM(C105:C116)</f>
        <v>0</v>
      </c>
      <c r="D104" s="43"/>
      <c r="E104" s="43"/>
      <c r="F104" s="43"/>
      <c r="G104" s="43"/>
      <c r="H104" s="40">
        <f t="shared" si="34"/>
        <v>0</v>
      </c>
      <c r="I104" s="41">
        <f t="shared" si="1"/>
        <v>0</v>
      </c>
      <c r="J104" s="40">
        <f>SUM(J105:J116)</f>
        <v>0</v>
      </c>
      <c r="K104" s="43"/>
      <c r="L104" s="43"/>
      <c r="M104" s="43"/>
      <c r="N104" s="43"/>
      <c r="O104" s="43"/>
      <c r="P104" s="43"/>
      <c r="Q104" s="43"/>
      <c r="R104" s="40">
        <f t="shared" si="46"/>
        <v>0</v>
      </c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</row>
    <row r="105" spans="1:50" ht="24" hidden="1" customHeight="1" x14ac:dyDescent="0.3">
      <c r="A105" s="54">
        <v>1</v>
      </c>
      <c r="B105" s="85" t="s">
        <v>126</v>
      </c>
      <c r="C105" s="56">
        <f t="shared" ref="C105:C116" si="96">D105+E105</f>
        <v>0</v>
      </c>
      <c r="D105" s="57">
        <v>0</v>
      </c>
      <c r="E105" s="64">
        <v>0</v>
      </c>
      <c r="F105" s="79"/>
      <c r="G105" s="79"/>
      <c r="H105" s="58">
        <f t="shared" si="34"/>
        <v>0</v>
      </c>
      <c r="I105" s="59">
        <f t="shared" si="1"/>
        <v>0</v>
      </c>
      <c r="J105" s="60">
        <f t="shared" ref="J105:J116" si="97">M105+N105+O105+P105</f>
        <v>0</v>
      </c>
      <c r="K105" s="80"/>
      <c r="L105" s="80"/>
      <c r="M105" s="64">
        <v>0</v>
      </c>
      <c r="N105" s="64">
        <v>0</v>
      </c>
      <c r="O105" s="64">
        <v>0</v>
      </c>
      <c r="P105" s="64">
        <v>0</v>
      </c>
      <c r="Q105" s="62">
        <v>0</v>
      </c>
      <c r="R105" s="62">
        <f t="shared" si="46"/>
        <v>0</v>
      </c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79"/>
      <c r="AF105" s="79"/>
      <c r="AG105" s="79"/>
      <c r="AH105" s="79"/>
      <c r="AI105" s="79"/>
      <c r="AJ105" s="79"/>
      <c r="AK105" s="79"/>
      <c r="AL105" s="79"/>
      <c r="AM105" s="79"/>
      <c r="AN105" s="79"/>
      <c r="AO105" s="79"/>
      <c r="AP105" s="79"/>
      <c r="AQ105" s="79"/>
      <c r="AR105" s="79"/>
      <c r="AS105" s="79"/>
      <c r="AT105" s="79"/>
      <c r="AU105" s="79"/>
      <c r="AV105" s="79"/>
      <c r="AW105" s="79"/>
      <c r="AX105" s="79"/>
    </row>
    <row r="106" spans="1:50" ht="24" hidden="1" customHeight="1" x14ac:dyDescent="0.3">
      <c r="A106" s="54">
        <v>2</v>
      </c>
      <c r="B106" s="85" t="s">
        <v>127</v>
      </c>
      <c r="C106" s="56">
        <f t="shared" si="96"/>
        <v>0</v>
      </c>
      <c r="D106" s="57">
        <v>0</v>
      </c>
      <c r="E106" s="64">
        <v>0</v>
      </c>
      <c r="F106" s="79"/>
      <c r="G106" s="79"/>
      <c r="H106" s="58">
        <f t="shared" si="34"/>
        <v>0</v>
      </c>
      <c r="I106" s="59">
        <f t="shared" si="1"/>
        <v>0</v>
      </c>
      <c r="J106" s="60">
        <f t="shared" si="97"/>
        <v>0</v>
      </c>
      <c r="K106" s="80"/>
      <c r="L106" s="80"/>
      <c r="M106" s="64">
        <v>0</v>
      </c>
      <c r="N106" s="64">
        <v>0</v>
      </c>
      <c r="O106" s="64">
        <v>0</v>
      </c>
      <c r="P106" s="64">
        <v>0</v>
      </c>
      <c r="Q106" s="62">
        <v>0</v>
      </c>
      <c r="R106" s="62">
        <f t="shared" si="46"/>
        <v>0</v>
      </c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79"/>
      <c r="AM106" s="79"/>
      <c r="AN106" s="79"/>
      <c r="AO106" s="79"/>
      <c r="AP106" s="79"/>
      <c r="AQ106" s="79"/>
      <c r="AR106" s="79"/>
      <c r="AS106" s="79"/>
      <c r="AT106" s="79"/>
      <c r="AU106" s="79"/>
      <c r="AV106" s="79"/>
      <c r="AW106" s="79"/>
      <c r="AX106" s="79"/>
    </row>
    <row r="107" spans="1:50" ht="24" hidden="1" customHeight="1" x14ac:dyDescent="0.3">
      <c r="A107" s="54">
        <v>3</v>
      </c>
      <c r="B107" s="85" t="s">
        <v>128</v>
      </c>
      <c r="C107" s="56">
        <f t="shared" si="96"/>
        <v>0</v>
      </c>
      <c r="D107" s="57">
        <v>0</v>
      </c>
      <c r="E107" s="64">
        <v>0</v>
      </c>
      <c r="F107" s="79"/>
      <c r="G107" s="79"/>
      <c r="H107" s="58">
        <f t="shared" si="34"/>
        <v>0</v>
      </c>
      <c r="I107" s="59">
        <f t="shared" si="1"/>
        <v>0</v>
      </c>
      <c r="J107" s="60">
        <f t="shared" si="97"/>
        <v>0</v>
      </c>
      <c r="K107" s="80"/>
      <c r="L107" s="80"/>
      <c r="M107" s="64">
        <v>0</v>
      </c>
      <c r="N107" s="64">
        <v>0</v>
      </c>
      <c r="O107" s="64">
        <v>0</v>
      </c>
      <c r="P107" s="64">
        <v>0</v>
      </c>
      <c r="Q107" s="62">
        <v>0</v>
      </c>
      <c r="R107" s="62">
        <f t="shared" si="46"/>
        <v>0</v>
      </c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</row>
    <row r="108" spans="1:50" ht="24" hidden="1" customHeight="1" x14ac:dyDescent="0.3">
      <c r="A108" s="86">
        <v>4</v>
      </c>
      <c r="B108" s="85" t="s">
        <v>129</v>
      </c>
      <c r="C108" s="56">
        <f t="shared" si="96"/>
        <v>0</v>
      </c>
      <c r="D108" s="57">
        <v>0</v>
      </c>
      <c r="E108" s="64">
        <v>0</v>
      </c>
      <c r="F108" s="79"/>
      <c r="G108" s="79"/>
      <c r="H108" s="58">
        <f t="shared" si="34"/>
        <v>0</v>
      </c>
      <c r="I108" s="59">
        <f t="shared" si="1"/>
        <v>0</v>
      </c>
      <c r="J108" s="60">
        <f t="shared" si="97"/>
        <v>0</v>
      </c>
      <c r="K108" s="80"/>
      <c r="L108" s="80"/>
      <c r="M108" s="64">
        <v>0</v>
      </c>
      <c r="N108" s="64">
        <v>0</v>
      </c>
      <c r="O108" s="64">
        <v>0</v>
      </c>
      <c r="P108" s="64">
        <v>0</v>
      </c>
      <c r="Q108" s="62">
        <v>0</v>
      </c>
      <c r="R108" s="62">
        <f t="shared" si="46"/>
        <v>0</v>
      </c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</row>
    <row r="109" spans="1:50" ht="24" hidden="1" customHeight="1" x14ac:dyDescent="0.3">
      <c r="A109" s="86">
        <v>5</v>
      </c>
      <c r="B109" s="85" t="s">
        <v>130</v>
      </c>
      <c r="C109" s="56">
        <f t="shared" si="96"/>
        <v>0</v>
      </c>
      <c r="D109" s="57">
        <v>0</v>
      </c>
      <c r="E109" s="64">
        <v>0</v>
      </c>
      <c r="F109" s="79"/>
      <c r="G109" s="79"/>
      <c r="H109" s="58">
        <f t="shared" si="34"/>
        <v>0</v>
      </c>
      <c r="I109" s="59">
        <f t="shared" si="1"/>
        <v>0</v>
      </c>
      <c r="J109" s="60">
        <f t="shared" si="97"/>
        <v>0</v>
      </c>
      <c r="K109" s="80"/>
      <c r="L109" s="80"/>
      <c r="M109" s="64">
        <v>0</v>
      </c>
      <c r="N109" s="64">
        <v>0</v>
      </c>
      <c r="O109" s="64">
        <v>0</v>
      </c>
      <c r="P109" s="64">
        <v>0</v>
      </c>
      <c r="Q109" s="62">
        <v>0</v>
      </c>
      <c r="R109" s="62">
        <f t="shared" si="46"/>
        <v>0</v>
      </c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79"/>
      <c r="AF109" s="79"/>
      <c r="AG109" s="79"/>
      <c r="AH109" s="79"/>
      <c r="AI109" s="79"/>
      <c r="AJ109" s="79"/>
      <c r="AK109" s="79"/>
      <c r="AL109" s="79"/>
      <c r="AM109" s="79"/>
      <c r="AN109" s="79"/>
      <c r="AO109" s="79"/>
      <c r="AP109" s="79"/>
      <c r="AQ109" s="79"/>
      <c r="AR109" s="79"/>
      <c r="AS109" s="79"/>
      <c r="AT109" s="79"/>
      <c r="AU109" s="79"/>
      <c r="AV109" s="79"/>
      <c r="AW109" s="79"/>
      <c r="AX109" s="79"/>
    </row>
    <row r="110" spans="1:50" ht="24" hidden="1" customHeight="1" x14ac:dyDescent="0.3">
      <c r="A110" s="86">
        <v>6</v>
      </c>
      <c r="B110" s="85" t="s">
        <v>131</v>
      </c>
      <c r="C110" s="56">
        <f t="shared" si="96"/>
        <v>0</v>
      </c>
      <c r="D110" s="57">
        <v>0</v>
      </c>
      <c r="E110" s="64">
        <v>0</v>
      </c>
      <c r="F110" s="79"/>
      <c r="G110" s="79"/>
      <c r="H110" s="58">
        <f t="shared" si="34"/>
        <v>0</v>
      </c>
      <c r="I110" s="59">
        <f t="shared" si="1"/>
        <v>0</v>
      </c>
      <c r="J110" s="60">
        <f t="shared" si="97"/>
        <v>0</v>
      </c>
      <c r="K110" s="80"/>
      <c r="L110" s="80"/>
      <c r="M110" s="64">
        <v>0</v>
      </c>
      <c r="N110" s="64">
        <v>0</v>
      </c>
      <c r="O110" s="64">
        <v>0</v>
      </c>
      <c r="P110" s="64">
        <v>0</v>
      </c>
      <c r="Q110" s="62">
        <v>0</v>
      </c>
      <c r="R110" s="62">
        <f t="shared" si="46"/>
        <v>0</v>
      </c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  <c r="AP110" s="79"/>
      <c r="AQ110" s="79"/>
      <c r="AR110" s="79"/>
      <c r="AS110" s="79"/>
      <c r="AT110" s="79"/>
      <c r="AU110" s="79"/>
      <c r="AV110" s="79"/>
      <c r="AW110" s="79"/>
      <c r="AX110" s="79"/>
    </row>
    <row r="111" spans="1:50" ht="24" hidden="1" customHeight="1" x14ac:dyDescent="0.3">
      <c r="A111" s="86">
        <v>7</v>
      </c>
      <c r="B111" s="85" t="s">
        <v>132</v>
      </c>
      <c r="C111" s="56">
        <f t="shared" si="96"/>
        <v>0</v>
      </c>
      <c r="D111" s="57">
        <v>0</v>
      </c>
      <c r="E111" s="64">
        <v>0</v>
      </c>
      <c r="F111" s="79"/>
      <c r="G111" s="79"/>
      <c r="H111" s="58">
        <f t="shared" si="34"/>
        <v>0</v>
      </c>
      <c r="I111" s="59">
        <f t="shared" si="1"/>
        <v>0</v>
      </c>
      <c r="J111" s="60">
        <f t="shared" si="97"/>
        <v>0</v>
      </c>
      <c r="K111" s="80"/>
      <c r="L111" s="80"/>
      <c r="M111" s="64">
        <v>0</v>
      </c>
      <c r="N111" s="64">
        <v>0</v>
      </c>
      <c r="O111" s="64">
        <v>0</v>
      </c>
      <c r="P111" s="64">
        <v>0</v>
      </c>
      <c r="Q111" s="62">
        <v>0</v>
      </c>
      <c r="R111" s="62">
        <f t="shared" si="46"/>
        <v>0</v>
      </c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79"/>
      <c r="AL111" s="79"/>
      <c r="AM111" s="79"/>
      <c r="AN111" s="79"/>
      <c r="AO111" s="79"/>
      <c r="AP111" s="79"/>
      <c r="AQ111" s="79"/>
      <c r="AR111" s="79"/>
      <c r="AS111" s="79"/>
      <c r="AT111" s="79"/>
      <c r="AU111" s="79"/>
      <c r="AV111" s="79"/>
      <c r="AW111" s="79"/>
      <c r="AX111" s="79"/>
    </row>
    <row r="112" spans="1:50" ht="24" hidden="1" customHeight="1" x14ac:dyDescent="0.3">
      <c r="A112" s="86">
        <v>8</v>
      </c>
      <c r="B112" s="85" t="s">
        <v>133</v>
      </c>
      <c r="C112" s="56">
        <f t="shared" si="96"/>
        <v>0</v>
      </c>
      <c r="D112" s="57">
        <v>0</v>
      </c>
      <c r="E112" s="64">
        <v>0</v>
      </c>
      <c r="F112" s="79"/>
      <c r="G112" s="79"/>
      <c r="H112" s="58">
        <f t="shared" si="34"/>
        <v>0</v>
      </c>
      <c r="I112" s="59">
        <f t="shared" si="1"/>
        <v>0</v>
      </c>
      <c r="J112" s="60">
        <f t="shared" si="97"/>
        <v>0</v>
      </c>
      <c r="K112" s="80"/>
      <c r="L112" s="80"/>
      <c r="M112" s="64">
        <v>0</v>
      </c>
      <c r="N112" s="64">
        <v>0</v>
      </c>
      <c r="O112" s="64">
        <v>0</v>
      </c>
      <c r="P112" s="64">
        <v>0</v>
      </c>
      <c r="Q112" s="62">
        <v>0</v>
      </c>
      <c r="R112" s="62">
        <f t="shared" si="46"/>
        <v>0</v>
      </c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  <c r="AT112" s="79"/>
      <c r="AU112" s="79"/>
      <c r="AV112" s="79"/>
      <c r="AW112" s="79"/>
      <c r="AX112" s="79"/>
    </row>
    <row r="113" spans="1:50" ht="24" hidden="1" customHeight="1" x14ac:dyDescent="0.3">
      <c r="A113" s="86">
        <v>9</v>
      </c>
      <c r="B113" s="85" t="s">
        <v>134</v>
      </c>
      <c r="C113" s="56">
        <f t="shared" si="96"/>
        <v>0</v>
      </c>
      <c r="D113" s="57">
        <v>0</v>
      </c>
      <c r="E113" s="64">
        <v>0</v>
      </c>
      <c r="F113" s="79"/>
      <c r="G113" s="79"/>
      <c r="H113" s="58">
        <f t="shared" si="34"/>
        <v>0</v>
      </c>
      <c r="I113" s="59">
        <f t="shared" si="1"/>
        <v>0</v>
      </c>
      <c r="J113" s="60">
        <f t="shared" si="97"/>
        <v>0</v>
      </c>
      <c r="K113" s="80"/>
      <c r="L113" s="80"/>
      <c r="M113" s="64">
        <v>0</v>
      </c>
      <c r="N113" s="64">
        <v>0</v>
      </c>
      <c r="O113" s="64">
        <v>0</v>
      </c>
      <c r="P113" s="64">
        <v>0</v>
      </c>
      <c r="Q113" s="62">
        <v>0</v>
      </c>
      <c r="R113" s="62">
        <f t="shared" si="46"/>
        <v>0</v>
      </c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79"/>
      <c r="AF113" s="79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  <c r="AQ113" s="79"/>
      <c r="AR113" s="79"/>
      <c r="AS113" s="79"/>
      <c r="AT113" s="79"/>
      <c r="AU113" s="79"/>
      <c r="AV113" s="79"/>
      <c r="AW113" s="79"/>
      <c r="AX113" s="79"/>
    </row>
    <row r="114" spans="1:50" ht="24" hidden="1" customHeight="1" x14ac:dyDescent="0.3">
      <c r="A114" s="86">
        <v>10</v>
      </c>
      <c r="B114" s="85" t="s">
        <v>135</v>
      </c>
      <c r="C114" s="56">
        <f t="shared" si="96"/>
        <v>0</v>
      </c>
      <c r="D114" s="57">
        <v>0</v>
      </c>
      <c r="E114" s="64">
        <v>0</v>
      </c>
      <c r="F114" s="79"/>
      <c r="G114" s="79"/>
      <c r="H114" s="58">
        <f t="shared" si="34"/>
        <v>0</v>
      </c>
      <c r="I114" s="59">
        <f t="shared" si="1"/>
        <v>0</v>
      </c>
      <c r="J114" s="60">
        <f t="shared" si="97"/>
        <v>0</v>
      </c>
      <c r="K114" s="80"/>
      <c r="L114" s="80"/>
      <c r="M114" s="64">
        <v>0</v>
      </c>
      <c r="N114" s="64">
        <v>0</v>
      </c>
      <c r="O114" s="64">
        <v>0</v>
      </c>
      <c r="P114" s="64">
        <v>0</v>
      </c>
      <c r="Q114" s="62">
        <v>0</v>
      </c>
      <c r="R114" s="62">
        <f t="shared" si="46"/>
        <v>0</v>
      </c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79"/>
      <c r="AL114" s="79"/>
      <c r="AM114" s="79"/>
      <c r="AN114" s="79"/>
      <c r="AO114" s="79"/>
      <c r="AP114" s="79"/>
      <c r="AQ114" s="79"/>
      <c r="AR114" s="79"/>
      <c r="AS114" s="79"/>
      <c r="AT114" s="79"/>
      <c r="AU114" s="79"/>
      <c r="AV114" s="79"/>
      <c r="AW114" s="79"/>
      <c r="AX114" s="79"/>
    </row>
    <row r="115" spans="1:50" ht="24" hidden="1" customHeight="1" x14ac:dyDescent="0.3">
      <c r="A115" s="86">
        <v>11</v>
      </c>
      <c r="B115" s="85" t="s">
        <v>136</v>
      </c>
      <c r="C115" s="56">
        <f t="shared" si="96"/>
        <v>0</v>
      </c>
      <c r="D115" s="57">
        <v>0</v>
      </c>
      <c r="E115" s="64">
        <v>0</v>
      </c>
      <c r="F115" s="79"/>
      <c r="G115" s="79"/>
      <c r="H115" s="58">
        <f t="shared" si="34"/>
        <v>0</v>
      </c>
      <c r="I115" s="59">
        <f t="shared" si="1"/>
        <v>0</v>
      </c>
      <c r="J115" s="60">
        <f t="shared" si="97"/>
        <v>0</v>
      </c>
      <c r="K115" s="80"/>
      <c r="L115" s="80"/>
      <c r="M115" s="64">
        <v>0</v>
      </c>
      <c r="N115" s="64">
        <v>0</v>
      </c>
      <c r="O115" s="64">
        <v>0</v>
      </c>
      <c r="P115" s="64">
        <v>0</v>
      </c>
      <c r="Q115" s="62">
        <v>0</v>
      </c>
      <c r="R115" s="62">
        <f t="shared" si="46"/>
        <v>0</v>
      </c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  <c r="AH115" s="79"/>
      <c r="AI115" s="79"/>
      <c r="AJ115" s="79"/>
      <c r="AK115" s="79"/>
      <c r="AL115" s="79"/>
      <c r="AM115" s="79"/>
      <c r="AN115" s="79"/>
      <c r="AO115" s="79"/>
      <c r="AP115" s="79"/>
      <c r="AQ115" s="79"/>
      <c r="AR115" s="79"/>
      <c r="AS115" s="79"/>
      <c r="AT115" s="79"/>
      <c r="AU115" s="79"/>
      <c r="AV115" s="79"/>
      <c r="AW115" s="79"/>
      <c r="AX115" s="79"/>
    </row>
    <row r="116" spans="1:50" ht="24" hidden="1" customHeight="1" x14ac:dyDescent="0.3">
      <c r="A116" s="86">
        <v>12</v>
      </c>
      <c r="B116" s="85" t="s">
        <v>137</v>
      </c>
      <c r="C116" s="56">
        <f t="shared" si="96"/>
        <v>0</v>
      </c>
      <c r="D116" s="57">
        <v>0</v>
      </c>
      <c r="E116" s="64">
        <v>0</v>
      </c>
      <c r="F116" s="79"/>
      <c r="G116" s="79"/>
      <c r="H116" s="58">
        <f t="shared" si="34"/>
        <v>0</v>
      </c>
      <c r="I116" s="59">
        <f t="shared" si="1"/>
        <v>0</v>
      </c>
      <c r="J116" s="60">
        <f t="shared" si="97"/>
        <v>0</v>
      </c>
      <c r="K116" s="80"/>
      <c r="L116" s="80"/>
      <c r="M116" s="64">
        <v>0</v>
      </c>
      <c r="N116" s="64">
        <v>0</v>
      </c>
      <c r="O116" s="64">
        <v>0</v>
      </c>
      <c r="P116" s="64">
        <v>0</v>
      </c>
      <c r="Q116" s="62">
        <v>0</v>
      </c>
      <c r="R116" s="62">
        <f t="shared" si="46"/>
        <v>0</v>
      </c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U116" s="79"/>
      <c r="AV116" s="79"/>
      <c r="AW116" s="79"/>
      <c r="AX116" s="79"/>
    </row>
    <row r="117" spans="1:50" ht="24" customHeight="1" x14ac:dyDescent="0.2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8"/>
      <c r="N117" s="88"/>
      <c r="O117" s="8"/>
      <c r="P117" s="8"/>
      <c r="Q117" s="89"/>
      <c r="R117" s="89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</row>
    <row r="118" spans="1:50" ht="24" customHeight="1" x14ac:dyDescent="0.2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8"/>
      <c r="N118" s="88"/>
      <c r="O118" s="8"/>
      <c r="P118" s="8"/>
      <c r="Q118" s="89"/>
      <c r="R118" s="89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</row>
    <row r="119" spans="1:50" ht="24" customHeight="1" x14ac:dyDescent="0.2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8"/>
      <c r="N119" s="88"/>
      <c r="O119" s="8"/>
      <c r="P119" s="8"/>
      <c r="Q119" s="89"/>
      <c r="R119" s="89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</row>
    <row r="120" spans="1:50" ht="24" customHeight="1" x14ac:dyDescent="0.2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8"/>
      <c r="N120" s="88"/>
      <c r="O120" s="8"/>
      <c r="P120" s="8"/>
      <c r="Q120" s="89"/>
      <c r="R120" s="89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</row>
    <row r="121" spans="1:50" ht="24" customHeight="1" x14ac:dyDescent="0.2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8"/>
      <c r="N121" s="88"/>
      <c r="O121" s="8"/>
      <c r="P121" s="8"/>
      <c r="Q121" s="89"/>
      <c r="R121" s="89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</row>
    <row r="122" spans="1:50" ht="24" customHeight="1" x14ac:dyDescent="0.2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8"/>
      <c r="N122" s="88"/>
      <c r="O122" s="8"/>
      <c r="P122" s="8"/>
      <c r="Q122" s="89"/>
      <c r="R122" s="89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</row>
    <row r="123" spans="1:50" ht="24" customHeight="1" x14ac:dyDescent="0.2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8"/>
      <c r="N123" s="88"/>
      <c r="O123" s="8"/>
      <c r="P123" s="8"/>
      <c r="Q123" s="89"/>
      <c r="R123" s="89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</row>
    <row r="124" spans="1:50" ht="24" customHeight="1" x14ac:dyDescent="0.2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8"/>
      <c r="N124" s="88"/>
      <c r="O124" s="8"/>
      <c r="P124" s="8"/>
      <c r="Q124" s="89"/>
      <c r="R124" s="89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</row>
    <row r="125" spans="1:50" ht="24" customHeight="1" x14ac:dyDescent="0.2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8"/>
      <c r="N125" s="88"/>
      <c r="O125" s="8"/>
      <c r="P125" s="8"/>
      <c r="Q125" s="89"/>
      <c r="R125" s="89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</row>
    <row r="126" spans="1:50" ht="24" customHeight="1" x14ac:dyDescent="0.2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8"/>
      <c r="N126" s="88"/>
      <c r="O126" s="8"/>
      <c r="P126" s="8"/>
      <c r="Q126" s="89"/>
      <c r="R126" s="89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</row>
    <row r="127" spans="1:50" ht="24" customHeight="1" x14ac:dyDescent="0.2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8"/>
      <c r="N127" s="88"/>
      <c r="O127" s="8"/>
      <c r="P127" s="8"/>
      <c r="Q127" s="89"/>
      <c r="R127" s="89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</row>
    <row r="128" spans="1:50" ht="24" customHeight="1" x14ac:dyDescent="0.2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8"/>
      <c r="N128" s="88"/>
      <c r="O128" s="8"/>
      <c r="P128" s="8"/>
      <c r="Q128" s="89"/>
      <c r="R128" s="89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</row>
    <row r="129" spans="1:50" ht="24" customHeight="1" x14ac:dyDescent="0.2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8"/>
      <c r="N129" s="88"/>
      <c r="O129" s="8"/>
      <c r="P129" s="8"/>
      <c r="Q129" s="89"/>
      <c r="R129" s="89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</row>
    <row r="130" spans="1:50" ht="24" customHeight="1" x14ac:dyDescent="0.2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8"/>
      <c r="N130" s="88"/>
      <c r="O130" s="8"/>
      <c r="P130" s="8"/>
      <c r="Q130" s="89"/>
      <c r="R130" s="89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</row>
    <row r="131" spans="1:50" ht="24" customHeight="1" x14ac:dyDescent="0.2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8"/>
      <c r="N131" s="88"/>
      <c r="O131" s="8"/>
      <c r="P131" s="8"/>
      <c r="Q131" s="89"/>
      <c r="R131" s="89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</row>
    <row r="132" spans="1:50" ht="24" customHeight="1" x14ac:dyDescent="0.2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8"/>
      <c r="N132" s="88"/>
      <c r="O132" s="8"/>
      <c r="P132" s="8"/>
      <c r="Q132" s="89"/>
      <c r="R132" s="89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</row>
    <row r="133" spans="1:50" ht="24" customHeight="1" x14ac:dyDescent="0.2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8"/>
      <c r="N133" s="88"/>
      <c r="O133" s="8"/>
      <c r="P133" s="8"/>
      <c r="Q133" s="89"/>
      <c r="R133" s="89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</row>
    <row r="134" spans="1:50" ht="24" customHeight="1" x14ac:dyDescent="0.2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8"/>
      <c r="N134" s="88"/>
      <c r="O134" s="8"/>
      <c r="P134" s="8"/>
      <c r="Q134" s="89"/>
      <c r="R134" s="89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</row>
    <row r="135" spans="1:50" ht="24" customHeight="1" x14ac:dyDescent="0.2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8"/>
      <c r="N135" s="88"/>
      <c r="O135" s="8"/>
      <c r="P135" s="8"/>
      <c r="Q135" s="89"/>
      <c r="R135" s="89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</row>
    <row r="136" spans="1:50" ht="24" customHeight="1" x14ac:dyDescent="0.2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8"/>
      <c r="N136" s="88"/>
      <c r="O136" s="8"/>
      <c r="P136" s="8"/>
      <c r="Q136" s="89"/>
      <c r="R136" s="89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</row>
    <row r="137" spans="1:50" ht="24" customHeight="1" x14ac:dyDescent="0.2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8"/>
      <c r="N137" s="88"/>
      <c r="O137" s="8"/>
      <c r="P137" s="8"/>
      <c r="Q137" s="89"/>
      <c r="R137" s="89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</row>
    <row r="138" spans="1:50" ht="24" customHeight="1" x14ac:dyDescent="0.2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8"/>
      <c r="N138" s="88"/>
      <c r="O138" s="8"/>
      <c r="P138" s="8"/>
      <c r="Q138" s="89"/>
      <c r="R138" s="89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</row>
    <row r="139" spans="1:50" ht="24" customHeight="1" x14ac:dyDescent="0.2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8"/>
      <c r="N139" s="88"/>
      <c r="O139" s="8"/>
      <c r="P139" s="8"/>
      <c r="Q139" s="89"/>
      <c r="R139" s="89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</row>
    <row r="140" spans="1:50" ht="24" customHeight="1" x14ac:dyDescent="0.2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8"/>
      <c r="N140" s="88"/>
      <c r="O140" s="8"/>
      <c r="P140" s="8"/>
      <c r="Q140" s="89"/>
      <c r="R140" s="89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</row>
    <row r="141" spans="1:50" ht="24" customHeight="1" x14ac:dyDescent="0.2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8"/>
      <c r="N141" s="88"/>
      <c r="O141" s="8"/>
      <c r="P141" s="8"/>
      <c r="Q141" s="89"/>
      <c r="R141" s="89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</row>
    <row r="142" spans="1:50" ht="24" customHeight="1" x14ac:dyDescent="0.2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8"/>
      <c r="N142" s="88"/>
      <c r="O142" s="8"/>
      <c r="P142" s="8"/>
      <c r="Q142" s="89"/>
      <c r="R142" s="89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</row>
    <row r="143" spans="1:50" ht="24" customHeight="1" x14ac:dyDescent="0.2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8"/>
      <c r="N143" s="88"/>
      <c r="O143" s="8"/>
      <c r="P143" s="8"/>
      <c r="Q143" s="89"/>
      <c r="R143" s="89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</row>
    <row r="144" spans="1:50" ht="24" customHeight="1" x14ac:dyDescent="0.2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8"/>
      <c r="N144" s="88"/>
      <c r="O144" s="8"/>
      <c r="P144" s="8"/>
      <c r="Q144" s="89"/>
      <c r="R144" s="89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</row>
    <row r="145" spans="1:50" ht="24" customHeight="1" x14ac:dyDescent="0.2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8"/>
      <c r="N145" s="88"/>
      <c r="O145" s="8"/>
      <c r="P145" s="8"/>
      <c r="Q145" s="89"/>
      <c r="R145" s="89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</row>
    <row r="146" spans="1:50" ht="24" customHeight="1" x14ac:dyDescent="0.2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8"/>
      <c r="N146" s="88"/>
      <c r="O146" s="8"/>
      <c r="P146" s="8"/>
      <c r="Q146" s="89"/>
      <c r="R146" s="89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</row>
    <row r="147" spans="1:50" ht="24" customHeight="1" x14ac:dyDescent="0.2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8"/>
      <c r="N147" s="88"/>
      <c r="O147" s="8"/>
      <c r="P147" s="8"/>
      <c r="Q147" s="89"/>
      <c r="R147" s="89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</row>
    <row r="148" spans="1:50" ht="24" customHeight="1" x14ac:dyDescent="0.2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8"/>
      <c r="N148" s="88"/>
      <c r="O148" s="8"/>
      <c r="P148" s="8"/>
      <c r="Q148" s="89"/>
      <c r="R148" s="89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</row>
    <row r="149" spans="1:50" ht="24" customHeight="1" x14ac:dyDescent="0.2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8"/>
      <c r="N149" s="88"/>
      <c r="O149" s="8"/>
      <c r="P149" s="8"/>
      <c r="Q149" s="89"/>
      <c r="R149" s="89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</row>
    <row r="150" spans="1:50" ht="24" customHeight="1" x14ac:dyDescent="0.2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8"/>
      <c r="N150" s="88"/>
      <c r="O150" s="8"/>
      <c r="P150" s="8"/>
      <c r="Q150" s="89"/>
      <c r="R150" s="89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</row>
    <row r="151" spans="1:50" ht="24" customHeight="1" x14ac:dyDescent="0.2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8"/>
      <c r="N151" s="88"/>
      <c r="O151" s="8"/>
      <c r="P151" s="8"/>
      <c r="Q151" s="89"/>
      <c r="R151" s="89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</row>
    <row r="152" spans="1:50" ht="24" customHeight="1" x14ac:dyDescent="0.2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8"/>
      <c r="N152" s="88"/>
      <c r="O152" s="8"/>
      <c r="P152" s="8"/>
      <c r="Q152" s="89"/>
      <c r="R152" s="89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</row>
    <row r="153" spans="1:50" ht="24" customHeight="1" x14ac:dyDescent="0.2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8"/>
      <c r="N153" s="88"/>
      <c r="O153" s="8"/>
      <c r="P153" s="8"/>
      <c r="Q153" s="89"/>
      <c r="R153" s="89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</row>
    <row r="154" spans="1:50" ht="24" customHeight="1" x14ac:dyDescent="0.2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8"/>
      <c r="N154" s="88"/>
      <c r="O154" s="8"/>
      <c r="P154" s="8"/>
      <c r="Q154" s="89"/>
      <c r="R154" s="89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</row>
    <row r="155" spans="1:50" ht="24" customHeight="1" x14ac:dyDescent="0.2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8"/>
      <c r="N155" s="88"/>
      <c r="O155" s="8"/>
      <c r="P155" s="8"/>
      <c r="Q155" s="89"/>
      <c r="R155" s="89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</row>
    <row r="156" spans="1:50" ht="24" customHeight="1" x14ac:dyDescent="0.2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8"/>
      <c r="N156" s="88"/>
      <c r="O156" s="8"/>
      <c r="P156" s="8"/>
      <c r="Q156" s="89"/>
      <c r="R156" s="89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</row>
    <row r="157" spans="1:50" ht="24" customHeight="1" x14ac:dyDescent="0.2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8"/>
      <c r="N157" s="88"/>
      <c r="O157" s="8"/>
      <c r="P157" s="8"/>
      <c r="Q157" s="89"/>
      <c r="R157" s="89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</row>
    <row r="158" spans="1:50" ht="24" customHeight="1" x14ac:dyDescent="0.2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8"/>
      <c r="N158" s="88"/>
      <c r="O158" s="8"/>
      <c r="P158" s="8"/>
      <c r="Q158" s="89"/>
      <c r="R158" s="89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</row>
    <row r="159" spans="1:50" ht="24" customHeight="1" x14ac:dyDescent="0.2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8"/>
      <c r="N159" s="88"/>
      <c r="O159" s="8"/>
      <c r="P159" s="8"/>
      <c r="Q159" s="89"/>
      <c r="R159" s="89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</row>
    <row r="160" spans="1:50" ht="24" customHeight="1" x14ac:dyDescent="0.2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8"/>
      <c r="N160" s="88"/>
      <c r="O160" s="8"/>
      <c r="P160" s="8"/>
      <c r="Q160" s="89"/>
      <c r="R160" s="89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</row>
    <row r="161" spans="1:50" ht="24" customHeight="1" x14ac:dyDescent="0.2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8"/>
      <c r="N161" s="88"/>
      <c r="O161" s="8"/>
      <c r="P161" s="8"/>
      <c r="Q161" s="89"/>
      <c r="R161" s="89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</row>
    <row r="162" spans="1:50" ht="24" customHeight="1" x14ac:dyDescent="0.2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8"/>
      <c r="N162" s="88"/>
      <c r="O162" s="8"/>
      <c r="P162" s="8"/>
      <c r="Q162" s="89"/>
      <c r="R162" s="89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</row>
    <row r="163" spans="1:50" ht="24" customHeight="1" x14ac:dyDescent="0.2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8"/>
      <c r="N163" s="88"/>
      <c r="O163" s="8"/>
      <c r="P163" s="8"/>
      <c r="Q163" s="89"/>
      <c r="R163" s="89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</row>
    <row r="164" spans="1:50" ht="24" customHeight="1" x14ac:dyDescent="0.2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8"/>
      <c r="N164" s="88"/>
      <c r="O164" s="8"/>
      <c r="P164" s="8"/>
      <c r="Q164" s="89"/>
      <c r="R164" s="89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</row>
    <row r="165" spans="1:50" ht="24" customHeight="1" x14ac:dyDescent="0.2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8"/>
      <c r="N165" s="88"/>
      <c r="O165" s="8"/>
      <c r="P165" s="8"/>
      <c r="Q165" s="89"/>
      <c r="R165" s="89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</row>
    <row r="166" spans="1:50" ht="24" customHeight="1" x14ac:dyDescent="0.2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8"/>
      <c r="N166" s="88"/>
      <c r="O166" s="8"/>
      <c r="P166" s="8"/>
      <c r="Q166" s="89"/>
      <c r="R166" s="89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</row>
    <row r="167" spans="1:50" ht="24" customHeight="1" x14ac:dyDescent="0.2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8"/>
      <c r="N167" s="88"/>
      <c r="O167" s="8"/>
      <c r="P167" s="8"/>
      <c r="Q167" s="89"/>
      <c r="R167" s="89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</row>
    <row r="168" spans="1:50" ht="24" customHeight="1" x14ac:dyDescent="0.2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8"/>
      <c r="N168" s="88"/>
      <c r="O168" s="8"/>
      <c r="P168" s="8"/>
      <c r="Q168" s="89"/>
      <c r="R168" s="89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</row>
    <row r="169" spans="1:50" ht="24" customHeight="1" x14ac:dyDescent="0.2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8"/>
      <c r="N169" s="88"/>
      <c r="O169" s="8"/>
      <c r="P169" s="8"/>
      <c r="Q169" s="89"/>
      <c r="R169" s="89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</row>
    <row r="170" spans="1:50" ht="24" customHeight="1" x14ac:dyDescent="0.2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8"/>
      <c r="N170" s="88"/>
      <c r="O170" s="8"/>
      <c r="P170" s="8"/>
      <c r="Q170" s="89"/>
      <c r="R170" s="89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</row>
    <row r="171" spans="1:50" ht="24" customHeight="1" x14ac:dyDescent="0.2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8"/>
      <c r="N171" s="88"/>
      <c r="O171" s="8"/>
      <c r="P171" s="8"/>
      <c r="Q171" s="89"/>
      <c r="R171" s="89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</row>
    <row r="172" spans="1:50" ht="24" customHeight="1" x14ac:dyDescent="0.2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8"/>
      <c r="N172" s="88"/>
      <c r="O172" s="8"/>
      <c r="P172" s="8"/>
      <c r="Q172" s="89"/>
      <c r="R172" s="89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</row>
    <row r="173" spans="1:50" ht="24" customHeight="1" x14ac:dyDescent="0.2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8"/>
      <c r="N173" s="88"/>
      <c r="O173" s="8"/>
      <c r="P173" s="8"/>
      <c r="Q173" s="89"/>
      <c r="R173" s="89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</row>
    <row r="174" spans="1:50" ht="24" customHeight="1" x14ac:dyDescent="0.2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8"/>
      <c r="N174" s="88"/>
      <c r="O174" s="8"/>
      <c r="P174" s="8"/>
      <c r="Q174" s="89"/>
      <c r="R174" s="89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</row>
    <row r="175" spans="1:50" ht="24" customHeight="1" x14ac:dyDescent="0.2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8"/>
      <c r="N175" s="88"/>
      <c r="O175" s="8"/>
      <c r="P175" s="8"/>
      <c r="Q175" s="89"/>
      <c r="R175" s="89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</row>
    <row r="176" spans="1:50" ht="24" customHeight="1" x14ac:dyDescent="0.2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8"/>
      <c r="N176" s="88"/>
      <c r="O176" s="8"/>
      <c r="P176" s="8"/>
      <c r="Q176" s="89"/>
      <c r="R176" s="89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</row>
    <row r="177" spans="1:50" ht="24" customHeight="1" x14ac:dyDescent="0.2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8"/>
      <c r="N177" s="88"/>
      <c r="O177" s="8"/>
      <c r="P177" s="8"/>
      <c r="Q177" s="89"/>
      <c r="R177" s="89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</row>
    <row r="178" spans="1:50" ht="24" customHeight="1" x14ac:dyDescent="0.2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8"/>
      <c r="N178" s="88"/>
      <c r="O178" s="8"/>
      <c r="P178" s="8"/>
      <c r="Q178" s="89"/>
      <c r="R178" s="89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</row>
    <row r="179" spans="1:50" ht="24" customHeight="1" x14ac:dyDescent="0.2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8"/>
      <c r="N179" s="88"/>
      <c r="O179" s="8"/>
      <c r="P179" s="8"/>
      <c r="Q179" s="89"/>
      <c r="R179" s="89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</row>
    <row r="180" spans="1:50" ht="24" customHeight="1" x14ac:dyDescent="0.2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8"/>
      <c r="N180" s="88"/>
      <c r="O180" s="8"/>
      <c r="P180" s="8"/>
      <c r="Q180" s="89"/>
      <c r="R180" s="89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</row>
    <row r="181" spans="1:50" ht="24" customHeight="1" x14ac:dyDescent="0.2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8"/>
      <c r="N181" s="88"/>
      <c r="O181" s="8"/>
      <c r="P181" s="8"/>
      <c r="Q181" s="89"/>
      <c r="R181" s="89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</row>
    <row r="182" spans="1:50" ht="24" customHeight="1" x14ac:dyDescent="0.2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8"/>
      <c r="N182" s="88"/>
      <c r="O182" s="8"/>
      <c r="P182" s="8"/>
      <c r="Q182" s="89"/>
      <c r="R182" s="89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</row>
    <row r="183" spans="1:50" ht="24" customHeight="1" x14ac:dyDescent="0.2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8"/>
      <c r="N183" s="88"/>
      <c r="O183" s="8"/>
      <c r="P183" s="8"/>
      <c r="Q183" s="89"/>
      <c r="R183" s="89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</row>
    <row r="184" spans="1:50" ht="24" customHeight="1" x14ac:dyDescent="0.2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8"/>
      <c r="N184" s="88"/>
      <c r="O184" s="8"/>
      <c r="P184" s="8"/>
      <c r="Q184" s="89"/>
      <c r="R184" s="89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</row>
    <row r="185" spans="1:50" ht="24" customHeight="1" x14ac:dyDescent="0.2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8"/>
      <c r="N185" s="88"/>
      <c r="O185" s="8"/>
      <c r="P185" s="8"/>
      <c r="Q185" s="89"/>
      <c r="R185" s="89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</row>
    <row r="186" spans="1:50" ht="24" customHeight="1" x14ac:dyDescent="0.2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8"/>
      <c r="N186" s="88"/>
      <c r="O186" s="8"/>
      <c r="P186" s="8"/>
      <c r="Q186" s="89"/>
      <c r="R186" s="89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</row>
    <row r="187" spans="1:50" ht="24" customHeight="1" x14ac:dyDescent="0.2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8"/>
      <c r="N187" s="88"/>
      <c r="O187" s="8"/>
      <c r="P187" s="8"/>
      <c r="Q187" s="89"/>
      <c r="R187" s="89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</row>
    <row r="188" spans="1:50" ht="24" customHeight="1" x14ac:dyDescent="0.2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8"/>
      <c r="N188" s="88"/>
      <c r="O188" s="8"/>
      <c r="P188" s="8"/>
      <c r="Q188" s="89"/>
      <c r="R188" s="89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</row>
    <row r="189" spans="1:50" ht="24" customHeight="1" x14ac:dyDescent="0.2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8"/>
      <c r="N189" s="88"/>
      <c r="O189" s="8"/>
      <c r="P189" s="8"/>
      <c r="Q189" s="89"/>
      <c r="R189" s="89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</row>
    <row r="190" spans="1:50" ht="24" customHeight="1" x14ac:dyDescent="0.2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8"/>
      <c r="N190" s="88"/>
      <c r="O190" s="8"/>
      <c r="P190" s="8"/>
      <c r="Q190" s="89"/>
      <c r="R190" s="89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</row>
    <row r="191" spans="1:50" ht="24" customHeight="1" x14ac:dyDescent="0.2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8"/>
      <c r="N191" s="88"/>
      <c r="O191" s="8"/>
      <c r="P191" s="8"/>
      <c r="Q191" s="89"/>
      <c r="R191" s="89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</row>
    <row r="192" spans="1:50" ht="24" customHeight="1" x14ac:dyDescent="0.2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8"/>
      <c r="N192" s="88"/>
      <c r="O192" s="8"/>
      <c r="P192" s="8"/>
      <c r="Q192" s="89"/>
      <c r="R192" s="89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</row>
    <row r="193" spans="1:50" ht="24" customHeight="1" x14ac:dyDescent="0.2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8"/>
      <c r="N193" s="88"/>
      <c r="O193" s="8"/>
      <c r="P193" s="8"/>
      <c r="Q193" s="89"/>
      <c r="R193" s="89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</row>
    <row r="194" spans="1:50" ht="24" customHeight="1" x14ac:dyDescent="0.2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8"/>
      <c r="N194" s="88"/>
      <c r="O194" s="8"/>
      <c r="P194" s="8"/>
      <c r="Q194" s="89"/>
      <c r="R194" s="89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</row>
    <row r="195" spans="1:50" ht="24" customHeight="1" x14ac:dyDescent="0.2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8"/>
      <c r="N195" s="88"/>
      <c r="O195" s="8"/>
      <c r="P195" s="8"/>
      <c r="Q195" s="89"/>
      <c r="R195" s="89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</row>
    <row r="196" spans="1:50" ht="24" customHeight="1" x14ac:dyDescent="0.2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8"/>
      <c r="N196" s="88"/>
      <c r="O196" s="8"/>
      <c r="P196" s="8"/>
      <c r="Q196" s="89"/>
      <c r="R196" s="89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</row>
    <row r="197" spans="1:50" ht="24" customHeight="1" x14ac:dyDescent="0.2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8"/>
      <c r="N197" s="88"/>
      <c r="O197" s="8"/>
      <c r="P197" s="8"/>
      <c r="Q197" s="89"/>
      <c r="R197" s="89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</row>
    <row r="198" spans="1:50" ht="24" customHeight="1" x14ac:dyDescent="0.2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8"/>
      <c r="N198" s="88"/>
      <c r="O198" s="8"/>
      <c r="P198" s="8"/>
      <c r="Q198" s="89"/>
      <c r="R198" s="89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</row>
    <row r="199" spans="1:50" ht="24" customHeight="1" x14ac:dyDescent="0.2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8"/>
      <c r="N199" s="88"/>
      <c r="O199" s="8"/>
      <c r="P199" s="8"/>
      <c r="Q199" s="89"/>
      <c r="R199" s="89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</row>
    <row r="200" spans="1:50" ht="24" customHeight="1" x14ac:dyDescent="0.2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8"/>
      <c r="N200" s="88"/>
      <c r="O200" s="8"/>
      <c r="P200" s="8"/>
      <c r="Q200" s="89"/>
      <c r="R200" s="89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</row>
    <row r="201" spans="1:50" ht="24" customHeight="1" x14ac:dyDescent="0.2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8"/>
      <c r="N201" s="88"/>
      <c r="O201" s="8"/>
      <c r="P201" s="8"/>
      <c r="Q201" s="89"/>
      <c r="R201" s="89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</row>
    <row r="202" spans="1:50" ht="24" customHeight="1" x14ac:dyDescent="0.2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8"/>
      <c r="N202" s="88"/>
      <c r="O202" s="8"/>
      <c r="P202" s="8"/>
      <c r="Q202" s="89"/>
      <c r="R202" s="89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</row>
    <row r="203" spans="1:50" ht="24" customHeight="1" x14ac:dyDescent="0.2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8"/>
      <c r="N203" s="88"/>
      <c r="O203" s="8"/>
      <c r="P203" s="8"/>
      <c r="Q203" s="89"/>
      <c r="R203" s="89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</row>
    <row r="204" spans="1:50" ht="24" customHeight="1" x14ac:dyDescent="0.2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8"/>
      <c r="N204" s="88"/>
      <c r="O204" s="8"/>
      <c r="P204" s="8"/>
      <c r="Q204" s="89"/>
      <c r="R204" s="89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</row>
    <row r="205" spans="1:50" ht="24" customHeight="1" x14ac:dyDescent="0.2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8"/>
      <c r="N205" s="88"/>
      <c r="O205" s="8"/>
      <c r="P205" s="8"/>
      <c r="Q205" s="89"/>
      <c r="R205" s="89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</row>
    <row r="206" spans="1:50" ht="24" customHeight="1" x14ac:dyDescent="0.2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8"/>
      <c r="N206" s="88"/>
      <c r="O206" s="8"/>
      <c r="P206" s="8"/>
      <c r="Q206" s="89"/>
      <c r="R206" s="89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</row>
    <row r="207" spans="1:50" ht="24" customHeight="1" x14ac:dyDescent="0.2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8"/>
      <c r="N207" s="88"/>
      <c r="O207" s="8"/>
      <c r="P207" s="8"/>
      <c r="Q207" s="89"/>
      <c r="R207" s="89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</row>
    <row r="208" spans="1:50" ht="24" customHeight="1" x14ac:dyDescent="0.2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8"/>
      <c r="N208" s="88"/>
      <c r="O208" s="8"/>
      <c r="P208" s="8"/>
      <c r="Q208" s="89"/>
      <c r="R208" s="89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</row>
    <row r="209" spans="1:50" ht="24" customHeight="1" x14ac:dyDescent="0.2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8"/>
      <c r="N209" s="88"/>
      <c r="O209" s="8"/>
      <c r="P209" s="8"/>
      <c r="Q209" s="89"/>
      <c r="R209" s="89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</row>
    <row r="210" spans="1:50" ht="24" customHeight="1" x14ac:dyDescent="0.2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8"/>
      <c r="N210" s="88"/>
      <c r="O210" s="8"/>
      <c r="P210" s="8"/>
      <c r="Q210" s="89"/>
      <c r="R210" s="89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</row>
    <row r="211" spans="1:50" ht="24" customHeight="1" x14ac:dyDescent="0.2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8"/>
      <c r="N211" s="88"/>
      <c r="O211" s="8"/>
      <c r="P211" s="8"/>
      <c r="Q211" s="89"/>
      <c r="R211" s="89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</row>
    <row r="212" spans="1:50" ht="24" customHeight="1" x14ac:dyDescent="0.2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8"/>
      <c r="N212" s="88"/>
      <c r="O212" s="8"/>
      <c r="P212" s="8"/>
      <c r="Q212" s="89"/>
      <c r="R212" s="89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</row>
    <row r="213" spans="1:50" ht="24" customHeight="1" x14ac:dyDescent="0.2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8"/>
      <c r="N213" s="88"/>
      <c r="O213" s="8"/>
      <c r="P213" s="8"/>
      <c r="Q213" s="89"/>
      <c r="R213" s="89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</row>
    <row r="214" spans="1:50" ht="24" customHeight="1" x14ac:dyDescent="0.2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8"/>
      <c r="N214" s="88"/>
      <c r="O214" s="8"/>
      <c r="P214" s="8"/>
      <c r="Q214" s="89"/>
      <c r="R214" s="89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</row>
    <row r="215" spans="1:50" ht="24" customHeight="1" x14ac:dyDescent="0.2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8"/>
      <c r="N215" s="88"/>
      <c r="O215" s="8"/>
      <c r="P215" s="8"/>
      <c r="Q215" s="89"/>
      <c r="R215" s="89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</row>
    <row r="216" spans="1:50" ht="24" customHeight="1" x14ac:dyDescent="0.2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8"/>
      <c r="N216" s="88"/>
      <c r="O216" s="8"/>
      <c r="P216" s="8"/>
      <c r="Q216" s="89"/>
      <c r="R216" s="89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</row>
    <row r="217" spans="1:50" ht="24" customHeight="1" x14ac:dyDescent="0.2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8"/>
      <c r="N217" s="88"/>
      <c r="O217" s="8"/>
      <c r="P217" s="8"/>
      <c r="Q217" s="89"/>
      <c r="R217" s="89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</row>
    <row r="218" spans="1:50" ht="24" customHeight="1" x14ac:dyDescent="0.2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8"/>
      <c r="N218" s="88"/>
      <c r="O218" s="8"/>
      <c r="P218" s="8"/>
      <c r="Q218" s="89"/>
      <c r="R218" s="89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</row>
    <row r="219" spans="1:50" ht="24" customHeight="1" x14ac:dyDescent="0.2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8"/>
      <c r="N219" s="88"/>
      <c r="O219" s="8"/>
      <c r="P219" s="8"/>
      <c r="Q219" s="89"/>
      <c r="R219" s="89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</row>
    <row r="220" spans="1:50" ht="24" customHeight="1" x14ac:dyDescent="0.2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8"/>
      <c r="N220" s="88"/>
      <c r="O220" s="8"/>
      <c r="P220" s="8"/>
      <c r="Q220" s="89"/>
      <c r="R220" s="89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</row>
    <row r="221" spans="1:50" ht="24" customHeight="1" x14ac:dyDescent="0.2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8"/>
      <c r="N221" s="88"/>
      <c r="O221" s="8"/>
      <c r="P221" s="8"/>
      <c r="Q221" s="89"/>
      <c r="R221" s="89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</row>
    <row r="222" spans="1:50" ht="24" customHeight="1" x14ac:dyDescent="0.2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8"/>
      <c r="N222" s="88"/>
      <c r="O222" s="8"/>
      <c r="P222" s="8"/>
      <c r="Q222" s="89"/>
      <c r="R222" s="89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</row>
    <row r="223" spans="1:50" ht="24" customHeight="1" x14ac:dyDescent="0.2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8"/>
      <c r="N223" s="88"/>
      <c r="O223" s="8"/>
      <c r="P223" s="8"/>
      <c r="Q223" s="89"/>
      <c r="R223" s="89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</row>
    <row r="224" spans="1:50" ht="24" customHeight="1" x14ac:dyDescent="0.2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8"/>
      <c r="N224" s="88"/>
      <c r="O224" s="8"/>
      <c r="P224" s="8"/>
      <c r="Q224" s="89"/>
      <c r="R224" s="89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</row>
    <row r="225" spans="1:50" ht="24" customHeight="1" x14ac:dyDescent="0.2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8"/>
      <c r="N225" s="88"/>
      <c r="O225" s="8"/>
      <c r="P225" s="8"/>
      <c r="Q225" s="89"/>
      <c r="R225" s="89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</row>
    <row r="226" spans="1:50" ht="24" customHeight="1" x14ac:dyDescent="0.2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8"/>
      <c r="N226" s="88"/>
      <c r="O226" s="8"/>
      <c r="P226" s="8"/>
      <c r="Q226" s="89"/>
      <c r="R226" s="89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</row>
    <row r="227" spans="1:50" ht="24" customHeight="1" x14ac:dyDescent="0.2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8"/>
      <c r="N227" s="88"/>
      <c r="O227" s="8"/>
      <c r="P227" s="8"/>
      <c r="Q227" s="89"/>
      <c r="R227" s="89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</row>
    <row r="228" spans="1:50" ht="24" customHeight="1" x14ac:dyDescent="0.2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8"/>
      <c r="N228" s="88"/>
      <c r="O228" s="8"/>
      <c r="P228" s="8"/>
      <c r="Q228" s="89"/>
      <c r="R228" s="89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</row>
    <row r="229" spans="1:50" ht="24" customHeight="1" x14ac:dyDescent="0.2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8"/>
      <c r="N229" s="88"/>
      <c r="O229" s="8"/>
      <c r="P229" s="8"/>
      <c r="Q229" s="89"/>
      <c r="R229" s="89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</row>
    <row r="230" spans="1:50" ht="24" customHeight="1" x14ac:dyDescent="0.2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8"/>
      <c r="N230" s="88"/>
      <c r="O230" s="8"/>
      <c r="P230" s="8"/>
      <c r="Q230" s="89"/>
      <c r="R230" s="89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</row>
    <row r="231" spans="1:50" ht="24" customHeight="1" x14ac:dyDescent="0.2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8"/>
      <c r="N231" s="88"/>
      <c r="O231" s="8"/>
      <c r="P231" s="8"/>
      <c r="Q231" s="89"/>
      <c r="R231" s="89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</row>
    <row r="232" spans="1:50" ht="24" customHeight="1" x14ac:dyDescent="0.2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8"/>
      <c r="N232" s="88"/>
      <c r="O232" s="8"/>
      <c r="P232" s="8"/>
      <c r="Q232" s="89"/>
      <c r="R232" s="89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</row>
    <row r="233" spans="1:50" ht="24" customHeight="1" x14ac:dyDescent="0.2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8"/>
      <c r="N233" s="88"/>
      <c r="O233" s="8"/>
      <c r="P233" s="8"/>
      <c r="Q233" s="89"/>
      <c r="R233" s="89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</row>
    <row r="234" spans="1:50" ht="24" customHeight="1" x14ac:dyDescent="0.2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8"/>
      <c r="N234" s="88"/>
      <c r="O234" s="8"/>
      <c r="P234" s="8"/>
      <c r="Q234" s="89"/>
      <c r="R234" s="89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</row>
    <row r="235" spans="1:50" ht="24" customHeight="1" x14ac:dyDescent="0.2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8"/>
      <c r="N235" s="88"/>
      <c r="O235" s="8"/>
      <c r="P235" s="8"/>
      <c r="Q235" s="89"/>
      <c r="R235" s="89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</row>
    <row r="236" spans="1:50" ht="24" customHeight="1" x14ac:dyDescent="0.2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8"/>
      <c r="N236" s="88"/>
      <c r="O236" s="8"/>
      <c r="P236" s="8"/>
      <c r="Q236" s="89"/>
      <c r="R236" s="89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</row>
    <row r="237" spans="1:50" ht="24" customHeight="1" x14ac:dyDescent="0.2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8"/>
      <c r="N237" s="88"/>
      <c r="O237" s="8"/>
      <c r="P237" s="8"/>
      <c r="Q237" s="89"/>
      <c r="R237" s="89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</row>
    <row r="238" spans="1:50" ht="24" customHeight="1" x14ac:dyDescent="0.2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8"/>
      <c r="N238" s="88"/>
      <c r="O238" s="8"/>
      <c r="P238" s="8"/>
      <c r="Q238" s="89"/>
      <c r="R238" s="89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</row>
    <row r="239" spans="1:50" ht="24" customHeight="1" x14ac:dyDescent="0.2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8"/>
      <c r="N239" s="88"/>
      <c r="O239" s="8"/>
      <c r="P239" s="8"/>
      <c r="Q239" s="89"/>
      <c r="R239" s="89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</row>
    <row r="240" spans="1:50" ht="24" customHeight="1" x14ac:dyDescent="0.2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8"/>
      <c r="N240" s="88"/>
      <c r="O240" s="8"/>
      <c r="P240" s="8"/>
      <c r="Q240" s="89"/>
      <c r="R240" s="89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</row>
    <row r="241" spans="1:50" ht="24" customHeight="1" x14ac:dyDescent="0.2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8"/>
      <c r="N241" s="88"/>
      <c r="O241" s="8"/>
      <c r="P241" s="8"/>
      <c r="Q241" s="89"/>
      <c r="R241" s="89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</row>
    <row r="242" spans="1:50" ht="24" customHeight="1" x14ac:dyDescent="0.2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8"/>
      <c r="N242" s="88"/>
      <c r="O242" s="8"/>
      <c r="P242" s="8"/>
      <c r="Q242" s="89"/>
      <c r="R242" s="89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</row>
    <row r="243" spans="1:50" ht="24" customHeight="1" x14ac:dyDescent="0.2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8"/>
      <c r="N243" s="88"/>
      <c r="O243" s="8"/>
      <c r="P243" s="8"/>
      <c r="Q243" s="89"/>
      <c r="R243" s="89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</row>
    <row r="244" spans="1:50" ht="24" customHeight="1" x14ac:dyDescent="0.2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8"/>
      <c r="N244" s="88"/>
      <c r="O244" s="8"/>
      <c r="P244" s="8"/>
      <c r="Q244" s="89"/>
      <c r="R244" s="89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</row>
    <row r="245" spans="1:50" ht="24" customHeight="1" x14ac:dyDescent="0.2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8"/>
      <c r="N245" s="88"/>
      <c r="O245" s="8"/>
      <c r="P245" s="8"/>
      <c r="Q245" s="89"/>
      <c r="R245" s="89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</row>
    <row r="246" spans="1:50" ht="24" customHeight="1" x14ac:dyDescent="0.2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8"/>
      <c r="N246" s="88"/>
      <c r="O246" s="8"/>
      <c r="P246" s="8"/>
      <c r="Q246" s="89"/>
      <c r="R246" s="89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</row>
    <row r="247" spans="1:50" ht="24" customHeight="1" x14ac:dyDescent="0.2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8"/>
      <c r="N247" s="88"/>
      <c r="O247" s="8"/>
      <c r="P247" s="8"/>
      <c r="Q247" s="89"/>
      <c r="R247" s="89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</row>
    <row r="248" spans="1:50" ht="24" customHeight="1" x14ac:dyDescent="0.2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8"/>
      <c r="N248" s="88"/>
      <c r="O248" s="8"/>
      <c r="P248" s="8"/>
      <c r="Q248" s="89"/>
      <c r="R248" s="89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</row>
    <row r="249" spans="1:50" ht="24" customHeight="1" x14ac:dyDescent="0.2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8"/>
      <c r="N249" s="88"/>
      <c r="O249" s="8"/>
      <c r="P249" s="8"/>
      <c r="Q249" s="89"/>
      <c r="R249" s="89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</row>
    <row r="250" spans="1:50" ht="24" customHeight="1" x14ac:dyDescent="0.2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8"/>
      <c r="N250" s="88"/>
      <c r="O250" s="8"/>
      <c r="P250" s="8"/>
      <c r="Q250" s="89"/>
      <c r="R250" s="89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</row>
    <row r="251" spans="1:50" ht="24" customHeight="1" x14ac:dyDescent="0.2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8"/>
      <c r="N251" s="88"/>
      <c r="O251" s="8"/>
      <c r="P251" s="8"/>
      <c r="Q251" s="89"/>
      <c r="R251" s="89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</row>
    <row r="252" spans="1:50" ht="24" customHeight="1" x14ac:dyDescent="0.2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8"/>
      <c r="N252" s="88"/>
      <c r="O252" s="8"/>
      <c r="P252" s="8"/>
      <c r="Q252" s="89"/>
      <c r="R252" s="89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</row>
    <row r="253" spans="1:50" ht="24" customHeight="1" x14ac:dyDescent="0.2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8"/>
      <c r="N253" s="88"/>
      <c r="O253" s="8"/>
      <c r="P253" s="8"/>
      <c r="Q253" s="89"/>
      <c r="R253" s="89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</row>
    <row r="254" spans="1:50" ht="24" customHeight="1" x14ac:dyDescent="0.2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8"/>
      <c r="N254" s="88"/>
      <c r="O254" s="8"/>
      <c r="P254" s="8"/>
      <c r="Q254" s="89"/>
      <c r="R254" s="89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</row>
    <row r="255" spans="1:50" ht="24" customHeight="1" x14ac:dyDescent="0.2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8"/>
      <c r="N255" s="88"/>
      <c r="O255" s="8"/>
      <c r="P255" s="8"/>
      <c r="Q255" s="89"/>
      <c r="R255" s="89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</row>
    <row r="256" spans="1:50" ht="24" customHeight="1" x14ac:dyDescent="0.2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8"/>
      <c r="N256" s="88"/>
      <c r="O256" s="8"/>
      <c r="P256" s="8"/>
      <c r="Q256" s="89"/>
      <c r="R256" s="89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</row>
    <row r="257" spans="1:50" ht="24" customHeight="1" x14ac:dyDescent="0.2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8"/>
      <c r="N257" s="88"/>
      <c r="O257" s="8"/>
      <c r="P257" s="8"/>
      <c r="Q257" s="89"/>
      <c r="R257" s="89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</row>
    <row r="258" spans="1:50" ht="24" customHeight="1" x14ac:dyDescent="0.2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8"/>
      <c r="N258" s="88"/>
      <c r="O258" s="8"/>
      <c r="P258" s="8"/>
      <c r="Q258" s="89"/>
      <c r="R258" s="89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</row>
    <row r="259" spans="1:50" ht="24" customHeight="1" x14ac:dyDescent="0.2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8"/>
      <c r="N259" s="88"/>
      <c r="O259" s="8"/>
      <c r="P259" s="8"/>
      <c r="Q259" s="89"/>
      <c r="R259" s="89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</row>
    <row r="260" spans="1:50" ht="24" customHeight="1" x14ac:dyDescent="0.2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8"/>
      <c r="N260" s="88"/>
      <c r="O260" s="8"/>
      <c r="P260" s="8"/>
      <c r="Q260" s="89"/>
      <c r="R260" s="89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</row>
    <row r="261" spans="1:50" ht="24" customHeight="1" x14ac:dyDescent="0.2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8"/>
      <c r="N261" s="88"/>
      <c r="O261" s="8"/>
      <c r="P261" s="8"/>
      <c r="Q261" s="89"/>
      <c r="R261" s="89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</row>
    <row r="262" spans="1:50" ht="24" customHeight="1" x14ac:dyDescent="0.2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8"/>
      <c r="N262" s="88"/>
      <c r="O262" s="8"/>
      <c r="P262" s="8"/>
      <c r="Q262" s="89"/>
      <c r="R262" s="89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</row>
    <row r="263" spans="1:50" ht="24" customHeight="1" x14ac:dyDescent="0.2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8"/>
      <c r="N263" s="88"/>
      <c r="O263" s="8"/>
      <c r="P263" s="8"/>
      <c r="Q263" s="89"/>
      <c r="R263" s="89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</row>
    <row r="264" spans="1:50" ht="24" customHeight="1" x14ac:dyDescent="0.2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8"/>
      <c r="N264" s="88"/>
      <c r="O264" s="8"/>
      <c r="P264" s="8"/>
      <c r="Q264" s="89"/>
      <c r="R264" s="89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</row>
    <row r="265" spans="1:50" ht="24" customHeight="1" x14ac:dyDescent="0.2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8"/>
      <c r="N265" s="88"/>
      <c r="O265" s="8"/>
      <c r="P265" s="8"/>
      <c r="Q265" s="89"/>
      <c r="R265" s="89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</row>
    <row r="266" spans="1:50" ht="24" customHeight="1" x14ac:dyDescent="0.2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8"/>
      <c r="N266" s="88"/>
      <c r="O266" s="8"/>
      <c r="P266" s="8"/>
      <c r="Q266" s="89"/>
      <c r="R266" s="89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</row>
    <row r="267" spans="1:50" ht="24" customHeight="1" x14ac:dyDescent="0.2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8"/>
      <c r="N267" s="88"/>
      <c r="O267" s="8"/>
      <c r="P267" s="8"/>
      <c r="Q267" s="89"/>
      <c r="R267" s="89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</row>
    <row r="268" spans="1:50" ht="24" customHeight="1" x14ac:dyDescent="0.2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8"/>
      <c r="N268" s="88"/>
      <c r="O268" s="8"/>
      <c r="P268" s="8"/>
      <c r="Q268" s="89"/>
      <c r="R268" s="89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</row>
    <row r="269" spans="1:50" ht="24" customHeight="1" x14ac:dyDescent="0.2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8"/>
      <c r="N269" s="88"/>
      <c r="O269" s="8"/>
      <c r="P269" s="8"/>
      <c r="Q269" s="89"/>
      <c r="R269" s="89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</row>
    <row r="270" spans="1:50" ht="24" customHeight="1" x14ac:dyDescent="0.2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8"/>
      <c r="N270" s="88"/>
      <c r="O270" s="8"/>
      <c r="P270" s="8"/>
      <c r="Q270" s="89"/>
      <c r="R270" s="89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</row>
    <row r="271" spans="1:50" ht="24" customHeight="1" x14ac:dyDescent="0.2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8"/>
      <c r="N271" s="88"/>
      <c r="O271" s="8"/>
      <c r="P271" s="8"/>
      <c r="Q271" s="89"/>
      <c r="R271" s="89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</row>
    <row r="272" spans="1:50" ht="24" customHeight="1" x14ac:dyDescent="0.2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8"/>
      <c r="N272" s="88"/>
      <c r="O272" s="8"/>
      <c r="P272" s="8"/>
      <c r="Q272" s="89"/>
      <c r="R272" s="89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</row>
    <row r="273" spans="1:50" ht="24" customHeight="1" x14ac:dyDescent="0.2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8"/>
      <c r="N273" s="88"/>
      <c r="O273" s="8"/>
      <c r="P273" s="8"/>
      <c r="Q273" s="89"/>
      <c r="R273" s="89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</row>
    <row r="274" spans="1:50" ht="24" customHeight="1" x14ac:dyDescent="0.2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8"/>
      <c r="N274" s="88"/>
      <c r="O274" s="8"/>
      <c r="P274" s="8"/>
      <c r="Q274" s="89"/>
      <c r="R274" s="89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</row>
    <row r="275" spans="1:50" ht="24" customHeight="1" x14ac:dyDescent="0.2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8"/>
      <c r="N275" s="88"/>
      <c r="O275" s="8"/>
      <c r="P275" s="8"/>
      <c r="Q275" s="89"/>
      <c r="R275" s="89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</row>
    <row r="276" spans="1:50" ht="24" customHeight="1" x14ac:dyDescent="0.2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8"/>
      <c r="N276" s="88"/>
      <c r="O276" s="8"/>
      <c r="P276" s="8"/>
      <c r="Q276" s="89"/>
      <c r="R276" s="89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</row>
    <row r="277" spans="1:50" ht="24" customHeight="1" x14ac:dyDescent="0.2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8"/>
      <c r="N277" s="88"/>
      <c r="O277" s="8"/>
      <c r="P277" s="8"/>
      <c r="Q277" s="89"/>
      <c r="R277" s="89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</row>
    <row r="278" spans="1:50" ht="24" customHeight="1" x14ac:dyDescent="0.2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8"/>
      <c r="N278" s="88"/>
      <c r="O278" s="8"/>
      <c r="P278" s="8"/>
      <c r="Q278" s="89"/>
      <c r="R278" s="89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</row>
    <row r="279" spans="1:50" ht="24" customHeight="1" x14ac:dyDescent="0.2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8"/>
      <c r="N279" s="88"/>
      <c r="O279" s="8"/>
      <c r="P279" s="8"/>
      <c r="Q279" s="89"/>
      <c r="R279" s="89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</row>
    <row r="280" spans="1:50" ht="24" customHeight="1" x14ac:dyDescent="0.2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8"/>
      <c r="N280" s="88"/>
      <c r="O280" s="8"/>
      <c r="P280" s="8"/>
      <c r="Q280" s="89"/>
      <c r="R280" s="89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</row>
    <row r="281" spans="1:50" ht="24" customHeight="1" x14ac:dyDescent="0.2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8"/>
      <c r="N281" s="88"/>
      <c r="O281" s="8"/>
      <c r="P281" s="8"/>
      <c r="Q281" s="89"/>
      <c r="R281" s="89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</row>
    <row r="282" spans="1:50" ht="24" customHeight="1" x14ac:dyDescent="0.2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8"/>
      <c r="N282" s="88"/>
      <c r="O282" s="8"/>
      <c r="P282" s="8"/>
      <c r="Q282" s="89"/>
      <c r="R282" s="89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</row>
    <row r="283" spans="1:50" ht="24" customHeight="1" x14ac:dyDescent="0.2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8"/>
      <c r="N283" s="88"/>
      <c r="O283" s="8"/>
      <c r="P283" s="8"/>
      <c r="Q283" s="89"/>
      <c r="R283" s="89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</row>
    <row r="284" spans="1:50" ht="24" customHeight="1" x14ac:dyDescent="0.2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8"/>
      <c r="N284" s="88"/>
      <c r="O284" s="8"/>
      <c r="P284" s="8"/>
      <c r="Q284" s="89"/>
      <c r="R284" s="89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</row>
    <row r="285" spans="1:50" ht="24" customHeight="1" x14ac:dyDescent="0.2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8"/>
      <c r="N285" s="88"/>
      <c r="O285" s="8"/>
      <c r="P285" s="8"/>
      <c r="Q285" s="89"/>
      <c r="R285" s="89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</row>
    <row r="286" spans="1:50" ht="24" customHeight="1" x14ac:dyDescent="0.2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8"/>
      <c r="N286" s="88"/>
      <c r="O286" s="8"/>
      <c r="P286" s="8"/>
      <c r="Q286" s="89"/>
      <c r="R286" s="89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</row>
    <row r="287" spans="1:50" ht="24" customHeight="1" x14ac:dyDescent="0.2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8"/>
      <c r="N287" s="88"/>
      <c r="O287" s="8"/>
      <c r="P287" s="8"/>
      <c r="Q287" s="89"/>
      <c r="R287" s="89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</row>
    <row r="288" spans="1:50" ht="24" customHeight="1" x14ac:dyDescent="0.2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8"/>
      <c r="N288" s="88"/>
      <c r="O288" s="8"/>
      <c r="P288" s="8"/>
      <c r="Q288" s="89"/>
      <c r="R288" s="89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</row>
    <row r="289" spans="1:50" ht="24" customHeight="1" x14ac:dyDescent="0.2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8"/>
      <c r="N289" s="88"/>
      <c r="O289" s="8"/>
      <c r="P289" s="8"/>
      <c r="Q289" s="89"/>
      <c r="R289" s="89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</row>
    <row r="290" spans="1:50" ht="24" customHeight="1" x14ac:dyDescent="0.2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8"/>
      <c r="N290" s="88"/>
      <c r="O290" s="8"/>
      <c r="P290" s="8"/>
      <c r="Q290" s="89"/>
      <c r="R290" s="89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</row>
    <row r="291" spans="1:50" ht="24" customHeight="1" x14ac:dyDescent="0.2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8"/>
      <c r="N291" s="88"/>
      <c r="O291" s="8"/>
      <c r="P291" s="8"/>
      <c r="Q291" s="89"/>
      <c r="R291" s="89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</row>
    <row r="292" spans="1:50" ht="24" customHeight="1" x14ac:dyDescent="0.2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8"/>
      <c r="N292" s="88"/>
      <c r="O292" s="8"/>
      <c r="P292" s="8"/>
      <c r="Q292" s="89"/>
      <c r="R292" s="89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</row>
    <row r="293" spans="1:50" ht="24" customHeight="1" x14ac:dyDescent="0.2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8"/>
      <c r="N293" s="88"/>
      <c r="O293" s="8"/>
      <c r="P293" s="8"/>
      <c r="Q293" s="89"/>
      <c r="R293" s="89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</row>
    <row r="294" spans="1:50" ht="24" customHeight="1" x14ac:dyDescent="0.2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8"/>
      <c r="N294" s="88"/>
      <c r="O294" s="8"/>
      <c r="P294" s="8"/>
      <c r="Q294" s="89"/>
      <c r="R294" s="89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</row>
    <row r="295" spans="1:50" ht="24" customHeight="1" x14ac:dyDescent="0.2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8"/>
      <c r="N295" s="88"/>
      <c r="O295" s="8"/>
      <c r="P295" s="8"/>
      <c r="Q295" s="89"/>
      <c r="R295" s="89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</row>
    <row r="296" spans="1:50" ht="24" customHeight="1" x14ac:dyDescent="0.2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8"/>
      <c r="N296" s="88"/>
      <c r="O296" s="8"/>
      <c r="P296" s="8"/>
      <c r="Q296" s="89"/>
      <c r="R296" s="89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</row>
    <row r="297" spans="1:50" ht="24" customHeight="1" x14ac:dyDescent="0.2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8"/>
      <c r="N297" s="88"/>
      <c r="O297" s="8"/>
      <c r="P297" s="8"/>
      <c r="Q297" s="89"/>
      <c r="R297" s="89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</row>
    <row r="298" spans="1:50" ht="24" customHeight="1" x14ac:dyDescent="0.2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8"/>
      <c r="N298" s="88"/>
      <c r="O298" s="8"/>
      <c r="P298" s="8"/>
      <c r="Q298" s="89"/>
      <c r="R298" s="89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</row>
    <row r="299" spans="1:50" ht="24" customHeight="1" x14ac:dyDescent="0.2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8"/>
      <c r="N299" s="88"/>
      <c r="O299" s="8"/>
      <c r="P299" s="8"/>
      <c r="Q299" s="89"/>
      <c r="R299" s="89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</row>
    <row r="300" spans="1:50" ht="24" customHeight="1" x14ac:dyDescent="0.2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8"/>
      <c r="N300" s="88"/>
      <c r="O300" s="8"/>
      <c r="P300" s="8"/>
      <c r="Q300" s="89"/>
      <c r="R300" s="89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</row>
    <row r="301" spans="1:50" ht="24" customHeight="1" x14ac:dyDescent="0.2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8"/>
      <c r="N301" s="88"/>
      <c r="O301" s="8"/>
      <c r="P301" s="8"/>
      <c r="Q301" s="89"/>
      <c r="R301" s="89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</row>
    <row r="302" spans="1:50" ht="24" customHeight="1" x14ac:dyDescent="0.2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8"/>
      <c r="N302" s="88"/>
      <c r="O302" s="8"/>
      <c r="P302" s="8"/>
      <c r="Q302" s="89"/>
      <c r="R302" s="89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</row>
    <row r="303" spans="1:50" ht="24" customHeight="1" x14ac:dyDescent="0.2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8"/>
      <c r="N303" s="88"/>
      <c r="O303" s="8"/>
      <c r="P303" s="8"/>
      <c r="Q303" s="89"/>
      <c r="R303" s="89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</row>
    <row r="304" spans="1:50" ht="24" customHeight="1" x14ac:dyDescent="0.2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8"/>
      <c r="N304" s="88"/>
      <c r="O304" s="8"/>
      <c r="P304" s="8"/>
      <c r="Q304" s="89"/>
      <c r="R304" s="89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</row>
    <row r="305" spans="1:50" ht="24" customHeight="1" x14ac:dyDescent="0.2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8"/>
      <c r="N305" s="88"/>
      <c r="O305" s="8"/>
      <c r="P305" s="8"/>
      <c r="Q305" s="89"/>
      <c r="R305" s="89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</row>
    <row r="306" spans="1:50" ht="24" customHeight="1" x14ac:dyDescent="0.2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8"/>
      <c r="N306" s="88"/>
      <c r="O306" s="8"/>
      <c r="P306" s="8"/>
      <c r="Q306" s="89"/>
      <c r="R306" s="89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</row>
    <row r="307" spans="1:50" ht="24" customHeight="1" x14ac:dyDescent="0.2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8"/>
      <c r="N307" s="88"/>
      <c r="O307" s="8"/>
      <c r="P307" s="8"/>
      <c r="Q307" s="89"/>
      <c r="R307" s="89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</row>
    <row r="308" spans="1:50" ht="24" customHeight="1" x14ac:dyDescent="0.2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8"/>
      <c r="N308" s="88"/>
      <c r="O308" s="8"/>
      <c r="P308" s="8"/>
      <c r="Q308" s="89"/>
      <c r="R308" s="89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</row>
    <row r="309" spans="1:50" ht="24" customHeight="1" x14ac:dyDescent="0.2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8"/>
      <c r="N309" s="88"/>
      <c r="O309" s="8"/>
      <c r="P309" s="8"/>
      <c r="Q309" s="89"/>
      <c r="R309" s="89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</row>
    <row r="310" spans="1:50" ht="24" customHeight="1" x14ac:dyDescent="0.2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8"/>
      <c r="N310" s="88"/>
      <c r="O310" s="8"/>
      <c r="P310" s="8"/>
      <c r="Q310" s="89"/>
      <c r="R310" s="89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</row>
    <row r="311" spans="1:50" ht="24" customHeight="1" x14ac:dyDescent="0.2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8"/>
      <c r="N311" s="88"/>
      <c r="O311" s="8"/>
      <c r="P311" s="8"/>
      <c r="Q311" s="89"/>
      <c r="R311" s="89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</row>
    <row r="312" spans="1:50" ht="24" customHeight="1" x14ac:dyDescent="0.2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8"/>
      <c r="N312" s="88"/>
      <c r="O312" s="8"/>
      <c r="P312" s="8"/>
      <c r="Q312" s="89"/>
      <c r="R312" s="89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</row>
    <row r="313" spans="1:50" ht="24" customHeight="1" x14ac:dyDescent="0.2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8"/>
      <c r="N313" s="88"/>
      <c r="O313" s="8"/>
      <c r="P313" s="8"/>
      <c r="Q313" s="89"/>
      <c r="R313" s="89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</row>
    <row r="314" spans="1:50" ht="12.75" x14ac:dyDescent="0.2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8"/>
      <c r="N314" s="88"/>
      <c r="O314" s="8"/>
      <c r="P314" s="8"/>
      <c r="Q314" s="89"/>
      <c r="R314" s="89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</row>
    <row r="315" spans="1:50" ht="12.75" x14ac:dyDescent="0.2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8"/>
      <c r="N315" s="88"/>
      <c r="O315" s="8"/>
      <c r="P315" s="8"/>
      <c r="Q315" s="89"/>
      <c r="R315" s="89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</row>
    <row r="316" spans="1:50" ht="12.75" x14ac:dyDescent="0.2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8"/>
      <c r="N316" s="88"/>
      <c r="O316" s="8"/>
      <c r="P316" s="8"/>
      <c r="Q316" s="89"/>
      <c r="R316" s="89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</row>
    <row r="317" spans="1:50" ht="12.75" x14ac:dyDescent="0.2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8"/>
      <c r="N317" s="88"/>
      <c r="O317" s="8"/>
      <c r="P317" s="8"/>
      <c r="Q317" s="89"/>
      <c r="R317" s="89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</row>
    <row r="318" spans="1:50" ht="12.75" x14ac:dyDescent="0.2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8"/>
      <c r="N318" s="88"/>
      <c r="O318" s="8"/>
      <c r="P318" s="8"/>
      <c r="Q318" s="89"/>
      <c r="R318" s="89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</row>
    <row r="319" spans="1:50" ht="12.75" x14ac:dyDescent="0.2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8"/>
      <c r="N319" s="88"/>
      <c r="O319" s="8"/>
      <c r="P319" s="8"/>
      <c r="Q319" s="89"/>
      <c r="R319" s="89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</row>
    <row r="320" spans="1:50" ht="12.75" x14ac:dyDescent="0.2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8"/>
      <c r="N320" s="88"/>
      <c r="O320" s="8"/>
      <c r="P320" s="8"/>
      <c r="Q320" s="89"/>
      <c r="R320" s="89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</row>
    <row r="321" spans="1:50" ht="12.75" x14ac:dyDescent="0.2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8"/>
      <c r="N321" s="88"/>
      <c r="O321" s="8"/>
      <c r="P321" s="8"/>
      <c r="Q321" s="89"/>
      <c r="R321" s="89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</row>
    <row r="322" spans="1:50" ht="12.75" x14ac:dyDescent="0.2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8"/>
      <c r="N322" s="88"/>
      <c r="O322" s="8"/>
      <c r="P322" s="8"/>
      <c r="Q322" s="89"/>
      <c r="R322" s="89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</row>
    <row r="323" spans="1:50" ht="12.75" x14ac:dyDescent="0.2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8"/>
      <c r="N323" s="88"/>
      <c r="O323" s="8"/>
      <c r="P323" s="8"/>
      <c r="Q323" s="89"/>
      <c r="R323" s="89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</row>
    <row r="324" spans="1:50" ht="12.75" x14ac:dyDescent="0.2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8"/>
      <c r="N324" s="88"/>
      <c r="O324" s="8"/>
      <c r="P324" s="8"/>
      <c r="Q324" s="89"/>
      <c r="R324" s="89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</row>
    <row r="325" spans="1:50" ht="12.75" x14ac:dyDescent="0.2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8"/>
      <c r="N325" s="88"/>
      <c r="O325" s="8"/>
      <c r="P325" s="8"/>
      <c r="Q325" s="89"/>
      <c r="R325" s="89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</row>
    <row r="326" spans="1:50" ht="12.75" x14ac:dyDescent="0.2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8"/>
      <c r="N326" s="88"/>
      <c r="O326" s="8"/>
      <c r="P326" s="8"/>
      <c r="Q326" s="89"/>
      <c r="R326" s="89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</row>
    <row r="327" spans="1:50" ht="12.75" x14ac:dyDescent="0.2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8"/>
      <c r="N327" s="88"/>
      <c r="O327" s="8"/>
      <c r="P327" s="8"/>
      <c r="Q327" s="89"/>
      <c r="R327" s="89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</row>
    <row r="328" spans="1:50" ht="12.75" x14ac:dyDescent="0.2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8"/>
      <c r="N328" s="88"/>
      <c r="O328" s="8"/>
      <c r="P328" s="8"/>
      <c r="Q328" s="89"/>
      <c r="R328" s="89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</row>
    <row r="329" spans="1:50" ht="12.75" x14ac:dyDescent="0.2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8"/>
      <c r="N329" s="88"/>
      <c r="O329" s="8"/>
      <c r="P329" s="8"/>
      <c r="Q329" s="89"/>
      <c r="R329" s="89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</row>
    <row r="330" spans="1:50" ht="12.75" x14ac:dyDescent="0.2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8"/>
      <c r="N330" s="88"/>
      <c r="O330" s="8"/>
      <c r="P330" s="8"/>
      <c r="Q330" s="89"/>
      <c r="R330" s="89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</row>
    <row r="331" spans="1:50" ht="12.75" x14ac:dyDescent="0.2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8"/>
      <c r="N331" s="88"/>
      <c r="O331" s="8"/>
      <c r="P331" s="8"/>
      <c r="Q331" s="89"/>
      <c r="R331" s="89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</row>
    <row r="332" spans="1:50" ht="12.75" x14ac:dyDescent="0.2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8"/>
      <c r="N332" s="88"/>
      <c r="O332" s="8"/>
      <c r="P332" s="8"/>
      <c r="Q332" s="89"/>
      <c r="R332" s="89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</row>
    <row r="333" spans="1:50" ht="12.75" x14ac:dyDescent="0.2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8"/>
      <c r="N333" s="88"/>
      <c r="O333" s="8"/>
      <c r="P333" s="8"/>
      <c r="Q333" s="89"/>
      <c r="R333" s="89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</row>
    <row r="334" spans="1:50" ht="12.75" x14ac:dyDescent="0.2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8"/>
      <c r="N334" s="88"/>
      <c r="O334" s="8"/>
      <c r="P334" s="8"/>
      <c r="Q334" s="89"/>
      <c r="R334" s="89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</row>
    <row r="335" spans="1:50" ht="12.75" x14ac:dyDescent="0.2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8"/>
      <c r="N335" s="88"/>
      <c r="O335" s="8"/>
      <c r="P335" s="8"/>
      <c r="Q335" s="89"/>
      <c r="R335" s="89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</row>
    <row r="336" spans="1:50" ht="12.75" x14ac:dyDescent="0.2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8"/>
      <c r="N336" s="88"/>
      <c r="O336" s="8"/>
      <c r="P336" s="8"/>
      <c r="Q336" s="89"/>
      <c r="R336" s="89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</row>
    <row r="337" spans="1:50" ht="12.75" x14ac:dyDescent="0.2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8"/>
      <c r="N337" s="88"/>
      <c r="O337" s="8"/>
      <c r="P337" s="8"/>
      <c r="Q337" s="89"/>
      <c r="R337" s="89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</row>
    <row r="338" spans="1:50" ht="12.75" x14ac:dyDescent="0.2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8"/>
      <c r="N338" s="88"/>
      <c r="O338" s="8"/>
      <c r="P338" s="8"/>
      <c r="Q338" s="89"/>
      <c r="R338" s="89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</row>
    <row r="339" spans="1:50" ht="12.75" x14ac:dyDescent="0.2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8"/>
      <c r="N339" s="88"/>
      <c r="O339" s="8"/>
      <c r="P339" s="8"/>
      <c r="Q339" s="89"/>
      <c r="R339" s="89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</row>
    <row r="340" spans="1:50" ht="12.75" x14ac:dyDescent="0.2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8"/>
      <c r="N340" s="88"/>
      <c r="O340" s="8"/>
      <c r="P340" s="8"/>
      <c r="Q340" s="89"/>
      <c r="R340" s="89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</row>
    <row r="341" spans="1:50" ht="12.75" x14ac:dyDescent="0.2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8"/>
      <c r="N341" s="88"/>
      <c r="O341" s="8"/>
      <c r="P341" s="8"/>
      <c r="Q341" s="89"/>
      <c r="R341" s="89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</row>
    <row r="342" spans="1:50" ht="12.75" x14ac:dyDescent="0.2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8"/>
      <c r="N342" s="88"/>
      <c r="O342" s="8"/>
      <c r="P342" s="8"/>
      <c r="Q342" s="89"/>
      <c r="R342" s="89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</row>
    <row r="343" spans="1:50" ht="12.75" x14ac:dyDescent="0.2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8"/>
      <c r="N343" s="88"/>
      <c r="O343" s="8"/>
      <c r="P343" s="8"/>
      <c r="Q343" s="89"/>
      <c r="R343" s="89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</row>
    <row r="344" spans="1:50" ht="12.75" x14ac:dyDescent="0.2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8"/>
      <c r="N344" s="88"/>
      <c r="O344" s="8"/>
      <c r="P344" s="8"/>
      <c r="Q344" s="89"/>
      <c r="R344" s="89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</row>
    <row r="345" spans="1:50" ht="12.75" x14ac:dyDescent="0.2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8"/>
      <c r="N345" s="88"/>
      <c r="O345" s="8"/>
      <c r="P345" s="8"/>
      <c r="Q345" s="89"/>
      <c r="R345" s="89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</row>
    <row r="346" spans="1:50" ht="12.75" x14ac:dyDescent="0.2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8"/>
      <c r="N346" s="88"/>
      <c r="O346" s="8"/>
      <c r="P346" s="8"/>
      <c r="Q346" s="89"/>
      <c r="R346" s="89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</row>
    <row r="347" spans="1:50" ht="12.75" x14ac:dyDescent="0.2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8"/>
      <c r="N347" s="88"/>
      <c r="O347" s="8"/>
      <c r="P347" s="8"/>
      <c r="Q347" s="89"/>
      <c r="R347" s="89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</row>
    <row r="348" spans="1:50" ht="12.75" x14ac:dyDescent="0.2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8"/>
      <c r="N348" s="88"/>
      <c r="O348" s="8"/>
      <c r="P348" s="8"/>
      <c r="Q348" s="89"/>
      <c r="R348" s="89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</row>
    <row r="349" spans="1:50" ht="12.75" x14ac:dyDescent="0.2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8"/>
      <c r="N349" s="88"/>
      <c r="O349" s="8"/>
      <c r="P349" s="8"/>
      <c r="Q349" s="89"/>
      <c r="R349" s="89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</row>
    <row r="350" spans="1:50" ht="12.75" x14ac:dyDescent="0.2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8"/>
      <c r="N350" s="88"/>
      <c r="O350" s="8"/>
      <c r="P350" s="8"/>
      <c r="Q350" s="89"/>
      <c r="R350" s="89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</row>
    <row r="351" spans="1:50" ht="12.75" x14ac:dyDescent="0.2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8"/>
      <c r="N351" s="88"/>
      <c r="O351" s="8"/>
      <c r="P351" s="8"/>
      <c r="Q351" s="89"/>
      <c r="R351" s="89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</row>
    <row r="352" spans="1:50" ht="12.75" x14ac:dyDescent="0.2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8"/>
      <c r="N352" s="88"/>
      <c r="O352" s="8"/>
      <c r="P352" s="8"/>
      <c r="Q352" s="89"/>
      <c r="R352" s="89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</row>
    <row r="353" spans="1:50" ht="12.75" x14ac:dyDescent="0.2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8"/>
      <c r="N353" s="88"/>
      <c r="O353" s="8"/>
      <c r="P353" s="8"/>
      <c r="Q353" s="89"/>
      <c r="R353" s="89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</row>
    <row r="354" spans="1:50" ht="12.75" x14ac:dyDescent="0.2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8"/>
      <c r="N354" s="88"/>
      <c r="O354" s="8"/>
      <c r="P354" s="8"/>
      <c r="Q354" s="89"/>
      <c r="R354" s="89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</row>
    <row r="355" spans="1:50" ht="12.75" x14ac:dyDescent="0.2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8"/>
      <c r="N355" s="88"/>
      <c r="O355" s="8"/>
      <c r="P355" s="8"/>
      <c r="Q355" s="89"/>
      <c r="R355" s="89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</row>
    <row r="356" spans="1:50" ht="12.75" x14ac:dyDescent="0.2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8"/>
      <c r="N356" s="88"/>
      <c r="O356" s="8"/>
      <c r="P356" s="8"/>
      <c r="Q356" s="89"/>
      <c r="R356" s="89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</row>
    <row r="357" spans="1:50" ht="12.75" x14ac:dyDescent="0.2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8"/>
      <c r="N357" s="88"/>
      <c r="O357" s="8"/>
      <c r="P357" s="8"/>
      <c r="Q357" s="89"/>
      <c r="R357" s="89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</row>
    <row r="358" spans="1:50" ht="12.75" x14ac:dyDescent="0.2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8"/>
      <c r="N358" s="88"/>
      <c r="O358" s="8"/>
      <c r="P358" s="8"/>
      <c r="Q358" s="89"/>
      <c r="R358" s="89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</row>
    <row r="359" spans="1:50" ht="12.75" x14ac:dyDescent="0.2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8"/>
      <c r="N359" s="88"/>
      <c r="O359" s="8"/>
      <c r="P359" s="8"/>
      <c r="Q359" s="89"/>
      <c r="R359" s="89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</row>
    <row r="360" spans="1:50" ht="12.75" x14ac:dyDescent="0.2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8"/>
      <c r="N360" s="88"/>
      <c r="O360" s="8"/>
      <c r="P360" s="8"/>
      <c r="Q360" s="89"/>
      <c r="R360" s="89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</row>
    <row r="361" spans="1:50" ht="12.75" x14ac:dyDescent="0.2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8"/>
      <c r="N361" s="88"/>
      <c r="O361" s="8"/>
      <c r="P361" s="8"/>
      <c r="Q361" s="89"/>
      <c r="R361" s="89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</row>
    <row r="362" spans="1:50" ht="12.75" x14ac:dyDescent="0.2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8"/>
      <c r="N362" s="88"/>
      <c r="O362" s="8"/>
      <c r="P362" s="8"/>
      <c r="Q362" s="89"/>
      <c r="R362" s="89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</row>
    <row r="363" spans="1:50" ht="12.75" x14ac:dyDescent="0.2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8"/>
      <c r="N363" s="88"/>
      <c r="O363" s="8"/>
      <c r="P363" s="8"/>
      <c r="Q363" s="89"/>
      <c r="R363" s="89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</row>
    <row r="364" spans="1:50" ht="12.75" x14ac:dyDescent="0.2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8"/>
      <c r="N364" s="88"/>
      <c r="O364" s="8"/>
      <c r="P364" s="8"/>
      <c r="Q364" s="89"/>
      <c r="R364" s="89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</row>
    <row r="365" spans="1:50" ht="12.75" x14ac:dyDescent="0.2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8"/>
      <c r="N365" s="88"/>
      <c r="O365" s="8"/>
      <c r="P365" s="8"/>
      <c r="Q365" s="89"/>
      <c r="R365" s="89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</row>
    <row r="366" spans="1:50" ht="12.75" x14ac:dyDescent="0.2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8"/>
      <c r="N366" s="88"/>
      <c r="O366" s="8"/>
      <c r="P366" s="8"/>
      <c r="Q366" s="89"/>
      <c r="R366" s="89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</row>
    <row r="367" spans="1:50" ht="12.75" x14ac:dyDescent="0.2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8"/>
      <c r="N367" s="88"/>
      <c r="O367" s="8"/>
      <c r="P367" s="8"/>
      <c r="Q367" s="89"/>
      <c r="R367" s="89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</row>
    <row r="368" spans="1:50" ht="12.75" x14ac:dyDescent="0.2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8"/>
      <c r="N368" s="88"/>
      <c r="O368" s="8"/>
      <c r="P368" s="8"/>
      <c r="Q368" s="89"/>
      <c r="R368" s="89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</row>
    <row r="369" spans="1:50" ht="12.75" x14ac:dyDescent="0.2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8"/>
      <c r="N369" s="88"/>
      <c r="O369" s="8"/>
      <c r="P369" s="8"/>
      <c r="Q369" s="89"/>
      <c r="R369" s="89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</row>
    <row r="370" spans="1:50" ht="12.75" x14ac:dyDescent="0.2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8"/>
      <c r="N370" s="88"/>
      <c r="O370" s="8"/>
      <c r="P370" s="8"/>
      <c r="Q370" s="89"/>
      <c r="R370" s="89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</row>
    <row r="371" spans="1:50" ht="12.75" x14ac:dyDescent="0.2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8"/>
      <c r="N371" s="88"/>
      <c r="O371" s="8"/>
      <c r="P371" s="8"/>
      <c r="Q371" s="89"/>
      <c r="R371" s="89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</row>
    <row r="372" spans="1:50" ht="12.75" x14ac:dyDescent="0.2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8"/>
      <c r="N372" s="88"/>
      <c r="O372" s="8"/>
      <c r="P372" s="8"/>
      <c r="Q372" s="89"/>
      <c r="R372" s="89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</row>
    <row r="373" spans="1:50" ht="12.75" x14ac:dyDescent="0.2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8"/>
      <c r="N373" s="88"/>
      <c r="O373" s="8"/>
      <c r="P373" s="8"/>
      <c r="Q373" s="89"/>
      <c r="R373" s="89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</row>
    <row r="374" spans="1:50" ht="12.75" x14ac:dyDescent="0.2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8"/>
      <c r="N374" s="88"/>
      <c r="O374" s="8"/>
      <c r="P374" s="8"/>
      <c r="Q374" s="89"/>
      <c r="R374" s="89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</row>
    <row r="375" spans="1:50" ht="12.75" x14ac:dyDescent="0.2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8"/>
      <c r="N375" s="88"/>
      <c r="O375" s="8"/>
      <c r="P375" s="8"/>
      <c r="Q375" s="89"/>
      <c r="R375" s="89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</row>
    <row r="376" spans="1:50" ht="12.75" x14ac:dyDescent="0.2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8"/>
      <c r="N376" s="88"/>
      <c r="O376" s="8"/>
      <c r="P376" s="8"/>
      <c r="Q376" s="89"/>
      <c r="R376" s="89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</row>
    <row r="377" spans="1:50" ht="12.75" x14ac:dyDescent="0.2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8"/>
      <c r="N377" s="88"/>
      <c r="O377" s="8"/>
      <c r="P377" s="8"/>
      <c r="Q377" s="89"/>
      <c r="R377" s="89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</row>
    <row r="378" spans="1:50" ht="12.75" x14ac:dyDescent="0.2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8"/>
      <c r="N378" s="88"/>
      <c r="O378" s="8"/>
      <c r="P378" s="8"/>
      <c r="Q378" s="89"/>
      <c r="R378" s="89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</row>
    <row r="379" spans="1:50" ht="12.75" x14ac:dyDescent="0.2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8"/>
      <c r="N379" s="88"/>
      <c r="O379" s="8"/>
      <c r="P379" s="8"/>
      <c r="Q379" s="89"/>
      <c r="R379" s="89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</row>
    <row r="380" spans="1:50" ht="12.75" x14ac:dyDescent="0.2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8"/>
      <c r="N380" s="88"/>
      <c r="O380" s="8"/>
      <c r="P380" s="8"/>
      <c r="Q380" s="89"/>
      <c r="R380" s="89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</row>
    <row r="381" spans="1:50" ht="12.75" x14ac:dyDescent="0.2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8"/>
      <c r="N381" s="88"/>
      <c r="O381" s="8"/>
      <c r="P381" s="8"/>
      <c r="Q381" s="89"/>
      <c r="R381" s="89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</row>
    <row r="382" spans="1:50" ht="12.75" x14ac:dyDescent="0.2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8"/>
      <c r="N382" s="88"/>
      <c r="O382" s="8"/>
      <c r="P382" s="8"/>
      <c r="Q382" s="89"/>
      <c r="R382" s="89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</row>
    <row r="383" spans="1:50" ht="12.75" x14ac:dyDescent="0.2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8"/>
      <c r="N383" s="88"/>
      <c r="O383" s="8"/>
      <c r="P383" s="8"/>
      <c r="Q383" s="89"/>
      <c r="R383" s="89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</row>
    <row r="384" spans="1:50" ht="12.75" x14ac:dyDescent="0.2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8"/>
      <c r="N384" s="88"/>
      <c r="O384" s="8"/>
      <c r="P384" s="8"/>
      <c r="Q384" s="89"/>
      <c r="R384" s="89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</row>
    <row r="385" spans="1:50" ht="12.75" x14ac:dyDescent="0.2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8"/>
      <c r="N385" s="88"/>
      <c r="O385" s="8"/>
      <c r="P385" s="8"/>
      <c r="Q385" s="89"/>
      <c r="R385" s="89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</row>
    <row r="386" spans="1:50" ht="12.75" x14ac:dyDescent="0.2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8"/>
      <c r="N386" s="88"/>
      <c r="O386" s="8"/>
      <c r="P386" s="8"/>
      <c r="Q386" s="89"/>
      <c r="R386" s="89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</row>
    <row r="387" spans="1:50" ht="12.75" x14ac:dyDescent="0.2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8"/>
      <c r="N387" s="88"/>
      <c r="O387" s="8"/>
      <c r="P387" s="8"/>
      <c r="Q387" s="89"/>
      <c r="R387" s="89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</row>
    <row r="388" spans="1:50" ht="12.75" x14ac:dyDescent="0.2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8"/>
      <c r="N388" s="88"/>
      <c r="O388" s="8"/>
      <c r="P388" s="8"/>
      <c r="Q388" s="89"/>
      <c r="R388" s="89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</row>
    <row r="389" spans="1:50" ht="12.75" x14ac:dyDescent="0.2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8"/>
      <c r="N389" s="88"/>
      <c r="O389" s="8"/>
      <c r="P389" s="8"/>
      <c r="Q389" s="89"/>
      <c r="R389" s="89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</row>
    <row r="390" spans="1:50" ht="12.75" x14ac:dyDescent="0.2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8"/>
      <c r="N390" s="88"/>
      <c r="O390" s="8"/>
      <c r="P390" s="8"/>
      <c r="Q390" s="89"/>
      <c r="R390" s="89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</row>
    <row r="391" spans="1:50" ht="12.75" x14ac:dyDescent="0.2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8"/>
      <c r="N391" s="88"/>
      <c r="O391" s="8"/>
      <c r="P391" s="8"/>
      <c r="Q391" s="89"/>
      <c r="R391" s="89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</row>
    <row r="392" spans="1:50" ht="12.75" x14ac:dyDescent="0.2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8"/>
      <c r="N392" s="88"/>
      <c r="O392" s="8"/>
      <c r="P392" s="8"/>
      <c r="Q392" s="89"/>
      <c r="R392" s="89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</row>
    <row r="393" spans="1:50" ht="12.75" x14ac:dyDescent="0.2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8"/>
      <c r="N393" s="88"/>
      <c r="O393" s="8"/>
      <c r="P393" s="8"/>
      <c r="Q393" s="89"/>
      <c r="R393" s="89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</row>
    <row r="394" spans="1:50" ht="12.75" x14ac:dyDescent="0.2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8"/>
      <c r="N394" s="88"/>
      <c r="O394" s="8"/>
      <c r="P394" s="8"/>
      <c r="Q394" s="89"/>
      <c r="R394" s="89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</row>
    <row r="395" spans="1:50" ht="12.75" x14ac:dyDescent="0.2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8"/>
      <c r="N395" s="88"/>
      <c r="O395" s="8"/>
      <c r="P395" s="8"/>
      <c r="Q395" s="89"/>
      <c r="R395" s="89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</row>
    <row r="396" spans="1:50" ht="12.75" x14ac:dyDescent="0.2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8"/>
      <c r="N396" s="88"/>
      <c r="O396" s="8"/>
      <c r="P396" s="8"/>
      <c r="Q396" s="89"/>
      <c r="R396" s="89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</row>
    <row r="397" spans="1:50" ht="12.75" x14ac:dyDescent="0.2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8"/>
      <c r="N397" s="88"/>
      <c r="O397" s="8"/>
      <c r="P397" s="8"/>
      <c r="Q397" s="89"/>
      <c r="R397" s="89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</row>
    <row r="398" spans="1:50" ht="12.75" x14ac:dyDescent="0.2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8"/>
      <c r="N398" s="88"/>
      <c r="O398" s="8"/>
      <c r="P398" s="8"/>
      <c r="Q398" s="89"/>
      <c r="R398" s="89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</row>
    <row r="399" spans="1:50" ht="12.75" x14ac:dyDescent="0.2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8"/>
      <c r="N399" s="88"/>
      <c r="O399" s="8"/>
      <c r="P399" s="8"/>
      <c r="Q399" s="89"/>
      <c r="R399" s="89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</row>
    <row r="400" spans="1:50" ht="12.75" x14ac:dyDescent="0.2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8"/>
      <c r="N400" s="88"/>
      <c r="O400" s="8"/>
      <c r="P400" s="8"/>
      <c r="Q400" s="89"/>
      <c r="R400" s="89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</row>
    <row r="401" spans="1:50" ht="12.75" x14ac:dyDescent="0.2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8"/>
      <c r="N401" s="88"/>
      <c r="O401" s="8"/>
      <c r="P401" s="8"/>
      <c r="Q401" s="89"/>
      <c r="R401" s="89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</row>
    <row r="402" spans="1:50" ht="12.75" x14ac:dyDescent="0.2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8"/>
      <c r="N402" s="88"/>
      <c r="O402" s="8"/>
      <c r="P402" s="8"/>
      <c r="Q402" s="89"/>
      <c r="R402" s="89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</row>
    <row r="403" spans="1:50" ht="12.75" x14ac:dyDescent="0.2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8"/>
      <c r="N403" s="88"/>
      <c r="O403" s="8"/>
      <c r="P403" s="8"/>
      <c r="Q403" s="89"/>
      <c r="R403" s="89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</row>
    <row r="404" spans="1:50" ht="12.75" x14ac:dyDescent="0.2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8"/>
      <c r="N404" s="88"/>
      <c r="O404" s="8"/>
      <c r="P404" s="8"/>
      <c r="Q404" s="89"/>
      <c r="R404" s="89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</row>
    <row r="405" spans="1:50" ht="12.75" x14ac:dyDescent="0.2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8"/>
      <c r="N405" s="88"/>
      <c r="O405" s="8"/>
      <c r="P405" s="8"/>
      <c r="Q405" s="89"/>
      <c r="R405" s="89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</row>
    <row r="406" spans="1:50" ht="12.75" x14ac:dyDescent="0.2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8"/>
      <c r="N406" s="88"/>
      <c r="O406" s="8"/>
      <c r="P406" s="8"/>
      <c r="Q406" s="89"/>
      <c r="R406" s="89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</row>
    <row r="407" spans="1:50" ht="12.75" x14ac:dyDescent="0.2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8"/>
      <c r="N407" s="88"/>
      <c r="O407" s="8"/>
      <c r="P407" s="8"/>
      <c r="Q407" s="89"/>
      <c r="R407" s="89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</row>
    <row r="408" spans="1:50" ht="12.75" x14ac:dyDescent="0.2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8"/>
      <c r="N408" s="88"/>
      <c r="O408" s="8"/>
      <c r="P408" s="8"/>
      <c r="Q408" s="89"/>
      <c r="R408" s="89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</row>
    <row r="409" spans="1:50" ht="12.75" x14ac:dyDescent="0.2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8"/>
      <c r="N409" s="88"/>
      <c r="O409" s="8"/>
      <c r="P409" s="8"/>
      <c r="Q409" s="89"/>
      <c r="R409" s="89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</row>
    <row r="410" spans="1:50" ht="12.75" x14ac:dyDescent="0.2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8"/>
      <c r="N410" s="88"/>
      <c r="O410" s="8"/>
      <c r="P410" s="8"/>
      <c r="Q410" s="89"/>
      <c r="R410" s="89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</row>
    <row r="411" spans="1:50" ht="12.75" x14ac:dyDescent="0.2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8"/>
      <c r="N411" s="88"/>
      <c r="O411" s="8"/>
      <c r="P411" s="8"/>
      <c r="Q411" s="89"/>
      <c r="R411" s="89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</row>
    <row r="412" spans="1:50" ht="12.75" x14ac:dyDescent="0.2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8"/>
      <c r="N412" s="88"/>
      <c r="O412" s="8"/>
      <c r="P412" s="8"/>
      <c r="Q412" s="89"/>
      <c r="R412" s="89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</row>
    <row r="413" spans="1:50" ht="12.75" x14ac:dyDescent="0.2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8"/>
      <c r="N413" s="88"/>
      <c r="O413" s="8"/>
      <c r="P413" s="8"/>
      <c r="Q413" s="89"/>
      <c r="R413" s="89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</row>
    <row r="414" spans="1:50" ht="12.75" x14ac:dyDescent="0.2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8"/>
      <c r="N414" s="88"/>
      <c r="O414" s="8"/>
      <c r="P414" s="8"/>
      <c r="Q414" s="89"/>
      <c r="R414" s="89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</row>
    <row r="415" spans="1:50" ht="12.75" x14ac:dyDescent="0.2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8"/>
      <c r="N415" s="88"/>
      <c r="O415" s="8"/>
      <c r="P415" s="8"/>
      <c r="Q415" s="89"/>
      <c r="R415" s="89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</row>
    <row r="416" spans="1:50" ht="12.75" x14ac:dyDescent="0.2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8"/>
      <c r="N416" s="88"/>
      <c r="O416" s="8"/>
      <c r="P416" s="8"/>
      <c r="Q416" s="89"/>
      <c r="R416" s="89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</row>
    <row r="417" spans="1:50" ht="12.75" x14ac:dyDescent="0.2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8"/>
      <c r="N417" s="88"/>
      <c r="O417" s="8"/>
      <c r="P417" s="8"/>
      <c r="Q417" s="89"/>
      <c r="R417" s="89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</row>
    <row r="418" spans="1:50" ht="12.75" x14ac:dyDescent="0.2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8"/>
      <c r="N418" s="88"/>
      <c r="O418" s="8"/>
      <c r="P418" s="8"/>
      <c r="Q418" s="89"/>
      <c r="R418" s="89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</row>
    <row r="419" spans="1:50" ht="12.75" x14ac:dyDescent="0.2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8"/>
      <c r="N419" s="88"/>
      <c r="O419" s="8"/>
      <c r="P419" s="8"/>
      <c r="Q419" s="89"/>
      <c r="R419" s="89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</row>
    <row r="420" spans="1:50" ht="12.75" x14ac:dyDescent="0.2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8"/>
      <c r="N420" s="88"/>
      <c r="O420" s="8"/>
      <c r="P420" s="8"/>
      <c r="Q420" s="89"/>
      <c r="R420" s="89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</row>
    <row r="421" spans="1:50" ht="12.75" x14ac:dyDescent="0.2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8"/>
      <c r="N421" s="88"/>
      <c r="O421" s="8"/>
      <c r="P421" s="8"/>
      <c r="Q421" s="89"/>
      <c r="R421" s="89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</row>
    <row r="422" spans="1:50" ht="12.75" x14ac:dyDescent="0.2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8"/>
      <c r="N422" s="88"/>
      <c r="O422" s="8"/>
      <c r="P422" s="8"/>
      <c r="Q422" s="89"/>
      <c r="R422" s="89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</row>
    <row r="423" spans="1:50" ht="12.75" x14ac:dyDescent="0.2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8"/>
      <c r="N423" s="88"/>
      <c r="O423" s="8"/>
      <c r="P423" s="8"/>
      <c r="Q423" s="89"/>
      <c r="R423" s="89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</row>
    <row r="424" spans="1:50" ht="12.75" x14ac:dyDescent="0.2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8"/>
      <c r="N424" s="88"/>
      <c r="O424" s="8"/>
      <c r="P424" s="8"/>
      <c r="Q424" s="89"/>
      <c r="R424" s="89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</row>
    <row r="425" spans="1:50" ht="12.75" x14ac:dyDescent="0.2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8"/>
      <c r="N425" s="88"/>
      <c r="O425" s="8"/>
      <c r="P425" s="8"/>
      <c r="Q425" s="89"/>
      <c r="R425" s="89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</row>
    <row r="426" spans="1:50" ht="12.75" x14ac:dyDescent="0.2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8"/>
      <c r="N426" s="88"/>
      <c r="O426" s="8"/>
      <c r="P426" s="8"/>
      <c r="Q426" s="89"/>
      <c r="R426" s="89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</row>
    <row r="427" spans="1:50" ht="12.75" x14ac:dyDescent="0.2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8"/>
      <c r="N427" s="88"/>
      <c r="O427" s="8"/>
      <c r="P427" s="8"/>
      <c r="Q427" s="89"/>
      <c r="R427" s="89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</row>
    <row r="428" spans="1:50" ht="12.75" x14ac:dyDescent="0.2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8"/>
      <c r="N428" s="88"/>
      <c r="O428" s="8"/>
      <c r="P428" s="8"/>
      <c r="Q428" s="89"/>
      <c r="R428" s="89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</row>
    <row r="429" spans="1:50" ht="12.75" x14ac:dyDescent="0.2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8"/>
      <c r="N429" s="88"/>
      <c r="O429" s="8"/>
      <c r="P429" s="8"/>
      <c r="Q429" s="89"/>
      <c r="R429" s="89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</row>
    <row r="430" spans="1:50" ht="12.75" x14ac:dyDescent="0.2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8"/>
      <c r="N430" s="88"/>
      <c r="O430" s="8"/>
      <c r="P430" s="8"/>
      <c r="Q430" s="89"/>
      <c r="R430" s="89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</row>
    <row r="431" spans="1:50" ht="12.75" x14ac:dyDescent="0.2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8"/>
      <c r="N431" s="88"/>
      <c r="O431" s="8"/>
      <c r="P431" s="8"/>
      <c r="Q431" s="89"/>
      <c r="R431" s="89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</row>
    <row r="432" spans="1:50" ht="12.75" x14ac:dyDescent="0.2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8"/>
      <c r="N432" s="88"/>
      <c r="O432" s="8"/>
      <c r="P432" s="8"/>
      <c r="Q432" s="89"/>
      <c r="R432" s="89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</row>
    <row r="433" spans="1:50" ht="12.75" x14ac:dyDescent="0.2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8"/>
      <c r="N433" s="88"/>
      <c r="O433" s="8"/>
      <c r="P433" s="8"/>
      <c r="Q433" s="89"/>
      <c r="R433" s="89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</row>
    <row r="434" spans="1:50" ht="12.75" x14ac:dyDescent="0.2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8"/>
      <c r="N434" s="88"/>
      <c r="O434" s="8"/>
      <c r="P434" s="8"/>
      <c r="Q434" s="89"/>
      <c r="R434" s="89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</row>
    <row r="435" spans="1:50" ht="12.75" x14ac:dyDescent="0.2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8"/>
      <c r="N435" s="88"/>
      <c r="O435" s="8"/>
      <c r="P435" s="8"/>
      <c r="Q435" s="89"/>
      <c r="R435" s="89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</row>
    <row r="436" spans="1:50" ht="12.75" x14ac:dyDescent="0.2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8"/>
      <c r="N436" s="88"/>
      <c r="O436" s="8"/>
      <c r="P436" s="8"/>
      <c r="Q436" s="89"/>
      <c r="R436" s="89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</row>
    <row r="437" spans="1:50" ht="12.75" x14ac:dyDescent="0.2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8"/>
      <c r="N437" s="88"/>
      <c r="O437" s="8"/>
      <c r="P437" s="8"/>
      <c r="Q437" s="89"/>
      <c r="R437" s="89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</row>
    <row r="438" spans="1:50" ht="12.75" x14ac:dyDescent="0.2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8"/>
      <c r="N438" s="88"/>
      <c r="O438" s="8"/>
      <c r="P438" s="8"/>
      <c r="Q438" s="89"/>
      <c r="R438" s="89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</row>
    <row r="439" spans="1:50" ht="12.75" x14ac:dyDescent="0.2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8"/>
      <c r="N439" s="88"/>
      <c r="O439" s="8"/>
      <c r="P439" s="8"/>
      <c r="Q439" s="89"/>
      <c r="R439" s="89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</row>
    <row r="440" spans="1:50" ht="12.75" x14ac:dyDescent="0.2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8"/>
      <c r="N440" s="88"/>
      <c r="O440" s="8"/>
      <c r="P440" s="8"/>
      <c r="Q440" s="89"/>
      <c r="R440" s="89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</row>
    <row r="441" spans="1:50" ht="12.75" x14ac:dyDescent="0.2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8"/>
      <c r="N441" s="88"/>
      <c r="O441" s="8"/>
      <c r="P441" s="8"/>
      <c r="Q441" s="89"/>
      <c r="R441" s="89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</row>
    <row r="442" spans="1:50" ht="12.75" x14ac:dyDescent="0.2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8"/>
      <c r="N442" s="88"/>
      <c r="O442" s="8"/>
      <c r="P442" s="8"/>
      <c r="Q442" s="89"/>
      <c r="R442" s="89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</row>
    <row r="443" spans="1:50" ht="12.75" x14ac:dyDescent="0.2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8"/>
      <c r="N443" s="88"/>
      <c r="O443" s="8"/>
      <c r="P443" s="8"/>
      <c r="Q443" s="89"/>
      <c r="R443" s="89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</row>
    <row r="444" spans="1:50" ht="12.75" x14ac:dyDescent="0.2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8"/>
      <c r="N444" s="88"/>
      <c r="O444" s="8"/>
      <c r="P444" s="8"/>
      <c r="Q444" s="89"/>
      <c r="R444" s="89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</row>
    <row r="445" spans="1:50" ht="12.75" x14ac:dyDescent="0.2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8"/>
      <c r="N445" s="88"/>
      <c r="O445" s="8"/>
      <c r="P445" s="8"/>
      <c r="Q445" s="89"/>
      <c r="R445" s="89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</row>
    <row r="446" spans="1:50" ht="12.75" x14ac:dyDescent="0.2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8"/>
      <c r="N446" s="88"/>
      <c r="O446" s="8"/>
      <c r="P446" s="8"/>
      <c r="Q446" s="89"/>
      <c r="R446" s="89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</row>
    <row r="447" spans="1:50" ht="12.75" x14ac:dyDescent="0.2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8"/>
      <c r="N447" s="88"/>
      <c r="O447" s="8"/>
      <c r="P447" s="8"/>
      <c r="Q447" s="89"/>
      <c r="R447" s="89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</row>
    <row r="448" spans="1:50" ht="12.75" x14ac:dyDescent="0.2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8"/>
      <c r="N448" s="88"/>
      <c r="O448" s="8"/>
      <c r="P448" s="8"/>
      <c r="Q448" s="89"/>
      <c r="R448" s="89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</row>
    <row r="449" spans="1:50" ht="12.75" x14ac:dyDescent="0.2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8"/>
      <c r="N449" s="88"/>
      <c r="O449" s="8"/>
      <c r="P449" s="8"/>
      <c r="Q449" s="89"/>
      <c r="R449" s="89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</row>
    <row r="450" spans="1:50" ht="12.75" x14ac:dyDescent="0.2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8"/>
      <c r="N450" s="88"/>
      <c r="O450" s="8"/>
      <c r="P450" s="8"/>
      <c r="Q450" s="89"/>
      <c r="R450" s="89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</row>
    <row r="451" spans="1:50" ht="12.75" x14ac:dyDescent="0.2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8"/>
      <c r="N451" s="88"/>
      <c r="O451" s="8"/>
      <c r="P451" s="8"/>
      <c r="Q451" s="89"/>
      <c r="R451" s="89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</row>
    <row r="452" spans="1:50" ht="12.75" x14ac:dyDescent="0.2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8"/>
      <c r="N452" s="88"/>
      <c r="O452" s="8"/>
      <c r="P452" s="8"/>
      <c r="Q452" s="89"/>
      <c r="R452" s="89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</row>
    <row r="453" spans="1:50" ht="12.75" x14ac:dyDescent="0.2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8"/>
      <c r="N453" s="88"/>
      <c r="O453" s="8"/>
      <c r="P453" s="8"/>
      <c r="Q453" s="89"/>
      <c r="R453" s="89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</row>
    <row r="454" spans="1:50" ht="12.75" x14ac:dyDescent="0.2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8"/>
      <c r="N454" s="88"/>
      <c r="O454" s="8"/>
      <c r="P454" s="8"/>
      <c r="Q454" s="89"/>
      <c r="R454" s="89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</row>
    <row r="455" spans="1:50" ht="12.75" x14ac:dyDescent="0.2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8"/>
      <c r="N455" s="88"/>
      <c r="O455" s="8"/>
      <c r="P455" s="8"/>
      <c r="Q455" s="89"/>
      <c r="R455" s="89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</row>
    <row r="456" spans="1:50" ht="12.75" x14ac:dyDescent="0.2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8"/>
      <c r="N456" s="88"/>
      <c r="O456" s="8"/>
      <c r="P456" s="8"/>
      <c r="Q456" s="89"/>
      <c r="R456" s="89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</row>
    <row r="457" spans="1:50" ht="12.75" x14ac:dyDescent="0.2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8"/>
      <c r="N457" s="88"/>
      <c r="O457" s="8"/>
      <c r="P457" s="8"/>
      <c r="Q457" s="89"/>
      <c r="R457" s="89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</row>
    <row r="458" spans="1:50" ht="12.75" x14ac:dyDescent="0.2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8"/>
      <c r="N458" s="88"/>
      <c r="O458" s="8"/>
      <c r="P458" s="8"/>
      <c r="Q458" s="89"/>
      <c r="R458" s="89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</row>
    <row r="459" spans="1:50" ht="12.75" x14ac:dyDescent="0.2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8"/>
      <c r="N459" s="88"/>
      <c r="O459" s="8"/>
      <c r="P459" s="8"/>
      <c r="Q459" s="89"/>
      <c r="R459" s="89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</row>
    <row r="460" spans="1:50" ht="12.75" x14ac:dyDescent="0.2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8"/>
      <c r="N460" s="88"/>
      <c r="O460" s="8"/>
      <c r="P460" s="8"/>
      <c r="Q460" s="89"/>
      <c r="R460" s="89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</row>
    <row r="461" spans="1:50" ht="12.75" x14ac:dyDescent="0.2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8"/>
      <c r="N461" s="88"/>
      <c r="O461" s="8"/>
      <c r="P461" s="8"/>
      <c r="Q461" s="89"/>
      <c r="R461" s="89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</row>
    <row r="462" spans="1:50" ht="12.75" x14ac:dyDescent="0.2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8"/>
      <c r="N462" s="88"/>
      <c r="O462" s="8"/>
      <c r="P462" s="8"/>
      <c r="Q462" s="89"/>
      <c r="R462" s="89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</row>
    <row r="463" spans="1:50" ht="12.75" x14ac:dyDescent="0.2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8"/>
      <c r="N463" s="88"/>
      <c r="O463" s="8"/>
      <c r="P463" s="8"/>
      <c r="Q463" s="89"/>
      <c r="R463" s="89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</row>
    <row r="464" spans="1:50" ht="12.75" x14ac:dyDescent="0.2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8"/>
      <c r="N464" s="88"/>
      <c r="O464" s="8"/>
      <c r="P464" s="8"/>
      <c r="Q464" s="89"/>
      <c r="R464" s="89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</row>
    <row r="465" spans="1:50" ht="12.75" x14ac:dyDescent="0.2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8"/>
      <c r="N465" s="88"/>
      <c r="O465" s="8"/>
      <c r="P465" s="8"/>
      <c r="Q465" s="89"/>
      <c r="R465" s="89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</row>
    <row r="466" spans="1:50" ht="12.75" x14ac:dyDescent="0.2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8"/>
      <c r="N466" s="88"/>
      <c r="O466" s="8"/>
      <c r="P466" s="8"/>
      <c r="Q466" s="89"/>
      <c r="R466" s="89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</row>
    <row r="467" spans="1:50" ht="12.75" x14ac:dyDescent="0.2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8"/>
      <c r="N467" s="88"/>
      <c r="O467" s="8"/>
      <c r="P467" s="8"/>
      <c r="Q467" s="89"/>
      <c r="R467" s="89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</row>
    <row r="468" spans="1:50" ht="12.75" x14ac:dyDescent="0.2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8"/>
      <c r="N468" s="88"/>
      <c r="O468" s="8"/>
      <c r="P468" s="8"/>
      <c r="Q468" s="89"/>
      <c r="R468" s="89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</row>
    <row r="469" spans="1:50" ht="12.75" x14ac:dyDescent="0.2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8"/>
      <c r="N469" s="88"/>
      <c r="O469" s="8"/>
      <c r="P469" s="8"/>
      <c r="Q469" s="89"/>
      <c r="R469" s="89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</row>
    <row r="470" spans="1:50" ht="12.75" x14ac:dyDescent="0.2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8"/>
      <c r="N470" s="88"/>
      <c r="O470" s="8"/>
      <c r="P470" s="8"/>
      <c r="Q470" s="89"/>
      <c r="R470" s="89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</row>
    <row r="471" spans="1:50" ht="12.75" x14ac:dyDescent="0.2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8"/>
      <c r="N471" s="88"/>
      <c r="O471" s="8"/>
      <c r="P471" s="8"/>
      <c r="Q471" s="89"/>
      <c r="R471" s="89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</row>
    <row r="472" spans="1:50" ht="12.75" x14ac:dyDescent="0.2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8"/>
      <c r="N472" s="88"/>
      <c r="O472" s="8"/>
      <c r="P472" s="8"/>
      <c r="Q472" s="89"/>
      <c r="R472" s="89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</row>
    <row r="473" spans="1:50" ht="12.75" x14ac:dyDescent="0.2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8"/>
      <c r="N473" s="88"/>
      <c r="O473" s="8"/>
      <c r="P473" s="8"/>
      <c r="Q473" s="89"/>
      <c r="R473" s="89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</row>
    <row r="474" spans="1:50" ht="12.75" x14ac:dyDescent="0.2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8"/>
      <c r="N474" s="88"/>
      <c r="O474" s="8"/>
      <c r="P474" s="8"/>
      <c r="Q474" s="89"/>
      <c r="R474" s="89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</row>
    <row r="475" spans="1:50" ht="12.75" x14ac:dyDescent="0.2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8"/>
      <c r="N475" s="88"/>
      <c r="O475" s="8"/>
      <c r="P475" s="8"/>
      <c r="Q475" s="89"/>
      <c r="R475" s="89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</row>
    <row r="476" spans="1:50" ht="12.75" x14ac:dyDescent="0.2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8"/>
      <c r="N476" s="88"/>
      <c r="O476" s="8"/>
      <c r="P476" s="8"/>
      <c r="Q476" s="89"/>
      <c r="R476" s="89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</row>
    <row r="477" spans="1:50" ht="12.75" x14ac:dyDescent="0.2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8"/>
      <c r="N477" s="88"/>
      <c r="O477" s="8"/>
      <c r="P477" s="8"/>
      <c r="Q477" s="89"/>
      <c r="R477" s="89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</row>
    <row r="478" spans="1:50" ht="12.75" x14ac:dyDescent="0.2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8"/>
      <c r="N478" s="88"/>
      <c r="O478" s="8"/>
      <c r="P478" s="8"/>
      <c r="Q478" s="89"/>
      <c r="R478" s="89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</row>
    <row r="479" spans="1:50" ht="12.75" x14ac:dyDescent="0.2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8"/>
      <c r="N479" s="88"/>
      <c r="O479" s="8"/>
      <c r="P479" s="8"/>
      <c r="Q479" s="89"/>
      <c r="R479" s="89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</row>
    <row r="480" spans="1:50" ht="12.75" x14ac:dyDescent="0.2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8"/>
      <c r="N480" s="88"/>
      <c r="O480" s="8"/>
      <c r="P480" s="8"/>
      <c r="Q480" s="89"/>
      <c r="R480" s="89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</row>
    <row r="481" spans="1:50" ht="12.75" x14ac:dyDescent="0.2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8"/>
      <c r="N481" s="88"/>
      <c r="O481" s="8"/>
      <c r="P481" s="8"/>
      <c r="Q481" s="89"/>
      <c r="R481" s="89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</row>
    <row r="482" spans="1:50" ht="12.75" x14ac:dyDescent="0.2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8"/>
      <c r="N482" s="88"/>
      <c r="O482" s="8"/>
      <c r="P482" s="8"/>
      <c r="Q482" s="89"/>
      <c r="R482" s="89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</row>
    <row r="483" spans="1:50" ht="12.75" x14ac:dyDescent="0.2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8"/>
      <c r="N483" s="88"/>
      <c r="O483" s="8"/>
      <c r="P483" s="8"/>
      <c r="Q483" s="89"/>
      <c r="R483" s="89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</row>
    <row r="484" spans="1:50" ht="12.75" x14ac:dyDescent="0.2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8"/>
      <c r="N484" s="88"/>
      <c r="O484" s="8"/>
      <c r="P484" s="8"/>
      <c r="Q484" s="89"/>
      <c r="R484" s="89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</row>
    <row r="485" spans="1:50" ht="12.75" x14ac:dyDescent="0.2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8"/>
      <c r="N485" s="88"/>
      <c r="O485" s="8"/>
      <c r="P485" s="8"/>
      <c r="Q485" s="89"/>
      <c r="R485" s="89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</row>
    <row r="486" spans="1:50" ht="12.75" x14ac:dyDescent="0.2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8"/>
      <c r="N486" s="88"/>
      <c r="O486" s="8"/>
      <c r="P486" s="8"/>
      <c r="Q486" s="89"/>
      <c r="R486" s="89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</row>
    <row r="487" spans="1:50" ht="12.75" x14ac:dyDescent="0.2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8"/>
      <c r="N487" s="88"/>
      <c r="O487" s="8"/>
      <c r="P487" s="8"/>
      <c r="Q487" s="89"/>
      <c r="R487" s="89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</row>
    <row r="488" spans="1:50" ht="12.75" x14ac:dyDescent="0.2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8"/>
      <c r="N488" s="88"/>
      <c r="O488" s="8"/>
      <c r="P488" s="8"/>
      <c r="Q488" s="89"/>
      <c r="R488" s="89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</row>
    <row r="489" spans="1:50" ht="12.75" x14ac:dyDescent="0.2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8"/>
      <c r="N489" s="88"/>
      <c r="O489" s="8"/>
      <c r="P489" s="8"/>
      <c r="Q489" s="89"/>
      <c r="R489" s="89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</row>
    <row r="490" spans="1:50" ht="12.75" x14ac:dyDescent="0.2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8"/>
      <c r="N490" s="88"/>
      <c r="O490" s="8"/>
      <c r="P490" s="8"/>
      <c r="Q490" s="89"/>
      <c r="R490" s="89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</row>
    <row r="491" spans="1:50" ht="12.75" x14ac:dyDescent="0.2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8"/>
      <c r="N491" s="88"/>
      <c r="O491" s="8"/>
      <c r="P491" s="8"/>
      <c r="Q491" s="89"/>
      <c r="R491" s="89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</row>
    <row r="492" spans="1:50" ht="12.75" x14ac:dyDescent="0.2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8"/>
      <c r="N492" s="88"/>
      <c r="O492" s="8"/>
      <c r="P492" s="8"/>
      <c r="Q492" s="89"/>
      <c r="R492" s="89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</row>
    <row r="493" spans="1:50" ht="12.75" x14ac:dyDescent="0.2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8"/>
      <c r="N493" s="88"/>
      <c r="O493" s="8"/>
      <c r="P493" s="8"/>
      <c r="Q493" s="89"/>
      <c r="R493" s="89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</row>
    <row r="494" spans="1:50" ht="12.75" x14ac:dyDescent="0.2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8"/>
      <c r="N494" s="88"/>
      <c r="O494" s="8"/>
      <c r="P494" s="8"/>
      <c r="Q494" s="89"/>
      <c r="R494" s="89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</row>
    <row r="495" spans="1:50" ht="12.75" x14ac:dyDescent="0.2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8"/>
      <c r="N495" s="88"/>
      <c r="O495" s="8"/>
      <c r="P495" s="8"/>
      <c r="Q495" s="89"/>
      <c r="R495" s="89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</row>
    <row r="496" spans="1:50" ht="12.75" x14ac:dyDescent="0.2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8"/>
      <c r="N496" s="88"/>
      <c r="O496" s="8"/>
      <c r="P496" s="8"/>
      <c r="Q496" s="89"/>
      <c r="R496" s="89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</row>
    <row r="497" spans="1:50" ht="12.75" x14ac:dyDescent="0.2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8"/>
      <c r="N497" s="88"/>
      <c r="O497" s="8"/>
      <c r="P497" s="8"/>
      <c r="Q497" s="89"/>
      <c r="R497" s="89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</row>
    <row r="498" spans="1:50" ht="12.75" x14ac:dyDescent="0.2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8"/>
      <c r="N498" s="88"/>
      <c r="O498" s="8"/>
      <c r="P498" s="8"/>
      <c r="Q498" s="89"/>
      <c r="R498" s="89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</row>
    <row r="499" spans="1:50" ht="12.75" x14ac:dyDescent="0.2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8"/>
      <c r="N499" s="88"/>
      <c r="O499" s="8"/>
      <c r="P499" s="8"/>
      <c r="Q499" s="89"/>
      <c r="R499" s="89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</row>
    <row r="500" spans="1:50" ht="12.75" x14ac:dyDescent="0.2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8"/>
      <c r="N500" s="88"/>
      <c r="O500" s="8"/>
      <c r="P500" s="8"/>
      <c r="Q500" s="89"/>
      <c r="R500" s="89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</row>
    <row r="501" spans="1:50" ht="12.75" x14ac:dyDescent="0.2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8"/>
      <c r="N501" s="88"/>
      <c r="O501" s="8"/>
      <c r="P501" s="8"/>
      <c r="Q501" s="89"/>
      <c r="R501" s="89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</row>
    <row r="502" spans="1:50" ht="12.75" x14ac:dyDescent="0.2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8"/>
      <c r="N502" s="88"/>
      <c r="O502" s="8"/>
      <c r="P502" s="8"/>
      <c r="Q502" s="89"/>
      <c r="R502" s="89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</row>
    <row r="503" spans="1:50" ht="12.75" x14ac:dyDescent="0.2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8"/>
      <c r="N503" s="88"/>
      <c r="O503" s="8"/>
      <c r="P503" s="8"/>
      <c r="Q503" s="89"/>
      <c r="R503" s="89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</row>
    <row r="504" spans="1:50" ht="12.75" x14ac:dyDescent="0.2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8"/>
      <c r="N504" s="88"/>
      <c r="O504" s="8"/>
      <c r="P504" s="8"/>
      <c r="Q504" s="89"/>
      <c r="R504" s="89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</row>
    <row r="505" spans="1:50" ht="12.75" x14ac:dyDescent="0.2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8"/>
      <c r="N505" s="88"/>
      <c r="O505" s="8"/>
      <c r="P505" s="8"/>
      <c r="Q505" s="89"/>
      <c r="R505" s="89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</row>
    <row r="506" spans="1:50" ht="12.75" x14ac:dyDescent="0.2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8"/>
      <c r="N506" s="88"/>
      <c r="O506" s="8"/>
      <c r="P506" s="8"/>
      <c r="Q506" s="89"/>
      <c r="R506" s="89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</row>
    <row r="507" spans="1:50" ht="12.75" x14ac:dyDescent="0.2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8"/>
      <c r="N507" s="88"/>
      <c r="O507" s="8"/>
      <c r="P507" s="8"/>
      <c r="Q507" s="89"/>
      <c r="R507" s="89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</row>
    <row r="508" spans="1:50" ht="12.75" x14ac:dyDescent="0.2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8"/>
      <c r="N508" s="88"/>
      <c r="O508" s="8"/>
      <c r="P508" s="8"/>
      <c r="Q508" s="89"/>
      <c r="R508" s="89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</row>
    <row r="509" spans="1:50" ht="12.75" x14ac:dyDescent="0.2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8"/>
      <c r="N509" s="88"/>
      <c r="O509" s="8"/>
      <c r="P509" s="8"/>
      <c r="Q509" s="89"/>
      <c r="R509" s="89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</row>
    <row r="510" spans="1:50" ht="12.75" x14ac:dyDescent="0.2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8"/>
      <c r="N510" s="88"/>
      <c r="O510" s="8"/>
      <c r="P510" s="8"/>
      <c r="Q510" s="89"/>
      <c r="R510" s="89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</row>
    <row r="511" spans="1:50" ht="12.75" x14ac:dyDescent="0.2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8"/>
      <c r="N511" s="88"/>
      <c r="O511" s="8"/>
      <c r="P511" s="8"/>
      <c r="Q511" s="89"/>
      <c r="R511" s="89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</row>
    <row r="512" spans="1:50" ht="12.75" x14ac:dyDescent="0.2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8"/>
      <c r="N512" s="88"/>
      <c r="O512" s="8"/>
      <c r="P512" s="8"/>
      <c r="Q512" s="89"/>
      <c r="R512" s="89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</row>
    <row r="513" spans="1:50" ht="12.75" x14ac:dyDescent="0.2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8"/>
      <c r="N513" s="88"/>
      <c r="O513" s="8"/>
      <c r="P513" s="8"/>
      <c r="Q513" s="89"/>
      <c r="R513" s="89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</row>
    <row r="514" spans="1:50" ht="12.75" x14ac:dyDescent="0.2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8"/>
      <c r="N514" s="88"/>
      <c r="O514" s="8"/>
      <c r="P514" s="8"/>
      <c r="Q514" s="89"/>
      <c r="R514" s="89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</row>
    <row r="515" spans="1:50" ht="12.75" x14ac:dyDescent="0.2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8"/>
      <c r="N515" s="88"/>
      <c r="O515" s="8"/>
      <c r="P515" s="8"/>
      <c r="Q515" s="89"/>
      <c r="R515" s="89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</row>
    <row r="516" spans="1:50" ht="12.75" x14ac:dyDescent="0.2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8"/>
      <c r="N516" s="88"/>
      <c r="O516" s="8"/>
      <c r="P516" s="8"/>
      <c r="Q516" s="89"/>
      <c r="R516" s="89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</row>
    <row r="517" spans="1:50" ht="12.75" x14ac:dyDescent="0.2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8"/>
      <c r="N517" s="88"/>
      <c r="O517" s="8"/>
      <c r="P517" s="8"/>
      <c r="Q517" s="89"/>
      <c r="R517" s="89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</row>
    <row r="518" spans="1:50" ht="12.75" x14ac:dyDescent="0.2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8"/>
      <c r="N518" s="88"/>
      <c r="O518" s="8"/>
      <c r="P518" s="8"/>
      <c r="Q518" s="89"/>
      <c r="R518" s="89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</row>
    <row r="519" spans="1:50" ht="12.75" x14ac:dyDescent="0.2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8"/>
      <c r="N519" s="88"/>
      <c r="O519" s="8"/>
      <c r="P519" s="8"/>
      <c r="Q519" s="89"/>
      <c r="R519" s="89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</row>
    <row r="520" spans="1:50" ht="12.75" x14ac:dyDescent="0.2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8"/>
      <c r="N520" s="88"/>
      <c r="O520" s="8"/>
      <c r="P520" s="8"/>
      <c r="Q520" s="89"/>
      <c r="R520" s="89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</row>
    <row r="521" spans="1:50" ht="12.75" x14ac:dyDescent="0.2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8"/>
      <c r="N521" s="88"/>
      <c r="O521" s="8"/>
      <c r="P521" s="8"/>
      <c r="Q521" s="89"/>
      <c r="R521" s="89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</row>
    <row r="522" spans="1:50" ht="12.75" x14ac:dyDescent="0.2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8"/>
      <c r="N522" s="88"/>
      <c r="O522" s="8"/>
      <c r="P522" s="8"/>
      <c r="Q522" s="89"/>
      <c r="R522" s="89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</row>
    <row r="523" spans="1:50" ht="12.75" x14ac:dyDescent="0.2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8"/>
      <c r="N523" s="88"/>
      <c r="O523" s="8"/>
      <c r="P523" s="8"/>
      <c r="Q523" s="89"/>
      <c r="R523" s="89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</row>
    <row r="524" spans="1:50" ht="12.75" x14ac:dyDescent="0.2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8"/>
      <c r="N524" s="88"/>
      <c r="O524" s="8"/>
      <c r="P524" s="8"/>
      <c r="Q524" s="89"/>
      <c r="R524" s="89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</row>
    <row r="525" spans="1:50" ht="12.75" x14ac:dyDescent="0.2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8"/>
      <c r="N525" s="88"/>
      <c r="O525" s="8"/>
      <c r="P525" s="8"/>
      <c r="Q525" s="89"/>
      <c r="R525" s="89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</row>
    <row r="526" spans="1:50" ht="12.75" x14ac:dyDescent="0.2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8"/>
      <c r="N526" s="88"/>
      <c r="O526" s="8"/>
      <c r="P526" s="8"/>
      <c r="Q526" s="89"/>
      <c r="R526" s="89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</row>
    <row r="527" spans="1:50" ht="12.75" x14ac:dyDescent="0.2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8"/>
      <c r="N527" s="88"/>
      <c r="O527" s="8"/>
      <c r="P527" s="8"/>
      <c r="Q527" s="89"/>
      <c r="R527" s="89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</row>
    <row r="528" spans="1:50" ht="12.75" x14ac:dyDescent="0.2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8"/>
      <c r="N528" s="88"/>
      <c r="O528" s="8"/>
      <c r="P528" s="8"/>
      <c r="Q528" s="89"/>
      <c r="R528" s="89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</row>
    <row r="529" spans="1:50" ht="12.75" x14ac:dyDescent="0.2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8"/>
      <c r="N529" s="88"/>
      <c r="O529" s="8"/>
      <c r="P529" s="8"/>
      <c r="Q529" s="89"/>
      <c r="R529" s="89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</row>
    <row r="530" spans="1:50" ht="12.75" x14ac:dyDescent="0.2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8"/>
      <c r="N530" s="88"/>
      <c r="O530" s="8"/>
      <c r="P530" s="8"/>
      <c r="Q530" s="89"/>
      <c r="R530" s="89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</row>
    <row r="531" spans="1:50" ht="12.75" x14ac:dyDescent="0.2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8"/>
      <c r="N531" s="88"/>
      <c r="O531" s="8"/>
      <c r="P531" s="8"/>
      <c r="Q531" s="89"/>
      <c r="R531" s="89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</row>
    <row r="532" spans="1:50" ht="12.75" x14ac:dyDescent="0.2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8"/>
      <c r="N532" s="88"/>
      <c r="O532" s="8"/>
      <c r="P532" s="8"/>
      <c r="Q532" s="89"/>
      <c r="R532" s="89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</row>
    <row r="533" spans="1:50" ht="12.75" x14ac:dyDescent="0.2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8"/>
      <c r="N533" s="88"/>
      <c r="O533" s="8"/>
      <c r="P533" s="8"/>
      <c r="Q533" s="89"/>
      <c r="R533" s="89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</row>
    <row r="534" spans="1:50" ht="12.75" x14ac:dyDescent="0.2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8"/>
      <c r="N534" s="88"/>
      <c r="O534" s="8"/>
      <c r="P534" s="8"/>
      <c r="Q534" s="89"/>
      <c r="R534" s="89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</row>
    <row r="535" spans="1:50" ht="12.75" x14ac:dyDescent="0.2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8"/>
      <c r="N535" s="88"/>
      <c r="O535" s="8"/>
      <c r="P535" s="8"/>
      <c r="Q535" s="89"/>
      <c r="R535" s="89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</row>
    <row r="536" spans="1:50" ht="12.75" x14ac:dyDescent="0.2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8"/>
      <c r="N536" s="88"/>
      <c r="O536" s="8"/>
      <c r="P536" s="8"/>
      <c r="Q536" s="89"/>
      <c r="R536" s="89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</row>
    <row r="537" spans="1:50" ht="12.75" x14ac:dyDescent="0.2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8"/>
      <c r="N537" s="88"/>
      <c r="O537" s="8"/>
      <c r="P537" s="8"/>
      <c r="Q537" s="89"/>
      <c r="R537" s="89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</row>
    <row r="538" spans="1:50" ht="12.75" x14ac:dyDescent="0.2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8"/>
      <c r="N538" s="88"/>
      <c r="O538" s="8"/>
      <c r="P538" s="8"/>
      <c r="Q538" s="89"/>
      <c r="R538" s="89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</row>
    <row r="539" spans="1:50" ht="12.75" x14ac:dyDescent="0.2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8"/>
      <c r="N539" s="88"/>
      <c r="O539" s="8"/>
      <c r="P539" s="8"/>
      <c r="Q539" s="89"/>
      <c r="R539" s="89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</row>
    <row r="540" spans="1:50" ht="12.75" x14ac:dyDescent="0.2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8"/>
      <c r="N540" s="88"/>
      <c r="O540" s="8"/>
      <c r="P540" s="8"/>
      <c r="Q540" s="89"/>
      <c r="R540" s="89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</row>
    <row r="541" spans="1:50" ht="12.75" x14ac:dyDescent="0.2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8"/>
      <c r="N541" s="88"/>
      <c r="O541" s="8"/>
      <c r="P541" s="8"/>
      <c r="Q541" s="89"/>
      <c r="R541" s="89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</row>
    <row r="542" spans="1:50" ht="12.75" x14ac:dyDescent="0.2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8"/>
      <c r="N542" s="88"/>
      <c r="O542" s="8"/>
      <c r="P542" s="8"/>
      <c r="Q542" s="89"/>
      <c r="R542" s="89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</row>
    <row r="543" spans="1:50" ht="12.75" x14ac:dyDescent="0.2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8"/>
      <c r="N543" s="88"/>
      <c r="O543" s="8"/>
      <c r="P543" s="8"/>
      <c r="Q543" s="89"/>
      <c r="R543" s="89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</row>
    <row r="544" spans="1:50" ht="12.75" x14ac:dyDescent="0.2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8"/>
      <c r="N544" s="88"/>
      <c r="O544" s="8"/>
      <c r="P544" s="8"/>
      <c r="Q544" s="89"/>
      <c r="R544" s="89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</row>
    <row r="545" spans="1:50" ht="12.75" x14ac:dyDescent="0.2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8"/>
      <c r="N545" s="88"/>
      <c r="O545" s="8"/>
      <c r="P545" s="8"/>
      <c r="Q545" s="89"/>
      <c r="R545" s="89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</row>
    <row r="546" spans="1:50" ht="12.75" x14ac:dyDescent="0.2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8"/>
      <c r="N546" s="88"/>
      <c r="O546" s="8"/>
      <c r="P546" s="8"/>
      <c r="Q546" s="89"/>
      <c r="R546" s="89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</row>
    <row r="547" spans="1:50" ht="12.75" x14ac:dyDescent="0.2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8"/>
      <c r="N547" s="88"/>
      <c r="O547" s="8"/>
      <c r="P547" s="8"/>
      <c r="Q547" s="89"/>
      <c r="R547" s="89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</row>
    <row r="548" spans="1:50" ht="12.75" x14ac:dyDescent="0.2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8"/>
      <c r="N548" s="88"/>
      <c r="O548" s="8"/>
      <c r="P548" s="8"/>
      <c r="Q548" s="89"/>
      <c r="R548" s="89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</row>
    <row r="549" spans="1:50" ht="12.75" x14ac:dyDescent="0.2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8"/>
      <c r="N549" s="88"/>
      <c r="O549" s="8"/>
      <c r="P549" s="8"/>
      <c r="Q549" s="89"/>
      <c r="R549" s="89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</row>
    <row r="550" spans="1:50" ht="12.75" x14ac:dyDescent="0.2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8"/>
      <c r="N550" s="88"/>
      <c r="O550" s="8"/>
      <c r="P550" s="8"/>
      <c r="Q550" s="89"/>
      <c r="R550" s="89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</row>
    <row r="551" spans="1:50" ht="12.75" x14ac:dyDescent="0.2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8"/>
      <c r="N551" s="88"/>
      <c r="O551" s="8"/>
      <c r="P551" s="8"/>
      <c r="Q551" s="89"/>
      <c r="R551" s="89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</row>
    <row r="552" spans="1:50" ht="12.75" x14ac:dyDescent="0.2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8"/>
      <c r="N552" s="88"/>
      <c r="O552" s="8"/>
      <c r="P552" s="8"/>
      <c r="Q552" s="89"/>
      <c r="R552" s="89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</row>
    <row r="553" spans="1:50" ht="12.75" x14ac:dyDescent="0.2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8"/>
      <c r="N553" s="88"/>
      <c r="O553" s="8"/>
      <c r="P553" s="8"/>
      <c r="Q553" s="89"/>
      <c r="R553" s="89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</row>
    <row r="554" spans="1:50" ht="12.75" x14ac:dyDescent="0.2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8"/>
      <c r="N554" s="88"/>
      <c r="O554" s="8"/>
      <c r="P554" s="8"/>
      <c r="Q554" s="89"/>
      <c r="R554" s="89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</row>
    <row r="555" spans="1:50" ht="12.75" x14ac:dyDescent="0.2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8"/>
      <c r="N555" s="88"/>
      <c r="O555" s="8"/>
      <c r="P555" s="8"/>
      <c r="Q555" s="89"/>
      <c r="R555" s="89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</row>
    <row r="556" spans="1:50" ht="12.75" x14ac:dyDescent="0.2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8"/>
      <c r="N556" s="88"/>
      <c r="O556" s="8"/>
      <c r="P556" s="8"/>
      <c r="Q556" s="89"/>
      <c r="R556" s="89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</row>
    <row r="557" spans="1:50" ht="12.75" x14ac:dyDescent="0.2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8"/>
      <c r="N557" s="88"/>
      <c r="O557" s="8"/>
      <c r="P557" s="8"/>
      <c r="Q557" s="89"/>
      <c r="R557" s="89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</row>
    <row r="558" spans="1:50" ht="12.75" x14ac:dyDescent="0.2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8"/>
      <c r="N558" s="88"/>
      <c r="O558" s="8"/>
      <c r="P558" s="8"/>
      <c r="Q558" s="89"/>
      <c r="R558" s="89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</row>
    <row r="559" spans="1:50" ht="12.75" x14ac:dyDescent="0.2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8"/>
      <c r="N559" s="88"/>
      <c r="O559" s="8"/>
      <c r="P559" s="8"/>
      <c r="Q559" s="89"/>
      <c r="R559" s="89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</row>
    <row r="560" spans="1:50" ht="12.75" x14ac:dyDescent="0.2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8"/>
      <c r="N560" s="88"/>
      <c r="O560" s="8"/>
      <c r="P560" s="8"/>
      <c r="Q560" s="89"/>
      <c r="R560" s="89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</row>
    <row r="561" spans="1:50" ht="12.75" x14ac:dyDescent="0.2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8"/>
      <c r="N561" s="88"/>
      <c r="O561" s="8"/>
      <c r="P561" s="8"/>
      <c r="Q561" s="89"/>
      <c r="R561" s="89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</row>
    <row r="562" spans="1:50" ht="12.75" x14ac:dyDescent="0.2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8"/>
      <c r="N562" s="88"/>
      <c r="O562" s="8"/>
      <c r="P562" s="8"/>
      <c r="Q562" s="89"/>
      <c r="R562" s="89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</row>
    <row r="563" spans="1:50" ht="12.75" x14ac:dyDescent="0.2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8"/>
      <c r="N563" s="88"/>
      <c r="O563" s="8"/>
      <c r="P563" s="8"/>
      <c r="Q563" s="89"/>
      <c r="R563" s="89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</row>
    <row r="564" spans="1:50" ht="12.75" x14ac:dyDescent="0.2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8"/>
      <c r="N564" s="88"/>
      <c r="O564" s="8"/>
      <c r="P564" s="8"/>
      <c r="Q564" s="89"/>
      <c r="R564" s="89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</row>
    <row r="565" spans="1:50" ht="12.75" x14ac:dyDescent="0.2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8"/>
      <c r="N565" s="88"/>
      <c r="O565" s="8"/>
      <c r="P565" s="8"/>
      <c r="Q565" s="89"/>
      <c r="R565" s="89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</row>
    <row r="566" spans="1:50" ht="12.75" x14ac:dyDescent="0.2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8"/>
      <c r="N566" s="88"/>
      <c r="O566" s="8"/>
      <c r="P566" s="8"/>
      <c r="Q566" s="89"/>
      <c r="R566" s="89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</row>
    <row r="567" spans="1:50" ht="12.75" x14ac:dyDescent="0.2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8"/>
      <c r="N567" s="88"/>
      <c r="O567" s="8"/>
      <c r="P567" s="8"/>
      <c r="Q567" s="89"/>
      <c r="R567" s="89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</row>
    <row r="568" spans="1:50" ht="12.75" x14ac:dyDescent="0.2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8"/>
      <c r="N568" s="88"/>
      <c r="O568" s="8"/>
      <c r="P568" s="8"/>
      <c r="Q568" s="89"/>
      <c r="R568" s="89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</row>
    <row r="569" spans="1:50" ht="12.75" x14ac:dyDescent="0.2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8"/>
      <c r="N569" s="88"/>
      <c r="O569" s="8"/>
      <c r="P569" s="8"/>
      <c r="Q569" s="89"/>
      <c r="R569" s="89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</row>
    <row r="570" spans="1:50" ht="12.75" x14ac:dyDescent="0.2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8"/>
      <c r="N570" s="88"/>
      <c r="O570" s="8"/>
      <c r="P570" s="8"/>
      <c r="Q570" s="89"/>
      <c r="R570" s="89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</row>
    <row r="571" spans="1:50" ht="12.75" x14ac:dyDescent="0.2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8"/>
      <c r="N571" s="88"/>
      <c r="O571" s="8"/>
      <c r="P571" s="8"/>
      <c r="Q571" s="89"/>
      <c r="R571" s="89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</row>
    <row r="572" spans="1:50" ht="12.75" x14ac:dyDescent="0.2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8"/>
      <c r="N572" s="88"/>
      <c r="O572" s="8"/>
      <c r="P572" s="8"/>
      <c r="Q572" s="89"/>
      <c r="R572" s="89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</row>
    <row r="573" spans="1:50" ht="12.75" x14ac:dyDescent="0.2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8"/>
      <c r="N573" s="88"/>
      <c r="O573" s="8"/>
      <c r="P573" s="8"/>
      <c r="Q573" s="89"/>
      <c r="R573" s="89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</row>
    <row r="574" spans="1:50" ht="12.75" x14ac:dyDescent="0.2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8"/>
      <c r="N574" s="88"/>
      <c r="O574" s="8"/>
      <c r="P574" s="8"/>
      <c r="Q574" s="89"/>
      <c r="R574" s="89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</row>
    <row r="575" spans="1:50" ht="12.75" x14ac:dyDescent="0.2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8"/>
      <c r="N575" s="88"/>
      <c r="O575" s="8"/>
      <c r="P575" s="8"/>
      <c r="Q575" s="89"/>
      <c r="R575" s="89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</row>
    <row r="576" spans="1:50" ht="12.75" x14ac:dyDescent="0.2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8"/>
      <c r="N576" s="88"/>
      <c r="O576" s="8"/>
      <c r="P576" s="8"/>
      <c r="Q576" s="89"/>
      <c r="R576" s="89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</row>
    <row r="577" spans="1:50" ht="12.75" x14ac:dyDescent="0.2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8"/>
      <c r="N577" s="88"/>
      <c r="O577" s="8"/>
      <c r="P577" s="8"/>
      <c r="Q577" s="89"/>
      <c r="R577" s="89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</row>
    <row r="578" spans="1:50" ht="12.75" x14ac:dyDescent="0.2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8"/>
      <c r="N578" s="88"/>
      <c r="O578" s="8"/>
      <c r="P578" s="8"/>
      <c r="Q578" s="89"/>
      <c r="R578" s="89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</row>
    <row r="579" spans="1:50" ht="12.75" x14ac:dyDescent="0.2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8"/>
      <c r="N579" s="88"/>
      <c r="O579" s="8"/>
      <c r="P579" s="8"/>
      <c r="Q579" s="89"/>
      <c r="R579" s="89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</row>
    <row r="580" spans="1:50" ht="12.75" x14ac:dyDescent="0.2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8"/>
      <c r="N580" s="88"/>
      <c r="O580" s="8"/>
      <c r="P580" s="8"/>
      <c r="Q580" s="89"/>
      <c r="R580" s="89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</row>
    <row r="581" spans="1:50" ht="12.75" x14ac:dyDescent="0.2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8"/>
      <c r="N581" s="88"/>
      <c r="O581" s="8"/>
      <c r="P581" s="8"/>
      <c r="Q581" s="89"/>
      <c r="R581" s="89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</row>
    <row r="582" spans="1:50" ht="12.75" x14ac:dyDescent="0.2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8"/>
      <c r="N582" s="88"/>
      <c r="O582" s="8"/>
      <c r="P582" s="8"/>
      <c r="Q582" s="89"/>
      <c r="R582" s="89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</row>
    <row r="583" spans="1:50" ht="12.75" x14ac:dyDescent="0.2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8"/>
      <c r="N583" s="88"/>
      <c r="O583" s="8"/>
      <c r="P583" s="8"/>
      <c r="Q583" s="89"/>
      <c r="R583" s="89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</row>
    <row r="584" spans="1:50" ht="12.75" x14ac:dyDescent="0.2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8"/>
      <c r="N584" s="88"/>
      <c r="O584" s="8"/>
      <c r="P584" s="8"/>
      <c r="Q584" s="89"/>
      <c r="R584" s="89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</row>
    <row r="585" spans="1:50" ht="12.75" x14ac:dyDescent="0.2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8"/>
      <c r="N585" s="88"/>
      <c r="O585" s="8"/>
      <c r="P585" s="8"/>
      <c r="Q585" s="89"/>
      <c r="R585" s="89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</row>
    <row r="586" spans="1:50" ht="12.75" x14ac:dyDescent="0.2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8"/>
      <c r="N586" s="88"/>
      <c r="O586" s="8"/>
      <c r="P586" s="8"/>
      <c r="Q586" s="89"/>
      <c r="R586" s="89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</row>
    <row r="587" spans="1:50" ht="12.75" x14ac:dyDescent="0.2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8"/>
      <c r="N587" s="88"/>
      <c r="O587" s="8"/>
      <c r="P587" s="8"/>
      <c r="Q587" s="89"/>
      <c r="R587" s="89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</row>
    <row r="588" spans="1:50" ht="12.75" x14ac:dyDescent="0.2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8"/>
      <c r="N588" s="88"/>
      <c r="O588" s="8"/>
      <c r="P588" s="8"/>
      <c r="Q588" s="89"/>
      <c r="R588" s="89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</row>
    <row r="589" spans="1:50" ht="12.75" x14ac:dyDescent="0.2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8"/>
      <c r="N589" s="88"/>
      <c r="O589" s="8"/>
      <c r="P589" s="8"/>
      <c r="Q589" s="89"/>
      <c r="R589" s="89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</row>
    <row r="590" spans="1:50" ht="12.75" x14ac:dyDescent="0.2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8"/>
      <c r="N590" s="88"/>
      <c r="O590" s="8"/>
      <c r="P590" s="8"/>
      <c r="Q590" s="89"/>
      <c r="R590" s="89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</row>
    <row r="591" spans="1:50" ht="12.75" x14ac:dyDescent="0.2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8"/>
      <c r="N591" s="88"/>
      <c r="O591" s="8"/>
      <c r="P591" s="8"/>
      <c r="Q591" s="89"/>
      <c r="R591" s="89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</row>
    <row r="592" spans="1:50" ht="12.75" x14ac:dyDescent="0.2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8"/>
      <c r="N592" s="88"/>
      <c r="O592" s="8"/>
      <c r="P592" s="8"/>
      <c r="Q592" s="89"/>
      <c r="R592" s="89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</row>
    <row r="593" spans="1:50" ht="12.75" x14ac:dyDescent="0.2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8"/>
      <c r="N593" s="88"/>
      <c r="O593" s="8"/>
      <c r="P593" s="8"/>
      <c r="Q593" s="89"/>
      <c r="R593" s="89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</row>
    <row r="594" spans="1:50" ht="12.75" x14ac:dyDescent="0.2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8"/>
      <c r="N594" s="88"/>
      <c r="O594" s="8"/>
      <c r="P594" s="8"/>
      <c r="Q594" s="89"/>
      <c r="R594" s="89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</row>
    <row r="595" spans="1:50" ht="12.75" x14ac:dyDescent="0.2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8"/>
      <c r="N595" s="88"/>
      <c r="O595" s="8"/>
      <c r="P595" s="8"/>
      <c r="Q595" s="89"/>
      <c r="R595" s="89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</row>
    <row r="596" spans="1:50" ht="12.75" x14ac:dyDescent="0.2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8"/>
      <c r="N596" s="88"/>
      <c r="O596" s="8"/>
      <c r="P596" s="8"/>
      <c r="Q596" s="89"/>
      <c r="R596" s="89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</row>
    <row r="597" spans="1:50" ht="12.75" x14ac:dyDescent="0.2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8"/>
      <c r="N597" s="88"/>
      <c r="O597" s="8"/>
      <c r="P597" s="8"/>
      <c r="Q597" s="89"/>
      <c r="R597" s="89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</row>
    <row r="598" spans="1:50" ht="12.75" x14ac:dyDescent="0.2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8"/>
      <c r="N598" s="88"/>
      <c r="O598" s="8"/>
      <c r="P598" s="8"/>
      <c r="Q598" s="89"/>
      <c r="R598" s="89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</row>
    <row r="599" spans="1:50" ht="12.75" x14ac:dyDescent="0.2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8"/>
      <c r="N599" s="88"/>
      <c r="O599" s="8"/>
      <c r="P599" s="8"/>
      <c r="Q599" s="89"/>
      <c r="R599" s="89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</row>
    <row r="600" spans="1:50" ht="12.75" x14ac:dyDescent="0.2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8"/>
      <c r="N600" s="88"/>
      <c r="O600" s="8"/>
      <c r="P600" s="8"/>
      <c r="Q600" s="89"/>
      <c r="R600" s="89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</row>
    <row r="601" spans="1:50" ht="12.75" x14ac:dyDescent="0.2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8"/>
      <c r="N601" s="88"/>
      <c r="O601" s="8"/>
      <c r="P601" s="8"/>
      <c r="Q601" s="89"/>
      <c r="R601" s="89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</row>
    <row r="602" spans="1:50" ht="12.75" x14ac:dyDescent="0.2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8"/>
      <c r="N602" s="88"/>
      <c r="O602" s="8"/>
      <c r="P602" s="8"/>
      <c r="Q602" s="89"/>
      <c r="R602" s="89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</row>
    <row r="603" spans="1:50" ht="12.75" x14ac:dyDescent="0.2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8"/>
      <c r="N603" s="88"/>
      <c r="O603" s="8"/>
      <c r="P603" s="8"/>
      <c r="Q603" s="89"/>
      <c r="R603" s="89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</row>
    <row r="604" spans="1:50" ht="12.75" x14ac:dyDescent="0.2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8"/>
      <c r="N604" s="88"/>
      <c r="O604" s="8"/>
      <c r="P604" s="8"/>
      <c r="Q604" s="89"/>
      <c r="R604" s="89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</row>
    <row r="605" spans="1:50" ht="12.75" x14ac:dyDescent="0.2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8"/>
      <c r="N605" s="88"/>
      <c r="O605" s="8"/>
      <c r="P605" s="8"/>
      <c r="Q605" s="89"/>
      <c r="R605" s="89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</row>
    <row r="606" spans="1:50" ht="12.75" x14ac:dyDescent="0.2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8"/>
      <c r="N606" s="88"/>
      <c r="O606" s="8"/>
      <c r="P606" s="8"/>
      <c r="Q606" s="89"/>
      <c r="R606" s="89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</row>
    <row r="607" spans="1:50" ht="12.75" x14ac:dyDescent="0.2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8"/>
      <c r="N607" s="88"/>
      <c r="O607" s="8"/>
      <c r="P607" s="8"/>
      <c r="Q607" s="89"/>
      <c r="R607" s="89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</row>
    <row r="608" spans="1:50" ht="12.75" x14ac:dyDescent="0.2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8"/>
      <c r="N608" s="88"/>
      <c r="O608" s="8"/>
      <c r="P608" s="8"/>
      <c r="Q608" s="89"/>
      <c r="R608" s="89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</row>
    <row r="609" spans="1:50" ht="12.75" x14ac:dyDescent="0.2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8"/>
      <c r="N609" s="88"/>
      <c r="O609" s="8"/>
      <c r="P609" s="8"/>
      <c r="Q609" s="89"/>
      <c r="R609" s="89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</row>
    <row r="610" spans="1:50" ht="12.75" x14ac:dyDescent="0.2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8"/>
      <c r="N610" s="88"/>
      <c r="O610" s="8"/>
      <c r="P610" s="8"/>
      <c r="Q610" s="89"/>
      <c r="R610" s="89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</row>
    <row r="611" spans="1:50" ht="12.75" x14ac:dyDescent="0.2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8"/>
      <c r="N611" s="88"/>
      <c r="O611" s="8"/>
      <c r="P611" s="8"/>
      <c r="Q611" s="89"/>
      <c r="R611" s="89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</row>
    <row r="612" spans="1:50" ht="12.75" x14ac:dyDescent="0.2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8"/>
      <c r="N612" s="88"/>
      <c r="O612" s="8"/>
      <c r="P612" s="8"/>
      <c r="Q612" s="89"/>
      <c r="R612" s="89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</row>
    <row r="613" spans="1:50" ht="12.75" x14ac:dyDescent="0.2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8"/>
      <c r="N613" s="88"/>
      <c r="O613" s="8"/>
      <c r="P613" s="8"/>
      <c r="Q613" s="89"/>
      <c r="R613" s="89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</row>
    <row r="614" spans="1:50" ht="12.75" x14ac:dyDescent="0.2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8"/>
      <c r="N614" s="88"/>
      <c r="O614" s="8"/>
      <c r="P614" s="8"/>
      <c r="Q614" s="89"/>
      <c r="R614" s="89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</row>
    <row r="615" spans="1:50" ht="12.75" x14ac:dyDescent="0.2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8"/>
      <c r="N615" s="88"/>
      <c r="O615" s="8"/>
      <c r="P615" s="8"/>
      <c r="Q615" s="89"/>
      <c r="R615" s="89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</row>
    <row r="616" spans="1:50" ht="12.75" x14ac:dyDescent="0.2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8"/>
      <c r="N616" s="88"/>
      <c r="O616" s="8"/>
      <c r="P616" s="8"/>
      <c r="Q616" s="89"/>
      <c r="R616" s="89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</row>
    <row r="617" spans="1:50" ht="12.75" x14ac:dyDescent="0.2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8"/>
      <c r="N617" s="88"/>
      <c r="O617" s="8"/>
      <c r="P617" s="8"/>
      <c r="Q617" s="89"/>
      <c r="R617" s="89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</row>
    <row r="618" spans="1:50" ht="12.75" x14ac:dyDescent="0.2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8"/>
      <c r="N618" s="88"/>
      <c r="O618" s="8"/>
      <c r="P618" s="8"/>
      <c r="Q618" s="89"/>
      <c r="R618" s="89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</row>
    <row r="619" spans="1:50" ht="12.75" x14ac:dyDescent="0.2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8"/>
      <c r="N619" s="88"/>
      <c r="O619" s="8"/>
      <c r="P619" s="8"/>
      <c r="Q619" s="89"/>
      <c r="R619" s="89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</row>
    <row r="620" spans="1:50" ht="12.75" x14ac:dyDescent="0.2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8"/>
      <c r="N620" s="88"/>
      <c r="O620" s="8"/>
      <c r="P620" s="8"/>
      <c r="Q620" s="89"/>
      <c r="R620" s="89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</row>
    <row r="621" spans="1:50" ht="12.75" x14ac:dyDescent="0.2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8"/>
      <c r="N621" s="88"/>
      <c r="O621" s="8"/>
      <c r="P621" s="8"/>
      <c r="Q621" s="89"/>
      <c r="R621" s="89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</row>
    <row r="622" spans="1:50" ht="12.75" x14ac:dyDescent="0.2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8"/>
      <c r="N622" s="88"/>
      <c r="O622" s="8"/>
      <c r="P622" s="8"/>
      <c r="Q622" s="89"/>
      <c r="R622" s="89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</row>
    <row r="623" spans="1:50" ht="12.75" x14ac:dyDescent="0.2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8"/>
      <c r="N623" s="88"/>
      <c r="O623" s="8"/>
      <c r="P623" s="8"/>
      <c r="Q623" s="89"/>
      <c r="R623" s="89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</row>
    <row r="624" spans="1:50" ht="12.75" x14ac:dyDescent="0.2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8"/>
      <c r="N624" s="88"/>
      <c r="O624" s="8"/>
      <c r="P624" s="8"/>
      <c r="Q624" s="89"/>
      <c r="R624" s="89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</row>
    <row r="625" spans="1:50" ht="12.75" x14ac:dyDescent="0.2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8"/>
      <c r="N625" s="88"/>
      <c r="O625" s="8"/>
      <c r="P625" s="8"/>
      <c r="Q625" s="89"/>
      <c r="R625" s="89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</row>
    <row r="626" spans="1:50" ht="12.75" x14ac:dyDescent="0.2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8"/>
      <c r="N626" s="88"/>
      <c r="O626" s="8"/>
      <c r="P626" s="8"/>
      <c r="Q626" s="89"/>
      <c r="R626" s="89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</row>
    <row r="627" spans="1:50" ht="12.75" x14ac:dyDescent="0.2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8"/>
      <c r="N627" s="88"/>
      <c r="O627" s="8"/>
      <c r="P627" s="8"/>
      <c r="Q627" s="89"/>
      <c r="R627" s="89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</row>
    <row r="628" spans="1:50" ht="12.75" x14ac:dyDescent="0.2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8"/>
      <c r="N628" s="88"/>
      <c r="O628" s="8"/>
      <c r="P628" s="8"/>
      <c r="Q628" s="89"/>
      <c r="R628" s="89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</row>
    <row r="629" spans="1:50" ht="12.75" x14ac:dyDescent="0.2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8"/>
      <c r="N629" s="88"/>
      <c r="O629" s="8"/>
      <c r="P629" s="8"/>
      <c r="Q629" s="89"/>
      <c r="R629" s="89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</row>
    <row r="630" spans="1:50" ht="12.75" x14ac:dyDescent="0.2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8"/>
      <c r="N630" s="88"/>
      <c r="O630" s="8"/>
      <c r="P630" s="8"/>
      <c r="Q630" s="89"/>
      <c r="R630" s="89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</row>
    <row r="631" spans="1:50" ht="12.75" x14ac:dyDescent="0.2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8"/>
      <c r="N631" s="88"/>
      <c r="O631" s="8"/>
      <c r="P631" s="8"/>
      <c r="Q631" s="89"/>
      <c r="R631" s="89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</row>
    <row r="632" spans="1:50" ht="12.75" x14ac:dyDescent="0.2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8"/>
      <c r="N632" s="88"/>
      <c r="O632" s="8"/>
      <c r="P632" s="8"/>
      <c r="Q632" s="89"/>
      <c r="R632" s="89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</row>
    <row r="633" spans="1:50" ht="12.75" x14ac:dyDescent="0.2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8"/>
      <c r="N633" s="88"/>
      <c r="O633" s="8"/>
      <c r="P633" s="8"/>
      <c r="Q633" s="89"/>
      <c r="R633" s="89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</row>
    <row r="634" spans="1:50" ht="12.75" x14ac:dyDescent="0.2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8"/>
      <c r="N634" s="88"/>
      <c r="O634" s="8"/>
      <c r="P634" s="8"/>
      <c r="Q634" s="89"/>
      <c r="R634" s="89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</row>
    <row r="635" spans="1:50" ht="12.75" x14ac:dyDescent="0.2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8"/>
      <c r="N635" s="88"/>
      <c r="O635" s="8"/>
      <c r="P635" s="8"/>
      <c r="Q635" s="89"/>
      <c r="R635" s="89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</row>
    <row r="636" spans="1:50" ht="12.75" x14ac:dyDescent="0.2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8"/>
      <c r="N636" s="88"/>
      <c r="O636" s="8"/>
      <c r="P636" s="8"/>
      <c r="Q636" s="89"/>
      <c r="R636" s="89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</row>
    <row r="637" spans="1:50" ht="12.75" x14ac:dyDescent="0.2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8"/>
      <c r="N637" s="88"/>
      <c r="O637" s="8"/>
      <c r="P637" s="8"/>
      <c r="Q637" s="89"/>
      <c r="R637" s="89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</row>
    <row r="638" spans="1:50" ht="12.75" x14ac:dyDescent="0.2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8"/>
      <c r="N638" s="88"/>
      <c r="O638" s="8"/>
      <c r="P638" s="8"/>
      <c r="Q638" s="89"/>
      <c r="R638" s="89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</row>
    <row r="639" spans="1:50" ht="12.75" x14ac:dyDescent="0.2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8"/>
      <c r="N639" s="88"/>
      <c r="O639" s="8"/>
      <c r="P639" s="8"/>
      <c r="Q639" s="89"/>
      <c r="R639" s="89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</row>
    <row r="640" spans="1:50" ht="12.75" x14ac:dyDescent="0.2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8"/>
      <c r="N640" s="88"/>
      <c r="O640" s="8"/>
      <c r="P640" s="8"/>
      <c r="Q640" s="89"/>
      <c r="R640" s="89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</row>
    <row r="641" spans="1:50" ht="12.75" x14ac:dyDescent="0.2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8"/>
      <c r="N641" s="88"/>
      <c r="O641" s="8"/>
      <c r="P641" s="8"/>
      <c r="Q641" s="89"/>
      <c r="R641" s="89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</row>
    <row r="642" spans="1:50" ht="12.75" x14ac:dyDescent="0.2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8"/>
      <c r="N642" s="88"/>
      <c r="O642" s="8"/>
      <c r="P642" s="8"/>
      <c r="Q642" s="89"/>
      <c r="R642" s="89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</row>
    <row r="643" spans="1:50" ht="12.75" x14ac:dyDescent="0.2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8"/>
      <c r="N643" s="88"/>
      <c r="O643" s="8"/>
      <c r="P643" s="8"/>
      <c r="Q643" s="89"/>
      <c r="R643" s="89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</row>
    <row r="644" spans="1:50" ht="12.75" x14ac:dyDescent="0.2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8"/>
      <c r="N644" s="88"/>
      <c r="O644" s="8"/>
      <c r="P644" s="8"/>
      <c r="Q644" s="89"/>
      <c r="R644" s="89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</row>
    <row r="645" spans="1:50" ht="12.75" x14ac:dyDescent="0.2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8"/>
      <c r="N645" s="88"/>
      <c r="O645" s="8"/>
      <c r="P645" s="8"/>
      <c r="Q645" s="89"/>
      <c r="R645" s="89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</row>
    <row r="646" spans="1:50" ht="12.75" x14ac:dyDescent="0.2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8"/>
      <c r="N646" s="88"/>
      <c r="O646" s="8"/>
      <c r="P646" s="8"/>
      <c r="Q646" s="89"/>
      <c r="R646" s="89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</row>
    <row r="647" spans="1:50" ht="12.75" x14ac:dyDescent="0.2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8"/>
      <c r="N647" s="88"/>
      <c r="O647" s="8"/>
      <c r="P647" s="8"/>
      <c r="Q647" s="89"/>
      <c r="R647" s="89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</row>
    <row r="648" spans="1:50" ht="12.75" x14ac:dyDescent="0.2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8"/>
      <c r="N648" s="88"/>
      <c r="O648" s="8"/>
      <c r="P648" s="8"/>
      <c r="Q648" s="89"/>
      <c r="R648" s="89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</row>
    <row r="649" spans="1:50" ht="12.75" x14ac:dyDescent="0.2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8"/>
      <c r="N649" s="88"/>
      <c r="O649" s="8"/>
      <c r="P649" s="8"/>
      <c r="Q649" s="89"/>
      <c r="R649" s="89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</row>
    <row r="650" spans="1:50" ht="12.75" x14ac:dyDescent="0.2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8"/>
      <c r="N650" s="88"/>
      <c r="O650" s="8"/>
      <c r="P650" s="8"/>
      <c r="Q650" s="89"/>
      <c r="R650" s="89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</row>
    <row r="651" spans="1:50" ht="12.75" x14ac:dyDescent="0.2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8"/>
      <c r="N651" s="88"/>
      <c r="O651" s="8"/>
      <c r="P651" s="8"/>
      <c r="Q651" s="89"/>
      <c r="R651" s="89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</row>
    <row r="652" spans="1:50" ht="12.75" x14ac:dyDescent="0.2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8"/>
      <c r="N652" s="88"/>
      <c r="O652" s="8"/>
      <c r="P652" s="8"/>
      <c r="Q652" s="89"/>
      <c r="R652" s="89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</row>
    <row r="653" spans="1:50" ht="12.75" x14ac:dyDescent="0.2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8"/>
      <c r="N653" s="88"/>
      <c r="O653" s="8"/>
      <c r="P653" s="8"/>
      <c r="Q653" s="89"/>
      <c r="R653" s="89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</row>
    <row r="654" spans="1:50" ht="12.75" x14ac:dyDescent="0.2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8"/>
      <c r="N654" s="88"/>
      <c r="O654" s="8"/>
      <c r="P654" s="8"/>
      <c r="Q654" s="89"/>
      <c r="R654" s="89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</row>
    <row r="655" spans="1:50" ht="12.75" x14ac:dyDescent="0.2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8"/>
      <c r="N655" s="88"/>
      <c r="O655" s="8"/>
      <c r="P655" s="8"/>
      <c r="Q655" s="89"/>
      <c r="R655" s="89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</row>
    <row r="656" spans="1:50" ht="12.75" x14ac:dyDescent="0.2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8"/>
      <c r="N656" s="88"/>
      <c r="O656" s="8"/>
      <c r="P656" s="8"/>
      <c r="Q656" s="89"/>
      <c r="R656" s="89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</row>
    <row r="657" spans="1:50" ht="12.75" x14ac:dyDescent="0.2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8"/>
      <c r="N657" s="88"/>
      <c r="O657" s="8"/>
      <c r="P657" s="8"/>
      <c r="Q657" s="89"/>
      <c r="R657" s="89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</row>
    <row r="658" spans="1:50" ht="12.75" x14ac:dyDescent="0.2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8"/>
      <c r="N658" s="88"/>
      <c r="O658" s="8"/>
      <c r="P658" s="8"/>
      <c r="Q658" s="89"/>
      <c r="R658" s="89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</row>
    <row r="659" spans="1:50" ht="12.75" x14ac:dyDescent="0.2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8"/>
      <c r="N659" s="88"/>
      <c r="O659" s="8"/>
      <c r="P659" s="8"/>
      <c r="Q659" s="89"/>
      <c r="R659" s="89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</row>
    <row r="660" spans="1:50" ht="12.75" x14ac:dyDescent="0.2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8"/>
      <c r="N660" s="88"/>
      <c r="O660" s="8"/>
      <c r="P660" s="8"/>
      <c r="Q660" s="89"/>
      <c r="R660" s="89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</row>
    <row r="661" spans="1:50" ht="12.75" x14ac:dyDescent="0.2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8"/>
      <c r="N661" s="88"/>
      <c r="O661" s="8"/>
      <c r="P661" s="8"/>
      <c r="Q661" s="89"/>
      <c r="R661" s="89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</row>
    <row r="662" spans="1:50" ht="12.75" x14ac:dyDescent="0.2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8"/>
      <c r="N662" s="88"/>
      <c r="O662" s="8"/>
      <c r="P662" s="8"/>
      <c r="Q662" s="89"/>
      <c r="R662" s="89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</row>
    <row r="663" spans="1:50" ht="12.75" x14ac:dyDescent="0.2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8"/>
      <c r="N663" s="88"/>
      <c r="O663" s="8"/>
      <c r="P663" s="8"/>
      <c r="Q663" s="89"/>
      <c r="R663" s="89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</row>
    <row r="664" spans="1:50" ht="12.75" x14ac:dyDescent="0.2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8"/>
      <c r="N664" s="88"/>
      <c r="O664" s="8"/>
      <c r="P664" s="8"/>
      <c r="Q664" s="89"/>
      <c r="R664" s="89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</row>
    <row r="665" spans="1:50" ht="12.75" x14ac:dyDescent="0.2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8"/>
      <c r="N665" s="88"/>
      <c r="O665" s="8"/>
      <c r="P665" s="8"/>
      <c r="Q665" s="89"/>
      <c r="R665" s="89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</row>
    <row r="666" spans="1:50" ht="12.75" x14ac:dyDescent="0.2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8"/>
      <c r="N666" s="88"/>
      <c r="O666" s="8"/>
      <c r="P666" s="8"/>
      <c r="Q666" s="89"/>
      <c r="R666" s="89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</row>
    <row r="667" spans="1:50" ht="12.75" x14ac:dyDescent="0.2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8"/>
      <c r="N667" s="88"/>
      <c r="O667" s="8"/>
      <c r="P667" s="8"/>
      <c r="Q667" s="89"/>
      <c r="R667" s="89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</row>
    <row r="668" spans="1:50" ht="12.75" x14ac:dyDescent="0.2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8"/>
      <c r="N668" s="88"/>
      <c r="O668" s="8"/>
      <c r="P668" s="8"/>
      <c r="Q668" s="89"/>
      <c r="R668" s="89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</row>
    <row r="669" spans="1:50" ht="12.75" x14ac:dyDescent="0.2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8"/>
      <c r="N669" s="88"/>
      <c r="O669" s="8"/>
      <c r="P669" s="8"/>
      <c r="Q669" s="89"/>
      <c r="R669" s="89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</row>
    <row r="670" spans="1:50" ht="12.75" x14ac:dyDescent="0.2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8"/>
      <c r="N670" s="88"/>
      <c r="O670" s="8"/>
      <c r="P670" s="8"/>
      <c r="Q670" s="89"/>
      <c r="R670" s="89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</row>
    <row r="671" spans="1:50" ht="12.75" x14ac:dyDescent="0.2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8"/>
      <c r="N671" s="88"/>
      <c r="O671" s="8"/>
      <c r="P671" s="8"/>
      <c r="Q671" s="89"/>
      <c r="R671" s="89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</row>
    <row r="672" spans="1:50" ht="12.75" x14ac:dyDescent="0.2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8"/>
      <c r="N672" s="88"/>
      <c r="O672" s="8"/>
      <c r="P672" s="8"/>
      <c r="Q672" s="89"/>
      <c r="R672" s="89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</row>
    <row r="673" spans="1:50" ht="12.75" x14ac:dyDescent="0.2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8"/>
      <c r="N673" s="88"/>
      <c r="O673" s="8"/>
      <c r="P673" s="8"/>
      <c r="Q673" s="89"/>
      <c r="R673" s="89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</row>
    <row r="674" spans="1:50" ht="12.75" x14ac:dyDescent="0.2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8"/>
      <c r="N674" s="88"/>
      <c r="O674" s="8"/>
      <c r="P674" s="8"/>
      <c r="Q674" s="89"/>
      <c r="R674" s="89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</row>
    <row r="675" spans="1:50" ht="12.75" x14ac:dyDescent="0.2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8"/>
      <c r="N675" s="88"/>
      <c r="O675" s="8"/>
      <c r="P675" s="8"/>
      <c r="Q675" s="89"/>
      <c r="R675" s="89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</row>
    <row r="676" spans="1:50" ht="12.75" x14ac:dyDescent="0.2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8"/>
      <c r="N676" s="88"/>
      <c r="O676" s="8"/>
      <c r="P676" s="8"/>
      <c r="Q676" s="89"/>
      <c r="R676" s="89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</row>
    <row r="677" spans="1:50" ht="12.75" x14ac:dyDescent="0.2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8"/>
      <c r="N677" s="88"/>
      <c r="O677" s="8"/>
      <c r="P677" s="8"/>
      <c r="Q677" s="89"/>
      <c r="R677" s="89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</row>
    <row r="678" spans="1:50" ht="12.75" x14ac:dyDescent="0.2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8"/>
      <c r="N678" s="88"/>
      <c r="O678" s="8"/>
      <c r="P678" s="8"/>
      <c r="Q678" s="89"/>
      <c r="R678" s="89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</row>
    <row r="679" spans="1:50" ht="12.75" x14ac:dyDescent="0.2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8"/>
      <c r="N679" s="88"/>
      <c r="O679" s="8"/>
      <c r="P679" s="8"/>
      <c r="Q679" s="89"/>
      <c r="R679" s="89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</row>
    <row r="680" spans="1:50" ht="12.75" x14ac:dyDescent="0.2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8"/>
      <c r="N680" s="88"/>
      <c r="O680" s="8"/>
      <c r="P680" s="8"/>
      <c r="Q680" s="89"/>
      <c r="R680" s="89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</row>
    <row r="681" spans="1:50" ht="12.75" x14ac:dyDescent="0.2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8"/>
      <c r="N681" s="88"/>
      <c r="O681" s="8"/>
      <c r="P681" s="8"/>
      <c r="Q681" s="89"/>
      <c r="R681" s="89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</row>
    <row r="682" spans="1:50" ht="12.75" x14ac:dyDescent="0.2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8"/>
      <c r="N682" s="88"/>
      <c r="O682" s="8"/>
      <c r="P682" s="8"/>
      <c r="Q682" s="89"/>
      <c r="R682" s="89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</row>
    <row r="683" spans="1:50" ht="12.75" x14ac:dyDescent="0.2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8"/>
      <c r="N683" s="88"/>
      <c r="O683" s="8"/>
      <c r="P683" s="8"/>
      <c r="Q683" s="89"/>
      <c r="R683" s="89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</row>
    <row r="684" spans="1:50" ht="12.75" x14ac:dyDescent="0.2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8"/>
      <c r="N684" s="88"/>
      <c r="O684" s="8"/>
      <c r="P684" s="8"/>
      <c r="Q684" s="89"/>
      <c r="R684" s="89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</row>
    <row r="685" spans="1:50" ht="12.75" x14ac:dyDescent="0.2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8"/>
      <c r="N685" s="88"/>
      <c r="O685" s="8"/>
      <c r="P685" s="8"/>
      <c r="Q685" s="89"/>
      <c r="R685" s="89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</row>
    <row r="686" spans="1:50" ht="12.75" x14ac:dyDescent="0.2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8"/>
      <c r="N686" s="88"/>
      <c r="O686" s="8"/>
      <c r="P686" s="8"/>
      <c r="Q686" s="89"/>
      <c r="R686" s="89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</row>
    <row r="687" spans="1:50" ht="12.75" x14ac:dyDescent="0.2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8"/>
      <c r="N687" s="88"/>
      <c r="O687" s="8"/>
      <c r="P687" s="8"/>
      <c r="Q687" s="89"/>
      <c r="R687" s="89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</row>
    <row r="688" spans="1:50" ht="12.75" x14ac:dyDescent="0.2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8"/>
      <c r="N688" s="88"/>
      <c r="O688" s="8"/>
      <c r="P688" s="8"/>
      <c r="Q688" s="89"/>
      <c r="R688" s="89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</row>
    <row r="689" spans="1:50" ht="12.75" x14ac:dyDescent="0.2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8"/>
      <c r="N689" s="88"/>
      <c r="O689" s="8"/>
      <c r="P689" s="8"/>
      <c r="Q689" s="89"/>
      <c r="R689" s="89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</row>
    <row r="690" spans="1:50" ht="12.75" x14ac:dyDescent="0.2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8"/>
      <c r="N690" s="88"/>
      <c r="O690" s="8"/>
      <c r="P690" s="8"/>
      <c r="Q690" s="89"/>
      <c r="R690" s="89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</row>
    <row r="691" spans="1:50" ht="12.75" x14ac:dyDescent="0.2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8"/>
      <c r="N691" s="88"/>
      <c r="O691" s="8"/>
      <c r="P691" s="8"/>
      <c r="Q691" s="89"/>
      <c r="R691" s="89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</row>
    <row r="692" spans="1:50" ht="12.75" x14ac:dyDescent="0.2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8"/>
      <c r="N692" s="88"/>
      <c r="O692" s="8"/>
      <c r="P692" s="8"/>
      <c r="Q692" s="89"/>
      <c r="R692" s="89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</row>
    <row r="693" spans="1:50" ht="12.75" x14ac:dyDescent="0.2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8"/>
      <c r="N693" s="88"/>
      <c r="O693" s="8"/>
      <c r="P693" s="8"/>
      <c r="Q693" s="89"/>
      <c r="R693" s="89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</row>
    <row r="694" spans="1:50" ht="12.75" x14ac:dyDescent="0.2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8"/>
      <c r="N694" s="88"/>
      <c r="O694" s="8"/>
      <c r="P694" s="8"/>
      <c r="Q694" s="89"/>
      <c r="R694" s="89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</row>
    <row r="695" spans="1:50" ht="12.75" x14ac:dyDescent="0.2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8"/>
      <c r="N695" s="88"/>
      <c r="O695" s="8"/>
      <c r="P695" s="8"/>
      <c r="Q695" s="89"/>
      <c r="R695" s="89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</row>
    <row r="696" spans="1:50" ht="12.75" x14ac:dyDescent="0.2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8"/>
      <c r="N696" s="88"/>
      <c r="O696" s="8"/>
      <c r="P696" s="8"/>
      <c r="Q696" s="89"/>
      <c r="R696" s="89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</row>
    <row r="697" spans="1:50" ht="12.75" x14ac:dyDescent="0.2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8"/>
      <c r="N697" s="88"/>
      <c r="O697" s="8"/>
      <c r="P697" s="8"/>
      <c r="Q697" s="89"/>
      <c r="R697" s="89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</row>
    <row r="698" spans="1:50" ht="12.75" x14ac:dyDescent="0.2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8"/>
      <c r="N698" s="88"/>
      <c r="O698" s="8"/>
      <c r="P698" s="8"/>
      <c r="Q698" s="89"/>
      <c r="R698" s="89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</row>
    <row r="699" spans="1:50" ht="12.75" x14ac:dyDescent="0.2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8"/>
      <c r="N699" s="88"/>
      <c r="O699" s="8"/>
      <c r="P699" s="8"/>
      <c r="Q699" s="89"/>
      <c r="R699" s="89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</row>
    <row r="700" spans="1:50" ht="12.75" x14ac:dyDescent="0.2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8"/>
      <c r="N700" s="88"/>
      <c r="O700" s="8"/>
      <c r="P700" s="8"/>
      <c r="Q700" s="89"/>
      <c r="R700" s="89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</row>
    <row r="701" spans="1:50" ht="12.75" x14ac:dyDescent="0.2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8"/>
      <c r="N701" s="88"/>
      <c r="O701" s="8"/>
      <c r="P701" s="8"/>
      <c r="Q701" s="89"/>
      <c r="R701" s="89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</row>
    <row r="702" spans="1:50" ht="12.75" x14ac:dyDescent="0.2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8"/>
      <c r="N702" s="88"/>
      <c r="O702" s="8"/>
      <c r="P702" s="8"/>
      <c r="Q702" s="89"/>
      <c r="R702" s="89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</row>
    <row r="703" spans="1:50" ht="12.75" x14ac:dyDescent="0.2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8"/>
      <c r="N703" s="88"/>
      <c r="O703" s="8"/>
      <c r="P703" s="8"/>
      <c r="Q703" s="89"/>
      <c r="R703" s="89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</row>
    <row r="704" spans="1:50" ht="12.75" x14ac:dyDescent="0.2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8"/>
      <c r="N704" s="88"/>
      <c r="O704" s="8"/>
      <c r="P704" s="8"/>
      <c r="Q704" s="89"/>
      <c r="R704" s="89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</row>
    <row r="705" spans="1:50" ht="12.75" x14ac:dyDescent="0.2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8"/>
      <c r="N705" s="88"/>
      <c r="O705" s="8"/>
      <c r="P705" s="8"/>
      <c r="Q705" s="89"/>
      <c r="R705" s="89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</row>
    <row r="706" spans="1:50" ht="12.75" x14ac:dyDescent="0.2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8"/>
      <c r="N706" s="88"/>
      <c r="O706" s="8"/>
      <c r="P706" s="8"/>
      <c r="Q706" s="89"/>
      <c r="R706" s="89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</row>
    <row r="707" spans="1:50" ht="12.75" x14ac:dyDescent="0.2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8"/>
      <c r="N707" s="88"/>
      <c r="O707" s="8"/>
      <c r="P707" s="8"/>
      <c r="Q707" s="89"/>
      <c r="R707" s="89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</row>
    <row r="708" spans="1:50" ht="12.75" x14ac:dyDescent="0.2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8"/>
      <c r="N708" s="88"/>
      <c r="O708" s="8"/>
      <c r="P708" s="8"/>
      <c r="Q708" s="89"/>
      <c r="R708" s="89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</row>
    <row r="709" spans="1:50" ht="12.75" x14ac:dyDescent="0.2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8"/>
      <c r="N709" s="88"/>
      <c r="O709" s="8"/>
      <c r="P709" s="8"/>
      <c r="Q709" s="89"/>
      <c r="R709" s="89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</row>
    <row r="710" spans="1:50" ht="12.75" x14ac:dyDescent="0.2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8"/>
      <c r="N710" s="88"/>
      <c r="O710" s="8"/>
      <c r="P710" s="8"/>
      <c r="Q710" s="89"/>
      <c r="R710" s="89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</row>
    <row r="711" spans="1:50" ht="12.75" x14ac:dyDescent="0.2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8"/>
      <c r="N711" s="88"/>
      <c r="O711" s="8"/>
      <c r="P711" s="8"/>
      <c r="Q711" s="89"/>
      <c r="R711" s="89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</row>
    <row r="712" spans="1:50" ht="12.75" x14ac:dyDescent="0.2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8"/>
      <c r="N712" s="88"/>
      <c r="O712" s="8"/>
      <c r="P712" s="8"/>
      <c r="Q712" s="89"/>
      <c r="R712" s="89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</row>
    <row r="713" spans="1:50" ht="12.75" x14ac:dyDescent="0.2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8"/>
      <c r="N713" s="88"/>
      <c r="O713" s="8"/>
      <c r="P713" s="8"/>
      <c r="Q713" s="89"/>
      <c r="R713" s="89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</row>
    <row r="714" spans="1:50" ht="12.75" x14ac:dyDescent="0.2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8"/>
      <c r="N714" s="88"/>
      <c r="O714" s="8"/>
      <c r="P714" s="8"/>
      <c r="Q714" s="89"/>
      <c r="R714" s="89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</row>
    <row r="715" spans="1:50" ht="12.75" x14ac:dyDescent="0.2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8"/>
      <c r="N715" s="88"/>
      <c r="O715" s="8"/>
      <c r="P715" s="8"/>
      <c r="Q715" s="89"/>
      <c r="R715" s="89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</row>
    <row r="716" spans="1:50" ht="12.75" x14ac:dyDescent="0.2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8"/>
      <c r="N716" s="88"/>
      <c r="O716" s="8"/>
      <c r="P716" s="8"/>
      <c r="Q716" s="89"/>
      <c r="R716" s="89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</row>
    <row r="717" spans="1:50" ht="12.75" x14ac:dyDescent="0.2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8"/>
      <c r="N717" s="88"/>
      <c r="O717" s="8"/>
      <c r="P717" s="8"/>
      <c r="Q717" s="89"/>
      <c r="R717" s="89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</row>
    <row r="718" spans="1:50" ht="12.75" x14ac:dyDescent="0.2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8"/>
      <c r="N718" s="88"/>
      <c r="O718" s="8"/>
      <c r="P718" s="8"/>
      <c r="Q718" s="89"/>
      <c r="R718" s="89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</row>
    <row r="719" spans="1:50" ht="12.75" x14ac:dyDescent="0.2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8"/>
      <c r="N719" s="88"/>
      <c r="O719" s="8"/>
      <c r="P719" s="8"/>
      <c r="Q719" s="89"/>
      <c r="R719" s="89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</row>
    <row r="720" spans="1:50" ht="12.75" x14ac:dyDescent="0.2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8"/>
      <c r="N720" s="88"/>
      <c r="O720" s="8"/>
      <c r="P720" s="8"/>
      <c r="Q720" s="89"/>
      <c r="R720" s="89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</row>
    <row r="721" spans="1:50" ht="12.75" x14ac:dyDescent="0.2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8"/>
      <c r="N721" s="88"/>
      <c r="O721" s="8"/>
      <c r="P721" s="8"/>
      <c r="Q721" s="89"/>
      <c r="R721" s="89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</row>
    <row r="722" spans="1:50" ht="12.75" x14ac:dyDescent="0.2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8"/>
      <c r="N722" s="88"/>
      <c r="O722" s="8"/>
      <c r="P722" s="8"/>
      <c r="Q722" s="89"/>
      <c r="R722" s="89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</row>
    <row r="723" spans="1:50" ht="12.75" x14ac:dyDescent="0.2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8"/>
      <c r="N723" s="88"/>
      <c r="O723" s="8"/>
      <c r="P723" s="8"/>
      <c r="Q723" s="89"/>
      <c r="R723" s="89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</row>
    <row r="724" spans="1:50" ht="12.75" x14ac:dyDescent="0.2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8"/>
      <c r="N724" s="88"/>
      <c r="O724" s="8"/>
      <c r="P724" s="8"/>
      <c r="Q724" s="89"/>
      <c r="R724" s="89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</row>
    <row r="725" spans="1:50" ht="12.75" x14ac:dyDescent="0.2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8"/>
      <c r="N725" s="88"/>
      <c r="O725" s="8"/>
      <c r="P725" s="8"/>
      <c r="Q725" s="89"/>
      <c r="R725" s="89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</row>
    <row r="726" spans="1:50" ht="12.75" x14ac:dyDescent="0.2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8"/>
      <c r="N726" s="88"/>
      <c r="O726" s="8"/>
      <c r="P726" s="8"/>
      <c r="Q726" s="89"/>
      <c r="R726" s="89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</row>
    <row r="727" spans="1:50" ht="12.75" x14ac:dyDescent="0.2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8"/>
      <c r="N727" s="88"/>
      <c r="O727" s="8"/>
      <c r="P727" s="8"/>
      <c r="Q727" s="89"/>
      <c r="R727" s="89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</row>
    <row r="728" spans="1:50" ht="12.75" x14ac:dyDescent="0.2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8"/>
      <c r="N728" s="88"/>
      <c r="O728" s="8"/>
      <c r="P728" s="8"/>
      <c r="Q728" s="89"/>
      <c r="R728" s="89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</row>
    <row r="729" spans="1:50" ht="12.75" x14ac:dyDescent="0.2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8"/>
      <c r="N729" s="88"/>
      <c r="O729" s="8"/>
      <c r="P729" s="8"/>
      <c r="Q729" s="89"/>
      <c r="R729" s="89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</row>
    <row r="730" spans="1:50" ht="12.75" x14ac:dyDescent="0.2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8"/>
      <c r="N730" s="88"/>
      <c r="O730" s="8"/>
      <c r="P730" s="8"/>
      <c r="Q730" s="89"/>
      <c r="R730" s="89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</row>
    <row r="731" spans="1:50" ht="12.75" x14ac:dyDescent="0.2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8"/>
      <c r="N731" s="88"/>
      <c r="O731" s="8"/>
      <c r="P731" s="8"/>
      <c r="Q731" s="89"/>
      <c r="R731" s="89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</row>
    <row r="732" spans="1:50" ht="12.75" x14ac:dyDescent="0.2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8"/>
      <c r="N732" s="88"/>
      <c r="O732" s="8"/>
      <c r="P732" s="8"/>
      <c r="Q732" s="89"/>
      <c r="R732" s="89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</row>
    <row r="733" spans="1:50" ht="12.75" x14ac:dyDescent="0.2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8"/>
      <c r="N733" s="88"/>
      <c r="O733" s="8"/>
      <c r="P733" s="8"/>
      <c r="Q733" s="89"/>
      <c r="R733" s="89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</row>
    <row r="734" spans="1:50" ht="12.75" x14ac:dyDescent="0.2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8"/>
      <c r="N734" s="88"/>
      <c r="O734" s="8"/>
      <c r="P734" s="8"/>
      <c r="Q734" s="89"/>
      <c r="R734" s="89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</row>
    <row r="735" spans="1:50" ht="12.75" x14ac:dyDescent="0.2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8"/>
      <c r="N735" s="88"/>
      <c r="O735" s="8"/>
      <c r="P735" s="8"/>
      <c r="Q735" s="89"/>
      <c r="R735" s="89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</row>
    <row r="736" spans="1:50" ht="12.75" x14ac:dyDescent="0.2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8"/>
      <c r="N736" s="88"/>
      <c r="O736" s="8"/>
      <c r="P736" s="8"/>
      <c r="Q736" s="89"/>
      <c r="R736" s="89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</row>
    <row r="737" spans="1:50" ht="12.75" x14ac:dyDescent="0.2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8"/>
      <c r="N737" s="88"/>
      <c r="O737" s="8"/>
      <c r="P737" s="8"/>
      <c r="Q737" s="89"/>
      <c r="R737" s="89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</row>
    <row r="738" spans="1:50" ht="12.75" x14ac:dyDescent="0.2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8"/>
      <c r="N738" s="88"/>
      <c r="O738" s="8"/>
      <c r="P738" s="8"/>
      <c r="Q738" s="89"/>
      <c r="R738" s="89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</row>
    <row r="739" spans="1:50" ht="12.75" x14ac:dyDescent="0.2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8"/>
      <c r="N739" s="88"/>
      <c r="O739" s="8"/>
      <c r="P739" s="8"/>
      <c r="Q739" s="89"/>
      <c r="R739" s="89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</row>
    <row r="740" spans="1:50" ht="12.75" x14ac:dyDescent="0.2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8"/>
      <c r="N740" s="88"/>
      <c r="O740" s="8"/>
      <c r="P740" s="8"/>
      <c r="Q740" s="89"/>
      <c r="R740" s="89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</row>
    <row r="741" spans="1:50" ht="12.75" x14ac:dyDescent="0.2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8"/>
      <c r="N741" s="88"/>
      <c r="O741" s="8"/>
      <c r="P741" s="8"/>
      <c r="Q741" s="89"/>
      <c r="R741" s="89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</row>
    <row r="742" spans="1:50" ht="12.75" x14ac:dyDescent="0.2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8"/>
      <c r="N742" s="88"/>
      <c r="O742" s="8"/>
      <c r="P742" s="8"/>
      <c r="Q742" s="89"/>
      <c r="R742" s="89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</row>
    <row r="743" spans="1:50" ht="12.75" x14ac:dyDescent="0.2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8"/>
      <c r="N743" s="88"/>
      <c r="O743" s="8"/>
      <c r="P743" s="8"/>
      <c r="Q743" s="89"/>
      <c r="R743" s="89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</row>
    <row r="744" spans="1:50" ht="12.75" x14ac:dyDescent="0.2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8"/>
      <c r="N744" s="88"/>
      <c r="O744" s="8"/>
      <c r="P744" s="8"/>
      <c r="Q744" s="89"/>
      <c r="R744" s="89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</row>
    <row r="745" spans="1:50" ht="12.75" x14ac:dyDescent="0.2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8"/>
      <c r="N745" s="88"/>
      <c r="O745" s="8"/>
      <c r="P745" s="8"/>
      <c r="Q745" s="89"/>
      <c r="R745" s="89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</row>
    <row r="746" spans="1:50" ht="12.75" x14ac:dyDescent="0.2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8"/>
      <c r="N746" s="88"/>
      <c r="O746" s="8"/>
      <c r="P746" s="8"/>
      <c r="Q746" s="89"/>
      <c r="R746" s="89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</row>
    <row r="747" spans="1:50" ht="12.75" x14ac:dyDescent="0.2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8"/>
      <c r="N747" s="88"/>
      <c r="O747" s="8"/>
      <c r="P747" s="8"/>
      <c r="Q747" s="89"/>
      <c r="R747" s="89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</row>
    <row r="748" spans="1:50" ht="12.75" x14ac:dyDescent="0.2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8"/>
      <c r="N748" s="88"/>
      <c r="O748" s="8"/>
      <c r="P748" s="8"/>
      <c r="Q748" s="89"/>
      <c r="R748" s="89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</row>
    <row r="749" spans="1:50" ht="12.75" x14ac:dyDescent="0.2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8"/>
      <c r="N749" s="88"/>
      <c r="O749" s="8"/>
      <c r="P749" s="8"/>
      <c r="Q749" s="89"/>
      <c r="R749" s="89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</row>
    <row r="750" spans="1:50" ht="12.75" x14ac:dyDescent="0.2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8"/>
      <c r="N750" s="88"/>
      <c r="O750" s="8"/>
      <c r="P750" s="8"/>
      <c r="Q750" s="89"/>
      <c r="R750" s="89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</row>
    <row r="751" spans="1:50" ht="12.75" x14ac:dyDescent="0.2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8"/>
      <c r="N751" s="88"/>
      <c r="O751" s="8"/>
      <c r="P751" s="8"/>
      <c r="Q751" s="89"/>
      <c r="R751" s="89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</row>
    <row r="752" spans="1:50" ht="12.75" x14ac:dyDescent="0.2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8"/>
      <c r="N752" s="88"/>
      <c r="O752" s="8"/>
      <c r="P752" s="8"/>
      <c r="Q752" s="89"/>
      <c r="R752" s="89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</row>
    <row r="753" spans="1:50" ht="12.75" x14ac:dyDescent="0.2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8"/>
      <c r="N753" s="88"/>
      <c r="O753" s="8"/>
      <c r="P753" s="8"/>
      <c r="Q753" s="89"/>
      <c r="R753" s="89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</row>
    <row r="754" spans="1:50" ht="12.75" x14ac:dyDescent="0.2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8"/>
      <c r="N754" s="88"/>
      <c r="O754" s="8"/>
      <c r="P754" s="8"/>
      <c r="Q754" s="89"/>
      <c r="R754" s="89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</row>
    <row r="755" spans="1:50" ht="12.75" x14ac:dyDescent="0.2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8"/>
      <c r="N755" s="88"/>
      <c r="O755" s="8"/>
      <c r="P755" s="8"/>
      <c r="Q755" s="89"/>
      <c r="R755" s="89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</row>
    <row r="756" spans="1:50" ht="12.75" x14ac:dyDescent="0.2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8"/>
      <c r="N756" s="88"/>
      <c r="O756" s="8"/>
      <c r="P756" s="8"/>
      <c r="Q756" s="89"/>
      <c r="R756" s="89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</row>
    <row r="757" spans="1:50" ht="12.75" x14ac:dyDescent="0.2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8"/>
      <c r="N757" s="88"/>
      <c r="O757" s="8"/>
      <c r="P757" s="8"/>
      <c r="Q757" s="89"/>
      <c r="R757" s="89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</row>
    <row r="758" spans="1:50" ht="12.75" x14ac:dyDescent="0.2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8"/>
      <c r="N758" s="88"/>
      <c r="O758" s="8"/>
      <c r="P758" s="8"/>
      <c r="Q758" s="89"/>
      <c r="R758" s="89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</row>
    <row r="759" spans="1:50" ht="12.75" x14ac:dyDescent="0.2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8"/>
      <c r="N759" s="88"/>
      <c r="O759" s="8"/>
      <c r="P759" s="8"/>
      <c r="Q759" s="89"/>
      <c r="R759" s="89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</row>
    <row r="760" spans="1:50" ht="12.75" x14ac:dyDescent="0.2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8"/>
      <c r="N760" s="88"/>
      <c r="O760" s="8"/>
      <c r="P760" s="8"/>
      <c r="Q760" s="89"/>
      <c r="R760" s="89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</row>
    <row r="761" spans="1:50" ht="12.75" x14ac:dyDescent="0.2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8"/>
      <c r="N761" s="88"/>
      <c r="O761" s="8"/>
      <c r="P761" s="8"/>
      <c r="Q761" s="89"/>
      <c r="R761" s="89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</row>
    <row r="762" spans="1:50" ht="12.75" x14ac:dyDescent="0.2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8"/>
      <c r="N762" s="88"/>
      <c r="O762" s="8"/>
      <c r="P762" s="8"/>
      <c r="Q762" s="89"/>
      <c r="R762" s="89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</row>
    <row r="763" spans="1:50" ht="12.75" x14ac:dyDescent="0.2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8"/>
      <c r="N763" s="88"/>
      <c r="O763" s="8"/>
      <c r="P763" s="8"/>
      <c r="Q763" s="89"/>
      <c r="R763" s="89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</row>
    <row r="764" spans="1:50" ht="12.75" x14ac:dyDescent="0.2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8"/>
      <c r="N764" s="88"/>
      <c r="O764" s="8"/>
      <c r="P764" s="8"/>
      <c r="Q764" s="89"/>
      <c r="R764" s="89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</row>
    <row r="765" spans="1:50" ht="12.75" x14ac:dyDescent="0.2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8"/>
      <c r="N765" s="88"/>
      <c r="O765" s="8"/>
      <c r="P765" s="8"/>
      <c r="Q765" s="89"/>
      <c r="R765" s="89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</row>
    <row r="766" spans="1:50" ht="12.75" x14ac:dyDescent="0.2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8"/>
      <c r="N766" s="88"/>
      <c r="O766" s="8"/>
      <c r="P766" s="8"/>
      <c r="Q766" s="89"/>
      <c r="R766" s="89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</row>
    <row r="767" spans="1:50" ht="12.75" x14ac:dyDescent="0.2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8"/>
      <c r="N767" s="88"/>
      <c r="O767" s="8"/>
      <c r="P767" s="8"/>
      <c r="Q767" s="89"/>
      <c r="R767" s="89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</row>
    <row r="768" spans="1:50" ht="12.75" x14ac:dyDescent="0.2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8"/>
      <c r="N768" s="88"/>
      <c r="O768" s="8"/>
      <c r="P768" s="8"/>
      <c r="Q768" s="89"/>
      <c r="R768" s="89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</row>
    <row r="769" spans="1:50" ht="12.75" x14ac:dyDescent="0.2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8"/>
      <c r="N769" s="88"/>
      <c r="O769" s="8"/>
      <c r="P769" s="8"/>
      <c r="Q769" s="89"/>
      <c r="R769" s="89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</row>
    <row r="770" spans="1:50" ht="12.75" x14ac:dyDescent="0.2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8"/>
      <c r="N770" s="88"/>
      <c r="O770" s="8"/>
      <c r="P770" s="8"/>
      <c r="Q770" s="89"/>
      <c r="R770" s="89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</row>
    <row r="771" spans="1:50" ht="12.75" x14ac:dyDescent="0.2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8"/>
      <c r="N771" s="88"/>
      <c r="O771" s="8"/>
      <c r="P771" s="8"/>
      <c r="Q771" s="89"/>
      <c r="R771" s="89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</row>
    <row r="772" spans="1:50" ht="12.75" x14ac:dyDescent="0.2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8"/>
      <c r="N772" s="88"/>
      <c r="O772" s="8"/>
      <c r="P772" s="8"/>
      <c r="Q772" s="89"/>
      <c r="R772" s="89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</row>
    <row r="773" spans="1:50" ht="12.75" x14ac:dyDescent="0.2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8"/>
      <c r="N773" s="88"/>
      <c r="O773" s="8"/>
      <c r="P773" s="8"/>
      <c r="Q773" s="89"/>
      <c r="R773" s="89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</row>
    <row r="774" spans="1:50" ht="12.75" x14ac:dyDescent="0.2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8"/>
      <c r="N774" s="88"/>
      <c r="O774" s="8"/>
      <c r="P774" s="8"/>
      <c r="Q774" s="89"/>
      <c r="R774" s="89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</row>
    <row r="775" spans="1:50" ht="12.75" x14ac:dyDescent="0.2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8"/>
      <c r="N775" s="88"/>
      <c r="O775" s="8"/>
      <c r="P775" s="8"/>
      <c r="Q775" s="89"/>
      <c r="R775" s="89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</row>
    <row r="776" spans="1:50" ht="12.75" x14ac:dyDescent="0.2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8"/>
      <c r="N776" s="88"/>
      <c r="O776" s="8"/>
      <c r="P776" s="8"/>
      <c r="Q776" s="89"/>
      <c r="R776" s="89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</row>
    <row r="777" spans="1:50" ht="12.75" x14ac:dyDescent="0.2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8"/>
      <c r="N777" s="88"/>
      <c r="O777" s="8"/>
      <c r="P777" s="8"/>
      <c r="Q777" s="89"/>
      <c r="R777" s="89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</row>
    <row r="778" spans="1:50" ht="12.75" x14ac:dyDescent="0.2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8"/>
      <c r="N778" s="88"/>
      <c r="O778" s="8"/>
      <c r="P778" s="8"/>
      <c r="Q778" s="89"/>
      <c r="R778" s="89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</row>
    <row r="779" spans="1:50" ht="12.75" x14ac:dyDescent="0.2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8"/>
      <c r="N779" s="88"/>
      <c r="O779" s="8"/>
      <c r="P779" s="8"/>
      <c r="Q779" s="89"/>
      <c r="R779" s="89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</row>
    <row r="780" spans="1:50" ht="12.75" x14ac:dyDescent="0.2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8"/>
      <c r="N780" s="88"/>
      <c r="O780" s="8"/>
      <c r="P780" s="8"/>
      <c r="Q780" s="89"/>
      <c r="R780" s="89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</row>
    <row r="781" spans="1:50" ht="12.75" x14ac:dyDescent="0.2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8"/>
      <c r="N781" s="88"/>
      <c r="O781" s="8"/>
      <c r="P781" s="8"/>
      <c r="Q781" s="89"/>
      <c r="R781" s="89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</row>
    <row r="782" spans="1:50" ht="12.75" x14ac:dyDescent="0.2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8"/>
      <c r="N782" s="88"/>
      <c r="O782" s="8"/>
      <c r="P782" s="8"/>
      <c r="Q782" s="89"/>
      <c r="R782" s="89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</row>
    <row r="783" spans="1:50" ht="12.75" x14ac:dyDescent="0.2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8"/>
      <c r="N783" s="88"/>
      <c r="O783" s="8"/>
      <c r="P783" s="8"/>
      <c r="Q783" s="89"/>
      <c r="R783" s="89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</row>
    <row r="784" spans="1:50" ht="12.75" x14ac:dyDescent="0.2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8"/>
      <c r="N784" s="88"/>
      <c r="O784" s="8"/>
      <c r="P784" s="8"/>
      <c r="Q784" s="89"/>
      <c r="R784" s="89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</row>
    <row r="785" spans="1:50" ht="12.75" x14ac:dyDescent="0.2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8"/>
      <c r="N785" s="88"/>
      <c r="O785" s="8"/>
      <c r="P785" s="8"/>
      <c r="Q785" s="89"/>
      <c r="R785" s="89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</row>
    <row r="786" spans="1:50" ht="12.75" x14ac:dyDescent="0.2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8"/>
      <c r="N786" s="88"/>
      <c r="O786" s="8"/>
      <c r="P786" s="8"/>
      <c r="Q786" s="89"/>
      <c r="R786" s="89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</row>
    <row r="787" spans="1:50" ht="12.75" x14ac:dyDescent="0.2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8"/>
      <c r="N787" s="88"/>
      <c r="O787" s="8"/>
      <c r="P787" s="8"/>
      <c r="Q787" s="89"/>
      <c r="R787" s="89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</row>
    <row r="788" spans="1:50" ht="12.75" x14ac:dyDescent="0.2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8"/>
      <c r="N788" s="88"/>
      <c r="O788" s="8"/>
      <c r="P788" s="8"/>
      <c r="Q788" s="89"/>
      <c r="R788" s="89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</row>
    <row r="789" spans="1:50" ht="12.75" x14ac:dyDescent="0.2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8"/>
      <c r="N789" s="88"/>
      <c r="O789" s="8"/>
      <c r="P789" s="8"/>
      <c r="Q789" s="89"/>
      <c r="R789" s="89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</row>
    <row r="790" spans="1:50" ht="12.75" x14ac:dyDescent="0.2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8"/>
      <c r="N790" s="88"/>
      <c r="O790" s="8"/>
      <c r="P790" s="8"/>
      <c r="Q790" s="89"/>
      <c r="R790" s="89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</row>
    <row r="791" spans="1:50" ht="12.75" x14ac:dyDescent="0.2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8"/>
      <c r="N791" s="88"/>
      <c r="O791" s="8"/>
      <c r="P791" s="8"/>
      <c r="Q791" s="89"/>
      <c r="R791" s="89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</row>
    <row r="792" spans="1:50" ht="12.75" x14ac:dyDescent="0.2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8"/>
      <c r="N792" s="88"/>
      <c r="O792" s="8"/>
      <c r="P792" s="8"/>
      <c r="Q792" s="89"/>
      <c r="R792" s="89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</row>
    <row r="793" spans="1:50" ht="12.75" x14ac:dyDescent="0.2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8"/>
      <c r="N793" s="88"/>
      <c r="O793" s="8"/>
      <c r="P793" s="8"/>
      <c r="Q793" s="89"/>
      <c r="R793" s="89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</row>
    <row r="794" spans="1:50" ht="12.75" x14ac:dyDescent="0.2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8"/>
      <c r="N794" s="88"/>
      <c r="O794" s="8"/>
      <c r="P794" s="8"/>
      <c r="Q794" s="89"/>
      <c r="R794" s="89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</row>
    <row r="795" spans="1:50" ht="12.75" x14ac:dyDescent="0.2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8"/>
      <c r="N795" s="88"/>
      <c r="O795" s="8"/>
      <c r="P795" s="8"/>
      <c r="Q795" s="89"/>
      <c r="R795" s="89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</row>
    <row r="796" spans="1:50" ht="12.75" x14ac:dyDescent="0.2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8"/>
      <c r="N796" s="88"/>
      <c r="O796" s="8"/>
      <c r="P796" s="8"/>
      <c r="Q796" s="89"/>
      <c r="R796" s="89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</row>
    <row r="797" spans="1:50" ht="12.75" x14ac:dyDescent="0.2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8"/>
      <c r="N797" s="88"/>
      <c r="O797" s="8"/>
      <c r="P797" s="8"/>
      <c r="Q797" s="89"/>
      <c r="R797" s="89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</row>
    <row r="798" spans="1:50" ht="12.75" x14ac:dyDescent="0.2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8"/>
      <c r="N798" s="88"/>
      <c r="O798" s="8"/>
      <c r="P798" s="8"/>
      <c r="Q798" s="89"/>
      <c r="R798" s="89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</row>
    <row r="799" spans="1:50" ht="12.75" x14ac:dyDescent="0.2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8"/>
      <c r="N799" s="88"/>
      <c r="O799" s="8"/>
      <c r="P799" s="8"/>
      <c r="Q799" s="89"/>
      <c r="R799" s="89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</row>
    <row r="800" spans="1:50" ht="12.75" x14ac:dyDescent="0.2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8"/>
      <c r="N800" s="88"/>
      <c r="O800" s="8"/>
      <c r="P800" s="8"/>
      <c r="Q800" s="89"/>
      <c r="R800" s="89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</row>
    <row r="801" spans="1:50" ht="12.75" x14ac:dyDescent="0.2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8"/>
      <c r="N801" s="88"/>
      <c r="O801" s="8"/>
      <c r="P801" s="8"/>
      <c r="Q801" s="89"/>
      <c r="R801" s="89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</row>
    <row r="802" spans="1:50" ht="12.75" x14ac:dyDescent="0.2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8"/>
      <c r="N802" s="88"/>
      <c r="O802" s="8"/>
      <c r="P802" s="8"/>
      <c r="Q802" s="89"/>
      <c r="R802" s="89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</row>
    <row r="803" spans="1:50" ht="12.75" x14ac:dyDescent="0.2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8"/>
      <c r="N803" s="88"/>
      <c r="O803" s="8"/>
      <c r="P803" s="8"/>
      <c r="Q803" s="89"/>
      <c r="R803" s="89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</row>
    <row r="804" spans="1:50" ht="12.75" x14ac:dyDescent="0.2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8"/>
      <c r="N804" s="88"/>
      <c r="O804" s="8"/>
      <c r="P804" s="8"/>
      <c r="Q804" s="89"/>
      <c r="R804" s="89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</row>
    <row r="805" spans="1:50" ht="12.75" x14ac:dyDescent="0.2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8"/>
      <c r="N805" s="88"/>
      <c r="O805" s="8"/>
      <c r="P805" s="8"/>
      <c r="Q805" s="89"/>
      <c r="R805" s="89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</row>
    <row r="806" spans="1:50" ht="12.75" x14ac:dyDescent="0.2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8"/>
      <c r="N806" s="88"/>
      <c r="O806" s="8"/>
      <c r="P806" s="8"/>
      <c r="Q806" s="89"/>
      <c r="R806" s="89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</row>
    <row r="807" spans="1:50" ht="12.75" x14ac:dyDescent="0.2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8"/>
      <c r="N807" s="88"/>
      <c r="O807" s="8"/>
      <c r="P807" s="8"/>
      <c r="Q807" s="89"/>
      <c r="R807" s="89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</row>
    <row r="808" spans="1:50" ht="12.75" x14ac:dyDescent="0.2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8"/>
      <c r="N808" s="88"/>
      <c r="O808" s="8"/>
      <c r="P808" s="8"/>
      <c r="Q808" s="89"/>
      <c r="R808" s="89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</row>
    <row r="809" spans="1:50" ht="12.75" x14ac:dyDescent="0.2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8"/>
      <c r="N809" s="88"/>
      <c r="O809" s="8"/>
      <c r="P809" s="8"/>
      <c r="Q809" s="89"/>
      <c r="R809" s="89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</row>
    <row r="810" spans="1:50" ht="12.75" x14ac:dyDescent="0.2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8"/>
      <c r="N810" s="88"/>
      <c r="O810" s="8"/>
      <c r="P810" s="8"/>
      <c r="Q810" s="89"/>
      <c r="R810" s="89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</row>
    <row r="811" spans="1:50" ht="12.75" x14ac:dyDescent="0.2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8"/>
      <c r="N811" s="88"/>
      <c r="O811" s="8"/>
      <c r="P811" s="8"/>
      <c r="Q811" s="89"/>
      <c r="R811" s="89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</row>
    <row r="812" spans="1:50" ht="12.75" x14ac:dyDescent="0.2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8"/>
      <c r="N812" s="88"/>
      <c r="O812" s="8"/>
      <c r="P812" s="8"/>
      <c r="Q812" s="89"/>
      <c r="R812" s="89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</row>
    <row r="813" spans="1:50" ht="12.75" x14ac:dyDescent="0.2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8"/>
      <c r="N813" s="88"/>
      <c r="O813" s="8"/>
      <c r="P813" s="8"/>
      <c r="Q813" s="89"/>
      <c r="R813" s="89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</row>
    <row r="814" spans="1:50" ht="12.75" x14ac:dyDescent="0.2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8"/>
      <c r="N814" s="88"/>
      <c r="O814" s="8"/>
      <c r="P814" s="8"/>
      <c r="Q814" s="89"/>
      <c r="R814" s="89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</row>
    <row r="815" spans="1:50" ht="12.75" x14ac:dyDescent="0.2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8"/>
      <c r="N815" s="88"/>
      <c r="O815" s="8"/>
      <c r="P815" s="8"/>
      <c r="Q815" s="89"/>
      <c r="R815" s="89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</row>
    <row r="816" spans="1:50" ht="12.75" x14ac:dyDescent="0.2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8"/>
      <c r="N816" s="88"/>
      <c r="O816" s="8"/>
      <c r="P816" s="8"/>
      <c r="Q816" s="89"/>
      <c r="R816" s="89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</row>
    <row r="817" spans="1:50" ht="12.75" x14ac:dyDescent="0.2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8"/>
      <c r="N817" s="88"/>
      <c r="O817" s="8"/>
      <c r="P817" s="8"/>
      <c r="Q817" s="89"/>
      <c r="R817" s="89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</row>
    <row r="818" spans="1:50" ht="12.75" x14ac:dyDescent="0.2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8"/>
      <c r="N818" s="88"/>
      <c r="O818" s="8"/>
      <c r="P818" s="8"/>
      <c r="Q818" s="89"/>
      <c r="R818" s="89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</row>
    <row r="819" spans="1:50" ht="12.75" x14ac:dyDescent="0.2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8"/>
      <c r="N819" s="88"/>
      <c r="O819" s="8"/>
      <c r="P819" s="8"/>
      <c r="Q819" s="89"/>
      <c r="R819" s="89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</row>
    <row r="820" spans="1:50" ht="12.75" x14ac:dyDescent="0.2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8"/>
      <c r="N820" s="88"/>
      <c r="O820" s="8"/>
      <c r="P820" s="8"/>
      <c r="Q820" s="89"/>
      <c r="R820" s="89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</row>
    <row r="821" spans="1:50" ht="12.75" x14ac:dyDescent="0.2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8"/>
      <c r="N821" s="88"/>
      <c r="O821" s="8"/>
      <c r="P821" s="8"/>
      <c r="Q821" s="89"/>
      <c r="R821" s="89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</row>
    <row r="822" spans="1:50" ht="12.75" x14ac:dyDescent="0.2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8"/>
      <c r="N822" s="88"/>
      <c r="O822" s="8"/>
      <c r="P822" s="8"/>
      <c r="Q822" s="89"/>
      <c r="R822" s="89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</row>
    <row r="823" spans="1:50" ht="12.75" x14ac:dyDescent="0.2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8"/>
      <c r="N823" s="88"/>
      <c r="O823" s="8"/>
      <c r="P823" s="8"/>
      <c r="Q823" s="89"/>
      <c r="R823" s="89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</row>
    <row r="824" spans="1:50" ht="12.75" x14ac:dyDescent="0.2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8"/>
      <c r="N824" s="88"/>
      <c r="O824" s="8"/>
      <c r="P824" s="8"/>
      <c r="Q824" s="89"/>
      <c r="R824" s="89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</row>
    <row r="825" spans="1:50" ht="12.75" x14ac:dyDescent="0.2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8"/>
      <c r="N825" s="88"/>
      <c r="O825" s="8"/>
      <c r="P825" s="8"/>
      <c r="Q825" s="89"/>
      <c r="R825" s="89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</row>
    <row r="826" spans="1:50" ht="12.75" x14ac:dyDescent="0.2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8"/>
      <c r="N826" s="88"/>
      <c r="O826" s="8"/>
      <c r="P826" s="8"/>
      <c r="Q826" s="89"/>
      <c r="R826" s="89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</row>
    <row r="827" spans="1:50" ht="12.75" x14ac:dyDescent="0.2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8"/>
      <c r="N827" s="88"/>
      <c r="O827" s="8"/>
      <c r="P827" s="8"/>
      <c r="Q827" s="89"/>
      <c r="R827" s="89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</row>
    <row r="828" spans="1:50" ht="12.75" x14ac:dyDescent="0.2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8"/>
      <c r="N828" s="88"/>
      <c r="O828" s="8"/>
      <c r="P828" s="8"/>
      <c r="Q828" s="89"/>
      <c r="R828" s="89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</row>
    <row r="829" spans="1:50" ht="12.75" x14ac:dyDescent="0.2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8"/>
      <c r="N829" s="88"/>
      <c r="O829" s="8"/>
      <c r="P829" s="8"/>
      <c r="Q829" s="89"/>
      <c r="R829" s="89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</row>
    <row r="830" spans="1:50" ht="12.75" x14ac:dyDescent="0.2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8"/>
      <c r="N830" s="88"/>
      <c r="O830" s="8"/>
      <c r="P830" s="8"/>
      <c r="Q830" s="89"/>
      <c r="R830" s="89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</row>
    <row r="831" spans="1:50" ht="12.75" x14ac:dyDescent="0.2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8"/>
      <c r="N831" s="88"/>
      <c r="O831" s="8"/>
      <c r="P831" s="8"/>
      <c r="Q831" s="89"/>
      <c r="R831" s="89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</row>
    <row r="832" spans="1:50" ht="12.75" x14ac:dyDescent="0.2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8"/>
      <c r="N832" s="88"/>
      <c r="O832" s="8"/>
      <c r="P832" s="8"/>
      <c r="Q832" s="89"/>
      <c r="R832" s="89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</row>
    <row r="833" spans="1:50" ht="12.75" x14ac:dyDescent="0.2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8"/>
      <c r="N833" s="88"/>
      <c r="O833" s="8"/>
      <c r="P833" s="8"/>
      <c r="Q833" s="89"/>
      <c r="R833" s="89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</row>
    <row r="834" spans="1:50" ht="12.75" x14ac:dyDescent="0.2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8"/>
      <c r="N834" s="88"/>
      <c r="O834" s="8"/>
      <c r="P834" s="8"/>
      <c r="Q834" s="89"/>
      <c r="R834" s="89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</row>
    <row r="835" spans="1:50" ht="12.75" x14ac:dyDescent="0.2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8"/>
      <c r="N835" s="88"/>
      <c r="O835" s="8"/>
      <c r="P835" s="8"/>
      <c r="Q835" s="89"/>
      <c r="R835" s="89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</row>
    <row r="836" spans="1:50" ht="12.75" x14ac:dyDescent="0.2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8"/>
      <c r="N836" s="88"/>
      <c r="O836" s="8"/>
      <c r="P836" s="8"/>
      <c r="Q836" s="89"/>
      <c r="R836" s="89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</row>
    <row r="837" spans="1:50" ht="12.75" x14ac:dyDescent="0.2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8"/>
      <c r="N837" s="88"/>
      <c r="O837" s="8"/>
      <c r="P837" s="8"/>
      <c r="Q837" s="89"/>
      <c r="R837" s="89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</row>
    <row r="838" spans="1:50" ht="12.75" x14ac:dyDescent="0.2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8"/>
      <c r="N838" s="88"/>
      <c r="O838" s="8"/>
      <c r="P838" s="8"/>
      <c r="Q838" s="89"/>
      <c r="R838" s="89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</row>
    <row r="839" spans="1:50" ht="12.75" x14ac:dyDescent="0.2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8"/>
      <c r="N839" s="88"/>
      <c r="O839" s="8"/>
      <c r="P839" s="8"/>
      <c r="Q839" s="89"/>
      <c r="R839" s="89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</row>
    <row r="840" spans="1:50" ht="12.75" x14ac:dyDescent="0.2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8"/>
      <c r="N840" s="88"/>
      <c r="O840" s="8"/>
      <c r="P840" s="8"/>
      <c r="Q840" s="89"/>
      <c r="R840" s="89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</row>
    <row r="841" spans="1:50" ht="12.75" x14ac:dyDescent="0.2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8"/>
      <c r="N841" s="88"/>
      <c r="O841" s="8"/>
      <c r="P841" s="8"/>
      <c r="Q841" s="89"/>
      <c r="R841" s="89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</row>
    <row r="842" spans="1:50" ht="12.75" x14ac:dyDescent="0.2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8"/>
      <c r="N842" s="88"/>
      <c r="O842" s="8"/>
      <c r="P842" s="8"/>
      <c r="Q842" s="89"/>
      <c r="R842" s="89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</row>
    <row r="843" spans="1:50" ht="12.75" x14ac:dyDescent="0.2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8"/>
      <c r="N843" s="88"/>
      <c r="O843" s="8"/>
      <c r="P843" s="8"/>
      <c r="Q843" s="89"/>
      <c r="R843" s="89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</row>
    <row r="844" spans="1:50" ht="12.75" x14ac:dyDescent="0.2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8"/>
      <c r="N844" s="88"/>
      <c r="O844" s="8"/>
      <c r="P844" s="8"/>
      <c r="Q844" s="89"/>
      <c r="R844" s="89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</row>
    <row r="845" spans="1:50" ht="12.75" x14ac:dyDescent="0.2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8"/>
      <c r="N845" s="88"/>
      <c r="O845" s="8"/>
      <c r="P845" s="8"/>
      <c r="Q845" s="89"/>
      <c r="R845" s="89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</row>
    <row r="846" spans="1:50" ht="12.75" x14ac:dyDescent="0.2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8"/>
      <c r="N846" s="88"/>
      <c r="O846" s="8"/>
      <c r="P846" s="8"/>
      <c r="Q846" s="89"/>
      <c r="R846" s="89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</row>
    <row r="847" spans="1:50" ht="12.75" x14ac:dyDescent="0.2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8"/>
      <c r="N847" s="88"/>
      <c r="O847" s="8"/>
      <c r="P847" s="8"/>
      <c r="Q847" s="89"/>
      <c r="R847" s="89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</row>
    <row r="848" spans="1:50" ht="12.75" x14ac:dyDescent="0.2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8"/>
      <c r="N848" s="88"/>
      <c r="O848" s="8"/>
      <c r="P848" s="8"/>
      <c r="Q848" s="89"/>
      <c r="R848" s="89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</row>
    <row r="849" spans="1:50" ht="12.75" x14ac:dyDescent="0.2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8"/>
      <c r="N849" s="88"/>
      <c r="O849" s="8"/>
      <c r="P849" s="8"/>
      <c r="Q849" s="89"/>
      <c r="R849" s="89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</row>
    <row r="850" spans="1:50" ht="12.75" x14ac:dyDescent="0.2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8"/>
      <c r="N850" s="88"/>
      <c r="O850" s="8"/>
      <c r="P850" s="8"/>
      <c r="Q850" s="89"/>
      <c r="R850" s="89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</row>
    <row r="851" spans="1:50" ht="12.75" x14ac:dyDescent="0.2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8"/>
      <c r="N851" s="88"/>
      <c r="O851" s="8"/>
      <c r="P851" s="8"/>
      <c r="Q851" s="89"/>
      <c r="R851" s="89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</row>
    <row r="852" spans="1:50" ht="12.75" x14ac:dyDescent="0.2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8"/>
      <c r="N852" s="88"/>
      <c r="O852" s="8"/>
      <c r="P852" s="8"/>
      <c r="Q852" s="89"/>
      <c r="R852" s="89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</row>
    <row r="853" spans="1:50" ht="12.75" x14ac:dyDescent="0.2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8"/>
      <c r="N853" s="88"/>
      <c r="O853" s="8"/>
      <c r="P853" s="8"/>
      <c r="Q853" s="89"/>
      <c r="R853" s="89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</row>
    <row r="854" spans="1:50" ht="12.75" x14ac:dyDescent="0.2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8"/>
      <c r="N854" s="88"/>
      <c r="O854" s="8"/>
      <c r="P854" s="8"/>
      <c r="Q854" s="89"/>
      <c r="R854" s="89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</row>
    <row r="855" spans="1:50" ht="12.75" x14ac:dyDescent="0.2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8"/>
      <c r="N855" s="88"/>
      <c r="O855" s="8"/>
      <c r="P855" s="8"/>
      <c r="Q855" s="89"/>
      <c r="R855" s="89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</row>
    <row r="856" spans="1:50" ht="12.75" x14ac:dyDescent="0.2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8"/>
      <c r="N856" s="88"/>
      <c r="O856" s="8"/>
      <c r="P856" s="8"/>
      <c r="Q856" s="89"/>
      <c r="R856" s="89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</row>
    <row r="857" spans="1:50" ht="12.75" x14ac:dyDescent="0.2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8"/>
      <c r="N857" s="88"/>
      <c r="O857" s="8"/>
      <c r="P857" s="8"/>
      <c r="Q857" s="89"/>
      <c r="R857" s="89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</row>
    <row r="858" spans="1:50" ht="12.75" x14ac:dyDescent="0.2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8"/>
      <c r="N858" s="88"/>
      <c r="O858" s="8"/>
      <c r="P858" s="8"/>
      <c r="Q858" s="89"/>
      <c r="R858" s="89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</row>
    <row r="859" spans="1:50" ht="12.75" x14ac:dyDescent="0.2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8"/>
      <c r="N859" s="88"/>
      <c r="O859" s="8"/>
      <c r="P859" s="8"/>
      <c r="Q859" s="89"/>
      <c r="R859" s="89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</row>
    <row r="860" spans="1:50" ht="12.75" x14ac:dyDescent="0.2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8"/>
      <c r="N860" s="88"/>
      <c r="O860" s="8"/>
      <c r="P860" s="8"/>
      <c r="Q860" s="89"/>
      <c r="R860" s="89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</row>
    <row r="861" spans="1:50" ht="12.75" x14ac:dyDescent="0.2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8"/>
      <c r="N861" s="88"/>
      <c r="O861" s="8"/>
      <c r="P861" s="8"/>
      <c r="Q861" s="89"/>
      <c r="R861" s="89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</row>
    <row r="862" spans="1:50" ht="12.75" x14ac:dyDescent="0.2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8"/>
      <c r="N862" s="88"/>
      <c r="O862" s="8"/>
      <c r="P862" s="8"/>
      <c r="Q862" s="89"/>
      <c r="R862" s="89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</row>
    <row r="863" spans="1:50" ht="12.75" x14ac:dyDescent="0.2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8"/>
      <c r="N863" s="88"/>
      <c r="O863" s="8"/>
      <c r="P863" s="8"/>
      <c r="Q863" s="89"/>
      <c r="R863" s="89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</row>
    <row r="864" spans="1:50" ht="12.75" x14ac:dyDescent="0.2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8"/>
      <c r="N864" s="88"/>
      <c r="O864" s="8"/>
      <c r="P864" s="8"/>
      <c r="Q864" s="89"/>
      <c r="R864" s="89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</row>
    <row r="865" spans="1:50" ht="12.75" x14ac:dyDescent="0.2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8"/>
      <c r="N865" s="88"/>
      <c r="O865" s="8"/>
      <c r="P865" s="8"/>
      <c r="Q865" s="89"/>
      <c r="R865" s="89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</row>
    <row r="866" spans="1:50" ht="12.75" x14ac:dyDescent="0.2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8"/>
      <c r="N866" s="88"/>
      <c r="O866" s="8"/>
      <c r="P866" s="8"/>
      <c r="Q866" s="89"/>
      <c r="R866" s="89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</row>
    <row r="867" spans="1:50" ht="12.75" x14ac:dyDescent="0.2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8"/>
      <c r="N867" s="88"/>
      <c r="O867" s="8"/>
      <c r="P867" s="8"/>
      <c r="Q867" s="89"/>
      <c r="R867" s="89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</row>
    <row r="868" spans="1:50" ht="12.75" x14ac:dyDescent="0.2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8"/>
      <c r="N868" s="88"/>
      <c r="O868" s="8"/>
      <c r="P868" s="8"/>
      <c r="Q868" s="89"/>
      <c r="R868" s="89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</row>
    <row r="869" spans="1:50" ht="12.75" x14ac:dyDescent="0.2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8"/>
      <c r="N869" s="88"/>
      <c r="O869" s="8"/>
      <c r="P869" s="8"/>
      <c r="Q869" s="89"/>
      <c r="R869" s="89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</row>
    <row r="870" spans="1:50" ht="12.75" x14ac:dyDescent="0.2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8"/>
      <c r="N870" s="88"/>
      <c r="O870" s="8"/>
      <c r="P870" s="8"/>
      <c r="Q870" s="89"/>
      <c r="R870" s="89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</row>
    <row r="871" spans="1:50" ht="12.75" x14ac:dyDescent="0.2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8"/>
      <c r="N871" s="88"/>
      <c r="O871" s="8"/>
      <c r="P871" s="8"/>
      <c r="Q871" s="89"/>
      <c r="R871" s="89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</row>
    <row r="872" spans="1:50" ht="12.75" x14ac:dyDescent="0.2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8"/>
      <c r="N872" s="88"/>
      <c r="O872" s="8"/>
      <c r="P872" s="8"/>
      <c r="Q872" s="89"/>
      <c r="R872" s="89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</row>
    <row r="873" spans="1:50" ht="12.75" x14ac:dyDescent="0.2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8"/>
      <c r="N873" s="88"/>
      <c r="O873" s="8"/>
      <c r="P873" s="8"/>
      <c r="Q873" s="89"/>
      <c r="R873" s="89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</row>
    <row r="874" spans="1:50" ht="12.75" x14ac:dyDescent="0.2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8"/>
      <c r="N874" s="88"/>
      <c r="O874" s="8"/>
      <c r="P874" s="8"/>
      <c r="Q874" s="89"/>
      <c r="R874" s="89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</row>
    <row r="875" spans="1:50" ht="12.75" x14ac:dyDescent="0.2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8"/>
      <c r="N875" s="88"/>
      <c r="O875" s="8"/>
      <c r="P875" s="8"/>
      <c r="Q875" s="89"/>
      <c r="R875" s="89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</row>
    <row r="876" spans="1:50" ht="12.75" x14ac:dyDescent="0.2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8"/>
      <c r="N876" s="88"/>
      <c r="O876" s="8"/>
      <c r="P876" s="8"/>
      <c r="Q876" s="89"/>
      <c r="R876" s="89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</row>
    <row r="877" spans="1:50" ht="12.75" x14ac:dyDescent="0.2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8"/>
      <c r="N877" s="88"/>
      <c r="O877" s="8"/>
      <c r="P877" s="8"/>
      <c r="Q877" s="89"/>
      <c r="R877" s="89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</row>
    <row r="878" spans="1:50" ht="12.75" x14ac:dyDescent="0.2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8"/>
      <c r="N878" s="88"/>
      <c r="O878" s="8"/>
      <c r="P878" s="8"/>
      <c r="Q878" s="89"/>
      <c r="R878" s="89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</row>
    <row r="879" spans="1:50" ht="12.75" x14ac:dyDescent="0.2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8"/>
      <c r="N879" s="88"/>
      <c r="O879" s="8"/>
      <c r="P879" s="8"/>
      <c r="Q879" s="89"/>
      <c r="R879" s="89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</row>
    <row r="880" spans="1:50" ht="12.75" x14ac:dyDescent="0.2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8"/>
      <c r="N880" s="88"/>
      <c r="O880" s="8"/>
      <c r="P880" s="8"/>
      <c r="Q880" s="89"/>
      <c r="R880" s="89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</row>
    <row r="881" spans="1:50" ht="12.75" x14ac:dyDescent="0.2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8"/>
      <c r="N881" s="88"/>
      <c r="O881" s="8"/>
      <c r="P881" s="8"/>
      <c r="Q881" s="89"/>
      <c r="R881" s="89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</row>
    <row r="882" spans="1:50" ht="12.75" x14ac:dyDescent="0.2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8"/>
      <c r="N882" s="88"/>
      <c r="O882" s="8"/>
      <c r="P882" s="8"/>
      <c r="Q882" s="89"/>
      <c r="R882" s="89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</row>
    <row r="883" spans="1:50" ht="12.75" x14ac:dyDescent="0.2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8"/>
      <c r="N883" s="88"/>
      <c r="O883" s="8"/>
      <c r="P883" s="8"/>
      <c r="Q883" s="89"/>
      <c r="R883" s="89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</row>
    <row r="884" spans="1:50" ht="12.75" x14ac:dyDescent="0.2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8"/>
      <c r="N884" s="88"/>
      <c r="O884" s="8"/>
      <c r="P884" s="8"/>
      <c r="Q884" s="89"/>
      <c r="R884" s="89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</row>
    <row r="885" spans="1:50" ht="12.75" x14ac:dyDescent="0.2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8"/>
      <c r="N885" s="88"/>
      <c r="O885" s="8"/>
      <c r="P885" s="8"/>
      <c r="Q885" s="89"/>
      <c r="R885" s="89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</row>
    <row r="886" spans="1:50" ht="12.75" x14ac:dyDescent="0.2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8"/>
      <c r="N886" s="88"/>
      <c r="O886" s="8"/>
      <c r="P886" s="8"/>
      <c r="Q886" s="89"/>
      <c r="R886" s="89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</row>
    <row r="887" spans="1:50" ht="12.75" x14ac:dyDescent="0.2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8"/>
      <c r="N887" s="88"/>
      <c r="O887" s="8"/>
      <c r="P887" s="8"/>
      <c r="Q887" s="89"/>
      <c r="R887" s="89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</row>
    <row r="888" spans="1:50" ht="12.75" x14ac:dyDescent="0.2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8"/>
      <c r="N888" s="88"/>
      <c r="O888" s="8"/>
      <c r="P888" s="8"/>
      <c r="Q888" s="89"/>
      <c r="R888" s="89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</row>
    <row r="889" spans="1:50" ht="12.75" x14ac:dyDescent="0.2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8"/>
      <c r="N889" s="88"/>
      <c r="O889" s="8"/>
      <c r="P889" s="8"/>
      <c r="Q889" s="89"/>
      <c r="R889" s="89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</row>
    <row r="890" spans="1:50" ht="12.75" x14ac:dyDescent="0.2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8"/>
      <c r="N890" s="88"/>
      <c r="O890" s="8"/>
      <c r="P890" s="8"/>
      <c r="Q890" s="89"/>
      <c r="R890" s="89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</row>
    <row r="891" spans="1:50" ht="12.75" x14ac:dyDescent="0.2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8"/>
      <c r="N891" s="88"/>
      <c r="O891" s="8"/>
      <c r="P891" s="8"/>
      <c r="Q891" s="89"/>
      <c r="R891" s="89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</row>
    <row r="892" spans="1:50" ht="12.75" x14ac:dyDescent="0.2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8"/>
      <c r="N892" s="88"/>
      <c r="O892" s="8"/>
      <c r="P892" s="8"/>
      <c r="Q892" s="89"/>
      <c r="R892" s="89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</row>
    <row r="893" spans="1:50" ht="12.75" x14ac:dyDescent="0.2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8"/>
      <c r="N893" s="88"/>
      <c r="O893" s="8"/>
      <c r="P893" s="8"/>
      <c r="Q893" s="89"/>
      <c r="R893" s="89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</row>
    <row r="894" spans="1:50" ht="12.75" x14ac:dyDescent="0.2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8"/>
      <c r="N894" s="88"/>
      <c r="O894" s="8"/>
      <c r="P894" s="8"/>
      <c r="Q894" s="89"/>
      <c r="R894" s="89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</row>
    <row r="895" spans="1:50" ht="12.75" x14ac:dyDescent="0.2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8"/>
      <c r="N895" s="88"/>
      <c r="O895" s="8"/>
      <c r="P895" s="8"/>
      <c r="Q895" s="89"/>
      <c r="R895" s="89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</row>
    <row r="896" spans="1:50" ht="12.75" x14ac:dyDescent="0.2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8"/>
      <c r="N896" s="88"/>
      <c r="O896" s="8"/>
      <c r="P896" s="8"/>
      <c r="Q896" s="89"/>
      <c r="R896" s="89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</row>
    <row r="897" spans="1:50" ht="12.75" x14ac:dyDescent="0.2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8"/>
      <c r="N897" s="88"/>
      <c r="O897" s="8"/>
      <c r="P897" s="8"/>
      <c r="Q897" s="89"/>
      <c r="R897" s="89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</row>
    <row r="898" spans="1:50" ht="12.75" x14ac:dyDescent="0.2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8"/>
      <c r="N898" s="88"/>
      <c r="O898" s="8"/>
      <c r="P898" s="8"/>
      <c r="Q898" s="89"/>
      <c r="R898" s="89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</row>
    <row r="899" spans="1:50" ht="12.75" x14ac:dyDescent="0.2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8"/>
      <c r="N899" s="88"/>
      <c r="O899" s="8"/>
      <c r="P899" s="8"/>
      <c r="Q899" s="89"/>
      <c r="R899" s="89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</row>
    <row r="900" spans="1:50" ht="12.75" x14ac:dyDescent="0.2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8"/>
      <c r="N900" s="88"/>
      <c r="O900" s="8"/>
      <c r="P900" s="8"/>
      <c r="Q900" s="89"/>
      <c r="R900" s="89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</row>
    <row r="901" spans="1:50" ht="12.75" x14ac:dyDescent="0.2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8"/>
      <c r="N901" s="88"/>
      <c r="O901" s="8"/>
      <c r="P901" s="8"/>
      <c r="Q901" s="89"/>
      <c r="R901" s="89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</row>
    <row r="902" spans="1:50" ht="12.75" x14ac:dyDescent="0.2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8"/>
      <c r="N902" s="88"/>
      <c r="O902" s="8"/>
      <c r="P902" s="8"/>
      <c r="Q902" s="89"/>
      <c r="R902" s="89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</row>
    <row r="903" spans="1:50" ht="12.75" x14ac:dyDescent="0.2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8"/>
      <c r="N903" s="88"/>
      <c r="O903" s="8"/>
      <c r="P903" s="8"/>
      <c r="Q903" s="89"/>
      <c r="R903" s="89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</row>
    <row r="904" spans="1:50" ht="12.75" x14ac:dyDescent="0.2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8"/>
      <c r="N904" s="88"/>
      <c r="O904" s="8"/>
      <c r="P904" s="8"/>
      <c r="Q904" s="89"/>
      <c r="R904" s="89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</row>
    <row r="905" spans="1:50" ht="12.75" x14ac:dyDescent="0.2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8"/>
      <c r="N905" s="88"/>
      <c r="O905" s="8"/>
      <c r="P905" s="8"/>
      <c r="Q905" s="89"/>
      <c r="R905" s="89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</row>
    <row r="906" spans="1:50" ht="12.75" x14ac:dyDescent="0.2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8"/>
      <c r="N906" s="88"/>
      <c r="O906" s="8"/>
      <c r="P906" s="8"/>
      <c r="Q906" s="89"/>
      <c r="R906" s="89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</row>
    <row r="907" spans="1:50" ht="12.75" x14ac:dyDescent="0.2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8"/>
      <c r="N907" s="88"/>
      <c r="O907" s="8"/>
      <c r="P907" s="8"/>
      <c r="Q907" s="89"/>
      <c r="R907" s="89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</row>
    <row r="908" spans="1:50" ht="12.75" x14ac:dyDescent="0.2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8"/>
      <c r="N908" s="88"/>
      <c r="O908" s="8"/>
      <c r="P908" s="8"/>
      <c r="Q908" s="89"/>
      <c r="R908" s="89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</row>
    <row r="909" spans="1:50" ht="12.75" x14ac:dyDescent="0.2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8"/>
      <c r="N909" s="88"/>
      <c r="O909" s="8"/>
      <c r="P909" s="8"/>
      <c r="Q909" s="89"/>
      <c r="R909" s="89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</row>
    <row r="910" spans="1:50" ht="12.75" x14ac:dyDescent="0.2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8"/>
      <c r="N910" s="88"/>
      <c r="O910" s="8"/>
      <c r="P910" s="8"/>
      <c r="Q910" s="89"/>
      <c r="R910" s="89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</row>
    <row r="911" spans="1:50" ht="12.75" x14ac:dyDescent="0.2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8"/>
      <c r="N911" s="88"/>
      <c r="O911" s="8"/>
      <c r="P911" s="8"/>
      <c r="Q911" s="89"/>
      <c r="R911" s="89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</row>
    <row r="912" spans="1:50" ht="12.75" x14ac:dyDescent="0.2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8"/>
      <c r="N912" s="88"/>
      <c r="O912" s="8"/>
      <c r="P912" s="8"/>
      <c r="Q912" s="89"/>
      <c r="R912" s="89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</row>
    <row r="913" spans="1:50" ht="12.75" x14ac:dyDescent="0.2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8"/>
      <c r="N913" s="88"/>
      <c r="O913" s="8"/>
      <c r="P913" s="8"/>
      <c r="Q913" s="89"/>
      <c r="R913" s="89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</row>
    <row r="914" spans="1:50" ht="12.75" x14ac:dyDescent="0.2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8"/>
      <c r="N914" s="88"/>
      <c r="O914" s="8"/>
      <c r="P914" s="8"/>
      <c r="Q914" s="89"/>
      <c r="R914" s="89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</row>
    <row r="915" spans="1:50" ht="12.75" x14ac:dyDescent="0.2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8"/>
      <c r="N915" s="88"/>
      <c r="O915" s="8"/>
      <c r="P915" s="8"/>
      <c r="Q915" s="89"/>
      <c r="R915" s="89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</row>
    <row r="916" spans="1:50" ht="12.75" x14ac:dyDescent="0.2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8"/>
      <c r="N916" s="88"/>
      <c r="O916" s="8"/>
      <c r="P916" s="8"/>
      <c r="Q916" s="89"/>
      <c r="R916" s="89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</row>
    <row r="917" spans="1:50" ht="12.75" x14ac:dyDescent="0.2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8"/>
      <c r="N917" s="88"/>
      <c r="O917" s="8"/>
      <c r="P917" s="8"/>
      <c r="Q917" s="89"/>
      <c r="R917" s="89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</row>
    <row r="918" spans="1:50" ht="12.75" x14ac:dyDescent="0.2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8"/>
      <c r="N918" s="88"/>
      <c r="O918" s="8"/>
      <c r="P918" s="8"/>
      <c r="Q918" s="89"/>
      <c r="R918" s="89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</row>
    <row r="919" spans="1:50" ht="12.75" x14ac:dyDescent="0.2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8"/>
      <c r="N919" s="88"/>
      <c r="O919" s="8"/>
      <c r="P919" s="8"/>
      <c r="Q919" s="89"/>
      <c r="R919" s="89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</row>
    <row r="920" spans="1:50" ht="12.75" x14ac:dyDescent="0.2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8"/>
      <c r="N920" s="88"/>
      <c r="O920" s="8"/>
      <c r="P920" s="8"/>
      <c r="Q920" s="89"/>
      <c r="R920" s="89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</row>
    <row r="921" spans="1:50" ht="12.75" x14ac:dyDescent="0.2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8"/>
      <c r="N921" s="88"/>
      <c r="O921" s="8"/>
      <c r="P921" s="8"/>
      <c r="Q921" s="89"/>
      <c r="R921" s="89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</row>
    <row r="922" spans="1:50" ht="12.75" x14ac:dyDescent="0.2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8"/>
      <c r="N922" s="88"/>
      <c r="O922" s="8"/>
      <c r="P922" s="8"/>
      <c r="Q922" s="89"/>
      <c r="R922" s="89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</row>
    <row r="923" spans="1:50" ht="12.75" x14ac:dyDescent="0.2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8"/>
      <c r="N923" s="88"/>
      <c r="O923" s="8"/>
      <c r="P923" s="8"/>
      <c r="Q923" s="89"/>
      <c r="R923" s="89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</row>
    <row r="924" spans="1:50" ht="12.75" x14ac:dyDescent="0.2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8"/>
      <c r="N924" s="88"/>
      <c r="O924" s="8"/>
      <c r="P924" s="8"/>
      <c r="Q924" s="89"/>
      <c r="R924" s="89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</row>
    <row r="925" spans="1:50" ht="12.75" x14ac:dyDescent="0.2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8"/>
      <c r="N925" s="88"/>
      <c r="O925" s="8"/>
      <c r="P925" s="8"/>
      <c r="Q925" s="89"/>
      <c r="R925" s="89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</row>
    <row r="926" spans="1:50" ht="12.75" x14ac:dyDescent="0.2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8"/>
      <c r="N926" s="88"/>
      <c r="O926" s="8"/>
      <c r="P926" s="8"/>
      <c r="Q926" s="89"/>
      <c r="R926" s="89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</row>
    <row r="927" spans="1:50" ht="12.75" x14ac:dyDescent="0.2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8"/>
      <c r="N927" s="88"/>
      <c r="O927" s="8"/>
      <c r="P927" s="8"/>
      <c r="Q927" s="89"/>
      <c r="R927" s="89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</row>
    <row r="928" spans="1:50" ht="12.75" x14ac:dyDescent="0.2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8"/>
      <c r="N928" s="88"/>
      <c r="O928" s="8"/>
      <c r="P928" s="8"/>
      <c r="Q928" s="89"/>
      <c r="R928" s="89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</row>
    <row r="929" spans="1:50" ht="12.75" x14ac:dyDescent="0.2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8"/>
      <c r="N929" s="88"/>
      <c r="O929" s="8"/>
      <c r="P929" s="8"/>
      <c r="Q929" s="89"/>
      <c r="R929" s="89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</row>
    <row r="930" spans="1:50" ht="12.75" x14ac:dyDescent="0.2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8"/>
      <c r="N930" s="88"/>
      <c r="O930" s="8"/>
      <c r="P930" s="8"/>
      <c r="Q930" s="89"/>
      <c r="R930" s="89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</row>
    <row r="931" spans="1:50" ht="12.75" x14ac:dyDescent="0.2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8"/>
      <c r="N931" s="88"/>
      <c r="O931" s="8"/>
      <c r="P931" s="8"/>
      <c r="Q931" s="89"/>
      <c r="R931" s="89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</row>
    <row r="932" spans="1:50" ht="12.75" x14ac:dyDescent="0.2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8"/>
      <c r="N932" s="88"/>
      <c r="O932" s="8"/>
      <c r="P932" s="8"/>
      <c r="Q932" s="89"/>
      <c r="R932" s="89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</row>
    <row r="933" spans="1:50" ht="12.75" x14ac:dyDescent="0.2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8"/>
      <c r="N933" s="88"/>
      <c r="O933" s="8"/>
      <c r="P933" s="8"/>
      <c r="Q933" s="89"/>
      <c r="R933" s="89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</row>
    <row r="934" spans="1:50" ht="12.75" x14ac:dyDescent="0.2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8"/>
      <c r="N934" s="88"/>
      <c r="O934" s="8"/>
      <c r="P934" s="8"/>
      <c r="Q934" s="89"/>
      <c r="R934" s="89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</row>
    <row r="935" spans="1:50" ht="12.75" x14ac:dyDescent="0.2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8"/>
      <c r="N935" s="88"/>
      <c r="O935" s="8"/>
      <c r="P935" s="8"/>
      <c r="Q935" s="89"/>
      <c r="R935" s="89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</row>
    <row r="936" spans="1:50" ht="12.75" x14ac:dyDescent="0.2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8"/>
      <c r="N936" s="88"/>
      <c r="O936" s="8"/>
      <c r="P936" s="8"/>
      <c r="Q936" s="89"/>
      <c r="R936" s="89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</row>
    <row r="937" spans="1:50" ht="12.75" x14ac:dyDescent="0.2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8"/>
      <c r="N937" s="88"/>
      <c r="O937" s="8"/>
      <c r="P937" s="8"/>
      <c r="Q937" s="89"/>
      <c r="R937" s="89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</row>
    <row r="938" spans="1:50" ht="12.75" x14ac:dyDescent="0.2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8"/>
      <c r="N938" s="88"/>
      <c r="O938" s="8"/>
      <c r="P938" s="8"/>
      <c r="Q938" s="89"/>
      <c r="R938" s="89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</row>
    <row r="939" spans="1:50" ht="12.75" x14ac:dyDescent="0.2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8"/>
      <c r="N939" s="88"/>
      <c r="O939" s="8"/>
      <c r="P939" s="8"/>
      <c r="Q939" s="89"/>
      <c r="R939" s="89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</row>
    <row r="940" spans="1:50" ht="12.75" x14ac:dyDescent="0.2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8"/>
      <c r="N940" s="88"/>
      <c r="O940" s="8"/>
      <c r="P940" s="8"/>
      <c r="Q940" s="89"/>
      <c r="R940" s="89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</row>
    <row r="941" spans="1:50" ht="12.75" x14ac:dyDescent="0.2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8"/>
      <c r="N941" s="88"/>
      <c r="O941" s="8"/>
      <c r="P941" s="8"/>
      <c r="Q941" s="89"/>
      <c r="R941" s="89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</row>
    <row r="942" spans="1:50" ht="12.75" x14ac:dyDescent="0.2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8"/>
      <c r="N942" s="88"/>
      <c r="O942" s="8"/>
      <c r="P942" s="8"/>
      <c r="Q942" s="89"/>
      <c r="R942" s="89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</row>
    <row r="943" spans="1:50" ht="12.75" x14ac:dyDescent="0.2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8"/>
      <c r="N943" s="88"/>
      <c r="O943" s="8"/>
      <c r="P943" s="8"/>
      <c r="Q943" s="89"/>
      <c r="R943" s="89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</row>
    <row r="944" spans="1:50" ht="12.75" x14ac:dyDescent="0.2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8"/>
      <c r="N944" s="88"/>
      <c r="O944" s="8"/>
      <c r="P944" s="8"/>
      <c r="Q944" s="89"/>
      <c r="R944" s="89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</row>
    <row r="945" spans="1:50" ht="12.75" x14ac:dyDescent="0.2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8"/>
      <c r="N945" s="88"/>
      <c r="O945" s="8"/>
      <c r="P945" s="8"/>
      <c r="Q945" s="89"/>
      <c r="R945" s="89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</row>
    <row r="946" spans="1:50" ht="12.75" x14ac:dyDescent="0.2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8"/>
      <c r="N946" s="88"/>
      <c r="O946" s="8"/>
      <c r="P946" s="8"/>
      <c r="Q946" s="89"/>
      <c r="R946" s="89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</row>
    <row r="947" spans="1:50" ht="12.75" x14ac:dyDescent="0.2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8"/>
      <c r="N947" s="88"/>
      <c r="O947" s="8"/>
      <c r="P947" s="8"/>
      <c r="Q947" s="89"/>
      <c r="R947" s="89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</row>
    <row r="948" spans="1:50" ht="12.75" x14ac:dyDescent="0.2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8"/>
      <c r="N948" s="88"/>
      <c r="O948" s="8"/>
      <c r="P948" s="8"/>
      <c r="Q948" s="89"/>
      <c r="R948" s="89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</row>
    <row r="949" spans="1:50" ht="12.75" x14ac:dyDescent="0.2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8"/>
      <c r="N949" s="88"/>
      <c r="O949" s="8"/>
      <c r="P949" s="8"/>
      <c r="Q949" s="89"/>
      <c r="R949" s="89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</row>
    <row r="950" spans="1:50" ht="12.75" x14ac:dyDescent="0.2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8"/>
      <c r="N950" s="88"/>
      <c r="O950" s="8"/>
      <c r="P950" s="8"/>
      <c r="Q950" s="89"/>
      <c r="R950" s="89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</row>
    <row r="951" spans="1:50" ht="12.75" x14ac:dyDescent="0.2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8"/>
      <c r="N951" s="88"/>
      <c r="O951" s="8"/>
      <c r="P951" s="8"/>
      <c r="Q951" s="89"/>
      <c r="R951" s="89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</row>
    <row r="952" spans="1:50" ht="12.75" x14ac:dyDescent="0.2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8"/>
      <c r="N952" s="88"/>
      <c r="O952" s="8"/>
      <c r="P952" s="8"/>
      <c r="Q952" s="89"/>
      <c r="R952" s="89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</row>
    <row r="953" spans="1:50" ht="12.75" x14ac:dyDescent="0.2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8"/>
      <c r="N953" s="88"/>
      <c r="O953" s="8"/>
      <c r="P953" s="8"/>
      <c r="Q953" s="89"/>
      <c r="R953" s="89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</row>
    <row r="954" spans="1:50" ht="12.75" x14ac:dyDescent="0.2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8"/>
      <c r="N954" s="88"/>
      <c r="O954" s="8"/>
      <c r="P954" s="8"/>
      <c r="Q954" s="89"/>
      <c r="R954" s="89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</row>
    <row r="955" spans="1:50" ht="12.75" x14ac:dyDescent="0.2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8"/>
      <c r="N955" s="88"/>
      <c r="O955" s="8"/>
      <c r="P955" s="8"/>
      <c r="Q955" s="89"/>
      <c r="R955" s="89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</row>
    <row r="956" spans="1:50" ht="12.75" x14ac:dyDescent="0.2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8"/>
      <c r="N956" s="88"/>
      <c r="O956" s="8"/>
      <c r="P956" s="8"/>
      <c r="Q956" s="89"/>
      <c r="R956" s="89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</row>
    <row r="957" spans="1:50" ht="12.75" x14ac:dyDescent="0.2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8"/>
      <c r="N957" s="88"/>
      <c r="O957" s="8"/>
      <c r="P957" s="8"/>
      <c r="Q957" s="89"/>
      <c r="R957" s="89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</row>
    <row r="958" spans="1:50" ht="12.75" x14ac:dyDescent="0.2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8"/>
      <c r="N958" s="88"/>
      <c r="O958" s="8"/>
      <c r="P958" s="8"/>
      <c r="Q958" s="89"/>
      <c r="R958" s="89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</row>
    <row r="959" spans="1:50" ht="12.75" x14ac:dyDescent="0.2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8"/>
      <c r="N959" s="88"/>
      <c r="O959" s="8"/>
      <c r="P959" s="8"/>
      <c r="Q959" s="89"/>
      <c r="R959" s="89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</row>
    <row r="960" spans="1:50" ht="12.75" x14ac:dyDescent="0.2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8"/>
      <c r="N960" s="88"/>
      <c r="O960" s="8"/>
      <c r="P960" s="8"/>
      <c r="Q960" s="89"/>
      <c r="R960" s="89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</row>
    <row r="961" spans="1:50" ht="12.75" x14ac:dyDescent="0.2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8"/>
      <c r="N961" s="88"/>
      <c r="O961" s="8"/>
      <c r="P961" s="8"/>
      <c r="Q961" s="89"/>
      <c r="R961" s="89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</row>
    <row r="962" spans="1:50" ht="12.75" x14ac:dyDescent="0.2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8"/>
      <c r="N962" s="88"/>
      <c r="O962" s="8"/>
      <c r="P962" s="8"/>
      <c r="Q962" s="89"/>
      <c r="R962" s="89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</row>
    <row r="963" spans="1:50" ht="12.75" x14ac:dyDescent="0.2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8"/>
      <c r="N963" s="88"/>
      <c r="O963" s="8"/>
      <c r="P963" s="8"/>
      <c r="Q963" s="89"/>
      <c r="R963" s="89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</row>
    <row r="964" spans="1:50" ht="12.75" x14ac:dyDescent="0.2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8"/>
      <c r="N964" s="88"/>
      <c r="O964" s="8"/>
      <c r="P964" s="8"/>
      <c r="Q964" s="89"/>
      <c r="R964" s="89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</row>
    <row r="965" spans="1:50" ht="12.75" x14ac:dyDescent="0.2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8"/>
      <c r="N965" s="88"/>
      <c r="O965" s="8"/>
      <c r="P965" s="8"/>
      <c r="Q965" s="89"/>
      <c r="R965" s="89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</row>
    <row r="966" spans="1:50" ht="12.75" x14ac:dyDescent="0.2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8"/>
      <c r="N966" s="88"/>
      <c r="O966" s="8"/>
      <c r="P966" s="8"/>
      <c r="Q966" s="89"/>
      <c r="R966" s="89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</row>
    <row r="967" spans="1:50" ht="12.75" x14ac:dyDescent="0.2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8"/>
      <c r="N967" s="88"/>
      <c r="O967" s="8"/>
      <c r="P967" s="8"/>
      <c r="Q967" s="89"/>
      <c r="R967" s="89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</row>
    <row r="968" spans="1:50" ht="12.75" x14ac:dyDescent="0.2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8"/>
      <c r="N968" s="88"/>
      <c r="O968" s="8"/>
      <c r="P968" s="8"/>
      <c r="Q968" s="89"/>
      <c r="R968" s="89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</row>
    <row r="969" spans="1:50" ht="12.75" x14ac:dyDescent="0.2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8"/>
      <c r="N969" s="88"/>
      <c r="O969" s="8"/>
      <c r="P969" s="8"/>
      <c r="Q969" s="89"/>
      <c r="R969" s="89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</row>
    <row r="970" spans="1:50" ht="12.75" x14ac:dyDescent="0.2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8"/>
      <c r="N970" s="88"/>
      <c r="O970" s="8"/>
      <c r="P970" s="8"/>
      <c r="Q970" s="89"/>
      <c r="R970" s="89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</row>
    <row r="971" spans="1:50" ht="12.75" x14ac:dyDescent="0.2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8"/>
      <c r="N971" s="88"/>
      <c r="O971" s="8"/>
      <c r="P971" s="8"/>
      <c r="Q971" s="89"/>
      <c r="R971" s="89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</row>
    <row r="972" spans="1:50" ht="12.75" x14ac:dyDescent="0.2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8"/>
      <c r="N972" s="88"/>
      <c r="O972" s="8"/>
      <c r="P972" s="8"/>
      <c r="Q972" s="89"/>
      <c r="R972" s="89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</row>
    <row r="973" spans="1:50" ht="12.75" x14ac:dyDescent="0.2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8"/>
      <c r="N973" s="88"/>
      <c r="O973" s="8"/>
      <c r="P973" s="8"/>
      <c r="Q973" s="89"/>
      <c r="R973" s="89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</row>
    <row r="974" spans="1:50" ht="12.75" x14ac:dyDescent="0.2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8"/>
      <c r="N974" s="88"/>
      <c r="O974" s="8"/>
      <c r="P974" s="8"/>
      <c r="Q974" s="89"/>
      <c r="R974" s="89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</row>
    <row r="975" spans="1:50" ht="12.75" x14ac:dyDescent="0.2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8"/>
      <c r="N975" s="88"/>
      <c r="O975" s="8"/>
      <c r="P975" s="8"/>
      <c r="Q975" s="89"/>
      <c r="R975" s="89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</row>
    <row r="976" spans="1:50" ht="12.75" x14ac:dyDescent="0.2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8"/>
      <c r="N976" s="88"/>
      <c r="O976" s="8"/>
      <c r="P976" s="8"/>
      <c r="Q976" s="89"/>
      <c r="R976" s="89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</row>
    <row r="977" spans="1:50" ht="12.75" x14ac:dyDescent="0.2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8"/>
      <c r="N977" s="88"/>
      <c r="O977" s="8"/>
      <c r="P977" s="8"/>
      <c r="Q977" s="89"/>
      <c r="R977" s="89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</row>
    <row r="978" spans="1:50" ht="12.75" x14ac:dyDescent="0.2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8"/>
      <c r="N978" s="88"/>
      <c r="O978" s="8"/>
      <c r="P978" s="8"/>
      <c r="Q978" s="89"/>
      <c r="R978" s="89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</row>
    <row r="979" spans="1:50" ht="12.75" x14ac:dyDescent="0.2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8"/>
      <c r="N979" s="88"/>
      <c r="O979" s="8"/>
      <c r="P979" s="8"/>
      <c r="Q979" s="89"/>
      <c r="R979" s="89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</row>
    <row r="980" spans="1:50" ht="12.75" x14ac:dyDescent="0.2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8"/>
      <c r="N980" s="88"/>
      <c r="O980" s="8"/>
      <c r="P980" s="8"/>
      <c r="Q980" s="89"/>
      <c r="R980" s="89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</row>
    <row r="981" spans="1:50" ht="12.75" x14ac:dyDescent="0.2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8"/>
      <c r="N981" s="88"/>
      <c r="O981" s="8"/>
      <c r="P981" s="8"/>
      <c r="Q981" s="89"/>
      <c r="R981" s="89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</row>
    <row r="982" spans="1:50" ht="12.75" x14ac:dyDescent="0.2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8"/>
      <c r="N982" s="88"/>
      <c r="O982" s="8"/>
      <c r="P982" s="8"/>
      <c r="Q982" s="89"/>
      <c r="R982" s="89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</row>
    <row r="983" spans="1:50" ht="12.75" x14ac:dyDescent="0.2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8"/>
      <c r="N983" s="88"/>
      <c r="O983" s="8"/>
      <c r="P983" s="8"/>
      <c r="Q983" s="89"/>
      <c r="R983" s="89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</row>
    <row r="984" spans="1:50" ht="12.75" x14ac:dyDescent="0.2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8"/>
      <c r="N984" s="88"/>
      <c r="O984" s="8"/>
      <c r="P984" s="8"/>
      <c r="Q984" s="89"/>
      <c r="R984" s="89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</row>
    <row r="985" spans="1:50" ht="12.75" x14ac:dyDescent="0.2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8"/>
      <c r="N985" s="88"/>
      <c r="O985" s="8"/>
      <c r="P985" s="8"/>
      <c r="Q985" s="89"/>
      <c r="R985" s="89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</row>
    <row r="986" spans="1:50" ht="12.75" x14ac:dyDescent="0.2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8"/>
      <c r="N986" s="88"/>
      <c r="O986" s="8"/>
      <c r="P986" s="8"/>
      <c r="Q986" s="89"/>
      <c r="R986" s="89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</row>
    <row r="987" spans="1:50" ht="12.75" x14ac:dyDescent="0.2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8"/>
      <c r="N987" s="88"/>
      <c r="O987" s="8"/>
      <c r="P987" s="8"/>
      <c r="Q987" s="89"/>
      <c r="R987" s="89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</row>
    <row r="988" spans="1:50" ht="12.75" x14ac:dyDescent="0.2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8"/>
      <c r="N988" s="88"/>
      <c r="O988" s="8"/>
      <c r="P988" s="8"/>
      <c r="Q988" s="89"/>
      <c r="R988" s="89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</row>
    <row r="989" spans="1:50" ht="12.75" x14ac:dyDescent="0.2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8"/>
      <c r="N989" s="88"/>
      <c r="O989" s="8"/>
      <c r="P989" s="8"/>
      <c r="Q989" s="89"/>
      <c r="R989" s="89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</row>
    <row r="990" spans="1:50" ht="12.75" x14ac:dyDescent="0.2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8"/>
      <c r="N990" s="88"/>
      <c r="O990" s="8"/>
      <c r="P990" s="8"/>
      <c r="Q990" s="89"/>
      <c r="R990" s="89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</row>
    <row r="991" spans="1:50" ht="12.75" x14ac:dyDescent="0.2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8"/>
      <c r="N991" s="88"/>
      <c r="O991" s="8"/>
      <c r="P991" s="8"/>
      <c r="Q991" s="89"/>
      <c r="R991" s="89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</row>
    <row r="992" spans="1:50" ht="12.75" x14ac:dyDescent="0.2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8"/>
      <c r="N992" s="88"/>
      <c r="O992" s="8"/>
      <c r="P992" s="8"/>
      <c r="Q992" s="89"/>
      <c r="R992" s="89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</row>
    <row r="993" spans="1:50" ht="12.75" x14ac:dyDescent="0.2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8"/>
      <c r="N993" s="88"/>
      <c r="O993" s="8"/>
      <c r="P993" s="8"/>
      <c r="Q993" s="89"/>
      <c r="R993" s="89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</row>
    <row r="994" spans="1:50" ht="12.75" x14ac:dyDescent="0.2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8"/>
      <c r="N994" s="88"/>
      <c r="O994" s="8"/>
      <c r="P994" s="8"/>
      <c r="Q994" s="89"/>
      <c r="R994" s="89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</row>
    <row r="995" spans="1:50" ht="12.75" x14ac:dyDescent="0.2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8"/>
      <c r="N995" s="88"/>
      <c r="O995" s="8"/>
      <c r="P995" s="8"/>
      <c r="Q995" s="89"/>
      <c r="R995" s="89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</row>
    <row r="996" spans="1:50" ht="12.75" x14ac:dyDescent="0.2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8"/>
      <c r="N996" s="88"/>
      <c r="O996" s="8"/>
      <c r="P996" s="8"/>
      <c r="Q996" s="89"/>
      <c r="R996" s="89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</row>
    <row r="997" spans="1:50" ht="12.75" x14ac:dyDescent="0.2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8"/>
      <c r="N997" s="88"/>
      <c r="O997" s="8"/>
      <c r="P997" s="8"/>
      <c r="Q997" s="89"/>
      <c r="R997" s="89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</row>
    <row r="998" spans="1:50" ht="12.75" x14ac:dyDescent="0.2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8"/>
      <c r="N998" s="88"/>
      <c r="O998" s="8"/>
      <c r="P998" s="8"/>
      <c r="Q998" s="89"/>
      <c r="R998" s="89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</row>
    <row r="999" spans="1:50" ht="12.75" x14ac:dyDescent="0.2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8"/>
      <c r="N999" s="88"/>
      <c r="O999" s="8"/>
      <c r="P999" s="8"/>
      <c r="Q999" s="89"/>
      <c r="R999" s="89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</row>
    <row r="1000" spans="1:50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</row>
  </sheetData>
  <mergeCells count="41">
    <mergeCell ref="AQ3:AT3"/>
    <mergeCell ref="AU3:AX3"/>
    <mergeCell ref="C4:E4"/>
    <mergeCell ref="F4:G4"/>
    <mergeCell ref="AC4:AE4"/>
    <mergeCell ref="AF4:AH4"/>
    <mergeCell ref="AJ4:AL4"/>
    <mergeCell ref="AN4:AP4"/>
    <mergeCell ref="S3:X4"/>
    <mergeCell ref="Y4:AA4"/>
    <mergeCell ref="A89:B89"/>
    <mergeCell ref="A104:B104"/>
    <mergeCell ref="J5:L5"/>
    <mergeCell ref="Q5:R5"/>
    <mergeCell ref="A7:B7"/>
    <mergeCell ref="A13:B13"/>
    <mergeCell ref="A31:B31"/>
    <mergeCell ref="A52:B52"/>
    <mergeCell ref="A74:B74"/>
    <mergeCell ref="A2:B6"/>
    <mergeCell ref="C2:AX2"/>
    <mergeCell ref="D3:R3"/>
    <mergeCell ref="Y3:AE3"/>
    <mergeCell ref="AF3:AL3"/>
    <mergeCell ref="AM3:AP3"/>
    <mergeCell ref="H4:R4"/>
    <mergeCell ref="AQ4:AS4"/>
    <mergeCell ref="AU4:AW4"/>
    <mergeCell ref="C5:C6"/>
    <mergeCell ref="D5:D6"/>
    <mergeCell ref="E5:E6"/>
    <mergeCell ref="H5:I5"/>
    <mergeCell ref="AV5:AW5"/>
    <mergeCell ref="AD5:AE5"/>
    <mergeCell ref="AG5:AH5"/>
    <mergeCell ref="AK5:AL5"/>
    <mergeCell ref="AO5:AP5"/>
    <mergeCell ref="AR5:AS5"/>
    <mergeCell ref="S5:T5"/>
    <mergeCell ref="U5:X5"/>
    <mergeCell ref="Z5:AA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0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2" manualBreakCount="2">
    <brk id="18" max="1048575" man="1"/>
    <brk id="38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J1000"/>
  <sheetViews>
    <sheetView view="pageBreakPreview" zoomScale="60" zoomScaleNormal="70" workbookViewId="0">
      <pane xSplit="2" ySplit="7" topLeftCell="C8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22.5703125" bestFit="1" customWidth="1"/>
    <col min="4" max="4" width="19.7109375" bestFit="1" customWidth="1"/>
    <col min="5" max="5" width="13.42578125" bestFit="1" customWidth="1"/>
    <col min="6" max="6" width="20.140625" bestFit="1" customWidth="1"/>
    <col min="7" max="7" width="13.85546875" bestFit="1" customWidth="1"/>
    <col min="8" max="8" width="16.7109375" bestFit="1" customWidth="1"/>
    <col min="9" max="9" width="11.5703125" bestFit="1" customWidth="1"/>
    <col min="10" max="10" width="16.7109375" bestFit="1" customWidth="1"/>
    <col min="11" max="11" width="11.5703125" bestFit="1" customWidth="1"/>
    <col min="12" max="12" width="12" bestFit="1" customWidth="1"/>
    <col min="13" max="13" width="16.85546875" bestFit="1" customWidth="1"/>
    <col min="14" max="14" width="18.85546875" bestFit="1" customWidth="1"/>
    <col min="15" max="15" width="19" bestFit="1" customWidth="1"/>
    <col min="16" max="16" width="14.42578125" bestFit="1" customWidth="1"/>
    <col min="17" max="17" width="8" bestFit="1" customWidth="1"/>
    <col min="18" max="18" width="10.85546875" bestFit="1" customWidth="1"/>
    <col min="19" max="19" width="13.42578125" bestFit="1" customWidth="1"/>
    <col min="20" max="20" width="8.28515625" bestFit="1" customWidth="1"/>
    <col min="21" max="21" width="12.42578125" bestFit="1" customWidth="1"/>
    <col min="22" max="22" width="13.42578125" bestFit="1" customWidth="1"/>
    <col min="23" max="23" width="8.28515625" bestFit="1" customWidth="1"/>
    <col min="24" max="24" width="12.42578125" bestFit="1" customWidth="1"/>
    <col min="25" max="25" width="13.42578125" bestFit="1" customWidth="1"/>
    <col min="26" max="26" width="8.28515625" bestFit="1" customWidth="1"/>
    <col min="27" max="27" width="12.42578125" bestFit="1" customWidth="1"/>
    <col min="28" max="28" width="13.42578125" bestFit="1" customWidth="1"/>
    <col min="29" max="29" width="8.28515625" bestFit="1" customWidth="1"/>
    <col min="30" max="30" width="12.42578125" bestFit="1" customWidth="1"/>
    <col min="31" max="31" width="13.42578125" bestFit="1" customWidth="1"/>
    <col min="32" max="32" width="8.28515625" bestFit="1" customWidth="1"/>
    <col min="33" max="33" width="12.42578125" bestFit="1" customWidth="1"/>
    <col min="34" max="34" width="13.42578125" bestFit="1" customWidth="1"/>
    <col min="35" max="35" width="8.28515625" bestFit="1" customWidth="1"/>
    <col min="36" max="36" width="12.42578125" bestFit="1" customWidth="1"/>
  </cols>
  <sheetData>
    <row r="1" spans="1:36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</row>
    <row r="2" spans="1:36" ht="24" customHeight="1" x14ac:dyDescent="0.2">
      <c r="A2" s="198" t="s">
        <v>1</v>
      </c>
      <c r="B2" s="199"/>
      <c r="C2" s="193" t="s">
        <v>162</v>
      </c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3"/>
    </row>
    <row r="3" spans="1:36" ht="30" customHeight="1" x14ac:dyDescent="0.2">
      <c r="A3" s="200"/>
      <c r="B3" s="199"/>
      <c r="C3" s="194" t="s">
        <v>3</v>
      </c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3"/>
      <c r="S3" s="206" t="s">
        <v>163</v>
      </c>
      <c r="T3" s="185"/>
      <c r="U3" s="185"/>
      <c r="V3" s="185"/>
      <c r="W3" s="185"/>
      <c r="X3" s="185"/>
      <c r="Y3" s="185"/>
      <c r="Z3" s="185"/>
      <c r="AA3" s="185"/>
      <c r="AB3" s="185"/>
      <c r="AC3" s="185"/>
      <c r="AD3" s="185"/>
      <c r="AE3" s="185"/>
      <c r="AF3" s="185"/>
      <c r="AG3" s="183"/>
      <c r="AH3" s="207" t="s">
        <v>142</v>
      </c>
      <c r="AI3" s="191"/>
      <c r="AJ3" s="180"/>
    </row>
    <row r="4" spans="1:36" ht="60" customHeight="1" x14ac:dyDescent="0.3">
      <c r="A4" s="200"/>
      <c r="B4" s="199"/>
      <c r="C4" s="184" t="s">
        <v>8</v>
      </c>
      <c r="D4" s="185"/>
      <c r="E4" s="183"/>
      <c r="F4" s="195" t="s">
        <v>9</v>
      </c>
      <c r="G4" s="183"/>
      <c r="H4" s="196" t="s">
        <v>10</v>
      </c>
      <c r="I4" s="185"/>
      <c r="J4" s="185"/>
      <c r="K4" s="185"/>
      <c r="L4" s="185"/>
      <c r="M4" s="185"/>
      <c r="N4" s="185"/>
      <c r="O4" s="185"/>
      <c r="P4" s="185"/>
      <c r="Q4" s="185"/>
      <c r="R4" s="183"/>
      <c r="S4" s="208" t="s">
        <v>164</v>
      </c>
      <c r="T4" s="185"/>
      <c r="U4" s="183"/>
      <c r="V4" s="205" t="s">
        <v>165</v>
      </c>
      <c r="W4" s="185"/>
      <c r="X4" s="183"/>
      <c r="Y4" s="205" t="s">
        <v>166</v>
      </c>
      <c r="Z4" s="185"/>
      <c r="AA4" s="183"/>
      <c r="AB4" s="205" t="s">
        <v>167</v>
      </c>
      <c r="AC4" s="185"/>
      <c r="AD4" s="183"/>
      <c r="AE4" s="205" t="s">
        <v>168</v>
      </c>
      <c r="AF4" s="185"/>
      <c r="AG4" s="183"/>
      <c r="AH4" s="185"/>
      <c r="AI4" s="185"/>
      <c r="AJ4" s="183"/>
    </row>
    <row r="5" spans="1:36" ht="37.5" customHeight="1" x14ac:dyDescent="0.3">
      <c r="A5" s="200"/>
      <c r="B5" s="199"/>
      <c r="C5" s="242" t="s">
        <v>11</v>
      </c>
      <c r="D5" s="243" t="s">
        <v>12</v>
      </c>
      <c r="E5" s="244" t="s">
        <v>13</v>
      </c>
      <c r="F5" s="11" t="s">
        <v>14</v>
      </c>
      <c r="G5" s="11" t="s">
        <v>15</v>
      </c>
      <c r="H5" s="246" t="s">
        <v>16</v>
      </c>
      <c r="I5" s="245"/>
      <c r="J5" s="254" t="s">
        <v>17</v>
      </c>
      <c r="K5" s="248"/>
      <c r="L5" s="245"/>
      <c r="M5" s="249" t="s">
        <v>18</v>
      </c>
      <c r="N5" s="249" t="s">
        <v>19</v>
      </c>
      <c r="O5" s="249" t="s">
        <v>20</v>
      </c>
      <c r="P5" s="249" t="s">
        <v>21</v>
      </c>
      <c r="Q5" s="250" t="s">
        <v>15</v>
      </c>
      <c r="R5" s="245"/>
      <c r="S5" s="118" t="s">
        <v>22</v>
      </c>
      <c r="T5" s="189" t="s">
        <v>23</v>
      </c>
      <c r="U5" s="183"/>
      <c r="V5" s="119" t="s">
        <v>22</v>
      </c>
      <c r="W5" s="189" t="s">
        <v>23</v>
      </c>
      <c r="X5" s="183"/>
      <c r="Y5" s="119" t="s">
        <v>22</v>
      </c>
      <c r="Z5" s="189" t="s">
        <v>23</v>
      </c>
      <c r="AA5" s="183"/>
      <c r="AB5" s="119" t="s">
        <v>22</v>
      </c>
      <c r="AC5" s="189" t="s">
        <v>23</v>
      </c>
      <c r="AD5" s="183"/>
      <c r="AE5" s="119" t="s">
        <v>22</v>
      </c>
      <c r="AF5" s="192" t="s">
        <v>23</v>
      </c>
      <c r="AG5" s="183"/>
      <c r="AH5" s="120" t="s">
        <v>22</v>
      </c>
      <c r="AI5" s="192" t="s">
        <v>23</v>
      </c>
      <c r="AJ5" s="183"/>
    </row>
    <row r="6" spans="1:36" ht="40.5" customHeight="1" x14ac:dyDescent="0.3">
      <c r="A6" s="201"/>
      <c r="B6" s="202"/>
      <c r="C6" s="245"/>
      <c r="D6" s="245"/>
      <c r="E6" s="245"/>
      <c r="F6" s="121"/>
      <c r="G6" s="121"/>
      <c r="H6" s="14" t="s">
        <v>24</v>
      </c>
      <c r="I6" s="256" t="s">
        <v>25</v>
      </c>
      <c r="J6" s="16" t="s">
        <v>24</v>
      </c>
      <c r="K6" s="255" t="s">
        <v>25</v>
      </c>
      <c r="L6" s="255" t="s">
        <v>26</v>
      </c>
      <c r="M6" s="17" t="s">
        <v>24</v>
      </c>
      <c r="N6" s="17" t="s">
        <v>24</v>
      </c>
      <c r="O6" s="17" t="s">
        <v>24</v>
      </c>
      <c r="P6" s="17" t="s">
        <v>24</v>
      </c>
      <c r="Q6" s="18" t="s">
        <v>24</v>
      </c>
      <c r="R6" s="19" t="s">
        <v>27</v>
      </c>
      <c r="S6" s="122" t="s">
        <v>28</v>
      </c>
      <c r="T6" s="21" t="s">
        <v>28</v>
      </c>
      <c r="U6" s="22" t="s">
        <v>27</v>
      </c>
      <c r="V6" s="123" t="s">
        <v>28</v>
      </c>
      <c r="W6" s="21" t="s">
        <v>28</v>
      </c>
      <c r="X6" s="22" t="s">
        <v>27</v>
      </c>
      <c r="Y6" s="123" t="s">
        <v>28</v>
      </c>
      <c r="Z6" s="21" t="s">
        <v>28</v>
      </c>
      <c r="AA6" s="22" t="s">
        <v>27</v>
      </c>
      <c r="AB6" s="119" t="s">
        <v>28</v>
      </c>
      <c r="AC6" s="21" t="s">
        <v>28</v>
      </c>
      <c r="AD6" s="22" t="s">
        <v>27</v>
      </c>
      <c r="AE6" s="124" t="s">
        <v>28</v>
      </c>
      <c r="AF6" s="125" t="s">
        <v>28</v>
      </c>
      <c r="AG6" s="126" t="s">
        <v>27</v>
      </c>
      <c r="AH6" s="127" t="s">
        <v>28</v>
      </c>
      <c r="AI6" s="125" t="s">
        <v>28</v>
      </c>
      <c r="AJ6" s="126" t="s">
        <v>27</v>
      </c>
    </row>
    <row r="7" spans="1:36" ht="24" customHeight="1" x14ac:dyDescent="0.3">
      <c r="A7" s="175" t="s">
        <v>252</v>
      </c>
      <c r="B7" s="176"/>
      <c r="C7" s="23">
        <f t="shared" ref="C7:H7" ca="1" si="0">C8+C9</f>
        <v>6185000</v>
      </c>
      <c r="D7" s="24">
        <f t="shared" ca="1" si="0"/>
        <v>6185000</v>
      </c>
      <c r="E7" s="25">
        <f t="shared" ca="1" si="0"/>
        <v>0</v>
      </c>
      <c r="F7" s="25">
        <f t="shared" ca="1" si="0"/>
        <v>6185000</v>
      </c>
      <c r="G7" s="25">
        <f t="shared" ca="1" si="0"/>
        <v>0</v>
      </c>
      <c r="H7" s="26">
        <f t="shared" ca="1" si="0"/>
        <v>2746619.18</v>
      </c>
      <c r="I7" s="27">
        <f t="shared" ref="I7:I116" ca="1" si="1">IF(D7&gt;0,H7*100/D7,0)</f>
        <v>44.407747453516571</v>
      </c>
      <c r="J7" s="26">
        <f ca="1">J8+J9</f>
        <v>2746619.18</v>
      </c>
      <c r="K7" s="27">
        <f t="shared" ref="K7:K10" ca="1" si="2">IF(D7&gt;0,J7*100/D7,0)</f>
        <v>44.407747453516571</v>
      </c>
      <c r="L7" s="27">
        <f t="shared" ref="L7:L10" ca="1" si="3">IF(F7&gt;0,J7*100/F7,0)</f>
        <v>44.407747453516571</v>
      </c>
      <c r="M7" s="26">
        <f t="shared" ref="M7:Q7" ca="1" si="4">M8+M9</f>
        <v>1151075</v>
      </c>
      <c r="N7" s="26">
        <f t="shared" ca="1" si="4"/>
        <v>1201831.82</v>
      </c>
      <c r="O7" s="26">
        <f t="shared" ca="1" si="4"/>
        <v>0</v>
      </c>
      <c r="P7" s="26">
        <f t="shared" ca="1" si="4"/>
        <v>393712.36</v>
      </c>
      <c r="Q7" s="28">
        <f t="shared" ca="1" si="4"/>
        <v>0</v>
      </c>
      <c r="R7" s="28">
        <f ca="1">IF(E7&gt;0,Q7*100/E7,0)</f>
        <v>0</v>
      </c>
      <c r="S7" s="128">
        <f t="shared" ref="S7:T7" ca="1" si="5">S8</f>
        <v>500</v>
      </c>
      <c r="T7" s="30">
        <f t="shared" ca="1" si="5"/>
        <v>420</v>
      </c>
      <c r="U7" s="31">
        <f t="shared" ref="U7:U88" ca="1" si="6">IF(S7&gt;0,T7*100/S7,0)</f>
        <v>84</v>
      </c>
      <c r="V7" s="129">
        <f t="shared" ref="V7:W7" ca="1" si="7">V8</f>
        <v>500</v>
      </c>
      <c r="W7" s="30">
        <f t="shared" ca="1" si="7"/>
        <v>500</v>
      </c>
      <c r="X7" s="31">
        <f t="shared" ref="X7:X88" ca="1" si="8">IF(V7&gt;0,W7*100/V7,0)</f>
        <v>100</v>
      </c>
      <c r="Y7" s="129">
        <f t="shared" ref="Y7:Z7" ca="1" si="9">Y8</f>
        <v>160</v>
      </c>
      <c r="Z7" s="30">
        <f t="shared" ca="1" si="9"/>
        <v>160</v>
      </c>
      <c r="AA7" s="31">
        <f t="shared" ref="AA7:AA88" ca="1" si="10">IF(Y7&gt;0,Z7*100/Y7,0)</f>
        <v>100</v>
      </c>
      <c r="AB7" s="130">
        <f t="shared" ref="AB7:AC7" ca="1" si="11">AB8</f>
        <v>160</v>
      </c>
      <c r="AC7" s="30">
        <f t="shared" ca="1" si="11"/>
        <v>160</v>
      </c>
      <c r="AD7" s="31">
        <f t="shared" ref="AD7:AD88" ca="1" si="12">IF(AB7&gt;0,AC7*100/AB7,0)</f>
        <v>100</v>
      </c>
      <c r="AE7" s="131">
        <f t="shared" ref="AE7:AF7" ca="1" si="13">AE8</f>
        <v>340</v>
      </c>
      <c r="AF7" s="132">
        <f t="shared" ca="1" si="13"/>
        <v>304</v>
      </c>
      <c r="AG7" s="133">
        <f t="shared" ref="AG7:AG88" ca="1" si="14">IF(AE7&gt;0,AF7*100/AE7,0)</f>
        <v>89.411764705882348</v>
      </c>
      <c r="AH7" s="134">
        <f t="shared" ref="AH7:AI7" ca="1" si="15">AH8</f>
        <v>500</v>
      </c>
      <c r="AI7" s="132">
        <f t="shared" ca="1" si="15"/>
        <v>240</v>
      </c>
      <c r="AJ7" s="133">
        <f t="shared" ref="AJ7:AJ88" ca="1" si="16">IF(AH7&gt;0,AI7*100/AH7,0)</f>
        <v>48</v>
      </c>
    </row>
    <row r="8" spans="1:36" ht="28.5" customHeight="1" x14ac:dyDescent="0.3">
      <c r="A8" s="32" t="s">
        <v>30</v>
      </c>
      <c r="B8" s="33"/>
      <c r="C8" s="34">
        <f t="shared" ref="C8:H8" ca="1" si="17">+C13+C31+C52+C74</f>
        <v>4314600</v>
      </c>
      <c r="D8" s="34">
        <f t="shared" ca="1" si="17"/>
        <v>4314600</v>
      </c>
      <c r="E8" s="34">
        <f t="shared" ca="1" si="17"/>
        <v>0</v>
      </c>
      <c r="F8" s="34">
        <f t="shared" ca="1" si="17"/>
        <v>4314600</v>
      </c>
      <c r="G8" s="34">
        <f t="shared" ca="1" si="17"/>
        <v>0</v>
      </c>
      <c r="H8" s="34">
        <f t="shared" ca="1" si="17"/>
        <v>2541599.8200000003</v>
      </c>
      <c r="I8" s="35">
        <f t="shared" ca="1" si="1"/>
        <v>58.906962870254489</v>
      </c>
      <c r="J8" s="34">
        <f ca="1">+J13+J31+J52+J74</f>
        <v>2541599.8200000003</v>
      </c>
      <c r="K8" s="35">
        <f t="shared" ca="1" si="2"/>
        <v>58.906962870254489</v>
      </c>
      <c r="L8" s="35">
        <f t="shared" ca="1" si="3"/>
        <v>58.906962870254489</v>
      </c>
      <c r="M8" s="34">
        <f t="shared" ref="M8:T8" ca="1" si="18">+M13+M31+M52+M74</f>
        <v>1151075</v>
      </c>
      <c r="N8" s="34">
        <f t="shared" ca="1" si="18"/>
        <v>1201831.82</v>
      </c>
      <c r="O8" s="34">
        <f t="shared" ca="1" si="18"/>
        <v>0</v>
      </c>
      <c r="P8" s="34">
        <f t="shared" ca="1" si="18"/>
        <v>188693</v>
      </c>
      <c r="Q8" s="36">
        <f t="shared" ca="1" si="18"/>
        <v>0</v>
      </c>
      <c r="R8" s="36">
        <f t="shared" ca="1" si="18"/>
        <v>0</v>
      </c>
      <c r="S8" s="34">
        <f t="shared" ca="1" si="18"/>
        <v>500</v>
      </c>
      <c r="T8" s="34">
        <f t="shared" ca="1" si="18"/>
        <v>420</v>
      </c>
      <c r="U8" s="37">
        <f t="shared" ca="1" si="6"/>
        <v>84</v>
      </c>
      <c r="V8" s="34">
        <f t="shared" ref="V8:W8" ca="1" si="19">+V13+V31+V52+V74</f>
        <v>500</v>
      </c>
      <c r="W8" s="34">
        <f t="shared" ca="1" si="19"/>
        <v>500</v>
      </c>
      <c r="X8" s="37">
        <f t="shared" ca="1" si="8"/>
        <v>100</v>
      </c>
      <c r="Y8" s="34">
        <f t="shared" ref="Y8:Z8" ca="1" si="20">+Y13+Y31+Y52+Y74</f>
        <v>160</v>
      </c>
      <c r="Z8" s="34">
        <f t="shared" ca="1" si="20"/>
        <v>160</v>
      </c>
      <c r="AA8" s="37">
        <f t="shared" ca="1" si="10"/>
        <v>100</v>
      </c>
      <c r="AB8" s="34">
        <f t="shared" ref="AB8:AC8" ca="1" si="21">+AB13+AB31+AB52+AB74</f>
        <v>160</v>
      </c>
      <c r="AC8" s="34">
        <f t="shared" ca="1" si="21"/>
        <v>160</v>
      </c>
      <c r="AD8" s="37">
        <f t="shared" ca="1" si="12"/>
        <v>100</v>
      </c>
      <c r="AE8" s="113">
        <f t="shared" ref="AE8:AF8" ca="1" si="22">+AE13+AE31+AE52+AE74</f>
        <v>340</v>
      </c>
      <c r="AF8" s="113">
        <f t="shared" ca="1" si="22"/>
        <v>304</v>
      </c>
      <c r="AG8" s="135">
        <f t="shared" ca="1" si="14"/>
        <v>89.411764705882348</v>
      </c>
      <c r="AH8" s="113">
        <f t="shared" ref="AH8:AI8" ca="1" si="23">+AH13+AH31+AH52+AH74</f>
        <v>500</v>
      </c>
      <c r="AI8" s="113">
        <f t="shared" ca="1" si="23"/>
        <v>240</v>
      </c>
      <c r="AJ8" s="135">
        <f t="shared" ca="1" si="16"/>
        <v>48</v>
      </c>
    </row>
    <row r="9" spans="1:36" ht="28.5" customHeight="1" x14ac:dyDescent="0.3">
      <c r="A9" s="38" t="s">
        <v>253</v>
      </c>
      <c r="B9" s="45"/>
      <c r="C9" s="40">
        <f t="shared" ref="C9:F9" ca="1" si="24">+C10+C11</f>
        <v>1870400</v>
      </c>
      <c r="D9" s="40">
        <f t="shared" ca="1" si="24"/>
        <v>1870400</v>
      </c>
      <c r="E9" s="40">
        <f t="shared" ca="1" si="24"/>
        <v>0</v>
      </c>
      <c r="F9" s="40">
        <f t="shared" ca="1" si="24"/>
        <v>1870400</v>
      </c>
      <c r="G9" s="40">
        <v>0</v>
      </c>
      <c r="H9" s="40">
        <f ca="1">H10+H11</f>
        <v>205019.36</v>
      </c>
      <c r="I9" s="41">
        <f t="shared" ca="1" si="1"/>
        <v>10.96125748502994</v>
      </c>
      <c r="J9" s="40">
        <f ca="1">J10+J11</f>
        <v>205019.36</v>
      </c>
      <c r="K9" s="41">
        <f t="shared" ca="1" si="2"/>
        <v>10.96125748502994</v>
      </c>
      <c r="L9" s="41">
        <f t="shared" ca="1" si="3"/>
        <v>10.96125748502994</v>
      </c>
      <c r="M9" s="40">
        <v>0</v>
      </c>
      <c r="N9" s="40">
        <v>0</v>
      </c>
      <c r="O9" s="40">
        <v>0</v>
      </c>
      <c r="P9" s="40">
        <f ca="1">P10+P11</f>
        <v>205019.36</v>
      </c>
      <c r="Q9" s="42">
        <v>0</v>
      </c>
      <c r="R9" s="42">
        <f t="shared" ref="R9:R11" ca="1" si="25">IF(E9&gt;0,Q9*100/E9,0)</f>
        <v>0</v>
      </c>
      <c r="S9" s="40">
        <f t="shared" ref="S9:T9" si="26">+S10+S11</f>
        <v>0</v>
      </c>
      <c r="T9" s="40">
        <f t="shared" si="26"/>
        <v>0</v>
      </c>
      <c r="U9" s="116">
        <f t="shared" si="6"/>
        <v>0</v>
      </c>
      <c r="V9" s="40">
        <f t="shared" ref="V9:W9" si="27">+V10+V11</f>
        <v>0</v>
      </c>
      <c r="W9" s="40">
        <f t="shared" si="27"/>
        <v>0</v>
      </c>
      <c r="X9" s="116">
        <f t="shared" si="8"/>
        <v>0</v>
      </c>
      <c r="Y9" s="40">
        <f t="shared" ref="Y9:Z9" si="28">+Y10+Y11</f>
        <v>0</v>
      </c>
      <c r="Z9" s="40">
        <f t="shared" si="28"/>
        <v>0</v>
      </c>
      <c r="AA9" s="116">
        <f t="shared" si="10"/>
        <v>0</v>
      </c>
      <c r="AB9" s="40">
        <f t="shared" ref="AB9:AC9" si="29">+AB10+AB11</f>
        <v>0</v>
      </c>
      <c r="AC9" s="40">
        <f t="shared" si="29"/>
        <v>0</v>
      </c>
      <c r="AD9" s="116">
        <f t="shared" si="12"/>
        <v>0</v>
      </c>
      <c r="AE9" s="136">
        <f t="shared" ref="AE9:AF9" si="30">+AE10+AE11</f>
        <v>0</v>
      </c>
      <c r="AF9" s="136">
        <f t="shared" si="30"/>
        <v>0</v>
      </c>
      <c r="AG9" s="137">
        <f t="shared" si="14"/>
        <v>0</v>
      </c>
      <c r="AH9" s="136">
        <f t="shared" ref="AH9:AI9" si="31">+AH10+AH11</f>
        <v>0</v>
      </c>
      <c r="AI9" s="136">
        <f t="shared" si="31"/>
        <v>0</v>
      </c>
      <c r="AJ9" s="137">
        <f t="shared" si="16"/>
        <v>0</v>
      </c>
    </row>
    <row r="10" spans="1:36" ht="28.5" hidden="1" customHeight="1" x14ac:dyDescent="0.3">
      <c r="A10" s="38" t="s">
        <v>31</v>
      </c>
      <c r="B10" s="45"/>
      <c r="C10" s="40">
        <f ca="1">D10+E10</f>
        <v>1870400</v>
      </c>
      <c r="D10" s="40">
        <f ca="1">IFERROR(__xludf.DUMMYFUNCTION("IMPORTRANGE(""https://docs.google.com/spreadsheets/d/1QqKyyYR6Q21VydFLVH3TRQUabQu_ym0Zz7PgGX0-kHA/edit?usp=sharing"",""แผน!GQ11"")"),1870400)</f>
        <v>1870400</v>
      </c>
      <c r="E10" s="40">
        <f ca="1">IFERROR(__xludf.DUMMYFUNCTION("IMPORTRANGE(""https://docs.google.com/spreadsheets/d/1QqKyyYR6Q21VydFLVH3TRQUabQu_ym0Zz7PgGX0-kHA/edit?usp=sharing"",""แผน!GT11"")"),0)</f>
        <v>0</v>
      </c>
      <c r="F10" s="40">
        <f ca="1">IFERROR(__xludf.DUMMYFUNCTION("IMPORTRANGE(""https://docs.google.com/spreadsheets/d/1vlyYR5_sXdhqA0JyobsBDu7xVmIqJT30I2qHLqWgZQ4/edit?usp=sharing"",""ทั้งประเทศ!M527"")"),1870400)</f>
        <v>1870400</v>
      </c>
      <c r="G10" s="40">
        <f ca="1">IFERROR(__xludf.DUMMYFUNCTION("IMPORTRANGE(""https://docs.google.com/spreadsheets/d/1vlyYR5_sXdhqA0JyobsBDu7xVmIqJT30I2qHLqWgZQ4/edit?usp=sharing"",""ทั้งประเทศ!M534"")"),0)</f>
        <v>0</v>
      </c>
      <c r="H10" s="40">
        <f t="shared" ref="H10:H116" ca="1" si="32">J10+Q10</f>
        <v>205019.36</v>
      </c>
      <c r="I10" s="41">
        <f t="shared" ca="1" si="1"/>
        <v>10.96125748502994</v>
      </c>
      <c r="J10" s="40">
        <f ca="1">M10+N10+O10+P10</f>
        <v>205019.36</v>
      </c>
      <c r="K10" s="41">
        <f t="shared" ca="1" si="2"/>
        <v>10.96125748502994</v>
      </c>
      <c r="L10" s="41">
        <f t="shared" ca="1" si="3"/>
        <v>10.96125748502994</v>
      </c>
      <c r="M10" s="40">
        <v>0</v>
      </c>
      <c r="N10" s="40">
        <v>0</v>
      </c>
      <c r="O10" s="40">
        <v>0</v>
      </c>
      <c r="P10" s="40">
        <f ca="1">IFERROR(__xludf.DUMMYFUNCTION("IMPORTRANGE(""https://docs.google.com/spreadsheets/d/1WhzDrMlrZfqSjGYJh0xYjRtGVhp5LiCqlO7EaAHfOOk/edit?usp=sharing"",""sheet1!AK6"")"),205019.36)</f>
        <v>205019.36</v>
      </c>
      <c r="Q10" s="42">
        <f ca="1">IFERROR(__xludf.DUMMYFUNCTION("IMPORTRANGE(""https://docs.google.com/spreadsheets/d/1WhzDrMlrZfqSjGYJh0xYjRtGVhp5LiCqlO7EaAHfOOk/edit?usp=sharing"",""sheet1!AM6"")"),0)</f>
        <v>0</v>
      </c>
      <c r="R10" s="42">
        <f t="shared" ca="1" si="25"/>
        <v>0</v>
      </c>
      <c r="S10" s="40">
        <v>0</v>
      </c>
      <c r="T10" s="40">
        <v>0</v>
      </c>
      <c r="U10" s="116">
        <f t="shared" si="6"/>
        <v>0</v>
      </c>
      <c r="V10" s="40">
        <v>0</v>
      </c>
      <c r="W10" s="40">
        <v>0</v>
      </c>
      <c r="X10" s="116">
        <f t="shared" si="8"/>
        <v>0</v>
      </c>
      <c r="Y10" s="40">
        <v>0</v>
      </c>
      <c r="Z10" s="40">
        <v>0</v>
      </c>
      <c r="AA10" s="116">
        <f t="shared" si="10"/>
        <v>0</v>
      </c>
      <c r="AB10" s="40">
        <v>0</v>
      </c>
      <c r="AC10" s="40">
        <v>0</v>
      </c>
      <c r="AD10" s="116">
        <f t="shared" si="12"/>
        <v>0</v>
      </c>
      <c r="AE10" s="136">
        <v>0</v>
      </c>
      <c r="AF10" s="136">
        <v>0</v>
      </c>
      <c r="AG10" s="137">
        <f t="shared" si="14"/>
        <v>0</v>
      </c>
      <c r="AH10" s="136">
        <v>0</v>
      </c>
      <c r="AI10" s="136">
        <v>0</v>
      </c>
      <c r="AJ10" s="137">
        <f t="shared" si="16"/>
        <v>0</v>
      </c>
    </row>
    <row r="11" spans="1:36" ht="28.5" hidden="1" customHeight="1" x14ac:dyDescent="0.3">
      <c r="A11" s="46" t="s">
        <v>32</v>
      </c>
      <c r="B11" s="45"/>
      <c r="C11" s="40">
        <f>+C104</f>
        <v>0</v>
      </c>
      <c r="D11" s="40">
        <v>0</v>
      </c>
      <c r="E11" s="40">
        <v>0</v>
      </c>
      <c r="F11" s="40">
        <v>0</v>
      </c>
      <c r="G11" s="40">
        <v>0</v>
      </c>
      <c r="H11" s="40">
        <f t="shared" si="32"/>
        <v>0</v>
      </c>
      <c r="I11" s="41">
        <f t="shared" si="1"/>
        <v>0</v>
      </c>
      <c r="J11" s="40">
        <v>0</v>
      </c>
      <c r="K11" s="41">
        <v>0</v>
      </c>
      <c r="L11" s="41">
        <v>0</v>
      </c>
      <c r="M11" s="40">
        <v>0</v>
      </c>
      <c r="N11" s="40">
        <v>0</v>
      </c>
      <c r="O11" s="40">
        <v>0</v>
      </c>
      <c r="P11" s="40">
        <v>0</v>
      </c>
      <c r="Q11" s="42">
        <v>0</v>
      </c>
      <c r="R11" s="42">
        <f t="shared" si="25"/>
        <v>0</v>
      </c>
      <c r="S11" s="40">
        <v>0</v>
      </c>
      <c r="T11" s="40">
        <v>0</v>
      </c>
      <c r="U11" s="116">
        <f t="shared" si="6"/>
        <v>0</v>
      </c>
      <c r="V11" s="40">
        <v>0</v>
      </c>
      <c r="W11" s="40">
        <v>0</v>
      </c>
      <c r="X11" s="116">
        <f t="shared" si="8"/>
        <v>0</v>
      </c>
      <c r="Y11" s="40">
        <v>0</v>
      </c>
      <c r="Z11" s="40">
        <v>0</v>
      </c>
      <c r="AA11" s="116">
        <f t="shared" si="10"/>
        <v>0</v>
      </c>
      <c r="AB11" s="40">
        <v>0</v>
      </c>
      <c r="AC11" s="40">
        <v>0</v>
      </c>
      <c r="AD11" s="116">
        <f t="shared" si="12"/>
        <v>0</v>
      </c>
      <c r="AE11" s="136">
        <v>0</v>
      </c>
      <c r="AF11" s="136">
        <v>0</v>
      </c>
      <c r="AG11" s="137">
        <f t="shared" si="14"/>
        <v>0</v>
      </c>
      <c r="AH11" s="136">
        <v>0</v>
      </c>
      <c r="AI11" s="136">
        <v>0</v>
      </c>
      <c r="AJ11" s="137">
        <f t="shared" si="16"/>
        <v>0</v>
      </c>
    </row>
    <row r="12" spans="1:36" ht="28.5" hidden="1" customHeight="1" x14ac:dyDescent="0.3">
      <c r="A12" s="47" t="s">
        <v>33</v>
      </c>
      <c r="B12" s="48"/>
      <c r="C12" s="49">
        <v>0</v>
      </c>
      <c r="D12" s="49">
        <v>0</v>
      </c>
      <c r="E12" s="49">
        <v>0</v>
      </c>
      <c r="F12" s="50"/>
      <c r="G12" s="50"/>
      <c r="H12" s="49">
        <f t="shared" si="32"/>
        <v>0</v>
      </c>
      <c r="I12" s="51">
        <f t="shared" si="1"/>
        <v>0</v>
      </c>
      <c r="J12" s="49">
        <v>0</v>
      </c>
      <c r="K12" s="50"/>
      <c r="L12" s="50"/>
      <c r="M12" s="49">
        <v>0</v>
      </c>
      <c r="N12" s="49">
        <v>0</v>
      </c>
      <c r="O12" s="49">
        <v>0</v>
      </c>
      <c r="P12" s="49">
        <v>0</v>
      </c>
      <c r="Q12" s="52">
        <v>0</v>
      </c>
      <c r="R12" s="52"/>
      <c r="S12" s="49">
        <v>0</v>
      </c>
      <c r="T12" s="49">
        <v>0</v>
      </c>
      <c r="U12" s="53">
        <f t="shared" si="6"/>
        <v>0</v>
      </c>
      <c r="V12" s="49">
        <v>0</v>
      </c>
      <c r="W12" s="49">
        <v>0</v>
      </c>
      <c r="X12" s="53">
        <f t="shared" si="8"/>
        <v>0</v>
      </c>
      <c r="Y12" s="49">
        <v>0</v>
      </c>
      <c r="Z12" s="49">
        <v>0</v>
      </c>
      <c r="AA12" s="53">
        <f t="shared" si="10"/>
        <v>0</v>
      </c>
      <c r="AB12" s="49">
        <v>0</v>
      </c>
      <c r="AC12" s="49">
        <v>0</v>
      </c>
      <c r="AD12" s="53">
        <f t="shared" si="12"/>
        <v>0</v>
      </c>
      <c r="AE12" s="138">
        <v>0</v>
      </c>
      <c r="AF12" s="138">
        <v>0</v>
      </c>
      <c r="AG12" s="139">
        <f t="shared" si="14"/>
        <v>0</v>
      </c>
      <c r="AH12" s="138">
        <v>0</v>
      </c>
      <c r="AI12" s="138">
        <v>0</v>
      </c>
      <c r="AJ12" s="139">
        <f t="shared" si="16"/>
        <v>0</v>
      </c>
    </row>
    <row r="13" spans="1:36" ht="28.5" customHeight="1" x14ac:dyDescent="0.3">
      <c r="A13" s="177" t="s">
        <v>34</v>
      </c>
      <c r="B13" s="178"/>
      <c r="C13" s="34">
        <f t="shared" ref="C13:G13" ca="1" si="33">SUM(C14:C30)</f>
        <v>652760</v>
      </c>
      <c r="D13" s="34">
        <f t="shared" ca="1" si="33"/>
        <v>652760</v>
      </c>
      <c r="E13" s="34">
        <f t="shared" ca="1" si="33"/>
        <v>0</v>
      </c>
      <c r="F13" s="34">
        <f t="shared" ca="1" si="33"/>
        <v>652760</v>
      </c>
      <c r="G13" s="34">
        <f t="shared" ca="1" si="33"/>
        <v>0</v>
      </c>
      <c r="H13" s="34">
        <f t="shared" ca="1" si="32"/>
        <v>490421</v>
      </c>
      <c r="I13" s="35">
        <f t="shared" ca="1" si="1"/>
        <v>75.130369507935541</v>
      </c>
      <c r="J13" s="34">
        <f ca="1">SUM(J14:J30)</f>
        <v>490421</v>
      </c>
      <c r="K13" s="35">
        <f t="shared" ref="K13:K88" ca="1" si="34">IF(D13&gt;0,J13*100/D13,0)</f>
        <v>75.130369507935541</v>
      </c>
      <c r="L13" s="35">
        <f t="shared" ref="L13:L88" ca="1" si="35">IF(F13&gt;0,J13*100/F13,0)</f>
        <v>75.130369507935541</v>
      </c>
      <c r="M13" s="34">
        <f t="shared" ref="M13:Q13" ca="1" si="36">SUM(M14:M30)</f>
        <v>163037</v>
      </c>
      <c r="N13" s="34">
        <f t="shared" ca="1" si="36"/>
        <v>302045</v>
      </c>
      <c r="O13" s="34">
        <f t="shared" ca="1" si="36"/>
        <v>0</v>
      </c>
      <c r="P13" s="34">
        <f t="shared" ca="1" si="36"/>
        <v>25339</v>
      </c>
      <c r="Q13" s="36">
        <f t="shared" ca="1" si="36"/>
        <v>0</v>
      </c>
      <c r="R13" s="36">
        <f t="shared" ref="R13:R116" ca="1" si="37">IF(E13&gt;0,Q13*100/E13,0)</f>
        <v>0</v>
      </c>
      <c r="S13" s="34">
        <f t="shared" ref="S13:T13" ca="1" si="38">SUM(S14:S30)</f>
        <v>80</v>
      </c>
      <c r="T13" s="34">
        <f t="shared" ca="1" si="38"/>
        <v>0</v>
      </c>
      <c r="U13" s="37">
        <f t="shared" ca="1" si="6"/>
        <v>0</v>
      </c>
      <c r="V13" s="34">
        <f t="shared" ref="V13:W13" ca="1" si="39">SUM(V14:V30)</f>
        <v>80</v>
      </c>
      <c r="W13" s="34">
        <f t="shared" ca="1" si="39"/>
        <v>80</v>
      </c>
      <c r="X13" s="37">
        <f t="shared" ca="1" si="8"/>
        <v>100</v>
      </c>
      <c r="Y13" s="34">
        <f t="shared" ref="Y13:Z13" ca="1" si="40">SUM(Y14:Y30)</f>
        <v>0</v>
      </c>
      <c r="Z13" s="34">
        <f t="shared" ca="1" si="40"/>
        <v>0</v>
      </c>
      <c r="AA13" s="37">
        <f t="shared" ca="1" si="10"/>
        <v>0</v>
      </c>
      <c r="AB13" s="34">
        <f t="shared" ref="AB13:AC13" ca="1" si="41">SUM(AB14:AB30)</f>
        <v>0</v>
      </c>
      <c r="AC13" s="34">
        <f t="shared" ca="1" si="41"/>
        <v>0</v>
      </c>
      <c r="AD13" s="37">
        <f t="shared" ca="1" si="12"/>
        <v>0</v>
      </c>
      <c r="AE13" s="113">
        <f t="shared" ref="AE13:AF13" ca="1" si="42">SUM(AE14:AE30)</f>
        <v>80</v>
      </c>
      <c r="AF13" s="113">
        <f t="shared" ca="1" si="42"/>
        <v>44</v>
      </c>
      <c r="AG13" s="135">
        <f t="shared" ca="1" si="14"/>
        <v>55</v>
      </c>
      <c r="AH13" s="113">
        <f t="shared" ref="AH13:AI13" ca="1" si="43">SUM(AH14:AH30)</f>
        <v>80</v>
      </c>
      <c r="AI13" s="113">
        <f t="shared" ca="1" si="43"/>
        <v>60</v>
      </c>
      <c r="AJ13" s="135">
        <f t="shared" ca="1" si="16"/>
        <v>75</v>
      </c>
    </row>
    <row r="14" spans="1:36" ht="24" customHeight="1" x14ac:dyDescent="0.3">
      <c r="A14" s="54">
        <v>1</v>
      </c>
      <c r="B14" s="55" t="s">
        <v>35</v>
      </c>
      <c r="C14" s="56">
        <f t="shared" ref="C14:C30" ca="1" si="44">D14+E14</f>
        <v>0</v>
      </c>
      <c r="D14" s="57">
        <f ca="1">IFERROR(__xludf.DUMMYFUNCTION("IMPORTRANGE(""https://docs.google.com/spreadsheets/d/1KxicF4apzSqm0-jIpmueT4kyZtE-Cwn5zskl7GD4loQ/edit?usp=sharing"",""กำแพงเพชร!L528"")"),0)</f>
        <v>0</v>
      </c>
      <c r="E14" s="57">
        <f ca="1">IFERROR(__xludf.DUMMYFUNCTION("IMPORTRANGE(""https://docs.google.com/spreadsheets/d/1KxicF4apzSqm0-jIpmueT4kyZtE-Cwn5zskl7GD4loQ/edit?usp=sharing"",""กำแพงเพชร!L535"")"),0)</f>
        <v>0</v>
      </c>
      <c r="F14" s="57">
        <f ca="1">IFERROR(__xludf.DUMMYFUNCTION("IMPORTRANGE(""https://docs.google.com/spreadsheets/d/1KxicF4apzSqm0-jIpmueT4kyZtE-Cwn5zskl7GD4loQ/edit?usp=sharing"",""กำแพงเพชร!M528"")"),0)</f>
        <v>0</v>
      </c>
      <c r="G14" s="57">
        <f ca="1">IFERROR(__xludf.DUMMYFUNCTION("IMPORTRANGE(""https://docs.google.com/spreadsheets/d/1KxicF4apzSqm0-jIpmueT4kyZtE-Cwn5zskl7GD4loQ/edit?usp=sharing"",""กำแพงเพชร!M535"")"),0)</f>
        <v>0</v>
      </c>
      <c r="H14" s="58">
        <f t="shared" ca="1" si="32"/>
        <v>0</v>
      </c>
      <c r="I14" s="59">
        <f t="shared" ca="1" si="1"/>
        <v>0</v>
      </c>
      <c r="J14" s="60">
        <f t="shared" ref="J14:J30" ca="1" si="45">M14+N14+O14+P14</f>
        <v>0</v>
      </c>
      <c r="K14" s="61">
        <f t="shared" ca="1" si="34"/>
        <v>0</v>
      </c>
      <c r="L14" s="61">
        <f t="shared" ca="1" si="35"/>
        <v>0</v>
      </c>
      <c r="M14" s="57">
        <f ca="1">IFERROR(__xludf.DUMMYFUNCTION("IMPORTRANGE(""https://docs.google.com/spreadsheets/d/1KxicF4apzSqm0-jIpmueT4kyZtE-Cwn5zskl7GD4loQ/edit?usp=sharing"",""กำแพงเพชร!N529"")"),0)</f>
        <v>0</v>
      </c>
      <c r="N14" s="57">
        <f ca="1">IFERROR(__xludf.DUMMYFUNCTION("IMPORTRANGE(""https://docs.google.com/spreadsheets/d/1KxicF4apzSqm0-jIpmueT4kyZtE-Cwn5zskl7GD4loQ/edit?usp=sharing"",""กำแพงเพชร!N530"")"),0)</f>
        <v>0</v>
      </c>
      <c r="O14" s="57">
        <f ca="1">IFERROR(__xludf.DUMMYFUNCTION("IMPORTRANGE(""https://docs.google.com/spreadsheets/d/1KxicF4apzSqm0-jIpmueT4kyZtE-Cwn5zskl7GD4loQ/edit?usp=sharing"",""กำแพงเพชร!N531"")"),0)</f>
        <v>0</v>
      </c>
      <c r="P14" s="57">
        <f ca="1">IFERROR(__xludf.DUMMYFUNCTION("IMPORTRANGE(""https://docs.google.com/spreadsheets/d/1KxicF4apzSqm0-jIpmueT4kyZtE-Cwn5zskl7GD4loQ/edit?usp=sharing"",""กำแพงเพชร!N532"")"),0)</f>
        <v>0</v>
      </c>
      <c r="Q14" s="62">
        <f ca="1">IFERROR(__xludf.DUMMYFUNCTION("IMPORTRANGE(""https://docs.google.com/spreadsheets/d/1KxicF4apzSqm0-jIpmueT4kyZtE-Cwn5zskl7GD4loQ/edit?usp=sharing"",""กำแพงเพชร!N535"")"),0)</f>
        <v>0</v>
      </c>
      <c r="R14" s="62">
        <f t="shared" ca="1" si="37"/>
        <v>0</v>
      </c>
      <c r="S14" s="57">
        <f ca="1">IFERROR(__xludf.DUMMYFUNCTION("IMPORTRANGE(""https://docs.google.com/spreadsheets/d/1KxicF4apzSqm0-jIpmueT4kyZtE-Cwn5zskl7GD4loQ/edit?usp=sharing"",""กำแพงเพชร!I537"")"),0)</f>
        <v>0</v>
      </c>
      <c r="T14" s="57">
        <f ca="1">IFERROR(__xludf.DUMMYFUNCTION("IMPORTRANGE(""https://docs.google.com/spreadsheets/d/1KxicF4apzSqm0-jIpmueT4kyZtE-Cwn5zskl7GD4loQ/edit?usp=sharing"",""กำแพงเพชร!J537"")"),0)</f>
        <v>0</v>
      </c>
      <c r="U14" s="63">
        <f t="shared" ca="1" si="6"/>
        <v>0</v>
      </c>
      <c r="V14" s="57">
        <f ca="1">IFERROR(__xludf.DUMMYFUNCTION("IMPORTRANGE(""https://docs.google.com/spreadsheets/d/1KxicF4apzSqm0-jIpmueT4kyZtE-Cwn5zskl7GD4loQ/edit?usp=sharing"",""กำแพงเพชร!I538"")"),0)</f>
        <v>0</v>
      </c>
      <c r="W14" s="57">
        <f ca="1">IFERROR(__xludf.DUMMYFUNCTION("IMPORTRANGE(""https://docs.google.com/spreadsheets/d/1KxicF4apzSqm0-jIpmueT4kyZtE-Cwn5zskl7GD4loQ/edit?usp=sharing"",""กำแพงเพชร!J538"")"),0)</f>
        <v>0</v>
      </c>
      <c r="X14" s="63">
        <f t="shared" ca="1" si="8"/>
        <v>0</v>
      </c>
      <c r="Y14" s="57">
        <f ca="1">IFERROR(__xludf.DUMMYFUNCTION("IMPORTRANGE(""https://docs.google.com/spreadsheets/d/1KxicF4apzSqm0-jIpmueT4kyZtE-Cwn5zskl7GD4loQ/edit?usp=sharing"",""กำแพงเพชร!I539"")"),0)</f>
        <v>0</v>
      </c>
      <c r="Z14" s="57">
        <f ca="1">IFERROR(__xludf.DUMMYFUNCTION("IMPORTRANGE(""https://docs.google.com/spreadsheets/d/1KxicF4apzSqm0-jIpmueT4kyZtE-Cwn5zskl7GD4loQ/edit?usp=sharing"",""กำแพงเพชร!J539"")"),0)</f>
        <v>0</v>
      </c>
      <c r="AA14" s="63">
        <f t="shared" ca="1" si="10"/>
        <v>0</v>
      </c>
      <c r="AB14" s="57">
        <f ca="1">IFERROR(__xludf.DUMMYFUNCTION("IMPORTRANGE(""https://docs.google.com/spreadsheets/d/1KxicF4apzSqm0-jIpmueT4kyZtE-Cwn5zskl7GD4loQ/edit?usp=sharing"",""กำแพงเพชร!I540"")"),0)</f>
        <v>0</v>
      </c>
      <c r="AC14" s="57">
        <f ca="1">IFERROR(__xludf.DUMMYFUNCTION("IMPORTRANGE(""https://docs.google.com/spreadsheets/d/1KxicF4apzSqm0-jIpmueT4kyZtE-Cwn5zskl7GD4loQ/edit?usp=sharing"",""กำแพงเพชร!J540"")"),0)</f>
        <v>0</v>
      </c>
      <c r="AD14" s="63">
        <f t="shared" ca="1" si="12"/>
        <v>0</v>
      </c>
      <c r="AE14" s="140">
        <f ca="1">IFERROR(__xludf.DUMMYFUNCTION("IMPORTRANGE(""https://docs.google.com/spreadsheets/d/1KxicF4apzSqm0-jIpmueT4kyZtE-Cwn5zskl7GD4loQ/edit?usp=sharing"",""กำแพงเพชร!I541"")"),0)</f>
        <v>0</v>
      </c>
      <c r="AF14" s="140">
        <f ca="1">IFERROR(__xludf.DUMMYFUNCTION("IMPORTRANGE(""https://docs.google.com/spreadsheets/d/1KxicF4apzSqm0-jIpmueT4kyZtE-Cwn5zskl7GD4loQ/edit?usp=sharing"",""กำแพงเพชร!J541"")"),0)</f>
        <v>0</v>
      </c>
      <c r="AG14" s="141">
        <f t="shared" ca="1" si="14"/>
        <v>0</v>
      </c>
      <c r="AH14" s="140">
        <f ca="1">IFERROR(__xludf.DUMMYFUNCTION("IMPORTRANGE(""https://docs.google.com/spreadsheets/d/1KxicF4apzSqm0-jIpmueT4kyZtE-Cwn5zskl7GD4loQ/edit?usp=sharing"",""กำแพงเพชร!I542"")"),0)</f>
        <v>0</v>
      </c>
      <c r="AI14" s="140">
        <f ca="1">IFERROR(__xludf.DUMMYFUNCTION("IMPORTRANGE(""https://docs.google.com/spreadsheets/d/1KxicF4apzSqm0-jIpmueT4kyZtE-Cwn5zskl7GD4loQ/edit?usp=sharing"",""กำแพงเพชร!J542"")"),0)</f>
        <v>0</v>
      </c>
      <c r="AJ14" s="141">
        <f t="shared" ca="1" si="16"/>
        <v>0</v>
      </c>
    </row>
    <row r="15" spans="1:36" ht="24" customHeight="1" x14ac:dyDescent="0.3">
      <c r="A15" s="54">
        <v>2</v>
      </c>
      <c r="B15" s="55" t="s">
        <v>36</v>
      </c>
      <c r="C15" s="56">
        <f t="shared" ca="1" si="44"/>
        <v>0</v>
      </c>
      <c r="D15" s="57">
        <f ca="1">IFERROR(__xludf.DUMMYFUNCTION("IMPORTRANGE(""https://docs.google.com/spreadsheets/d/1ZNYWeiFoFA1K1U4xKWqRX29MBvEyRHXORjo734Gnq_c/edit?usp=sharing"",""เชียงราย!L528"")"),0)</f>
        <v>0</v>
      </c>
      <c r="E15" s="64">
        <f ca="1">IFERROR(__xludf.DUMMYFUNCTION("IMPORTRANGE(""https://docs.google.com/spreadsheets/d/1ZNYWeiFoFA1K1U4xKWqRX29MBvEyRHXORjo734Gnq_c/edit?usp=sharing"",""เชียงราย!L535"")"),0)</f>
        <v>0</v>
      </c>
      <c r="F15" s="64">
        <f ca="1">IFERROR(__xludf.DUMMYFUNCTION("IMPORTRANGE(""https://docs.google.com/spreadsheets/d/1ZNYWeiFoFA1K1U4xKWqRX29MBvEyRHXORjo734Gnq_c/edit?usp=sharing"",""เชียงราย!M528"")"),0)</f>
        <v>0</v>
      </c>
      <c r="G15" s="64">
        <f ca="1">IFERROR(__xludf.DUMMYFUNCTION("IMPORTRANGE(""https://docs.google.com/spreadsheets/d/1ZNYWeiFoFA1K1U4xKWqRX29MBvEyRHXORjo734Gnq_c/edit?usp=sharing"",""เชียงราย!M535"")"),0)</f>
        <v>0</v>
      </c>
      <c r="H15" s="58">
        <f t="shared" ca="1" si="32"/>
        <v>0</v>
      </c>
      <c r="I15" s="59">
        <f t="shared" ca="1" si="1"/>
        <v>0</v>
      </c>
      <c r="J15" s="60">
        <f t="shared" ca="1" si="45"/>
        <v>0</v>
      </c>
      <c r="K15" s="61">
        <f t="shared" ca="1" si="34"/>
        <v>0</v>
      </c>
      <c r="L15" s="61">
        <f t="shared" ca="1" si="35"/>
        <v>0</v>
      </c>
      <c r="M15" s="64">
        <f ca="1">IFERROR(__xludf.DUMMYFUNCTION("IMPORTRANGE(""https://docs.google.com/spreadsheets/d/1ZNYWeiFoFA1K1U4xKWqRX29MBvEyRHXORjo734Gnq_c/edit?usp=sharing"",""เชียงราย!N529"")"),0)</f>
        <v>0</v>
      </c>
      <c r="N15" s="64">
        <f ca="1">IFERROR(__xludf.DUMMYFUNCTION("IMPORTRANGE(""https://docs.google.com/spreadsheets/d/1ZNYWeiFoFA1K1U4xKWqRX29MBvEyRHXORjo734Gnq_c/edit?usp=sharing"",""เชียงราย!N530"")"),0)</f>
        <v>0</v>
      </c>
      <c r="O15" s="64">
        <f ca="1">IFERROR(__xludf.DUMMYFUNCTION("IMPORTRANGE(""https://docs.google.com/spreadsheets/d/1ZNYWeiFoFA1K1U4xKWqRX29MBvEyRHXORjo734Gnq_c/edit?usp=sharing"",""เชียงราย!N531"")"),0)</f>
        <v>0</v>
      </c>
      <c r="P15" s="64">
        <f ca="1">IFERROR(__xludf.DUMMYFUNCTION("IMPORTRANGE(""https://docs.google.com/spreadsheets/d/1ZNYWeiFoFA1K1U4xKWqRX29MBvEyRHXORjo734Gnq_c/edit?usp=sharing"",""เชียงราย!N532"")"),0)</f>
        <v>0</v>
      </c>
      <c r="Q15" s="62">
        <f ca="1">IFERROR(__xludf.DUMMYFUNCTION("IMPORTRANGE(""https://docs.google.com/spreadsheets/d/1ZNYWeiFoFA1K1U4xKWqRX29MBvEyRHXORjo734Gnq_c/edit?usp=sharing"",""เชียงราย!N535"")"),0)</f>
        <v>0</v>
      </c>
      <c r="R15" s="62">
        <f t="shared" ca="1" si="37"/>
        <v>0</v>
      </c>
      <c r="S15" s="57">
        <f ca="1">IFERROR(__xludf.DUMMYFUNCTION("IMPORTRANGE(""https://docs.google.com/spreadsheets/d/1ZNYWeiFoFA1K1U4xKWqRX29MBvEyRHXORjo734Gnq_c/edit?usp=sharing"",""เชียงราย!I537"")"),0)</f>
        <v>0</v>
      </c>
      <c r="T15" s="57">
        <f ca="1">IFERROR(__xludf.DUMMYFUNCTION("IMPORTRANGE(""https://docs.google.com/spreadsheets/d/1ZNYWeiFoFA1K1U4xKWqRX29MBvEyRHXORjo734Gnq_c/edit?usp=sharing"",""เชียงราย!J537"")"),0)</f>
        <v>0</v>
      </c>
      <c r="U15" s="63">
        <f t="shared" ca="1" si="6"/>
        <v>0</v>
      </c>
      <c r="V15" s="57">
        <f ca="1">IFERROR(__xludf.DUMMYFUNCTION("IMPORTRANGE(""https://docs.google.com/spreadsheets/d/1ZNYWeiFoFA1K1U4xKWqRX29MBvEyRHXORjo734Gnq_c/edit?usp=sharing"",""เชียงราย!I538"")"),0)</f>
        <v>0</v>
      </c>
      <c r="W15" s="57">
        <f ca="1">IFERROR(__xludf.DUMMYFUNCTION("IMPORTRANGE(""https://docs.google.com/spreadsheets/d/1ZNYWeiFoFA1K1U4xKWqRX29MBvEyRHXORjo734Gnq_c/edit?usp=sharing"",""เชียงราย!J538"")"),0)</f>
        <v>0</v>
      </c>
      <c r="X15" s="63">
        <f t="shared" ca="1" si="8"/>
        <v>0</v>
      </c>
      <c r="Y15" s="57">
        <f ca="1">IFERROR(__xludf.DUMMYFUNCTION("IMPORTRANGE(""https://docs.google.com/spreadsheets/d/1ZNYWeiFoFA1K1U4xKWqRX29MBvEyRHXORjo734Gnq_c/edit?usp=sharing"",""เชียงราย!I539"")"),0)</f>
        <v>0</v>
      </c>
      <c r="Z15" s="57">
        <f ca="1">IFERROR(__xludf.DUMMYFUNCTION("IMPORTRANGE(""https://docs.google.com/spreadsheets/d/1ZNYWeiFoFA1K1U4xKWqRX29MBvEyRHXORjo734Gnq_c/edit?usp=sharing"",""เชียงราย!J539"")"),0)</f>
        <v>0</v>
      </c>
      <c r="AA15" s="63">
        <f t="shared" ca="1" si="10"/>
        <v>0</v>
      </c>
      <c r="AB15" s="57">
        <f ca="1">IFERROR(__xludf.DUMMYFUNCTION("IMPORTRANGE(""https://docs.google.com/spreadsheets/d/1ZNYWeiFoFA1K1U4xKWqRX29MBvEyRHXORjo734Gnq_c/edit?usp=sharing"",""เชียงราย!I540"")"),0)</f>
        <v>0</v>
      </c>
      <c r="AC15" s="57">
        <f ca="1">IFERROR(__xludf.DUMMYFUNCTION("IMPORTRANGE(""https://docs.google.com/spreadsheets/d/1ZNYWeiFoFA1K1U4xKWqRX29MBvEyRHXORjo734Gnq_c/edit?usp=sharing"",""เชียงราย!J540"")"),0)</f>
        <v>0</v>
      </c>
      <c r="AD15" s="63">
        <f t="shared" ca="1" si="12"/>
        <v>0</v>
      </c>
      <c r="AE15" s="140">
        <f ca="1">IFERROR(__xludf.DUMMYFUNCTION("IMPORTRANGE(""https://docs.google.com/spreadsheets/d/1ZNYWeiFoFA1K1U4xKWqRX29MBvEyRHXORjo734Gnq_c/edit?usp=sharing"",""เชียงราย!I541"")"),0)</f>
        <v>0</v>
      </c>
      <c r="AF15" s="140">
        <f ca="1">IFERROR(__xludf.DUMMYFUNCTION("IMPORTRANGE(""https://docs.google.com/spreadsheets/d/1ZNYWeiFoFA1K1U4xKWqRX29MBvEyRHXORjo734Gnq_c/edit?usp=sharing"",""เชียงราย!J541"")"),0)</f>
        <v>0</v>
      </c>
      <c r="AG15" s="141">
        <f t="shared" ca="1" si="14"/>
        <v>0</v>
      </c>
      <c r="AH15" s="140">
        <f ca="1">IFERROR(__xludf.DUMMYFUNCTION("IMPORTRANGE(""https://docs.google.com/spreadsheets/d/1ZNYWeiFoFA1K1U4xKWqRX29MBvEyRHXORjo734Gnq_c/edit?usp=sharing"",""เชียงราย!I542"")"),0)</f>
        <v>0</v>
      </c>
      <c r="AI15" s="140">
        <f ca="1">IFERROR(__xludf.DUMMYFUNCTION("IMPORTRANGE(""https://docs.google.com/spreadsheets/d/1ZNYWeiFoFA1K1U4xKWqRX29MBvEyRHXORjo734Gnq_c/edit?usp=sharing"",""เชียงราย!J542"")"),0)</f>
        <v>0</v>
      </c>
      <c r="AJ15" s="141">
        <f t="shared" ca="1" si="16"/>
        <v>0</v>
      </c>
    </row>
    <row r="16" spans="1:36" ht="24" customHeight="1" x14ac:dyDescent="0.3">
      <c r="A16" s="54">
        <v>3</v>
      </c>
      <c r="B16" s="55" t="s">
        <v>37</v>
      </c>
      <c r="C16" s="56">
        <f t="shared" ca="1" si="44"/>
        <v>0</v>
      </c>
      <c r="D16" s="57">
        <f ca="1">IFERROR(__xludf.DUMMYFUNCTION("IMPORTRANGE(""https://docs.google.com/spreadsheets/d/1Jgv0Y7YlHDtsiDawwp-uvifEJ8HVaSn0k2aGHG8-hwM/edit?usp=sharing"",""เชียงใหม่!L528"")"),0)</f>
        <v>0</v>
      </c>
      <c r="E16" s="64">
        <f ca="1">IFERROR(__xludf.DUMMYFUNCTION("IMPORTRANGE(""https://docs.google.com/spreadsheets/d/1Jgv0Y7YlHDtsiDawwp-uvifEJ8HVaSn0k2aGHG8-hwM/edit?usp=sharing"",""เชียงใหม่!L535"")"),0)</f>
        <v>0</v>
      </c>
      <c r="F16" s="64">
        <f ca="1">IFERROR(__xludf.DUMMYFUNCTION("IMPORTRANGE(""https://docs.google.com/spreadsheets/d/1Jgv0Y7YlHDtsiDawwp-uvifEJ8HVaSn0k2aGHG8-hwM/edit?usp=sharing"",""เชียงใหม่!M528"")"),0)</f>
        <v>0</v>
      </c>
      <c r="G16" s="64">
        <f ca="1">IFERROR(__xludf.DUMMYFUNCTION("IMPORTRANGE(""https://docs.google.com/spreadsheets/d/1Jgv0Y7YlHDtsiDawwp-uvifEJ8HVaSn0k2aGHG8-hwM/edit?usp=sharing"",""เชียงใหม่!M535"")"),0)</f>
        <v>0</v>
      </c>
      <c r="H16" s="58">
        <f t="shared" ca="1" si="32"/>
        <v>0</v>
      </c>
      <c r="I16" s="59">
        <f t="shared" ca="1" si="1"/>
        <v>0</v>
      </c>
      <c r="J16" s="60">
        <f t="shared" ca="1" si="45"/>
        <v>0</v>
      </c>
      <c r="K16" s="61">
        <f t="shared" ca="1" si="34"/>
        <v>0</v>
      </c>
      <c r="L16" s="61">
        <f t="shared" ca="1" si="35"/>
        <v>0</v>
      </c>
      <c r="M16" s="64">
        <f ca="1">IFERROR(__xludf.DUMMYFUNCTION("IMPORTRANGE(""https://docs.google.com/spreadsheets/d/1Jgv0Y7YlHDtsiDawwp-uvifEJ8HVaSn0k2aGHG8-hwM/edit?usp=sharing"",""เชียงใหม่!N529"")"),0)</f>
        <v>0</v>
      </c>
      <c r="N16" s="64">
        <f ca="1">IFERROR(__xludf.DUMMYFUNCTION("IMPORTRANGE(""https://docs.google.com/spreadsheets/d/1Jgv0Y7YlHDtsiDawwp-uvifEJ8HVaSn0k2aGHG8-hwM/edit?usp=sharing"",""เชียงใหม่!N530"")"),0)</f>
        <v>0</v>
      </c>
      <c r="O16" s="64">
        <f ca="1">IFERROR(__xludf.DUMMYFUNCTION("IMPORTRANGE(""https://docs.google.com/spreadsheets/d/1Jgv0Y7YlHDtsiDawwp-uvifEJ8HVaSn0k2aGHG8-hwM/edit?usp=sharing"",""เชียงใหม่!N531"")"),0)</f>
        <v>0</v>
      </c>
      <c r="P16" s="64">
        <f ca="1">IFERROR(__xludf.DUMMYFUNCTION("IMPORTRANGE(""https://docs.google.com/spreadsheets/d/1Jgv0Y7YlHDtsiDawwp-uvifEJ8HVaSn0k2aGHG8-hwM/edit?usp=sharing"",""เชียงใหม่!N532"")"),0)</f>
        <v>0</v>
      </c>
      <c r="Q16" s="62">
        <f ca="1">IFERROR(__xludf.DUMMYFUNCTION("IMPORTRANGE(""https://docs.google.com/spreadsheets/d/1Jgv0Y7YlHDtsiDawwp-uvifEJ8HVaSn0k2aGHG8-hwM/edit?usp=sharing"",""เชียงใหม่!N535"")"),0)</f>
        <v>0</v>
      </c>
      <c r="R16" s="62">
        <f t="shared" ca="1" si="37"/>
        <v>0</v>
      </c>
      <c r="S16" s="57">
        <f ca="1">IFERROR(__xludf.DUMMYFUNCTION("IMPORTRANGE(""https://docs.google.com/spreadsheets/d/1Jgv0Y7YlHDtsiDawwp-uvifEJ8HVaSn0k2aGHG8-hwM/edit?usp=sharing"",""เชียงใหม่!I537"")"),0)</f>
        <v>0</v>
      </c>
      <c r="T16" s="57">
        <f ca="1">IFERROR(__xludf.DUMMYFUNCTION("IMPORTRANGE(""https://docs.google.com/spreadsheets/d/1Jgv0Y7YlHDtsiDawwp-uvifEJ8HVaSn0k2aGHG8-hwM/edit?usp=sharing"",""เชียงใหม่!J537"")"),0)</f>
        <v>0</v>
      </c>
      <c r="U16" s="63">
        <f t="shared" ca="1" si="6"/>
        <v>0</v>
      </c>
      <c r="V16" s="57">
        <f ca="1">IFERROR(__xludf.DUMMYFUNCTION("IMPORTRANGE(""https://docs.google.com/spreadsheets/d/1Jgv0Y7YlHDtsiDawwp-uvifEJ8HVaSn0k2aGHG8-hwM/edit?usp=sharing"",""เชียงใหม่!I538"")"),0)</f>
        <v>0</v>
      </c>
      <c r="W16" s="57">
        <f ca="1">IFERROR(__xludf.DUMMYFUNCTION("IMPORTRANGE(""https://docs.google.com/spreadsheets/d/1Jgv0Y7YlHDtsiDawwp-uvifEJ8HVaSn0k2aGHG8-hwM/edit?usp=sharing"",""เชียงใหม่!J538"")"),0)</f>
        <v>0</v>
      </c>
      <c r="X16" s="63">
        <f t="shared" ca="1" si="8"/>
        <v>0</v>
      </c>
      <c r="Y16" s="57">
        <f ca="1">IFERROR(__xludf.DUMMYFUNCTION("IMPORTRANGE(""https://docs.google.com/spreadsheets/d/1Jgv0Y7YlHDtsiDawwp-uvifEJ8HVaSn0k2aGHG8-hwM/edit?usp=sharing"",""เชียงใหม่!I539"")"),0)</f>
        <v>0</v>
      </c>
      <c r="Z16" s="57">
        <f ca="1">IFERROR(__xludf.DUMMYFUNCTION("IMPORTRANGE(""https://docs.google.com/spreadsheets/d/1Jgv0Y7YlHDtsiDawwp-uvifEJ8HVaSn0k2aGHG8-hwM/edit?usp=sharing"",""เชียงใหม่!J539"")"),0)</f>
        <v>0</v>
      </c>
      <c r="AA16" s="63">
        <f t="shared" ca="1" si="10"/>
        <v>0</v>
      </c>
      <c r="AB16" s="57">
        <f ca="1">IFERROR(__xludf.DUMMYFUNCTION("IMPORTRANGE(""https://docs.google.com/spreadsheets/d/1Jgv0Y7YlHDtsiDawwp-uvifEJ8HVaSn0k2aGHG8-hwM/edit?usp=sharing"",""เชียงใหม่!I540"")"),0)</f>
        <v>0</v>
      </c>
      <c r="AC16" s="57">
        <f ca="1">IFERROR(__xludf.DUMMYFUNCTION("IMPORTRANGE(""https://docs.google.com/spreadsheets/d/1Jgv0Y7YlHDtsiDawwp-uvifEJ8HVaSn0k2aGHG8-hwM/edit?usp=sharing"",""เชียงใหม่!J540"")"),0)</f>
        <v>0</v>
      </c>
      <c r="AD16" s="63">
        <f t="shared" ca="1" si="12"/>
        <v>0</v>
      </c>
      <c r="AE16" s="140">
        <f ca="1">IFERROR(__xludf.DUMMYFUNCTION("IMPORTRANGE(""https://docs.google.com/spreadsheets/d/1Jgv0Y7YlHDtsiDawwp-uvifEJ8HVaSn0k2aGHG8-hwM/edit?usp=sharing"",""เชียงใหม่!I541"")"),0)</f>
        <v>0</v>
      </c>
      <c r="AF16" s="140">
        <f ca="1">IFERROR(__xludf.DUMMYFUNCTION("IMPORTRANGE(""https://docs.google.com/spreadsheets/d/1Jgv0Y7YlHDtsiDawwp-uvifEJ8HVaSn0k2aGHG8-hwM/edit?usp=sharing"",""เชียงใหม่!J541"")"),0)</f>
        <v>0</v>
      </c>
      <c r="AG16" s="141">
        <f t="shared" ca="1" si="14"/>
        <v>0</v>
      </c>
      <c r="AH16" s="140">
        <f ca="1">IFERROR(__xludf.DUMMYFUNCTION("IMPORTRANGE(""https://docs.google.com/spreadsheets/d/1Jgv0Y7YlHDtsiDawwp-uvifEJ8HVaSn0k2aGHG8-hwM/edit?usp=sharing"",""เชียงใหม่!I542"")"),0)</f>
        <v>0</v>
      </c>
      <c r="AI16" s="140">
        <f ca="1">IFERROR(__xludf.DUMMYFUNCTION("IMPORTRANGE(""https://docs.google.com/spreadsheets/d/1Jgv0Y7YlHDtsiDawwp-uvifEJ8HVaSn0k2aGHG8-hwM/edit?usp=sharing"",""เชียงใหม่!J542"")"),0)</f>
        <v>0</v>
      </c>
      <c r="AJ16" s="141">
        <f t="shared" ca="1" si="16"/>
        <v>0</v>
      </c>
    </row>
    <row r="17" spans="1:36" ht="24" customHeight="1" x14ac:dyDescent="0.3">
      <c r="A17" s="54">
        <v>4</v>
      </c>
      <c r="B17" s="55" t="s">
        <v>38</v>
      </c>
      <c r="C17" s="56">
        <f t="shared" ca="1" si="44"/>
        <v>0</v>
      </c>
      <c r="D17" s="57">
        <f ca="1">IFERROR(__xludf.DUMMYFUNCTION("IMPORTRANGE(""https://docs.google.com/spreadsheets/d/1JWG2rZePOz9pe-f-ObA-yDr0VoOX2kSb0qIix2mTUo8/edit?usp=sharing"",""ตาก!L528"")"),0)</f>
        <v>0</v>
      </c>
      <c r="E17" s="64">
        <f ca="1">IFERROR(__xludf.DUMMYFUNCTION("IMPORTRANGE(""https://docs.google.com/spreadsheets/d/1JWG2rZePOz9pe-f-ObA-yDr0VoOX2kSb0qIix2mTUo8/edit?usp=sharing"",""ตาก!L535"")"),0)</f>
        <v>0</v>
      </c>
      <c r="F17" s="64">
        <f ca="1">IFERROR(__xludf.DUMMYFUNCTION("IMPORTRANGE(""https://docs.google.com/spreadsheets/d/1JWG2rZePOz9pe-f-ObA-yDr0VoOX2kSb0qIix2mTUo8/edit?usp=sharing"",""ตาก!M528"")"),0)</f>
        <v>0</v>
      </c>
      <c r="G17" s="64">
        <f ca="1">IFERROR(__xludf.DUMMYFUNCTION("IMPORTRANGE(""https://docs.google.com/spreadsheets/d/1JWG2rZePOz9pe-f-ObA-yDr0VoOX2kSb0qIix2mTUo8/edit?usp=sharing"",""ตาก!M535"")"),0)</f>
        <v>0</v>
      </c>
      <c r="H17" s="58">
        <f t="shared" ca="1" si="32"/>
        <v>0</v>
      </c>
      <c r="I17" s="59">
        <f t="shared" ca="1" si="1"/>
        <v>0</v>
      </c>
      <c r="J17" s="60">
        <f t="shared" ca="1" si="45"/>
        <v>0</v>
      </c>
      <c r="K17" s="61">
        <f t="shared" ca="1" si="34"/>
        <v>0</v>
      </c>
      <c r="L17" s="61">
        <f t="shared" ca="1" si="35"/>
        <v>0</v>
      </c>
      <c r="M17" s="64">
        <f ca="1">IFERROR(__xludf.DUMMYFUNCTION("IMPORTRANGE(""https://docs.google.com/spreadsheets/d/1JWG2rZePOz9pe-f-ObA-yDr0VoOX2kSb0qIix2mTUo8/edit?usp=sharing"",""ตาก!N529"")"),0)</f>
        <v>0</v>
      </c>
      <c r="N17" s="64">
        <f ca="1">IFERROR(__xludf.DUMMYFUNCTION("IMPORTRANGE(""https://docs.google.com/spreadsheets/d/1JWG2rZePOz9pe-f-ObA-yDr0VoOX2kSb0qIix2mTUo8/edit?usp=sharing"",""ตาก!N530"")"),0)</f>
        <v>0</v>
      </c>
      <c r="O17" s="64">
        <f ca="1">IFERROR(__xludf.DUMMYFUNCTION("IMPORTRANGE(""https://docs.google.com/spreadsheets/d/1JWG2rZePOz9pe-f-ObA-yDr0VoOX2kSb0qIix2mTUo8/edit?usp=sharing"",""ตาก!N531"")"),0)</f>
        <v>0</v>
      </c>
      <c r="P17" s="64">
        <f ca="1">IFERROR(__xludf.DUMMYFUNCTION("IMPORTRANGE(""https://docs.google.com/spreadsheets/d/1JWG2rZePOz9pe-f-ObA-yDr0VoOX2kSb0qIix2mTUo8/edit?usp=sharing"",""ตาก!N532"")"),0)</f>
        <v>0</v>
      </c>
      <c r="Q17" s="62">
        <f ca="1">IFERROR(__xludf.DUMMYFUNCTION("IMPORTRANGE(""https://docs.google.com/spreadsheets/d/1JWG2rZePOz9pe-f-ObA-yDr0VoOX2kSb0qIix2mTUo8/edit?usp=sharing"",""ตาก!N535"")"),0)</f>
        <v>0</v>
      </c>
      <c r="R17" s="62">
        <f t="shared" ca="1" si="37"/>
        <v>0</v>
      </c>
      <c r="S17" s="57">
        <f ca="1">IFERROR(__xludf.DUMMYFUNCTION("IMPORTRANGE(""https://docs.google.com/spreadsheets/d/1JWG2rZePOz9pe-f-ObA-yDr0VoOX2kSb0qIix2mTUo8/edit?usp=sharing"",""ตาก!I537"")"),0)</f>
        <v>0</v>
      </c>
      <c r="T17" s="57">
        <f ca="1">IFERROR(__xludf.DUMMYFUNCTION("IMPORTRANGE(""https://docs.google.com/spreadsheets/d/1JWG2rZePOz9pe-f-ObA-yDr0VoOX2kSb0qIix2mTUo8/edit?usp=sharing"",""ตาก!J537"")"),0)</f>
        <v>0</v>
      </c>
      <c r="U17" s="63">
        <f t="shared" ca="1" si="6"/>
        <v>0</v>
      </c>
      <c r="V17" s="57">
        <f ca="1">IFERROR(__xludf.DUMMYFUNCTION("IMPORTRANGE(""https://docs.google.com/spreadsheets/d/1JWG2rZePOz9pe-f-ObA-yDr0VoOX2kSb0qIix2mTUo8/edit?usp=sharing"",""ตาก!I538"")"),0)</f>
        <v>0</v>
      </c>
      <c r="W17" s="57">
        <f ca="1">IFERROR(__xludf.DUMMYFUNCTION("IMPORTRANGE(""https://docs.google.com/spreadsheets/d/1JWG2rZePOz9pe-f-ObA-yDr0VoOX2kSb0qIix2mTUo8/edit?usp=sharing"",""ตาก!J538"")"),0)</f>
        <v>0</v>
      </c>
      <c r="X17" s="63">
        <f t="shared" ca="1" si="8"/>
        <v>0</v>
      </c>
      <c r="Y17" s="57">
        <f ca="1">IFERROR(__xludf.DUMMYFUNCTION("IMPORTRANGE(""https://docs.google.com/spreadsheets/d/1JWG2rZePOz9pe-f-ObA-yDr0VoOX2kSb0qIix2mTUo8/edit?usp=sharing"",""ตาก!I539"")"),0)</f>
        <v>0</v>
      </c>
      <c r="Z17" s="57">
        <f ca="1">IFERROR(__xludf.DUMMYFUNCTION("IMPORTRANGE(""https://docs.google.com/spreadsheets/d/1JWG2rZePOz9pe-f-ObA-yDr0VoOX2kSb0qIix2mTUo8/edit?usp=sharing"",""ตาก!J539"")"),0)</f>
        <v>0</v>
      </c>
      <c r="AA17" s="63">
        <f t="shared" ca="1" si="10"/>
        <v>0</v>
      </c>
      <c r="AB17" s="57">
        <f ca="1">IFERROR(__xludf.DUMMYFUNCTION("IMPORTRANGE(""https://docs.google.com/spreadsheets/d/1JWG2rZePOz9pe-f-ObA-yDr0VoOX2kSb0qIix2mTUo8/edit?usp=sharing"",""ตาก!I540"")"),0)</f>
        <v>0</v>
      </c>
      <c r="AC17" s="57">
        <f ca="1">IFERROR(__xludf.DUMMYFUNCTION("IMPORTRANGE(""https://docs.google.com/spreadsheets/d/1JWG2rZePOz9pe-f-ObA-yDr0VoOX2kSb0qIix2mTUo8/edit?usp=sharing"",""ตาก!J540"")"),0)</f>
        <v>0</v>
      </c>
      <c r="AD17" s="63">
        <f t="shared" ca="1" si="12"/>
        <v>0</v>
      </c>
      <c r="AE17" s="140">
        <f ca="1">IFERROR(__xludf.DUMMYFUNCTION("IMPORTRANGE(""https://docs.google.com/spreadsheets/d/1JWG2rZePOz9pe-f-ObA-yDr0VoOX2kSb0qIix2mTUo8/edit?usp=sharing"",""ตาก!I541"")"),0)</f>
        <v>0</v>
      </c>
      <c r="AF17" s="140">
        <f ca="1">IFERROR(__xludf.DUMMYFUNCTION("IMPORTRANGE(""https://docs.google.com/spreadsheets/d/1JWG2rZePOz9pe-f-ObA-yDr0VoOX2kSb0qIix2mTUo8/edit?usp=sharing"",""ตาก!J541"")"),0)</f>
        <v>0</v>
      </c>
      <c r="AG17" s="141">
        <f t="shared" ca="1" si="14"/>
        <v>0</v>
      </c>
      <c r="AH17" s="140">
        <f ca="1">IFERROR(__xludf.DUMMYFUNCTION("IMPORTRANGE(""https://docs.google.com/spreadsheets/d/1JWG2rZePOz9pe-f-ObA-yDr0VoOX2kSb0qIix2mTUo8/edit?usp=sharing"",""ตาก!I542"")"),0)</f>
        <v>0</v>
      </c>
      <c r="AI17" s="140">
        <f ca="1">IFERROR(__xludf.DUMMYFUNCTION("IMPORTRANGE(""https://docs.google.com/spreadsheets/d/1JWG2rZePOz9pe-f-ObA-yDr0VoOX2kSb0qIix2mTUo8/edit?usp=sharing"",""ตาก!J542"")"),0)</f>
        <v>0</v>
      </c>
      <c r="AJ17" s="141">
        <f t="shared" ca="1" si="16"/>
        <v>0</v>
      </c>
    </row>
    <row r="18" spans="1:36" ht="24" customHeight="1" x14ac:dyDescent="0.3">
      <c r="A18" s="54">
        <v>5</v>
      </c>
      <c r="B18" s="55" t="s">
        <v>39</v>
      </c>
      <c r="C18" s="56">
        <f t="shared" ca="1" si="44"/>
        <v>0</v>
      </c>
      <c r="D18" s="57">
        <f ca="1">IFERROR(__xludf.DUMMYFUNCTION("IMPORTRANGE(""https://docs.google.com/spreadsheets/d/10nSRjK08hx8Y6HgSOQKNw81lyY46Zc7U_Cj72hBMp9U/edit?usp=sharing"",""นครสวรรค์!L528"")"),0)</f>
        <v>0</v>
      </c>
      <c r="E18" s="64">
        <f ca="1">IFERROR(__xludf.DUMMYFUNCTION("IMPORTRANGE(""https://docs.google.com/spreadsheets/d/10nSRjK08hx8Y6HgSOQKNw81lyY46Zc7U_Cj72hBMp9U/edit?usp=sharing"",""นครสวรรค์!L535"")"),0)</f>
        <v>0</v>
      </c>
      <c r="F18" s="64">
        <f ca="1">IFERROR(__xludf.DUMMYFUNCTION("IMPORTRANGE(""https://docs.google.com/spreadsheets/d/10nSRjK08hx8Y6HgSOQKNw81lyY46Zc7U_Cj72hBMp9U/edit?usp=sharing"",""นครสวรรค์!M528"")"),0)</f>
        <v>0</v>
      </c>
      <c r="G18" s="64">
        <f ca="1">IFERROR(__xludf.DUMMYFUNCTION("IMPORTRANGE(""https://docs.google.com/spreadsheets/d/10nSRjK08hx8Y6HgSOQKNw81lyY46Zc7U_Cj72hBMp9U/edit?usp=sharing"",""นครสวรรค์!M535"")"),0)</f>
        <v>0</v>
      </c>
      <c r="H18" s="58">
        <f t="shared" ca="1" si="32"/>
        <v>0</v>
      </c>
      <c r="I18" s="59">
        <f t="shared" ca="1" si="1"/>
        <v>0</v>
      </c>
      <c r="J18" s="60">
        <f t="shared" ca="1" si="45"/>
        <v>0</v>
      </c>
      <c r="K18" s="61">
        <f t="shared" ca="1" si="34"/>
        <v>0</v>
      </c>
      <c r="L18" s="61">
        <f t="shared" ca="1" si="35"/>
        <v>0</v>
      </c>
      <c r="M18" s="64">
        <f ca="1">IFERROR(__xludf.DUMMYFUNCTION("IMPORTRANGE(""https://docs.google.com/spreadsheets/d/10nSRjK08hx8Y6HgSOQKNw81lyY46Zc7U_Cj72hBMp9U/edit?usp=sharing"",""นครสวรรค์!N529"")"),0)</f>
        <v>0</v>
      </c>
      <c r="N18" s="64">
        <f ca="1">IFERROR(__xludf.DUMMYFUNCTION("IMPORTRANGE(""https://docs.google.com/spreadsheets/d/10nSRjK08hx8Y6HgSOQKNw81lyY46Zc7U_Cj72hBMp9U/edit?usp=sharing"",""นครสวรรค์!N530"")"),0)</f>
        <v>0</v>
      </c>
      <c r="O18" s="64">
        <f ca="1">IFERROR(__xludf.DUMMYFUNCTION("IMPORTRANGE(""https://docs.google.com/spreadsheets/d/10nSRjK08hx8Y6HgSOQKNw81lyY46Zc7U_Cj72hBMp9U/edit?usp=sharing"",""นครสวรรค์!N531"")"),0)</f>
        <v>0</v>
      </c>
      <c r="P18" s="64">
        <f ca="1">IFERROR(__xludf.DUMMYFUNCTION("IMPORTRANGE(""https://docs.google.com/spreadsheets/d/10nSRjK08hx8Y6HgSOQKNw81lyY46Zc7U_Cj72hBMp9U/edit?usp=sharing"",""นครสวรรค์!N532"")"),0)</f>
        <v>0</v>
      </c>
      <c r="Q18" s="62">
        <f ca="1">IFERROR(__xludf.DUMMYFUNCTION("IMPORTRANGE(""https://docs.google.com/spreadsheets/d/10nSRjK08hx8Y6HgSOQKNw81lyY46Zc7U_Cj72hBMp9U/edit?usp=sharing"",""นครสวรรค์!N535"")"),0)</f>
        <v>0</v>
      </c>
      <c r="R18" s="62">
        <f t="shared" ca="1" si="37"/>
        <v>0</v>
      </c>
      <c r="S18" s="57">
        <f ca="1">IFERROR(__xludf.DUMMYFUNCTION("IMPORTRANGE(""https://docs.google.com/spreadsheets/d/10nSRjK08hx8Y6HgSOQKNw81lyY46Zc7U_Cj72hBMp9U/edit?usp=sharing"",""นครสวรรค์!I537"")"),0)</f>
        <v>0</v>
      </c>
      <c r="T18" s="57">
        <f ca="1">IFERROR(__xludf.DUMMYFUNCTION("IMPORTRANGE(""https://docs.google.com/spreadsheets/d/10nSRjK08hx8Y6HgSOQKNw81lyY46Zc7U_Cj72hBMp9U/edit?usp=sharing"",""นครสวรรค์!J537"")"),0)</f>
        <v>0</v>
      </c>
      <c r="U18" s="63">
        <f t="shared" ca="1" si="6"/>
        <v>0</v>
      </c>
      <c r="V18" s="57">
        <f ca="1">IFERROR(__xludf.DUMMYFUNCTION("IMPORTRANGE(""https://docs.google.com/spreadsheets/d/10nSRjK08hx8Y6HgSOQKNw81lyY46Zc7U_Cj72hBMp9U/edit?usp=sharing"",""นครสวรรค์!I538"")"),0)</f>
        <v>0</v>
      </c>
      <c r="W18" s="57">
        <f ca="1">IFERROR(__xludf.DUMMYFUNCTION("IMPORTRANGE(""https://docs.google.com/spreadsheets/d/10nSRjK08hx8Y6HgSOQKNw81lyY46Zc7U_Cj72hBMp9U/edit?usp=sharing"",""นครสวรรค์!J538"")"),0)</f>
        <v>0</v>
      </c>
      <c r="X18" s="63">
        <f t="shared" ca="1" si="8"/>
        <v>0</v>
      </c>
      <c r="Y18" s="57">
        <f ca="1">IFERROR(__xludf.DUMMYFUNCTION("IMPORTRANGE(""https://docs.google.com/spreadsheets/d/10nSRjK08hx8Y6HgSOQKNw81lyY46Zc7U_Cj72hBMp9U/edit?usp=sharing"",""นครสวรรค์!I539"")"),0)</f>
        <v>0</v>
      </c>
      <c r="Z18" s="57">
        <f ca="1">IFERROR(__xludf.DUMMYFUNCTION("IMPORTRANGE(""https://docs.google.com/spreadsheets/d/10nSRjK08hx8Y6HgSOQKNw81lyY46Zc7U_Cj72hBMp9U/edit?usp=sharing"",""นครสวรรค์!J539"")"),0)</f>
        <v>0</v>
      </c>
      <c r="AA18" s="63">
        <f t="shared" ca="1" si="10"/>
        <v>0</v>
      </c>
      <c r="AB18" s="57">
        <f ca="1">IFERROR(__xludf.DUMMYFUNCTION("IMPORTRANGE(""https://docs.google.com/spreadsheets/d/10nSRjK08hx8Y6HgSOQKNw81lyY46Zc7U_Cj72hBMp9U/edit?usp=sharing"",""นครสวรรค์!I540"")"),0)</f>
        <v>0</v>
      </c>
      <c r="AC18" s="57">
        <f ca="1">IFERROR(__xludf.DUMMYFUNCTION("IMPORTRANGE(""https://docs.google.com/spreadsheets/d/10nSRjK08hx8Y6HgSOQKNw81lyY46Zc7U_Cj72hBMp9U/edit?usp=sharing"",""นครสวรรค์!J540"")"),0)</f>
        <v>0</v>
      </c>
      <c r="AD18" s="63">
        <f t="shared" ca="1" si="12"/>
        <v>0</v>
      </c>
      <c r="AE18" s="140">
        <f ca="1">IFERROR(__xludf.DUMMYFUNCTION("IMPORTRANGE(""https://docs.google.com/spreadsheets/d/10nSRjK08hx8Y6HgSOQKNw81lyY46Zc7U_Cj72hBMp9U/edit?usp=sharing"",""นครสวรรค์!I541"")"),0)</f>
        <v>0</v>
      </c>
      <c r="AF18" s="140">
        <f ca="1">IFERROR(__xludf.DUMMYFUNCTION("IMPORTRANGE(""https://docs.google.com/spreadsheets/d/10nSRjK08hx8Y6HgSOQKNw81lyY46Zc7U_Cj72hBMp9U/edit?usp=sharing"",""นครสวรรค์!J541"")"),0)</f>
        <v>0</v>
      </c>
      <c r="AG18" s="141">
        <f t="shared" ca="1" si="14"/>
        <v>0</v>
      </c>
      <c r="AH18" s="140">
        <f ca="1">IFERROR(__xludf.DUMMYFUNCTION("IMPORTRANGE(""https://docs.google.com/spreadsheets/d/10nSRjK08hx8Y6HgSOQKNw81lyY46Zc7U_Cj72hBMp9U/edit?usp=sharing"",""นครสวรรค์!I542"")"),0)</f>
        <v>0</v>
      </c>
      <c r="AI18" s="140">
        <f ca="1">IFERROR(__xludf.DUMMYFUNCTION("IMPORTRANGE(""https://docs.google.com/spreadsheets/d/10nSRjK08hx8Y6HgSOQKNw81lyY46Zc7U_Cj72hBMp9U/edit?usp=sharing"",""นครสวรรค์!J542"")"),0)</f>
        <v>0</v>
      </c>
      <c r="AJ18" s="141">
        <f t="shared" ca="1" si="16"/>
        <v>0</v>
      </c>
    </row>
    <row r="19" spans="1:36" ht="24" customHeight="1" x14ac:dyDescent="0.3">
      <c r="A19" s="54">
        <v>6</v>
      </c>
      <c r="B19" s="55" t="s">
        <v>40</v>
      </c>
      <c r="C19" s="56">
        <f t="shared" ca="1" si="44"/>
        <v>0</v>
      </c>
      <c r="D19" s="57">
        <f ca="1">IFERROR(__xludf.DUMMYFUNCTION("IMPORTRANGE(""https://docs.google.com/spreadsheets/d/1gFVb7qd7amutrIxAAoM7lcy35hllxznovot8lyOfvDo/edit?usp=sharing"",""น่าน!L528"")"),0)</f>
        <v>0</v>
      </c>
      <c r="E19" s="64">
        <f ca="1">IFERROR(__xludf.DUMMYFUNCTION("IMPORTRANGE(""https://docs.google.com/spreadsheets/d/1gFVb7qd7amutrIxAAoM7lcy35hllxznovot8lyOfvDo/edit?usp=sharing"",""น่าน!L535"")"),0)</f>
        <v>0</v>
      </c>
      <c r="F19" s="64">
        <f ca="1">IFERROR(__xludf.DUMMYFUNCTION("IMPORTRANGE(""https://docs.google.com/spreadsheets/d/1gFVb7qd7amutrIxAAoM7lcy35hllxznovot8lyOfvDo/edit?usp=sharing"",""น่าน!M528"")"),0)</f>
        <v>0</v>
      </c>
      <c r="G19" s="64">
        <f ca="1">IFERROR(__xludf.DUMMYFUNCTION("IMPORTRANGE(""https://docs.google.com/spreadsheets/d/1gFVb7qd7amutrIxAAoM7lcy35hllxznovot8lyOfvDo/edit?usp=sharing"",""น่าน!M535"")"),0)</f>
        <v>0</v>
      </c>
      <c r="H19" s="58">
        <f t="shared" ca="1" si="32"/>
        <v>0</v>
      </c>
      <c r="I19" s="59">
        <f t="shared" ca="1" si="1"/>
        <v>0</v>
      </c>
      <c r="J19" s="60">
        <f t="shared" ca="1" si="45"/>
        <v>0</v>
      </c>
      <c r="K19" s="61">
        <f t="shared" ca="1" si="34"/>
        <v>0</v>
      </c>
      <c r="L19" s="61">
        <f t="shared" ca="1" si="35"/>
        <v>0</v>
      </c>
      <c r="M19" s="64">
        <f ca="1">IFERROR(__xludf.DUMMYFUNCTION("IMPORTRANGE(""https://docs.google.com/spreadsheets/d/1gFVb7qd7amutrIxAAoM7lcy35hllxznovot8lyOfvDo/edit?usp=sharing"",""น่าน!N529"")"),0)</f>
        <v>0</v>
      </c>
      <c r="N19" s="64">
        <f ca="1">IFERROR(__xludf.DUMMYFUNCTION("IMPORTRANGE(""https://docs.google.com/spreadsheets/d/1gFVb7qd7amutrIxAAoM7lcy35hllxznovot8lyOfvDo/edit?usp=sharing"",""น่าน!N530"")"),0)</f>
        <v>0</v>
      </c>
      <c r="O19" s="64">
        <f ca="1">IFERROR(__xludf.DUMMYFUNCTION("IMPORTRANGE(""https://docs.google.com/spreadsheets/d/1gFVb7qd7amutrIxAAoM7lcy35hllxznovot8lyOfvDo/edit?usp=sharing"",""น่าน!N531"")"),0)</f>
        <v>0</v>
      </c>
      <c r="P19" s="64">
        <f ca="1">IFERROR(__xludf.DUMMYFUNCTION("IMPORTRANGE(""https://docs.google.com/spreadsheets/d/1gFVb7qd7amutrIxAAoM7lcy35hllxznovot8lyOfvDo/edit?usp=sharing"",""น่าน!N532"")"),0)</f>
        <v>0</v>
      </c>
      <c r="Q19" s="62">
        <f ca="1">IFERROR(__xludf.DUMMYFUNCTION("IMPORTRANGE(""https://docs.google.com/spreadsheets/d/1gFVb7qd7amutrIxAAoM7lcy35hllxznovot8lyOfvDo/edit?usp=sharing"",""น่าน!N535"")"),0)</f>
        <v>0</v>
      </c>
      <c r="R19" s="62">
        <f t="shared" ca="1" si="37"/>
        <v>0</v>
      </c>
      <c r="S19" s="57">
        <f ca="1">IFERROR(__xludf.DUMMYFUNCTION("IMPORTRANGE(""https://docs.google.com/spreadsheets/d/1gFVb7qd7amutrIxAAoM7lcy35hllxznovot8lyOfvDo/edit?usp=sharing"",""น่าน!I537"")"),0)</f>
        <v>0</v>
      </c>
      <c r="T19" s="57">
        <f ca="1">IFERROR(__xludf.DUMMYFUNCTION("IMPORTRANGE(""https://docs.google.com/spreadsheets/d/1gFVb7qd7amutrIxAAoM7lcy35hllxznovot8lyOfvDo/edit?usp=sharing"",""น่าน!J537"")"),0)</f>
        <v>0</v>
      </c>
      <c r="U19" s="63">
        <f t="shared" ca="1" si="6"/>
        <v>0</v>
      </c>
      <c r="V19" s="57">
        <f ca="1">IFERROR(__xludf.DUMMYFUNCTION("IMPORTRANGE(""https://docs.google.com/spreadsheets/d/1gFVb7qd7amutrIxAAoM7lcy35hllxznovot8lyOfvDo/edit?usp=sharing"",""น่าน!I538"")"),0)</f>
        <v>0</v>
      </c>
      <c r="W19" s="57">
        <f ca="1">IFERROR(__xludf.DUMMYFUNCTION("IMPORTRANGE(""https://docs.google.com/spreadsheets/d/1gFVb7qd7amutrIxAAoM7lcy35hllxznovot8lyOfvDo/edit?usp=sharing"",""น่าน!J538"")"),0)</f>
        <v>0</v>
      </c>
      <c r="X19" s="63">
        <f t="shared" ca="1" si="8"/>
        <v>0</v>
      </c>
      <c r="Y19" s="57">
        <f ca="1">IFERROR(__xludf.DUMMYFUNCTION("IMPORTRANGE(""https://docs.google.com/spreadsheets/d/1gFVb7qd7amutrIxAAoM7lcy35hllxznovot8lyOfvDo/edit?usp=sharing"",""น่าน!I539"")"),0)</f>
        <v>0</v>
      </c>
      <c r="Z19" s="57">
        <f ca="1">IFERROR(__xludf.DUMMYFUNCTION("IMPORTRANGE(""https://docs.google.com/spreadsheets/d/1gFVb7qd7amutrIxAAoM7lcy35hllxznovot8lyOfvDo/edit?usp=sharing"",""น่าน!J539"")"),0)</f>
        <v>0</v>
      </c>
      <c r="AA19" s="63">
        <f t="shared" ca="1" si="10"/>
        <v>0</v>
      </c>
      <c r="AB19" s="57">
        <f ca="1">IFERROR(__xludf.DUMMYFUNCTION("IMPORTRANGE(""https://docs.google.com/spreadsheets/d/1gFVb7qd7amutrIxAAoM7lcy35hllxznovot8lyOfvDo/edit?usp=sharing"",""น่าน!I540"")"),0)</f>
        <v>0</v>
      </c>
      <c r="AC19" s="57">
        <f ca="1">IFERROR(__xludf.DUMMYFUNCTION("IMPORTRANGE(""https://docs.google.com/spreadsheets/d/1gFVb7qd7amutrIxAAoM7lcy35hllxznovot8lyOfvDo/edit?usp=sharing"",""น่าน!J540"")"),0)</f>
        <v>0</v>
      </c>
      <c r="AD19" s="63">
        <f t="shared" ca="1" si="12"/>
        <v>0</v>
      </c>
      <c r="AE19" s="140">
        <f ca="1">IFERROR(__xludf.DUMMYFUNCTION("IMPORTRANGE(""https://docs.google.com/spreadsheets/d/1gFVb7qd7amutrIxAAoM7lcy35hllxznovot8lyOfvDo/edit?usp=sharing"",""น่าน!I541"")"),0)</f>
        <v>0</v>
      </c>
      <c r="AF19" s="140">
        <f ca="1">IFERROR(__xludf.DUMMYFUNCTION("IMPORTRANGE(""https://docs.google.com/spreadsheets/d/1gFVb7qd7amutrIxAAoM7lcy35hllxznovot8lyOfvDo/edit?usp=sharing"",""น่าน!J541"")"),0)</f>
        <v>0</v>
      </c>
      <c r="AG19" s="141">
        <f t="shared" ca="1" si="14"/>
        <v>0</v>
      </c>
      <c r="AH19" s="140">
        <f ca="1">IFERROR(__xludf.DUMMYFUNCTION("IMPORTRANGE(""https://docs.google.com/spreadsheets/d/1gFVb7qd7amutrIxAAoM7lcy35hllxznovot8lyOfvDo/edit?usp=sharing"",""น่าน!I542"")"),0)</f>
        <v>0</v>
      </c>
      <c r="AI19" s="140">
        <f ca="1">IFERROR(__xludf.DUMMYFUNCTION("IMPORTRANGE(""https://docs.google.com/spreadsheets/d/1gFVb7qd7amutrIxAAoM7lcy35hllxznovot8lyOfvDo/edit?usp=sharing"",""น่าน!J542"")"),0)</f>
        <v>0</v>
      </c>
      <c r="AJ19" s="141">
        <f t="shared" ca="1" si="16"/>
        <v>0</v>
      </c>
    </row>
    <row r="20" spans="1:36" ht="24" customHeight="1" x14ac:dyDescent="0.3">
      <c r="A20" s="54">
        <v>7</v>
      </c>
      <c r="B20" s="55" t="s">
        <v>41</v>
      </c>
      <c r="C20" s="56">
        <f t="shared" ca="1" si="44"/>
        <v>0</v>
      </c>
      <c r="D20" s="57">
        <f ca="1">IFERROR(__xludf.DUMMYFUNCTION("IMPORTRANGE(""https://docs.google.com/spreadsheets/d/1K0Aa9s-6EuHE5M0FG1F9aHLXRCOV917xvycTdLdct0w/edit?usp=sharing"",""พะเยา!L528"")"),0)</f>
        <v>0</v>
      </c>
      <c r="E20" s="64">
        <f ca="1">IFERROR(__xludf.DUMMYFUNCTION("IMPORTRANGE(""https://docs.google.com/spreadsheets/d/1K0Aa9s-6EuHE5M0FG1F9aHLXRCOV917xvycTdLdct0w/edit?usp=sharing"",""พะเยา!L535"")"),0)</f>
        <v>0</v>
      </c>
      <c r="F20" s="64">
        <f ca="1">IFERROR(__xludf.DUMMYFUNCTION("IMPORTRANGE(""https://docs.google.com/spreadsheets/d/1K0Aa9s-6EuHE5M0FG1F9aHLXRCOV917xvycTdLdct0w/edit?usp=sharing"",""พะเยา!M528"")"),0)</f>
        <v>0</v>
      </c>
      <c r="G20" s="64">
        <f ca="1">IFERROR(__xludf.DUMMYFUNCTION("IMPORTRANGE(""https://docs.google.com/spreadsheets/d/1K0Aa9s-6EuHE5M0FG1F9aHLXRCOV917xvycTdLdct0w/edit?usp=sharing"",""พะเยา!M535"")"),0)</f>
        <v>0</v>
      </c>
      <c r="H20" s="58">
        <f t="shared" ca="1" si="32"/>
        <v>0</v>
      </c>
      <c r="I20" s="59">
        <f t="shared" ca="1" si="1"/>
        <v>0</v>
      </c>
      <c r="J20" s="60">
        <f t="shared" ca="1" si="45"/>
        <v>0</v>
      </c>
      <c r="K20" s="61">
        <f t="shared" ca="1" si="34"/>
        <v>0</v>
      </c>
      <c r="L20" s="61">
        <f t="shared" ca="1" si="35"/>
        <v>0</v>
      </c>
      <c r="M20" s="64">
        <f ca="1">IFERROR(__xludf.DUMMYFUNCTION("IMPORTRANGE(""https://docs.google.com/spreadsheets/d/1K0Aa9s-6EuHE5M0FG1F9aHLXRCOV917xvycTdLdct0w/edit?usp=sharing"",""พะเยา!N529"")"),0)</f>
        <v>0</v>
      </c>
      <c r="N20" s="64">
        <f ca="1">IFERROR(__xludf.DUMMYFUNCTION("IMPORTRANGE(""https://docs.google.com/spreadsheets/d/1K0Aa9s-6EuHE5M0FG1F9aHLXRCOV917xvycTdLdct0w/edit?usp=sharing"",""พะเยา!N530"")"),0)</f>
        <v>0</v>
      </c>
      <c r="O20" s="64">
        <f ca="1">IFERROR(__xludf.DUMMYFUNCTION("IMPORTRANGE(""https://docs.google.com/spreadsheets/d/1K0Aa9s-6EuHE5M0FG1F9aHLXRCOV917xvycTdLdct0w/edit?usp=sharing"",""พะเยา!N531"")"),0)</f>
        <v>0</v>
      </c>
      <c r="P20" s="64">
        <f ca="1">IFERROR(__xludf.DUMMYFUNCTION("IMPORTRANGE(""https://docs.google.com/spreadsheets/d/1K0Aa9s-6EuHE5M0FG1F9aHLXRCOV917xvycTdLdct0w/edit?usp=sharing"",""พะเยา!N532"")"),0)</f>
        <v>0</v>
      </c>
      <c r="Q20" s="62">
        <f ca="1">IFERROR(__xludf.DUMMYFUNCTION("IMPORTRANGE(""https://docs.google.com/spreadsheets/d/1K0Aa9s-6EuHE5M0FG1F9aHLXRCOV917xvycTdLdct0w/edit?usp=sharing"",""พะเยา!N535"")"),0)</f>
        <v>0</v>
      </c>
      <c r="R20" s="62">
        <f t="shared" ca="1" si="37"/>
        <v>0</v>
      </c>
      <c r="S20" s="57">
        <f ca="1">IFERROR(__xludf.DUMMYFUNCTION("IMPORTRANGE(""https://docs.google.com/spreadsheets/d/1K0Aa9s-6EuHE5M0FG1F9aHLXRCOV917xvycTdLdct0w/edit?usp=sharing"",""พะเยา!I537"")"),0)</f>
        <v>0</v>
      </c>
      <c r="T20" s="57">
        <f ca="1">IFERROR(__xludf.DUMMYFUNCTION("IMPORTRANGE(""https://docs.google.com/spreadsheets/d/1K0Aa9s-6EuHE5M0FG1F9aHLXRCOV917xvycTdLdct0w/edit?usp=sharing"",""พะเยา!J537"")"),0)</f>
        <v>0</v>
      </c>
      <c r="U20" s="63">
        <f t="shared" ca="1" si="6"/>
        <v>0</v>
      </c>
      <c r="V20" s="57">
        <f ca="1">IFERROR(__xludf.DUMMYFUNCTION("IMPORTRANGE(""https://docs.google.com/spreadsheets/d/1K0Aa9s-6EuHE5M0FG1F9aHLXRCOV917xvycTdLdct0w/edit?usp=sharing"",""พะเยา!I538"")"),0)</f>
        <v>0</v>
      </c>
      <c r="W20" s="57">
        <f ca="1">IFERROR(__xludf.DUMMYFUNCTION("IMPORTRANGE(""https://docs.google.com/spreadsheets/d/1K0Aa9s-6EuHE5M0FG1F9aHLXRCOV917xvycTdLdct0w/edit?usp=sharing"",""พะเยา!J538"")"),0)</f>
        <v>0</v>
      </c>
      <c r="X20" s="63">
        <f t="shared" ca="1" si="8"/>
        <v>0</v>
      </c>
      <c r="Y20" s="57">
        <f ca="1">IFERROR(__xludf.DUMMYFUNCTION("IMPORTRANGE(""https://docs.google.com/spreadsheets/d/1K0Aa9s-6EuHE5M0FG1F9aHLXRCOV917xvycTdLdct0w/edit?usp=sharing"",""พะเยา!I539"")"),0)</f>
        <v>0</v>
      </c>
      <c r="Z20" s="57">
        <f ca="1">IFERROR(__xludf.DUMMYFUNCTION("IMPORTRANGE(""https://docs.google.com/spreadsheets/d/1K0Aa9s-6EuHE5M0FG1F9aHLXRCOV917xvycTdLdct0w/edit?usp=sharing"",""พะเยา!J539"")"),0)</f>
        <v>0</v>
      </c>
      <c r="AA20" s="63">
        <f t="shared" ca="1" si="10"/>
        <v>0</v>
      </c>
      <c r="AB20" s="57">
        <f ca="1">IFERROR(__xludf.DUMMYFUNCTION("IMPORTRANGE(""https://docs.google.com/spreadsheets/d/1K0Aa9s-6EuHE5M0FG1F9aHLXRCOV917xvycTdLdct0w/edit?usp=sharing"",""พะเยา!I540"")"),0)</f>
        <v>0</v>
      </c>
      <c r="AC20" s="57">
        <f ca="1">IFERROR(__xludf.DUMMYFUNCTION("IMPORTRANGE(""https://docs.google.com/spreadsheets/d/1K0Aa9s-6EuHE5M0FG1F9aHLXRCOV917xvycTdLdct0w/edit?usp=sharing"",""พะเยา!J540"")"),0)</f>
        <v>0</v>
      </c>
      <c r="AD20" s="63">
        <f t="shared" ca="1" si="12"/>
        <v>0</v>
      </c>
      <c r="AE20" s="140">
        <f ca="1">IFERROR(__xludf.DUMMYFUNCTION("IMPORTRANGE(""https://docs.google.com/spreadsheets/d/1K0Aa9s-6EuHE5M0FG1F9aHLXRCOV917xvycTdLdct0w/edit?usp=sharing"",""พะเยา!I541"")"),0)</f>
        <v>0</v>
      </c>
      <c r="AF20" s="140">
        <f ca="1">IFERROR(__xludf.DUMMYFUNCTION("IMPORTRANGE(""https://docs.google.com/spreadsheets/d/1K0Aa9s-6EuHE5M0FG1F9aHLXRCOV917xvycTdLdct0w/edit?usp=sharing"",""พะเยา!J541"")"),0)</f>
        <v>0</v>
      </c>
      <c r="AG20" s="141">
        <f t="shared" ca="1" si="14"/>
        <v>0</v>
      </c>
      <c r="AH20" s="140">
        <f ca="1">IFERROR(__xludf.DUMMYFUNCTION("IMPORTRANGE(""https://docs.google.com/spreadsheets/d/1K0Aa9s-6EuHE5M0FG1F9aHLXRCOV917xvycTdLdct0w/edit?usp=sharing"",""พะเยา!I542"")"),0)</f>
        <v>0</v>
      </c>
      <c r="AI20" s="140">
        <f ca="1">IFERROR(__xludf.DUMMYFUNCTION("IMPORTRANGE(""https://docs.google.com/spreadsheets/d/1K0Aa9s-6EuHE5M0FG1F9aHLXRCOV917xvycTdLdct0w/edit?usp=sharing"",""พะเยา!J542"")"),0)</f>
        <v>0</v>
      </c>
      <c r="AJ20" s="141">
        <f t="shared" ca="1" si="16"/>
        <v>0</v>
      </c>
    </row>
    <row r="21" spans="1:36" ht="24" customHeight="1" x14ac:dyDescent="0.3">
      <c r="A21" s="54">
        <v>8</v>
      </c>
      <c r="B21" s="55" t="s">
        <v>42</v>
      </c>
      <c r="C21" s="56">
        <f t="shared" ca="1" si="44"/>
        <v>0</v>
      </c>
      <c r="D21" s="57">
        <f ca="1">IFERROR(__xludf.DUMMYFUNCTION("IMPORTRANGE(""https://docs.google.com/spreadsheets/d/1Y9LPKx95PyL5OKy09d-KbKJSuuEZCFdkhYjwC0XQjBA/edit?usp=sharing"",""พิจิตร!L528"")"),0)</f>
        <v>0</v>
      </c>
      <c r="E21" s="64">
        <f ca="1">IFERROR(__xludf.DUMMYFUNCTION("IMPORTRANGE(""https://docs.google.com/spreadsheets/d/1Y9LPKx95PyL5OKy09d-KbKJSuuEZCFdkhYjwC0XQjBA/edit?usp=sharing"",""พิจิตร!L535"")"),0)</f>
        <v>0</v>
      </c>
      <c r="F21" s="64">
        <f ca="1">IFERROR(__xludf.DUMMYFUNCTION("IMPORTRANGE(""https://docs.google.com/spreadsheets/d/1Y9LPKx95PyL5OKy09d-KbKJSuuEZCFdkhYjwC0XQjBA/edit?usp=sharing"",""พิจิตร!M528"")"),0)</f>
        <v>0</v>
      </c>
      <c r="G21" s="64">
        <f ca="1">IFERROR(__xludf.DUMMYFUNCTION("IMPORTRANGE(""https://docs.google.com/spreadsheets/d/1Y9LPKx95PyL5OKy09d-KbKJSuuEZCFdkhYjwC0XQjBA/edit?usp=sharing"",""พิจิตร!M535"")"),0)</f>
        <v>0</v>
      </c>
      <c r="H21" s="58">
        <f t="shared" ca="1" si="32"/>
        <v>0</v>
      </c>
      <c r="I21" s="59">
        <f t="shared" ca="1" si="1"/>
        <v>0</v>
      </c>
      <c r="J21" s="60">
        <f t="shared" ca="1" si="45"/>
        <v>0</v>
      </c>
      <c r="K21" s="61">
        <f t="shared" ca="1" si="34"/>
        <v>0</v>
      </c>
      <c r="L21" s="61">
        <f t="shared" ca="1" si="35"/>
        <v>0</v>
      </c>
      <c r="M21" s="64">
        <f ca="1">IFERROR(__xludf.DUMMYFUNCTION("IMPORTRANGE(""https://docs.google.com/spreadsheets/d/1Y9LPKx95PyL5OKy09d-KbKJSuuEZCFdkhYjwC0XQjBA/edit?usp=sharing"",""พิจิตร!N529"")"),0)</f>
        <v>0</v>
      </c>
      <c r="N21" s="64">
        <f ca="1">IFERROR(__xludf.DUMMYFUNCTION("IMPORTRANGE(""https://docs.google.com/spreadsheets/d/1Y9LPKx95PyL5OKy09d-KbKJSuuEZCFdkhYjwC0XQjBA/edit?usp=sharing"",""พิจิตร!N530"")"),0)</f>
        <v>0</v>
      </c>
      <c r="O21" s="64">
        <f ca="1">IFERROR(__xludf.DUMMYFUNCTION("IMPORTRANGE(""https://docs.google.com/spreadsheets/d/1Y9LPKx95PyL5OKy09d-KbKJSuuEZCFdkhYjwC0XQjBA/edit?usp=sharing"",""พิจิตร!N531"")"),0)</f>
        <v>0</v>
      </c>
      <c r="P21" s="64">
        <f ca="1">IFERROR(__xludf.DUMMYFUNCTION("IMPORTRANGE(""https://docs.google.com/spreadsheets/d/1Y9LPKx95PyL5OKy09d-KbKJSuuEZCFdkhYjwC0XQjBA/edit?usp=sharing"",""พิจิตร!N532"")"),0)</f>
        <v>0</v>
      </c>
      <c r="Q21" s="62">
        <f ca="1">IFERROR(__xludf.DUMMYFUNCTION("IMPORTRANGE(""https://docs.google.com/spreadsheets/d/1Y9LPKx95PyL5OKy09d-KbKJSuuEZCFdkhYjwC0XQjBA/edit?usp=sharing"",""พิจิตร!N535"")"),0)</f>
        <v>0</v>
      </c>
      <c r="R21" s="62">
        <f t="shared" ca="1" si="37"/>
        <v>0</v>
      </c>
      <c r="S21" s="57">
        <f ca="1">IFERROR(__xludf.DUMMYFUNCTION("IMPORTRANGE(""https://docs.google.com/spreadsheets/d/1Y9LPKx95PyL5OKy09d-KbKJSuuEZCFdkhYjwC0XQjBA/edit?usp=sharing"",""พิจิตร!I537"")"),0)</f>
        <v>0</v>
      </c>
      <c r="T21" s="57">
        <f ca="1">IFERROR(__xludf.DUMMYFUNCTION("IMPORTRANGE(""https://docs.google.com/spreadsheets/d/1Y9LPKx95PyL5OKy09d-KbKJSuuEZCFdkhYjwC0XQjBA/edit?usp=sharing"",""พิจิตร!J537"")"),0)</f>
        <v>0</v>
      </c>
      <c r="U21" s="63">
        <f t="shared" ca="1" si="6"/>
        <v>0</v>
      </c>
      <c r="V21" s="57">
        <f ca="1">IFERROR(__xludf.DUMMYFUNCTION("IMPORTRANGE(""https://docs.google.com/spreadsheets/d/1Y9LPKx95PyL5OKy09d-KbKJSuuEZCFdkhYjwC0XQjBA/edit?usp=sharing"",""พิจิตร!I538"")"),0)</f>
        <v>0</v>
      </c>
      <c r="W21" s="57">
        <f ca="1">IFERROR(__xludf.DUMMYFUNCTION("IMPORTRANGE(""https://docs.google.com/spreadsheets/d/1Y9LPKx95PyL5OKy09d-KbKJSuuEZCFdkhYjwC0XQjBA/edit?usp=sharing"",""พิจิตร!J538"")"),0)</f>
        <v>0</v>
      </c>
      <c r="X21" s="63">
        <f t="shared" ca="1" si="8"/>
        <v>0</v>
      </c>
      <c r="Y21" s="57">
        <f ca="1">IFERROR(__xludf.DUMMYFUNCTION("IMPORTRANGE(""https://docs.google.com/spreadsheets/d/1Y9LPKx95PyL5OKy09d-KbKJSuuEZCFdkhYjwC0XQjBA/edit?usp=sharing"",""พิจิตร!I539"")"),0)</f>
        <v>0</v>
      </c>
      <c r="Z21" s="57">
        <f ca="1">IFERROR(__xludf.DUMMYFUNCTION("IMPORTRANGE(""https://docs.google.com/spreadsheets/d/1Y9LPKx95PyL5OKy09d-KbKJSuuEZCFdkhYjwC0XQjBA/edit?usp=sharing"",""พิจิตร!J539"")"),0)</f>
        <v>0</v>
      </c>
      <c r="AA21" s="63">
        <f t="shared" ca="1" si="10"/>
        <v>0</v>
      </c>
      <c r="AB21" s="57">
        <f ca="1">IFERROR(__xludf.DUMMYFUNCTION("IMPORTRANGE(""https://docs.google.com/spreadsheets/d/1Y9LPKx95PyL5OKy09d-KbKJSuuEZCFdkhYjwC0XQjBA/edit?usp=sharing"",""พิจิตร!I540"")"),0)</f>
        <v>0</v>
      </c>
      <c r="AC21" s="57">
        <f ca="1">IFERROR(__xludf.DUMMYFUNCTION("IMPORTRANGE(""https://docs.google.com/spreadsheets/d/1Y9LPKx95PyL5OKy09d-KbKJSuuEZCFdkhYjwC0XQjBA/edit?usp=sharing"",""พิจิตร!J540"")"),0)</f>
        <v>0</v>
      </c>
      <c r="AD21" s="63">
        <f t="shared" ca="1" si="12"/>
        <v>0</v>
      </c>
      <c r="AE21" s="140">
        <f ca="1">IFERROR(__xludf.DUMMYFUNCTION("IMPORTRANGE(""https://docs.google.com/spreadsheets/d/1Y9LPKx95PyL5OKy09d-KbKJSuuEZCFdkhYjwC0XQjBA/edit?usp=sharing"",""พิจิตร!I541"")"),0)</f>
        <v>0</v>
      </c>
      <c r="AF21" s="140">
        <f ca="1">IFERROR(__xludf.DUMMYFUNCTION("IMPORTRANGE(""https://docs.google.com/spreadsheets/d/1Y9LPKx95PyL5OKy09d-KbKJSuuEZCFdkhYjwC0XQjBA/edit?usp=sharing"",""พิจิตร!J541"")"),0)</f>
        <v>0</v>
      </c>
      <c r="AG21" s="141">
        <f t="shared" ca="1" si="14"/>
        <v>0</v>
      </c>
      <c r="AH21" s="140">
        <f ca="1">IFERROR(__xludf.DUMMYFUNCTION("IMPORTRANGE(""https://docs.google.com/spreadsheets/d/1Y9LPKx95PyL5OKy09d-KbKJSuuEZCFdkhYjwC0XQjBA/edit?usp=sharing"",""พิจิตร!I542"")"),0)</f>
        <v>0</v>
      </c>
      <c r="AI21" s="140">
        <f ca="1">IFERROR(__xludf.DUMMYFUNCTION("IMPORTRANGE(""https://docs.google.com/spreadsheets/d/1Y9LPKx95PyL5OKy09d-KbKJSuuEZCFdkhYjwC0XQjBA/edit?usp=sharing"",""พิจิตร!J542"")"),0)</f>
        <v>0</v>
      </c>
      <c r="AJ21" s="141">
        <f t="shared" ca="1" si="16"/>
        <v>0</v>
      </c>
    </row>
    <row r="22" spans="1:36" ht="24" customHeight="1" x14ac:dyDescent="0.3">
      <c r="A22" s="54">
        <v>9</v>
      </c>
      <c r="B22" s="55" t="s">
        <v>43</v>
      </c>
      <c r="C22" s="56">
        <f t="shared" ca="1" si="44"/>
        <v>0</v>
      </c>
      <c r="D22" s="57">
        <f ca="1">IFERROR(__xludf.DUMMYFUNCTION("IMPORTRANGE(""https://docs.google.com/spreadsheets/d/16OMuOwy2eVqZcYWOouQtTpa8X1L23h4660uVHc0C8os/edit?usp=sharing"",""พิษณุโลก!L528"")"),0)</f>
        <v>0</v>
      </c>
      <c r="E22" s="64">
        <f ca="1">IFERROR(__xludf.DUMMYFUNCTION("IMPORTRANGE(""https://docs.google.com/spreadsheets/d/16OMuOwy2eVqZcYWOouQtTpa8X1L23h4660uVHc0C8os/edit?usp=sharing"",""พิษณุโลก!L535"")"),0)</f>
        <v>0</v>
      </c>
      <c r="F22" s="64">
        <f ca="1">IFERROR(__xludf.DUMMYFUNCTION("IMPORTRANGE(""https://docs.google.com/spreadsheets/d/16OMuOwy2eVqZcYWOouQtTpa8X1L23h4660uVHc0C8os/edit?usp=sharing"",""พิษณุโลก!M528"")"),0)</f>
        <v>0</v>
      </c>
      <c r="G22" s="64">
        <f ca="1">IFERROR(__xludf.DUMMYFUNCTION("IMPORTRANGE(""https://docs.google.com/spreadsheets/d/16OMuOwy2eVqZcYWOouQtTpa8X1L23h4660uVHc0C8os/edit?usp=sharing"",""พิษณุโลก!M535"")"),0)</f>
        <v>0</v>
      </c>
      <c r="H22" s="58">
        <f t="shared" ca="1" si="32"/>
        <v>0</v>
      </c>
      <c r="I22" s="59">
        <f t="shared" ca="1" si="1"/>
        <v>0</v>
      </c>
      <c r="J22" s="60">
        <f t="shared" ca="1" si="45"/>
        <v>0</v>
      </c>
      <c r="K22" s="61">
        <f t="shared" ca="1" si="34"/>
        <v>0</v>
      </c>
      <c r="L22" s="61">
        <f t="shared" ca="1" si="35"/>
        <v>0</v>
      </c>
      <c r="M22" s="64">
        <f ca="1">IFERROR(__xludf.DUMMYFUNCTION("IMPORTRANGE(""https://docs.google.com/spreadsheets/d/16OMuOwy2eVqZcYWOouQtTpa8X1L23h4660uVHc0C8os/edit?usp=sharing"",""พิษณุโลก!N529"")"),0)</f>
        <v>0</v>
      </c>
      <c r="N22" s="64">
        <f ca="1">IFERROR(__xludf.DUMMYFUNCTION("IMPORTRANGE(""https://docs.google.com/spreadsheets/d/16OMuOwy2eVqZcYWOouQtTpa8X1L23h4660uVHc0C8os/edit?usp=sharing"",""พิษณุโลก!N530"")"),0)</f>
        <v>0</v>
      </c>
      <c r="O22" s="64">
        <f ca="1">IFERROR(__xludf.DUMMYFUNCTION("IMPORTRANGE(""https://docs.google.com/spreadsheets/d/16OMuOwy2eVqZcYWOouQtTpa8X1L23h4660uVHc0C8os/edit?usp=sharing"",""พิษณุโลก!N531"")"),0)</f>
        <v>0</v>
      </c>
      <c r="P22" s="64">
        <f ca="1">IFERROR(__xludf.DUMMYFUNCTION("IMPORTRANGE(""https://docs.google.com/spreadsheets/d/16OMuOwy2eVqZcYWOouQtTpa8X1L23h4660uVHc0C8os/edit?usp=sharing"",""พิษณุโลก!N532"")"),0)</f>
        <v>0</v>
      </c>
      <c r="Q22" s="62">
        <f ca="1">IFERROR(__xludf.DUMMYFUNCTION("IMPORTRANGE(""https://docs.google.com/spreadsheets/d/16OMuOwy2eVqZcYWOouQtTpa8X1L23h4660uVHc0C8os/edit?usp=sharing"",""พิษณุโลก!N535"")"),0)</f>
        <v>0</v>
      </c>
      <c r="R22" s="62">
        <f t="shared" ca="1" si="37"/>
        <v>0</v>
      </c>
      <c r="S22" s="57">
        <f ca="1">IFERROR(__xludf.DUMMYFUNCTION("IMPORTRANGE(""https://docs.google.com/spreadsheets/d/16OMuOwy2eVqZcYWOouQtTpa8X1L23h4660uVHc0C8os/edit?usp=sharing"",""พิษณุโลก!I537"")"),0)</f>
        <v>0</v>
      </c>
      <c r="T22" s="57">
        <f ca="1">IFERROR(__xludf.DUMMYFUNCTION("IMPORTRANGE(""https://docs.google.com/spreadsheets/d/16OMuOwy2eVqZcYWOouQtTpa8X1L23h4660uVHc0C8os/edit?usp=sharing"",""พิษณุโลก!J537"")"),0)</f>
        <v>0</v>
      </c>
      <c r="U22" s="63">
        <f t="shared" ca="1" si="6"/>
        <v>0</v>
      </c>
      <c r="V22" s="57">
        <f ca="1">IFERROR(__xludf.DUMMYFUNCTION("IMPORTRANGE(""https://docs.google.com/spreadsheets/d/16OMuOwy2eVqZcYWOouQtTpa8X1L23h4660uVHc0C8os/edit?usp=sharing"",""พิษณุโลก!I538"")"),0)</f>
        <v>0</v>
      </c>
      <c r="W22" s="57">
        <f ca="1">IFERROR(__xludf.DUMMYFUNCTION("IMPORTRANGE(""https://docs.google.com/spreadsheets/d/16OMuOwy2eVqZcYWOouQtTpa8X1L23h4660uVHc0C8os/edit?usp=sharing"",""พิษณุโลก!J538"")"),0)</f>
        <v>0</v>
      </c>
      <c r="X22" s="63">
        <f t="shared" ca="1" si="8"/>
        <v>0</v>
      </c>
      <c r="Y22" s="57">
        <f ca="1">IFERROR(__xludf.DUMMYFUNCTION("IMPORTRANGE(""https://docs.google.com/spreadsheets/d/16OMuOwy2eVqZcYWOouQtTpa8X1L23h4660uVHc0C8os/edit?usp=sharing"",""พิษณุโลก!I539"")"),0)</f>
        <v>0</v>
      </c>
      <c r="Z22" s="57">
        <f ca="1">IFERROR(__xludf.DUMMYFUNCTION("IMPORTRANGE(""https://docs.google.com/spreadsheets/d/16OMuOwy2eVqZcYWOouQtTpa8X1L23h4660uVHc0C8os/edit?usp=sharing"",""พิษณุโลก!J539"")"),0)</f>
        <v>0</v>
      </c>
      <c r="AA22" s="63">
        <f t="shared" ca="1" si="10"/>
        <v>0</v>
      </c>
      <c r="AB22" s="57">
        <f ca="1">IFERROR(__xludf.DUMMYFUNCTION("IMPORTRANGE(""https://docs.google.com/spreadsheets/d/16OMuOwy2eVqZcYWOouQtTpa8X1L23h4660uVHc0C8os/edit?usp=sharing"",""พิษณุโลก!I540"")"),0)</f>
        <v>0</v>
      </c>
      <c r="AC22" s="57">
        <f ca="1">IFERROR(__xludf.DUMMYFUNCTION("IMPORTRANGE(""https://docs.google.com/spreadsheets/d/16OMuOwy2eVqZcYWOouQtTpa8X1L23h4660uVHc0C8os/edit?usp=sharing"",""พิษณุโลก!J540"")"),0)</f>
        <v>0</v>
      </c>
      <c r="AD22" s="63">
        <f t="shared" ca="1" si="12"/>
        <v>0</v>
      </c>
      <c r="AE22" s="140">
        <f ca="1">IFERROR(__xludf.DUMMYFUNCTION("IMPORTRANGE(""https://docs.google.com/spreadsheets/d/16OMuOwy2eVqZcYWOouQtTpa8X1L23h4660uVHc0C8os/edit?usp=sharing"",""พิษณุโลก!I541"")"),0)</f>
        <v>0</v>
      </c>
      <c r="AF22" s="140">
        <f ca="1">IFERROR(__xludf.DUMMYFUNCTION("IMPORTRANGE(""https://docs.google.com/spreadsheets/d/16OMuOwy2eVqZcYWOouQtTpa8X1L23h4660uVHc0C8os/edit?usp=sharing"",""พิษณุโลก!J541"")"),0)</f>
        <v>0</v>
      </c>
      <c r="AG22" s="141">
        <f t="shared" ca="1" si="14"/>
        <v>0</v>
      </c>
      <c r="AH22" s="140">
        <f ca="1">IFERROR(__xludf.DUMMYFUNCTION("IMPORTRANGE(""https://docs.google.com/spreadsheets/d/16OMuOwy2eVqZcYWOouQtTpa8X1L23h4660uVHc0C8os/edit?usp=sharing"",""พิษณุโลก!I542"")"),0)</f>
        <v>0</v>
      </c>
      <c r="AI22" s="140">
        <f ca="1">IFERROR(__xludf.DUMMYFUNCTION("IMPORTRANGE(""https://docs.google.com/spreadsheets/d/16OMuOwy2eVqZcYWOouQtTpa8X1L23h4660uVHc0C8os/edit?usp=sharing"",""พิษณุโลก!J542"")"),0)</f>
        <v>0</v>
      </c>
      <c r="AJ22" s="141">
        <f t="shared" ca="1" si="16"/>
        <v>0</v>
      </c>
    </row>
    <row r="23" spans="1:36" ht="24" customHeight="1" x14ac:dyDescent="0.3">
      <c r="A23" s="54">
        <v>10</v>
      </c>
      <c r="B23" s="55" t="s">
        <v>44</v>
      </c>
      <c r="C23" s="56">
        <f t="shared" ca="1" si="44"/>
        <v>0</v>
      </c>
      <c r="D23" s="57">
        <f ca="1">IFERROR(__xludf.DUMMYFUNCTION("IMPORTRANGE(""https://docs.google.com/spreadsheets/d/1GfgTldLG6k77HXaMQzaafODklYuucJZQNs_GAPEfZyY/edit?usp=sharing"",""เพชรบูรณ์!L528"")"),0)</f>
        <v>0</v>
      </c>
      <c r="E23" s="64">
        <f ca="1">IFERROR(__xludf.DUMMYFUNCTION("IMPORTRANGE(""https://docs.google.com/spreadsheets/d/1GfgTldLG6k77HXaMQzaafODklYuucJZQNs_GAPEfZyY/edit?usp=sharing"",""เพชรบูรณ์!L535"")"),0)</f>
        <v>0</v>
      </c>
      <c r="F23" s="64">
        <f ca="1">IFERROR(__xludf.DUMMYFUNCTION("IMPORTRANGE(""https://docs.google.com/spreadsheets/d/1GfgTldLG6k77HXaMQzaafODklYuucJZQNs_GAPEfZyY/edit?usp=sharing"",""เพชรบูรณ์!M528"")"),0)</f>
        <v>0</v>
      </c>
      <c r="G23" s="64">
        <f ca="1">IFERROR(__xludf.DUMMYFUNCTION("IMPORTRANGE(""https://docs.google.com/spreadsheets/d/1GfgTldLG6k77HXaMQzaafODklYuucJZQNs_GAPEfZyY/edit?usp=sharing"",""เพชรบูรณ์!M535"")"),0)</f>
        <v>0</v>
      </c>
      <c r="H23" s="58">
        <f t="shared" ca="1" si="32"/>
        <v>0</v>
      </c>
      <c r="I23" s="59">
        <f t="shared" ca="1" si="1"/>
        <v>0</v>
      </c>
      <c r="J23" s="60">
        <f t="shared" ca="1" si="45"/>
        <v>0</v>
      </c>
      <c r="K23" s="61">
        <f t="shared" ca="1" si="34"/>
        <v>0</v>
      </c>
      <c r="L23" s="61">
        <f t="shared" ca="1" si="35"/>
        <v>0</v>
      </c>
      <c r="M23" s="64">
        <f ca="1">IFERROR(__xludf.DUMMYFUNCTION("IMPORTRANGE(""https://docs.google.com/spreadsheets/d/1GfgTldLG6k77HXaMQzaafODklYuucJZQNs_GAPEfZyY/edit?usp=sharing"",""เพชรบูรณ์!N529"")"),0)</f>
        <v>0</v>
      </c>
      <c r="N23" s="64">
        <f ca="1">IFERROR(__xludf.DUMMYFUNCTION("IMPORTRANGE(""https://docs.google.com/spreadsheets/d/1GfgTldLG6k77HXaMQzaafODklYuucJZQNs_GAPEfZyY/edit?usp=sharing"",""เพชรบูรณ์!N530"")"),0)</f>
        <v>0</v>
      </c>
      <c r="O23" s="64">
        <f ca="1">IFERROR(__xludf.DUMMYFUNCTION("IMPORTRANGE(""https://docs.google.com/spreadsheets/d/1GfgTldLG6k77HXaMQzaafODklYuucJZQNs_GAPEfZyY/edit?usp=sharing"",""เพชรบูรณ์!N531"")"),0)</f>
        <v>0</v>
      </c>
      <c r="P23" s="64">
        <f ca="1">IFERROR(__xludf.DUMMYFUNCTION("IMPORTRANGE(""https://docs.google.com/spreadsheets/d/1GfgTldLG6k77HXaMQzaafODklYuucJZQNs_GAPEfZyY/edit?usp=sharing"",""เพชรบูรณ์!N532"")"),0)</f>
        <v>0</v>
      </c>
      <c r="Q23" s="62">
        <f ca="1">IFERROR(__xludf.DUMMYFUNCTION("IMPORTRANGE(""https://docs.google.com/spreadsheets/d/1GfgTldLG6k77HXaMQzaafODklYuucJZQNs_GAPEfZyY/edit?usp=sharing"",""เพชรบูรณ์!N535"")"),0)</f>
        <v>0</v>
      </c>
      <c r="R23" s="62">
        <f t="shared" ca="1" si="37"/>
        <v>0</v>
      </c>
      <c r="S23" s="57">
        <f ca="1">IFERROR(__xludf.DUMMYFUNCTION("IMPORTRANGE(""https://docs.google.com/spreadsheets/d/1GfgTldLG6k77HXaMQzaafODklYuucJZQNs_GAPEfZyY/edit?usp=sharing"",""เพชรบูรณ์!I537"")"),0)</f>
        <v>0</v>
      </c>
      <c r="T23" s="57">
        <f ca="1">IFERROR(__xludf.DUMMYFUNCTION("IMPORTRANGE(""https://docs.google.com/spreadsheets/d/1GfgTldLG6k77HXaMQzaafODklYuucJZQNs_GAPEfZyY/edit?usp=sharing"",""เพชรบูรณ์!J537"")"),0)</f>
        <v>0</v>
      </c>
      <c r="U23" s="63">
        <f t="shared" ca="1" si="6"/>
        <v>0</v>
      </c>
      <c r="V23" s="57">
        <f ca="1">IFERROR(__xludf.DUMMYFUNCTION("IMPORTRANGE(""https://docs.google.com/spreadsheets/d/1GfgTldLG6k77HXaMQzaafODklYuucJZQNs_GAPEfZyY/edit?usp=sharing"",""เพชรบูรณ์!I538"")"),0)</f>
        <v>0</v>
      </c>
      <c r="W23" s="57">
        <f ca="1">IFERROR(__xludf.DUMMYFUNCTION("IMPORTRANGE(""https://docs.google.com/spreadsheets/d/1GfgTldLG6k77HXaMQzaafODklYuucJZQNs_GAPEfZyY/edit?usp=sharing"",""เพชรบูรณ์!J538"")"),0)</f>
        <v>0</v>
      </c>
      <c r="X23" s="63">
        <f t="shared" ca="1" si="8"/>
        <v>0</v>
      </c>
      <c r="Y23" s="57">
        <f ca="1">IFERROR(__xludf.DUMMYFUNCTION("IMPORTRANGE(""https://docs.google.com/spreadsheets/d/1GfgTldLG6k77HXaMQzaafODklYuucJZQNs_GAPEfZyY/edit?usp=sharing"",""เพชรบูรณ์!I539"")"),0)</f>
        <v>0</v>
      </c>
      <c r="Z23" s="57">
        <f ca="1">IFERROR(__xludf.DUMMYFUNCTION("IMPORTRANGE(""https://docs.google.com/spreadsheets/d/1GfgTldLG6k77HXaMQzaafODklYuucJZQNs_GAPEfZyY/edit?usp=sharing"",""เพชรบูรณ์!J539"")"),0)</f>
        <v>0</v>
      </c>
      <c r="AA23" s="63">
        <f t="shared" ca="1" si="10"/>
        <v>0</v>
      </c>
      <c r="AB23" s="57">
        <f ca="1">IFERROR(__xludf.DUMMYFUNCTION("IMPORTRANGE(""https://docs.google.com/spreadsheets/d/1GfgTldLG6k77HXaMQzaafODklYuucJZQNs_GAPEfZyY/edit?usp=sharing"",""เพชรบูรณ์!I540"")"),0)</f>
        <v>0</v>
      </c>
      <c r="AC23" s="57">
        <f ca="1">IFERROR(__xludf.DUMMYFUNCTION("IMPORTRANGE(""https://docs.google.com/spreadsheets/d/1GfgTldLG6k77HXaMQzaafODklYuucJZQNs_GAPEfZyY/edit?usp=sharing"",""เพชรบูรณ์!J540"")"),0)</f>
        <v>0</v>
      </c>
      <c r="AD23" s="63">
        <f t="shared" ca="1" si="12"/>
        <v>0</v>
      </c>
      <c r="AE23" s="140">
        <f ca="1">IFERROR(__xludf.DUMMYFUNCTION("IMPORTRANGE(""https://docs.google.com/spreadsheets/d/1GfgTldLG6k77HXaMQzaafODklYuucJZQNs_GAPEfZyY/edit?usp=sharing"",""เพชรบูรณ์!I541"")"),0)</f>
        <v>0</v>
      </c>
      <c r="AF23" s="140">
        <f ca="1">IFERROR(__xludf.DUMMYFUNCTION("IMPORTRANGE(""https://docs.google.com/spreadsheets/d/1GfgTldLG6k77HXaMQzaafODklYuucJZQNs_GAPEfZyY/edit?usp=sharing"",""เพชรบูรณ์!J541"")"),0)</f>
        <v>0</v>
      </c>
      <c r="AG23" s="141">
        <f t="shared" ca="1" si="14"/>
        <v>0</v>
      </c>
      <c r="AH23" s="140">
        <f ca="1">IFERROR(__xludf.DUMMYFUNCTION("IMPORTRANGE(""https://docs.google.com/spreadsheets/d/1GfgTldLG6k77HXaMQzaafODklYuucJZQNs_GAPEfZyY/edit?usp=sharing"",""เพชรบูรณ์!I542"")"),0)</f>
        <v>0</v>
      </c>
      <c r="AI23" s="140">
        <f ca="1">IFERROR(__xludf.DUMMYFUNCTION("IMPORTRANGE(""https://docs.google.com/spreadsheets/d/1GfgTldLG6k77HXaMQzaafODklYuucJZQNs_GAPEfZyY/edit?usp=sharing"",""เพชรบูรณ์!J542"")"),0)</f>
        <v>0</v>
      </c>
      <c r="AJ23" s="141">
        <f t="shared" ca="1" si="16"/>
        <v>0</v>
      </c>
    </row>
    <row r="24" spans="1:36" ht="24" customHeight="1" x14ac:dyDescent="0.3">
      <c r="A24" s="54">
        <v>11</v>
      </c>
      <c r="B24" s="55" t="s">
        <v>45</v>
      </c>
      <c r="C24" s="56">
        <f t="shared" ca="1" si="44"/>
        <v>0</v>
      </c>
      <c r="D24" s="57">
        <f ca="1">IFERROR(__xludf.DUMMYFUNCTION("IMPORTRANGE(""https://docs.google.com/spreadsheets/d/1gvTMYAnm7v1yG1BKWFtr0DnaTsq59oW9dwWvFgq6hs0/edit?usp=sharing"",""แพร่!L528"")"),0)</f>
        <v>0</v>
      </c>
      <c r="E24" s="64">
        <f ca="1">IFERROR(__xludf.DUMMYFUNCTION("IMPORTRANGE(""https://docs.google.com/spreadsheets/d/1gvTMYAnm7v1yG1BKWFtr0DnaTsq59oW9dwWvFgq6hs0/edit?usp=sharing"",""แพร่!L535"")"),0)</f>
        <v>0</v>
      </c>
      <c r="F24" s="64">
        <f ca="1">IFERROR(__xludf.DUMMYFUNCTION("IMPORTRANGE(""https://docs.google.com/spreadsheets/d/1gvTMYAnm7v1yG1BKWFtr0DnaTsq59oW9dwWvFgq6hs0/edit?usp=sharing"",""แพร่!M528"")"),0)</f>
        <v>0</v>
      </c>
      <c r="G24" s="64">
        <f ca="1">IFERROR(__xludf.DUMMYFUNCTION("IMPORTRANGE(""https://docs.google.com/spreadsheets/d/1gvTMYAnm7v1yG1BKWFtr0DnaTsq59oW9dwWvFgq6hs0/edit?usp=sharing"",""แพร่!M535"")"),0)</f>
        <v>0</v>
      </c>
      <c r="H24" s="58">
        <f t="shared" ca="1" si="32"/>
        <v>0</v>
      </c>
      <c r="I24" s="59">
        <f t="shared" ca="1" si="1"/>
        <v>0</v>
      </c>
      <c r="J24" s="60">
        <f t="shared" ca="1" si="45"/>
        <v>0</v>
      </c>
      <c r="K24" s="61">
        <f t="shared" ca="1" si="34"/>
        <v>0</v>
      </c>
      <c r="L24" s="61">
        <f t="shared" ca="1" si="35"/>
        <v>0</v>
      </c>
      <c r="M24" s="64">
        <f ca="1">IFERROR(__xludf.DUMMYFUNCTION("IMPORTRANGE(""https://docs.google.com/spreadsheets/d/1gvTMYAnm7v1yG1BKWFtr0DnaTsq59oW9dwWvFgq6hs0/edit?usp=sharing"",""แพร่!N529"")"),0)</f>
        <v>0</v>
      </c>
      <c r="N24" s="64">
        <f ca="1">IFERROR(__xludf.DUMMYFUNCTION("IMPORTRANGE(""https://docs.google.com/spreadsheets/d/1gvTMYAnm7v1yG1BKWFtr0DnaTsq59oW9dwWvFgq6hs0/edit?usp=sharing"",""แพร่!N530"")"),0)</f>
        <v>0</v>
      </c>
      <c r="O24" s="64">
        <f ca="1">IFERROR(__xludf.DUMMYFUNCTION("IMPORTRANGE(""https://docs.google.com/spreadsheets/d/1gvTMYAnm7v1yG1BKWFtr0DnaTsq59oW9dwWvFgq6hs0/edit?usp=sharing"",""แพร่!N531"")"),0)</f>
        <v>0</v>
      </c>
      <c r="P24" s="64">
        <f ca="1">IFERROR(__xludf.DUMMYFUNCTION("IMPORTRANGE(""https://docs.google.com/spreadsheets/d/1gvTMYAnm7v1yG1BKWFtr0DnaTsq59oW9dwWvFgq6hs0/edit?usp=sharing"",""แพร่!N532"")"),0)</f>
        <v>0</v>
      </c>
      <c r="Q24" s="62">
        <f ca="1">IFERROR(__xludf.DUMMYFUNCTION("IMPORTRANGE(""https://docs.google.com/spreadsheets/d/1gvTMYAnm7v1yG1BKWFtr0DnaTsq59oW9dwWvFgq6hs0/edit?usp=sharing"",""แพร่!N535"")"),0)</f>
        <v>0</v>
      </c>
      <c r="R24" s="62">
        <f t="shared" ca="1" si="37"/>
        <v>0</v>
      </c>
      <c r="S24" s="57">
        <f ca="1">IFERROR(__xludf.DUMMYFUNCTION("IMPORTRANGE(""https://docs.google.com/spreadsheets/d/1gvTMYAnm7v1yG1BKWFtr0DnaTsq59oW9dwWvFgq6hs0/edit?usp=sharing"",""แพร่!I537"")"),0)</f>
        <v>0</v>
      </c>
      <c r="T24" s="57">
        <f ca="1">IFERROR(__xludf.DUMMYFUNCTION("IMPORTRANGE(""https://docs.google.com/spreadsheets/d/1gvTMYAnm7v1yG1BKWFtr0DnaTsq59oW9dwWvFgq6hs0/edit?usp=sharing"",""แพร่!J537"")"),0)</f>
        <v>0</v>
      </c>
      <c r="U24" s="63">
        <f t="shared" ca="1" si="6"/>
        <v>0</v>
      </c>
      <c r="V24" s="57">
        <f ca="1">IFERROR(__xludf.DUMMYFUNCTION("IMPORTRANGE(""https://docs.google.com/spreadsheets/d/1gvTMYAnm7v1yG1BKWFtr0DnaTsq59oW9dwWvFgq6hs0/edit?usp=sharing"",""แพร่!I538"")"),0)</f>
        <v>0</v>
      </c>
      <c r="W24" s="57">
        <f ca="1">IFERROR(__xludf.DUMMYFUNCTION("IMPORTRANGE(""https://docs.google.com/spreadsheets/d/1gvTMYAnm7v1yG1BKWFtr0DnaTsq59oW9dwWvFgq6hs0/edit?usp=sharing"",""แพร่!J538"")"),0)</f>
        <v>0</v>
      </c>
      <c r="X24" s="63">
        <f t="shared" ca="1" si="8"/>
        <v>0</v>
      </c>
      <c r="Y24" s="57">
        <f ca="1">IFERROR(__xludf.DUMMYFUNCTION("IMPORTRANGE(""https://docs.google.com/spreadsheets/d/1gvTMYAnm7v1yG1BKWFtr0DnaTsq59oW9dwWvFgq6hs0/edit?usp=sharing"",""แพร่!I539"")"),0)</f>
        <v>0</v>
      </c>
      <c r="Z24" s="57">
        <f ca="1">IFERROR(__xludf.DUMMYFUNCTION("IMPORTRANGE(""https://docs.google.com/spreadsheets/d/1gvTMYAnm7v1yG1BKWFtr0DnaTsq59oW9dwWvFgq6hs0/edit?usp=sharing"",""แพร่!J539"")"),0)</f>
        <v>0</v>
      </c>
      <c r="AA24" s="63">
        <f t="shared" ca="1" si="10"/>
        <v>0</v>
      </c>
      <c r="AB24" s="57">
        <f ca="1">IFERROR(__xludf.DUMMYFUNCTION("IMPORTRANGE(""https://docs.google.com/spreadsheets/d/1gvTMYAnm7v1yG1BKWFtr0DnaTsq59oW9dwWvFgq6hs0/edit?usp=sharing"",""แพร่!I540"")"),0)</f>
        <v>0</v>
      </c>
      <c r="AC24" s="57">
        <f ca="1">IFERROR(__xludf.DUMMYFUNCTION("IMPORTRANGE(""https://docs.google.com/spreadsheets/d/1gvTMYAnm7v1yG1BKWFtr0DnaTsq59oW9dwWvFgq6hs0/edit?usp=sharing"",""แพร่!J540"")"),0)</f>
        <v>0</v>
      </c>
      <c r="AD24" s="63">
        <f t="shared" ca="1" si="12"/>
        <v>0</v>
      </c>
      <c r="AE24" s="140">
        <f ca="1">IFERROR(__xludf.DUMMYFUNCTION("IMPORTRANGE(""https://docs.google.com/spreadsheets/d/1gvTMYAnm7v1yG1BKWFtr0DnaTsq59oW9dwWvFgq6hs0/edit?usp=sharing"",""แพร่!I541"")"),0)</f>
        <v>0</v>
      </c>
      <c r="AF24" s="140">
        <f ca="1">IFERROR(__xludf.DUMMYFUNCTION("IMPORTRANGE(""https://docs.google.com/spreadsheets/d/1gvTMYAnm7v1yG1BKWFtr0DnaTsq59oW9dwWvFgq6hs0/edit?usp=sharing"",""แพร่!J541"")"),0)</f>
        <v>0</v>
      </c>
      <c r="AG24" s="141">
        <f t="shared" ca="1" si="14"/>
        <v>0</v>
      </c>
      <c r="AH24" s="140">
        <f ca="1">IFERROR(__xludf.DUMMYFUNCTION("IMPORTRANGE(""https://docs.google.com/spreadsheets/d/1gvTMYAnm7v1yG1BKWFtr0DnaTsq59oW9dwWvFgq6hs0/edit?usp=sharing"",""แพร่!I542"")"),0)</f>
        <v>0</v>
      </c>
      <c r="AI24" s="140">
        <f ca="1">IFERROR(__xludf.DUMMYFUNCTION("IMPORTRANGE(""https://docs.google.com/spreadsheets/d/1gvTMYAnm7v1yG1BKWFtr0DnaTsq59oW9dwWvFgq6hs0/edit?usp=sharing"",""แพร่!J542"")"),0)</f>
        <v>0</v>
      </c>
      <c r="AJ24" s="141">
        <f t="shared" ca="1" si="16"/>
        <v>0</v>
      </c>
    </row>
    <row r="25" spans="1:36" ht="24" customHeight="1" x14ac:dyDescent="0.3">
      <c r="A25" s="54">
        <v>12</v>
      </c>
      <c r="B25" s="55" t="s">
        <v>46</v>
      </c>
      <c r="C25" s="56">
        <f t="shared" ca="1" si="44"/>
        <v>0</v>
      </c>
      <c r="D25" s="57">
        <f ca="1">IFERROR(__xludf.DUMMYFUNCTION("IMPORTRANGE(""https://docs.google.com/spreadsheets/d/1Wbcosgy-Xa1xXUArJSOenub6EfZHUSzc_bpJFWwQUf0/edit?usp=sharing"",""แม่ฮ่องสอน!L528"")"),0)</f>
        <v>0</v>
      </c>
      <c r="E25" s="64">
        <f ca="1">IFERROR(__xludf.DUMMYFUNCTION("IMPORTRANGE(""https://docs.google.com/spreadsheets/d/1Wbcosgy-Xa1xXUArJSOenub6EfZHUSzc_bpJFWwQUf0/edit?usp=sharing"",""แม่ฮ่องสอน!L535"")"),0)</f>
        <v>0</v>
      </c>
      <c r="F25" s="64">
        <f ca="1">IFERROR(__xludf.DUMMYFUNCTION("IMPORTRANGE(""https://docs.google.com/spreadsheets/d/1Wbcosgy-Xa1xXUArJSOenub6EfZHUSzc_bpJFWwQUf0/edit?usp=sharing"",""แม่ฮ่องสอน!M528"")"),0)</f>
        <v>0</v>
      </c>
      <c r="G25" s="64">
        <f ca="1">IFERROR(__xludf.DUMMYFUNCTION("IMPORTRANGE(""https://docs.google.com/spreadsheets/d/1Wbcosgy-Xa1xXUArJSOenub6EfZHUSzc_bpJFWwQUf0/edit?usp=sharing"",""แม่ฮ่องสอน!M535"")"),0)</f>
        <v>0</v>
      </c>
      <c r="H25" s="58">
        <f t="shared" ca="1" si="32"/>
        <v>0</v>
      </c>
      <c r="I25" s="59">
        <f t="shared" ca="1" si="1"/>
        <v>0</v>
      </c>
      <c r="J25" s="60">
        <f t="shared" ca="1" si="45"/>
        <v>0</v>
      </c>
      <c r="K25" s="61">
        <f t="shared" ca="1" si="34"/>
        <v>0</v>
      </c>
      <c r="L25" s="61">
        <f t="shared" ca="1" si="35"/>
        <v>0</v>
      </c>
      <c r="M25" s="64">
        <f ca="1">IFERROR(__xludf.DUMMYFUNCTION("IMPORTRANGE(""https://docs.google.com/spreadsheets/d/1Wbcosgy-Xa1xXUArJSOenub6EfZHUSzc_bpJFWwQUf0/edit?usp=sharing"",""แม่ฮ่องสอน!N529"")"),0)</f>
        <v>0</v>
      </c>
      <c r="N25" s="64">
        <f ca="1">IFERROR(__xludf.DUMMYFUNCTION("IMPORTRANGE(""https://docs.google.com/spreadsheets/d/1Wbcosgy-Xa1xXUArJSOenub6EfZHUSzc_bpJFWwQUf0/edit?usp=sharing"",""แม่ฮ่องสอน!N530"")"),0)</f>
        <v>0</v>
      </c>
      <c r="O25" s="64">
        <f ca="1">IFERROR(__xludf.DUMMYFUNCTION("IMPORTRANGE(""https://docs.google.com/spreadsheets/d/1Wbcosgy-Xa1xXUArJSOenub6EfZHUSzc_bpJFWwQUf0/edit?usp=sharing"",""แม่ฮ่องสอน!N531"")"),0)</f>
        <v>0</v>
      </c>
      <c r="P25" s="64">
        <f ca="1">IFERROR(__xludf.DUMMYFUNCTION("IMPORTRANGE(""https://docs.google.com/spreadsheets/d/1Wbcosgy-Xa1xXUArJSOenub6EfZHUSzc_bpJFWwQUf0/edit?usp=sharing"",""แม่ฮ่องสอน!N532"")"),0)</f>
        <v>0</v>
      </c>
      <c r="Q25" s="62">
        <f ca="1">IFERROR(__xludf.DUMMYFUNCTION("IMPORTRANGE(""https://docs.google.com/spreadsheets/d/1Wbcosgy-Xa1xXUArJSOenub6EfZHUSzc_bpJFWwQUf0/edit?usp=sharing"",""แม่ฮ่องสอน!N535"")"),0)</f>
        <v>0</v>
      </c>
      <c r="R25" s="62">
        <f t="shared" ca="1" si="37"/>
        <v>0</v>
      </c>
      <c r="S25" s="57">
        <f ca="1">IFERROR(__xludf.DUMMYFUNCTION("IMPORTRANGE(""https://docs.google.com/spreadsheets/d/1Wbcosgy-Xa1xXUArJSOenub6EfZHUSzc_bpJFWwQUf0/edit?usp=sharing"",""แม่ฮ่องสอน!I537"")"),0)</f>
        <v>0</v>
      </c>
      <c r="T25" s="57">
        <f ca="1">IFERROR(__xludf.DUMMYFUNCTION("IMPORTRANGE(""https://docs.google.com/spreadsheets/d/1Wbcosgy-Xa1xXUArJSOenub6EfZHUSzc_bpJFWwQUf0/edit?usp=sharing"",""แม่ฮ่องสอน!J537"")"),0)</f>
        <v>0</v>
      </c>
      <c r="U25" s="63">
        <f t="shared" ca="1" si="6"/>
        <v>0</v>
      </c>
      <c r="V25" s="57">
        <f ca="1">IFERROR(__xludf.DUMMYFUNCTION("IMPORTRANGE(""https://docs.google.com/spreadsheets/d/1Wbcosgy-Xa1xXUArJSOenub6EfZHUSzc_bpJFWwQUf0/edit?usp=sharing"",""แม่ฮ่องสอน!I538"")"),0)</f>
        <v>0</v>
      </c>
      <c r="W25" s="57">
        <f ca="1">IFERROR(__xludf.DUMMYFUNCTION("IMPORTRANGE(""https://docs.google.com/spreadsheets/d/1Wbcosgy-Xa1xXUArJSOenub6EfZHUSzc_bpJFWwQUf0/edit?usp=sharing"",""แม่ฮ่องสอน!J538"")"),0)</f>
        <v>0</v>
      </c>
      <c r="X25" s="63">
        <f t="shared" ca="1" si="8"/>
        <v>0</v>
      </c>
      <c r="Y25" s="57">
        <f ca="1">IFERROR(__xludf.DUMMYFUNCTION("IMPORTRANGE(""https://docs.google.com/spreadsheets/d/1Wbcosgy-Xa1xXUArJSOenub6EfZHUSzc_bpJFWwQUf0/edit?usp=sharing"",""แม่ฮ่องสอน!I539"")"),0)</f>
        <v>0</v>
      </c>
      <c r="Z25" s="57">
        <f ca="1">IFERROR(__xludf.DUMMYFUNCTION("IMPORTRANGE(""https://docs.google.com/spreadsheets/d/1Wbcosgy-Xa1xXUArJSOenub6EfZHUSzc_bpJFWwQUf0/edit?usp=sharing"",""แม่ฮ่องสอน!J539"")"),0)</f>
        <v>0</v>
      </c>
      <c r="AA25" s="63">
        <f t="shared" ca="1" si="10"/>
        <v>0</v>
      </c>
      <c r="AB25" s="57">
        <f ca="1">IFERROR(__xludf.DUMMYFUNCTION("IMPORTRANGE(""https://docs.google.com/spreadsheets/d/1Wbcosgy-Xa1xXUArJSOenub6EfZHUSzc_bpJFWwQUf0/edit?usp=sharing"",""แม่ฮ่องสอน!I540"")"),0)</f>
        <v>0</v>
      </c>
      <c r="AC25" s="57">
        <f ca="1">IFERROR(__xludf.DUMMYFUNCTION("IMPORTRANGE(""https://docs.google.com/spreadsheets/d/1Wbcosgy-Xa1xXUArJSOenub6EfZHUSzc_bpJFWwQUf0/edit?usp=sharing"",""แม่ฮ่องสอน!J540"")"),0)</f>
        <v>0</v>
      </c>
      <c r="AD25" s="63">
        <f t="shared" ca="1" si="12"/>
        <v>0</v>
      </c>
      <c r="AE25" s="140">
        <f ca="1">IFERROR(__xludf.DUMMYFUNCTION("IMPORTRANGE(""https://docs.google.com/spreadsheets/d/1Wbcosgy-Xa1xXUArJSOenub6EfZHUSzc_bpJFWwQUf0/edit?usp=sharing"",""แม่ฮ่องสอน!I541"")"),0)</f>
        <v>0</v>
      </c>
      <c r="AF25" s="140">
        <f ca="1">IFERROR(__xludf.DUMMYFUNCTION("IMPORTRANGE(""https://docs.google.com/spreadsheets/d/1Wbcosgy-Xa1xXUArJSOenub6EfZHUSzc_bpJFWwQUf0/edit?usp=sharing"",""แม่ฮ่องสอน!J541"")"),0)</f>
        <v>0</v>
      </c>
      <c r="AG25" s="141">
        <f t="shared" ca="1" si="14"/>
        <v>0</v>
      </c>
      <c r="AH25" s="140">
        <f ca="1">IFERROR(__xludf.DUMMYFUNCTION("IMPORTRANGE(""https://docs.google.com/spreadsheets/d/1Wbcosgy-Xa1xXUArJSOenub6EfZHUSzc_bpJFWwQUf0/edit?usp=sharing"",""แม่ฮ่องสอน!I542"")"),0)</f>
        <v>0</v>
      </c>
      <c r="AI25" s="140">
        <f ca="1">IFERROR(__xludf.DUMMYFUNCTION("IMPORTRANGE(""https://docs.google.com/spreadsheets/d/1Wbcosgy-Xa1xXUArJSOenub6EfZHUSzc_bpJFWwQUf0/edit?usp=sharing"",""แม่ฮ่องสอน!J542"")"),0)</f>
        <v>0</v>
      </c>
      <c r="AJ25" s="141">
        <f t="shared" ca="1" si="16"/>
        <v>0</v>
      </c>
    </row>
    <row r="26" spans="1:36" ht="24" customHeight="1" x14ac:dyDescent="0.3">
      <c r="A26" s="54">
        <v>13</v>
      </c>
      <c r="B26" s="55" t="s">
        <v>47</v>
      </c>
      <c r="C26" s="56">
        <f t="shared" ca="1" si="44"/>
        <v>0</v>
      </c>
      <c r="D26" s="57">
        <f ca="1">IFERROR(__xludf.DUMMYFUNCTION("IMPORTRANGE(""https://docs.google.com/spreadsheets/d/1p7ERhsr0qZeSn-KSOdeHS9r0heI-lHtkcn2OH7hP0jQ/edit?usp=sharing"",""ลำปาง!L528"")"),0)</f>
        <v>0</v>
      </c>
      <c r="E26" s="64">
        <f ca="1">IFERROR(__xludf.DUMMYFUNCTION("IMPORTRANGE(""https://docs.google.com/spreadsheets/d/1p7ERhsr0qZeSn-KSOdeHS9r0heI-lHtkcn2OH7hP0jQ/edit?usp=sharing"",""ลำปาง!L535"")"),0)</f>
        <v>0</v>
      </c>
      <c r="F26" s="64">
        <f ca="1">IFERROR(__xludf.DUMMYFUNCTION("IMPORTRANGE(""https://docs.google.com/spreadsheets/d/1p7ERhsr0qZeSn-KSOdeHS9r0heI-lHtkcn2OH7hP0jQ/edit?usp=sharing"",""ลำปาง!M528"")"),0)</f>
        <v>0</v>
      </c>
      <c r="G26" s="64">
        <f ca="1">IFERROR(__xludf.DUMMYFUNCTION("IMPORTRANGE(""https://docs.google.com/spreadsheets/d/1p7ERhsr0qZeSn-KSOdeHS9r0heI-lHtkcn2OH7hP0jQ/edit?usp=sharing"",""ลำปาง!M535"")"),0)</f>
        <v>0</v>
      </c>
      <c r="H26" s="58">
        <f t="shared" ca="1" si="32"/>
        <v>0</v>
      </c>
      <c r="I26" s="59">
        <f t="shared" ca="1" si="1"/>
        <v>0</v>
      </c>
      <c r="J26" s="60">
        <f t="shared" ca="1" si="45"/>
        <v>0</v>
      </c>
      <c r="K26" s="61">
        <f t="shared" ca="1" si="34"/>
        <v>0</v>
      </c>
      <c r="L26" s="61">
        <f t="shared" ca="1" si="35"/>
        <v>0</v>
      </c>
      <c r="M26" s="64">
        <f ca="1">IFERROR(__xludf.DUMMYFUNCTION("IMPORTRANGE(""https://docs.google.com/spreadsheets/d/1p7ERhsr0qZeSn-KSOdeHS9r0heI-lHtkcn2OH7hP0jQ/edit?usp=sharing"",""ลำปาง!N529"")"),0)</f>
        <v>0</v>
      </c>
      <c r="N26" s="64">
        <f ca="1">IFERROR(__xludf.DUMMYFUNCTION("IMPORTRANGE(""https://docs.google.com/spreadsheets/d/1p7ERhsr0qZeSn-KSOdeHS9r0heI-lHtkcn2OH7hP0jQ/edit?usp=sharing"",""ลำปาง!N530"")"),0)</f>
        <v>0</v>
      </c>
      <c r="O26" s="64">
        <f ca="1">IFERROR(__xludf.DUMMYFUNCTION("IMPORTRANGE(""https://docs.google.com/spreadsheets/d/1p7ERhsr0qZeSn-KSOdeHS9r0heI-lHtkcn2OH7hP0jQ/edit?usp=sharing"",""ลำปาง!N531"")"),0)</f>
        <v>0</v>
      </c>
      <c r="P26" s="64">
        <f ca="1">IFERROR(__xludf.DUMMYFUNCTION("IMPORTRANGE(""https://docs.google.com/spreadsheets/d/1p7ERhsr0qZeSn-KSOdeHS9r0heI-lHtkcn2OH7hP0jQ/edit?usp=sharing"",""ลำปาง!N532"")"),0)</f>
        <v>0</v>
      </c>
      <c r="Q26" s="62">
        <f ca="1">IFERROR(__xludf.DUMMYFUNCTION("IMPORTRANGE(""https://docs.google.com/spreadsheets/d/1p7ERhsr0qZeSn-KSOdeHS9r0heI-lHtkcn2OH7hP0jQ/edit?usp=sharing"",""ลำปาง!N535"")"),0)</f>
        <v>0</v>
      </c>
      <c r="R26" s="62">
        <f t="shared" ca="1" si="37"/>
        <v>0</v>
      </c>
      <c r="S26" s="57">
        <f ca="1">IFERROR(__xludf.DUMMYFUNCTION("IMPORTRANGE(""https://docs.google.com/spreadsheets/d/1p7ERhsr0qZeSn-KSOdeHS9r0heI-lHtkcn2OH7hP0jQ/edit?usp=sharing"",""ลำปาง!I537"")"),0)</f>
        <v>0</v>
      </c>
      <c r="T26" s="57">
        <f ca="1">IFERROR(__xludf.DUMMYFUNCTION("IMPORTRANGE(""https://docs.google.com/spreadsheets/d/1p7ERhsr0qZeSn-KSOdeHS9r0heI-lHtkcn2OH7hP0jQ/edit?usp=sharing"",""ลำปาง!J537"")"),0)</f>
        <v>0</v>
      </c>
      <c r="U26" s="63">
        <f t="shared" ca="1" si="6"/>
        <v>0</v>
      </c>
      <c r="V26" s="57">
        <f ca="1">IFERROR(__xludf.DUMMYFUNCTION("IMPORTRANGE(""https://docs.google.com/spreadsheets/d/1p7ERhsr0qZeSn-KSOdeHS9r0heI-lHtkcn2OH7hP0jQ/edit?usp=sharing"",""ลำปาง!I538"")"),0)</f>
        <v>0</v>
      </c>
      <c r="W26" s="57">
        <f ca="1">IFERROR(__xludf.DUMMYFUNCTION("IMPORTRANGE(""https://docs.google.com/spreadsheets/d/1p7ERhsr0qZeSn-KSOdeHS9r0heI-lHtkcn2OH7hP0jQ/edit?usp=sharing"",""ลำปาง!J538"")"),0)</f>
        <v>0</v>
      </c>
      <c r="X26" s="63">
        <f t="shared" ca="1" si="8"/>
        <v>0</v>
      </c>
      <c r="Y26" s="57">
        <f ca="1">IFERROR(__xludf.DUMMYFUNCTION("IMPORTRANGE(""https://docs.google.com/spreadsheets/d/1p7ERhsr0qZeSn-KSOdeHS9r0heI-lHtkcn2OH7hP0jQ/edit?usp=sharing"",""ลำปาง!I539"")"),0)</f>
        <v>0</v>
      </c>
      <c r="Z26" s="57">
        <f ca="1">IFERROR(__xludf.DUMMYFUNCTION("IMPORTRANGE(""https://docs.google.com/spreadsheets/d/1p7ERhsr0qZeSn-KSOdeHS9r0heI-lHtkcn2OH7hP0jQ/edit?usp=sharing"",""ลำปาง!J539"")"),0)</f>
        <v>0</v>
      </c>
      <c r="AA26" s="63">
        <f t="shared" ca="1" si="10"/>
        <v>0</v>
      </c>
      <c r="AB26" s="57">
        <f ca="1">IFERROR(__xludf.DUMMYFUNCTION("IMPORTRANGE(""https://docs.google.com/spreadsheets/d/1p7ERhsr0qZeSn-KSOdeHS9r0heI-lHtkcn2OH7hP0jQ/edit?usp=sharing"",""ลำปาง!I540"")"),0)</f>
        <v>0</v>
      </c>
      <c r="AC26" s="57">
        <f ca="1">IFERROR(__xludf.DUMMYFUNCTION("IMPORTRANGE(""https://docs.google.com/spreadsheets/d/1p7ERhsr0qZeSn-KSOdeHS9r0heI-lHtkcn2OH7hP0jQ/edit?usp=sharing"",""ลำปาง!J540"")"),0)</f>
        <v>0</v>
      </c>
      <c r="AD26" s="63">
        <f t="shared" ca="1" si="12"/>
        <v>0</v>
      </c>
      <c r="AE26" s="140">
        <f ca="1">IFERROR(__xludf.DUMMYFUNCTION("IMPORTRANGE(""https://docs.google.com/spreadsheets/d/1p7ERhsr0qZeSn-KSOdeHS9r0heI-lHtkcn2OH7hP0jQ/edit?usp=sharing"",""ลำปาง!I541"")"),0)</f>
        <v>0</v>
      </c>
      <c r="AF26" s="140">
        <f ca="1">IFERROR(__xludf.DUMMYFUNCTION("IMPORTRANGE(""https://docs.google.com/spreadsheets/d/1p7ERhsr0qZeSn-KSOdeHS9r0heI-lHtkcn2OH7hP0jQ/edit?usp=sharing"",""ลำปาง!J541"")"),0)</f>
        <v>0</v>
      </c>
      <c r="AG26" s="141">
        <f t="shared" ca="1" si="14"/>
        <v>0</v>
      </c>
      <c r="AH26" s="140">
        <f ca="1">IFERROR(__xludf.DUMMYFUNCTION("IMPORTRANGE(""https://docs.google.com/spreadsheets/d/1p7ERhsr0qZeSn-KSOdeHS9r0heI-lHtkcn2OH7hP0jQ/edit?usp=sharing"",""ลำปาง!I542"")"),0)</f>
        <v>0</v>
      </c>
      <c r="AI26" s="140">
        <f ca="1">IFERROR(__xludf.DUMMYFUNCTION("IMPORTRANGE(""https://docs.google.com/spreadsheets/d/1p7ERhsr0qZeSn-KSOdeHS9r0heI-lHtkcn2OH7hP0jQ/edit?usp=sharing"",""ลำปาง!J542"")"),0)</f>
        <v>0</v>
      </c>
      <c r="AJ26" s="141">
        <f t="shared" ca="1" si="16"/>
        <v>0</v>
      </c>
    </row>
    <row r="27" spans="1:36" ht="24" customHeight="1" x14ac:dyDescent="0.3">
      <c r="A27" s="54">
        <v>14</v>
      </c>
      <c r="B27" s="55" t="s">
        <v>48</v>
      </c>
      <c r="C27" s="56">
        <f t="shared" ca="1" si="44"/>
        <v>0</v>
      </c>
      <c r="D27" s="57">
        <f ca="1">IFERROR(__xludf.DUMMYFUNCTION("IMPORTRANGE(""https://docs.google.com/spreadsheets/d/1-uUXvimVhiU2U0bMN-xi2te0tS4X7DI2GLPnMjzl8cA/edit?usp=sharing"",""ลำพูน!L528"")"),0)</f>
        <v>0</v>
      </c>
      <c r="E27" s="64">
        <f ca="1">IFERROR(__xludf.DUMMYFUNCTION("IMPORTRANGE(""https://docs.google.com/spreadsheets/d/1-uUXvimVhiU2U0bMN-xi2te0tS4X7DI2GLPnMjzl8cA/edit?usp=sharing"",""ลำพูน!L535"")"),0)</f>
        <v>0</v>
      </c>
      <c r="F27" s="64">
        <f ca="1">IFERROR(__xludf.DUMMYFUNCTION("IMPORTRANGE(""https://docs.google.com/spreadsheets/d/1-uUXvimVhiU2U0bMN-xi2te0tS4X7DI2GLPnMjzl8cA/edit?usp=sharing"",""ลำพูน!M528"")"),0)</f>
        <v>0</v>
      </c>
      <c r="G27" s="64">
        <f ca="1">IFERROR(__xludf.DUMMYFUNCTION("IMPORTRANGE(""https://docs.google.com/spreadsheets/d/1-uUXvimVhiU2U0bMN-xi2te0tS4X7DI2GLPnMjzl8cA/edit?usp=sharing"",""ลำพูน!M535"")"),0)</f>
        <v>0</v>
      </c>
      <c r="H27" s="58">
        <f t="shared" ca="1" si="32"/>
        <v>0</v>
      </c>
      <c r="I27" s="59">
        <f t="shared" ca="1" si="1"/>
        <v>0</v>
      </c>
      <c r="J27" s="60">
        <f t="shared" ca="1" si="45"/>
        <v>0</v>
      </c>
      <c r="K27" s="61">
        <f t="shared" ca="1" si="34"/>
        <v>0</v>
      </c>
      <c r="L27" s="61">
        <f t="shared" ca="1" si="35"/>
        <v>0</v>
      </c>
      <c r="M27" s="64">
        <f ca="1">IFERROR(__xludf.DUMMYFUNCTION("IMPORTRANGE(""https://docs.google.com/spreadsheets/d/1-uUXvimVhiU2U0bMN-xi2te0tS4X7DI2GLPnMjzl8cA/edit?usp=sharing"",""ลำพูน!N529"")"),0)</f>
        <v>0</v>
      </c>
      <c r="N27" s="64">
        <f ca="1">IFERROR(__xludf.DUMMYFUNCTION("IMPORTRANGE(""https://docs.google.com/spreadsheets/d/1-uUXvimVhiU2U0bMN-xi2te0tS4X7DI2GLPnMjzl8cA/edit?usp=sharing"",""ลำพูน!N530"")"),0)</f>
        <v>0</v>
      </c>
      <c r="O27" s="64">
        <f ca="1">IFERROR(__xludf.DUMMYFUNCTION("IMPORTRANGE(""https://docs.google.com/spreadsheets/d/1-uUXvimVhiU2U0bMN-xi2te0tS4X7DI2GLPnMjzl8cA/edit?usp=sharing"",""ลำพูน!N531"")"),0)</f>
        <v>0</v>
      </c>
      <c r="P27" s="64">
        <f ca="1">IFERROR(__xludf.DUMMYFUNCTION("IMPORTRANGE(""https://docs.google.com/spreadsheets/d/1-uUXvimVhiU2U0bMN-xi2te0tS4X7DI2GLPnMjzl8cA/edit?usp=sharing"",""ลำพูน!N532"")"),0)</f>
        <v>0</v>
      </c>
      <c r="Q27" s="62">
        <f ca="1">IFERROR(__xludf.DUMMYFUNCTION("IMPORTRANGE(""https://docs.google.com/spreadsheets/d/1-uUXvimVhiU2U0bMN-xi2te0tS4X7DI2GLPnMjzl8cA/edit?usp=sharing"",""ลำพูน!N535"")"),0)</f>
        <v>0</v>
      </c>
      <c r="R27" s="62">
        <f t="shared" ca="1" si="37"/>
        <v>0</v>
      </c>
      <c r="S27" s="57">
        <f ca="1">IFERROR(__xludf.DUMMYFUNCTION("IMPORTRANGE(""https://docs.google.com/spreadsheets/d/1-uUXvimVhiU2U0bMN-xi2te0tS4X7DI2GLPnMjzl8cA/edit?usp=sharing"",""ลำพูน!I537"")"),0)</f>
        <v>0</v>
      </c>
      <c r="T27" s="57">
        <f ca="1">IFERROR(__xludf.DUMMYFUNCTION("IMPORTRANGE(""https://docs.google.com/spreadsheets/d/1-uUXvimVhiU2U0bMN-xi2te0tS4X7DI2GLPnMjzl8cA/edit?usp=sharing"",""ลำพูน!J537"")"),0)</f>
        <v>0</v>
      </c>
      <c r="U27" s="63">
        <f t="shared" ca="1" si="6"/>
        <v>0</v>
      </c>
      <c r="V27" s="57">
        <f ca="1">IFERROR(__xludf.DUMMYFUNCTION("IMPORTRANGE(""https://docs.google.com/spreadsheets/d/1-uUXvimVhiU2U0bMN-xi2te0tS4X7DI2GLPnMjzl8cA/edit?usp=sharing"",""ลำพูน!I538"")"),0)</f>
        <v>0</v>
      </c>
      <c r="W27" s="57">
        <f ca="1">IFERROR(__xludf.DUMMYFUNCTION("IMPORTRANGE(""https://docs.google.com/spreadsheets/d/1-uUXvimVhiU2U0bMN-xi2te0tS4X7DI2GLPnMjzl8cA/edit?usp=sharing"",""ลำพูน!J538"")"),0)</f>
        <v>0</v>
      </c>
      <c r="X27" s="63">
        <f t="shared" ca="1" si="8"/>
        <v>0</v>
      </c>
      <c r="Y27" s="57">
        <f ca="1">IFERROR(__xludf.DUMMYFUNCTION("IMPORTRANGE(""https://docs.google.com/spreadsheets/d/1-uUXvimVhiU2U0bMN-xi2te0tS4X7DI2GLPnMjzl8cA/edit?usp=sharing"",""ลำพูน!I539"")"),0)</f>
        <v>0</v>
      </c>
      <c r="Z27" s="57">
        <f ca="1">IFERROR(__xludf.DUMMYFUNCTION("IMPORTRANGE(""https://docs.google.com/spreadsheets/d/1-uUXvimVhiU2U0bMN-xi2te0tS4X7DI2GLPnMjzl8cA/edit?usp=sharing"",""ลำพูน!J539"")"),0)</f>
        <v>0</v>
      </c>
      <c r="AA27" s="63">
        <f t="shared" ca="1" si="10"/>
        <v>0</v>
      </c>
      <c r="AB27" s="57">
        <f ca="1">IFERROR(__xludf.DUMMYFUNCTION("IMPORTRANGE(""https://docs.google.com/spreadsheets/d/1-uUXvimVhiU2U0bMN-xi2te0tS4X7DI2GLPnMjzl8cA/edit?usp=sharing"",""ลำพูน!I540"")"),0)</f>
        <v>0</v>
      </c>
      <c r="AC27" s="57">
        <f ca="1">IFERROR(__xludf.DUMMYFUNCTION("IMPORTRANGE(""https://docs.google.com/spreadsheets/d/1-uUXvimVhiU2U0bMN-xi2te0tS4X7DI2GLPnMjzl8cA/edit?usp=sharing"",""ลำพูน!J540"")"),0)</f>
        <v>0</v>
      </c>
      <c r="AD27" s="63">
        <f t="shared" ca="1" si="12"/>
        <v>0</v>
      </c>
      <c r="AE27" s="140">
        <f ca="1">IFERROR(__xludf.DUMMYFUNCTION("IMPORTRANGE(""https://docs.google.com/spreadsheets/d/1-uUXvimVhiU2U0bMN-xi2te0tS4X7DI2GLPnMjzl8cA/edit?usp=sharing"",""ลำพูน!I541"")"),0)</f>
        <v>0</v>
      </c>
      <c r="AF27" s="140">
        <f ca="1">IFERROR(__xludf.DUMMYFUNCTION("IMPORTRANGE(""https://docs.google.com/spreadsheets/d/1-uUXvimVhiU2U0bMN-xi2te0tS4X7DI2GLPnMjzl8cA/edit?usp=sharing"",""ลำพูน!J541"")"),0)</f>
        <v>0</v>
      </c>
      <c r="AG27" s="141">
        <f t="shared" ca="1" si="14"/>
        <v>0</v>
      </c>
      <c r="AH27" s="140">
        <f ca="1">IFERROR(__xludf.DUMMYFUNCTION("IMPORTRANGE(""https://docs.google.com/spreadsheets/d/1-uUXvimVhiU2U0bMN-xi2te0tS4X7DI2GLPnMjzl8cA/edit?usp=sharing"",""ลำพูน!I542"")"),0)</f>
        <v>0</v>
      </c>
      <c r="AI27" s="140">
        <f ca="1">IFERROR(__xludf.DUMMYFUNCTION("IMPORTRANGE(""https://docs.google.com/spreadsheets/d/1-uUXvimVhiU2U0bMN-xi2te0tS4X7DI2GLPnMjzl8cA/edit?usp=sharing"",""ลำพูน!J542"")"),0)</f>
        <v>0</v>
      </c>
      <c r="AJ27" s="141">
        <f t="shared" ca="1" si="16"/>
        <v>0</v>
      </c>
    </row>
    <row r="28" spans="1:36" ht="24" customHeight="1" x14ac:dyDescent="0.3">
      <c r="A28" s="54">
        <v>15</v>
      </c>
      <c r="B28" s="55" t="s">
        <v>49</v>
      </c>
      <c r="C28" s="56">
        <f t="shared" ca="1" si="44"/>
        <v>0</v>
      </c>
      <c r="D28" s="57">
        <f ca="1">IFERROR(__xludf.DUMMYFUNCTION("IMPORTRANGE(""https://docs.google.com/spreadsheets/d/17HrOaa5pBUI1onckFfumXB8xlg35qb2uBAFfF1D-Myo/edit?usp=sharing"",""สุโขทัย!L528"")"),0)</f>
        <v>0</v>
      </c>
      <c r="E28" s="64">
        <f ca="1">IFERROR(__xludf.DUMMYFUNCTION("IMPORTRANGE(""https://docs.google.com/spreadsheets/d/17HrOaa5pBUI1onckFfumXB8xlg35qb2uBAFfF1D-Myo/edit?usp=sharing"",""สุโขทัย!L535"")"),0)</f>
        <v>0</v>
      </c>
      <c r="F28" s="64">
        <f ca="1">IFERROR(__xludf.DUMMYFUNCTION("IMPORTRANGE(""https://docs.google.com/spreadsheets/d/17HrOaa5pBUI1onckFfumXB8xlg35qb2uBAFfF1D-Myo/edit?usp=sharing"",""สุโขทัย!M528"")"),0)</f>
        <v>0</v>
      </c>
      <c r="G28" s="64">
        <f ca="1">IFERROR(__xludf.DUMMYFUNCTION("IMPORTRANGE(""https://docs.google.com/spreadsheets/d/17HrOaa5pBUI1onckFfumXB8xlg35qb2uBAFfF1D-Myo/edit?usp=sharing"",""สุโขทัย!M535"")"),0)</f>
        <v>0</v>
      </c>
      <c r="H28" s="58">
        <f t="shared" ca="1" si="32"/>
        <v>0</v>
      </c>
      <c r="I28" s="59">
        <f t="shared" ca="1" si="1"/>
        <v>0</v>
      </c>
      <c r="J28" s="60">
        <f t="shared" ca="1" si="45"/>
        <v>0</v>
      </c>
      <c r="K28" s="61">
        <f t="shared" ca="1" si="34"/>
        <v>0</v>
      </c>
      <c r="L28" s="61">
        <f t="shared" ca="1" si="35"/>
        <v>0</v>
      </c>
      <c r="M28" s="64">
        <f ca="1">IFERROR(__xludf.DUMMYFUNCTION("IMPORTRANGE(""https://docs.google.com/spreadsheets/d/17HrOaa5pBUI1onckFfumXB8xlg35qb2uBAFfF1D-Myo/edit?usp=sharing"",""สุโขทัย!N529"")"),0)</f>
        <v>0</v>
      </c>
      <c r="N28" s="64">
        <f ca="1">IFERROR(__xludf.DUMMYFUNCTION("IMPORTRANGE(""https://docs.google.com/spreadsheets/d/17HrOaa5pBUI1onckFfumXB8xlg35qb2uBAFfF1D-Myo/edit?usp=sharing"",""สุโขทัย!N530"")"),0)</f>
        <v>0</v>
      </c>
      <c r="O28" s="64">
        <f ca="1">IFERROR(__xludf.DUMMYFUNCTION("IMPORTRANGE(""https://docs.google.com/spreadsheets/d/17HrOaa5pBUI1onckFfumXB8xlg35qb2uBAFfF1D-Myo/edit?usp=sharing"",""สุโขทัย!N531"")"),0)</f>
        <v>0</v>
      </c>
      <c r="P28" s="64">
        <f ca="1">IFERROR(__xludf.DUMMYFUNCTION("IMPORTRANGE(""https://docs.google.com/spreadsheets/d/17HrOaa5pBUI1onckFfumXB8xlg35qb2uBAFfF1D-Myo/edit?usp=sharing"",""สุโขทัย!N532"")"),0)</f>
        <v>0</v>
      </c>
      <c r="Q28" s="62">
        <f ca="1">IFERROR(__xludf.DUMMYFUNCTION("IMPORTRANGE(""https://docs.google.com/spreadsheets/d/17HrOaa5pBUI1onckFfumXB8xlg35qb2uBAFfF1D-Myo/edit?usp=sharing"",""สุโขทัย!N535"")"),0)</f>
        <v>0</v>
      </c>
      <c r="R28" s="62">
        <f t="shared" ca="1" si="37"/>
        <v>0</v>
      </c>
      <c r="S28" s="57">
        <f ca="1">IFERROR(__xludf.DUMMYFUNCTION("IMPORTRANGE(""https://docs.google.com/spreadsheets/d/17HrOaa5pBUI1onckFfumXB8xlg35qb2uBAFfF1D-Myo/edit?usp=sharing"",""สุโขทัย!I537"")"),0)</f>
        <v>0</v>
      </c>
      <c r="T28" s="57">
        <f ca="1">IFERROR(__xludf.DUMMYFUNCTION("IMPORTRANGE(""https://docs.google.com/spreadsheets/d/17HrOaa5pBUI1onckFfumXB8xlg35qb2uBAFfF1D-Myo/edit?usp=sharing"",""สุโขทัย!J537"")"),0)</f>
        <v>0</v>
      </c>
      <c r="U28" s="63">
        <f t="shared" ca="1" si="6"/>
        <v>0</v>
      </c>
      <c r="V28" s="57">
        <f ca="1">IFERROR(__xludf.DUMMYFUNCTION("IMPORTRANGE(""https://docs.google.com/spreadsheets/d/17HrOaa5pBUI1onckFfumXB8xlg35qb2uBAFfF1D-Myo/edit?usp=sharing"",""สุโขทัย!I538"")"),0)</f>
        <v>0</v>
      </c>
      <c r="W28" s="57">
        <f ca="1">IFERROR(__xludf.DUMMYFUNCTION("IMPORTRANGE(""https://docs.google.com/spreadsheets/d/17HrOaa5pBUI1onckFfumXB8xlg35qb2uBAFfF1D-Myo/edit?usp=sharing"",""สุโขทัย!J538"")"),0)</f>
        <v>0</v>
      </c>
      <c r="X28" s="63">
        <f t="shared" ca="1" si="8"/>
        <v>0</v>
      </c>
      <c r="Y28" s="57">
        <f ca="1">IFERROR(__xludf.DUMMYFUNCTION("IMPORTRANGE(""https://docs.google.com/spreadsheets/d/17HrOaa5pBUI1onckFfumXB8xlg35qb2uBAFfF1D-Myo/edit?usp=sharing"",""สุโขทัย!I539"")"),0)</f>
        <v>0</v>
      </c>
      <c r="Z28" s="57">
        <f ca="1">IFERROR(__xludf.DUMMYFUNCTION("IMPORTRANGE(""https://docs.google.com/spreadsheets/d/17HrOaa5pBUI1onckFfumXB8xlg35qb2uBAFfF1D-Myo/edit?usp=sharing"",""สุโขทัย!J539"")"),0)</f>
        <v>0</v>
      </c>
      <c r="AA28" s="63">
        <f t="shared" ca="1" si="10"/>
        <v>0</v>
      </c>
      <c r="AB28" s="57">
        <f ca="1">IFERROR(__xludf.DUMMYFUNCTION("IMPORTRANGE(""https://docs.google.com/spreadsheets/d/17HrOaa5pBUI1onckFfumXB8xlg35qb2uBAFfF1D-Myo/edit?usp=sharing"",""สุโขทัย!I540"")"),0)</f>
        <v>0</v>
      </c>
      <c r="AC28" s="57">
        <f ca="1">IFERROR(__xludf.DUMMYFUNCTION("IMPORTRANGE(""https://docs.google.com/spreadsheets/d/17HrOaa5pBUI1onckFfumXB8xlg35qb2uBAFfF1D-Myo/edit?usp=sharing"",""สุโขทัย!J540"")"),0)</f>
        <v>0</v>
      </c>
      <c r="AD28" s="63">
        <f t="shared" ca="1" si="12"/>
        <v>0</v>
      </c>
      <c r="AE28" s="140">
        <f ca="1">IFERROR(__xludf.DUMMYFUNCTION("IMPORTRANGE(""https://docs.google.com/spreadsheets/d/17HrOaa5pBUI1onckFfumXB8xlg35qb2uBAFfF1D-Myo/edit?usp=sharing"",""สุโขทัย!I541"")"),0)</f>
        <v>0</v>
      </c>
      <c r="AF28" s="140">
        <f ca="1">IFERROR(__xludf.DUMMYFUNCTION("IMPORTRANGE(""https://docs.google.com/spreadsheets/d/17HrOaa5pBUI1onckFfumXB8xlg35qb2uBAFfF1D-Myo/edit?usp=sharing"",""สุโขทัย!J541"")"),0)</f>
        <v>0</v>
      </c>
      <c r="AG28" s="141">
        <f t="shared" ca="1" si="14"/>
        <v>0</v>
      </c>
      <c r="AH28" s="140">
        <f ca="1">IFERROR(__xludf.DUMMYFUNCTION("IMPORTRANGE(""https://docs.google.com/spreadsheets/d/17HrOaa5pBUI1onckFfumXB8xlg35qb2uBAFfF1D-Myo/edit?usp=sharing"",""สุโขทัย!I542"")"),0)</f>
        <v>0</v>
      </c>
      <c r="AI28" s="140">
        <f ca="1">IFERROR(__xludf.DUMMYFUNCTION("IMPORTRANGE(""https://docs.google.com/spreadsheets/d/17HrOaa5pBUI1onckFfumXB8xlg35qb2uBAFfF1D-Myo/edit?usp=sharing"",""สุโขทัย!J542"")"),0)</f>
        <v>0</v>
      </c>
      <c r="AJ28" s="141">
        <f t="shared" ca="1" si="16"/>
        <v>0</v>
      </c>
    </row>
    <row r="29" spans="1:36" ht="24" customHeight="1" x14ac:dyDescent="0.3">
      <c r="A29" s="54">
        <v>16</v>
      </c>
      <c r="B29" s="55" t="s">
        <v>50</v>
      </c>
      <c r="C29" s="56">
        <f t="shared" ca="1" si="44"/>
        <v>0</v>
      </c>
      <c r="D29" s="57">
        <f ca="1">IFERROR(__xludf.DUMMYFUNCTION("IMPORTRANGE(""https://docs.google.com/spreadsheets/d/1ubs5cl16eYL9gHbdHTJtmtYb9MGzHBs7CAphn8kNCgM/edit?usp=sharing"",""อุตรดิตถ์!L528"")"),0)</f>
        <v>0</v>
      </c>
      <c r="E29" s="64">
        <f ca="1">IFERROR(__xludf.DUMMYFUNCTION("IMPORTRANGE(""https://docs.google.com/spreadsheets/d/1ubs5cl16eYL9gHbdHTJtmtYb9MGzHBs7CAphn8kNCgM/edit?usp=sharing"",""อุตรดิตถ์!L535"")"),0)</f>
        <v>0</v>
      </c>
      <c r="F29" s="64">
        <f ca="1">IFERROR(__xludf.DUMMYFUNCTION("IMPORTRANGE(""https://docs.google.com/spreadsheets/d/1ubs5cl16eYL9gHbdHTJtmtYb9MGzHBs7CAphn8kNCgM/edit?usp=sharing"",""อุตรดิตถ์!M528"")"),0)</f>
        <v>0</v>
      </c>
      <c r="G29" s="64">
        <f ca="1">IFERROR(__xludf.DUMMYFUNCTION("IMPORTRANGE(""https://docs.google.com/spreadsheets/d/1ubs5cl16eYL9gHbdHTJtmtYb9MGzHBs7CAphn8kNCgM/edit?usp=sharing"",""อุตรดิตถ์!M535"")"),0)</f>
        <v>0</v>
      </c>
      <c r="H29" s="58">
        <f t="shared" ca="1" si="32"/>
        <v>0</v>
      </c>
      <c r="I29" s="59">
        <f t="shared" ca="1" si="1"/>
        <v>0</v>
      </c>
      <c r="J29" s="60">
        <f t="shared" ca="1" si="45"/>
        <v>0</v>
      </c>
      <c r="K29" s="61">
        <f t="shared" ca="1" si="34"/>
        <v>0</v>
      </c>
      <c r="L29" s="61">
        <f t="shared" ca="1" si="35"/>
        <v>0</v>
      </c>
      <c r="M29" s="64">
        <f ca="1">IFERROR(__xludf.DUMMYFUNCTION("IMPORTRANGE(""https://docs.google.com/spreadsheets/d/1ubs5cl16eYL9gHbdHTJtmtYb9MGzHBs7CAphn8kNCgM/edit?usp=sharing"",""อุตรดิตถ์!N529"")"),0)</f>
        <v>0</v>
      </c>
      <c r="N29" s="64">
        <f ca="1">IFERROR(__xludf.DUMMYFUNCTION("IMPORTRANGE(""https://docs.google.com/spreadsheets/d/1ubs5cl16eYL9gHbdHTJtmtYb9MGzHBs7CAphn8kNCgM/edit?usp=sharing"",""อุตรดิตถ์!N530"")"),0)</f>
        <v>0</v>
      </c>
      <c r="O29" s="64">
        <f ca="1">IFERROR(__xludf.DUMMYFUNCTION("IMPORTRANGE(""https://docs.google.com/spreadsheets/d/1ubs5cl16eYL9gHbdHTJtmtYb9MGzHBs7CAphn8kNCgM/edit?usp=sharing"",""อุตรดิตถ์!N531"")"),0)</f>
        <v>0</v>
      </c>
      <c r="P29" s="64">
        <f ca="1">IFERROR(__xludf.DUMMYFUNCTION("IMPORTRANGE(""https://docs.google.com/spreadsheets/d/1ubs5cl16eYL9gHbdHTJtmtYb9MGzHBs7CAphn8kNCgM/edit?usp=sharing"",""อุตรดิตถ์!N532"")"),0)</f>
        <v>0</v>
      </c>
      <c r="Q29" s="62">
        <f ca="1">IFERROR(__xludf.DUMMYFUNCTION("IMPORTRANGE(""https://docs.google.com/spreadsheets/d/1ubs5cl16eYL9gHbdHTJtmtYb9MGzHBs7CAphn8kNCgM/edit?usp=sharing"",""อุตรดิตถ์!N535"")"),0)</f>
        <v>0</v>
      </c>
      <c r="R29" s="62">
        <f t="shared" ca="1" si="37"/>
        <v>0</v>
      </c>
      <c r="S29" s="57">
        <f ca="1">IFERROR(__xludf.DUMMYFUNCTION("IMPORTRANGE(""https://docs.google.com/spreadsheets/d/1ubs5cl16eYL9gHbdHTJtmtYb9MGzHBs7CAphn8kNCgM/edit?usp=sharing"",""อุตรดิตถ์!I537"")"),0)</f>
        <v>0</v>
      </c>
      <c r="T29" s="57">
        <f ca="1">IFERROR(__xludf.DUMMYFUNCTION("IMPORTRANGE(""https://docs.google.com/spreadsheets/d/1ubs5cl16eYL9gHbdHTJtmtYb9MGzHBs7CAphn8kNCgM/edit?usp=sharing"",""อุตรดิตถ์!J537"")"),0)</f>
        <v>0</v>
      </c>
      <c r="U29" s="63">
        <f t="shared" ca="1" si="6"/>
        <v>0</v>
      </c>
      <c r="V29" s="57">
        <f ca="1">IFERROR(__xludf.DUMMYFUNCTION("IMPORTRANGE(""https://docs.google.com/spreadsheets/d/1ubs5cl16eYL9gHbdHTJtmtYb9MGzHBs7CAphn8kNCgM/edit?usp=sharing"",""อุตรดิตถ์!I538"")"),0)</f>
        <v>0</v>
      </c>
      <c r="W29" s="57">
        <f ca="1">IFERROR(__xludf.DUMMYFUNCTION("IMPORTRANGE(""https://docs.google.com/spreadsheets/d/1ubs5cl16eYL9gHbdHTJtmtYb9MGzHBs7CAphn8kNCgM/edit?usp=sharing"",""อุตรดิตถ์!J538"")"),0)</f>
        <v>0</v>
      </c>
      <c r="X29" s="63">
        <f t="shared" ca="1" si="8"/>
        <v>0</v>
      </c>
      <c r="Y29" s="57">
        <f ca="1">IFERROR(__xludf.DUMMYFUNCTION("IMPORTRANGE(""https://docs.google.com/spreadsheets/d/1ubs5cl16eYL9gHbdHTJtmtYb9MGzHBs7CAphn8kNCgM/edit?usp=sharing"",""อุตรดิตถ์!I539"")"),0)</f>
        <v>0</v>
      </c>
      <c r="Z29" s="57">
        <f ca="1">IFERROR(__xludf.DUMMYFUNCTION("IMPORTRANGE(""https://docs.google.com/spreadsheets/d/1ubs5cl16eYL9gHbdHTJtmtYb9MGzHBs7CAphn8kNCgM/edit?usp=sharing"",""อุตรดิตถ์!J539"")"),0)</f>
        <v>0</v>
      </c>
      <c r="AA29" s="63">
        <f t="shared" ca="1" si="10"/>
        <v>0</v>
      </c>
      <c r="AB29" s="57">
        <f ca="1">IFERROR(__xludf.DUMMYFUNCTION("IMPORTRANGE(""https://docs.google.com/spreadsheets/d/1ubs5cl16eYL9gHbdHTJtmtYb9MGzHBs7CAphn8kNCgM/edit?usp=sharing"",""อุตรดิตถ์!I540"")"),0)</f>
        <v>0</v>
      </c>
      <c r="AC29" s="57">
        <f ca="1">IFERROR(__xludf.DUMMYFUNCTION("IMPORTRANGE(""https://docs.google.com/spreadsheets/d/1ubs5cl16eYL9gHbdHTJtmtYb9MGzHBs7CAphn8kNCgM/edit?usp=sharing"",""อุตรดิตถ์!J540"")"),0)</f>
        <v>0</v>
      </c>
      <c r="AD29" s="63">
        <f t="shared" ca="1" si="12"/>
        <v>0</v>
      </c>
      <c r="AE29" s="140">
        <f ca="1">IFERROR(__xludf.DUMMYFUNCTION("IMPORTRANGE(""https://docs.google.com/spreadsheets/d/1ubs5cl16eYL9gHbdHTJtmtYb9MGzHBs7CAphn8kNCgM/edit?usp=sharing"",""อุตรดิตถ์!I541"")"),0)</f>
        <v>0</v>
      </c>
      <c r="AF29" s="140">
        <f ca="1">IFERROR(__xludf.DUMMYFUNCTION("IMPORTRANGE(""https://docs.google.com/spreadsheets/d/1ubs5cl16eYL9gHbdHTJtmtYb9MGzHBs7CAphn8kNCgM/edit?usp=sharing"",""อุตรดิตถ์!J541"")"),0)</f>
        <v>0</v>
      </c>
      <c r="AG29" s="141">
        <f t="shared" ca="1" si="14"/>
        <v>0</v>
      </c>
      <c r="AH29" s="140">
        <f ca="1">IFERROR(__xludf.DUMMYFUNCTION("IMPORTRANGE(""https://docs.google.com/spreadsheets/d/1ubs5cl16eYL9gHbdHTJtmtYb9MGzHBs7CAphn8kNCgM/edit?usp=sharing"",""อุตรดิตถ์!I542"")"),0)</f>
        <v>0</v>
      </c>
      <c r="AI29" s="140">
        <f ca="1">IFERROR(__xludf.DUMMYFUNCTION("IMPORTRANGE(""https://docs.google.com/spreadsheets/d/1ubs5cl16eYL9gHbdHTJtmtYb9MGzHBs7CAphn8kNCgM/edit?usp=sharing"",""อุตรดิตถ์!J542"")"),0)</f>
        <v>0</v>
      </c>
      <c r="AJ29" s="141">
        <f t="shared" ca="1" si="16"/>
        <v>0</v>
      </c>
    </row>
    <row r="30" spans="1:36" ht="24" customHeight="1" x14ac:dyDescent="0.3">
      <c r="A30" s="65">
        <v>17</v>
      </c>
      <c r="B30" s="66" t="s">
        <v>51</v>
      </c>
      <c r="C30" s="67">
        <f t="shared" ca="1" si="44"/>
        <v>652760</v>
      </c>
      <c r="D30" s="68">
        <f ca="1">IFERROR(__xludf.DUMMYFUNCTION("IMPORTRANGE(""https://docs.google.com/spreadsheets/d/1kII0BjS6CtVrBvI8IrytgPdxDrlyQDyigzMsohRtDMs/edit?usp=sharing"",""อุทัยธานี!L528"")"),652760)</f>
        <v>652760</v>
      </c>
      <c r="E30" s="69">
        <f ca="1">IFERROR(__xludf.DUMMYFUNCTION("IMPORTRANGE(""https://docs.google.com/spreadsheets/d/1kII0BjS6CtVrBvI8IrytgPdxDrlyQDyigzMsohRtDMs/edit?usp=sharing"",""อุทัยธานี!L535"")"),0)</f>
        <v>0</v>
      </c>
      <c r="F30" s="69">
        <f ca="1">IFERROR(__xludf.DUMMYFUNCTION("IMPORTRANGE(""https://docs.google.com/spreadsheets/d/1kII0BjS6CtVrBvI8IrytgPdxDrlyQDyigzMsohRtDMs/edit?usp=sharing"",""อุทัยธานี!M528"")"),652760)</f>
        <v>652760</v>
      </c>
      <c r="G30" s="69">
        <f ca="1">IFERROR(__xludf.DUMMYFUNCTION("IMPORTRANGE(""https://docs.google.com/spreadsheets/d/1kII0BjS6CtVrBvI8IrytgPdxDrlyQDyigzMsohRtDMs/edit?usp=sharing"",""อุทัยธานี!M535"")"),0)</f>
        <v>0</v>
      </c>
      <c r="H30" s="70">
        <f t="shared" ca="1" si="32"/>
        <v>490421</v>
      </c>
      <c r="I30" s="71">
        <f t="shared" ca="1" si="1"/>
        <v>75.130369507935541</v>
      </c>
      <c r="J30" s="72">
        <f t="shared" ca="1" si="45"/>
        <v>490421</v>
      </c>
      <c r="K30" s="73">
        <f t="shared" ca="1" si="34"/>
        <v>75.130369507935541</v>
      </c>
      <c r="L30" s="73">
        <f t="shared" ca="1" si="35"/>
        <v>75.130369507935541</v>
      </c>
      <c r="M30" s="69">
        <f ca="1">IFERROR(__xludf.DUMMYFUNCTION("IMPORTRANGE(""https://docs.google.com/spreadsheets/d/1kII0BjS6CtVrBvI8IrytgPdxDrlyQDyigzMsohRtDMs/edit?usp=sharing"",""อุทัยธานี!N529"")"),163037)</f>
        <v>163037</v>
      </c>
      <c r="N30" s="69">
        <f ca="1">IFERROR(__xludf.DUMMYFUNCTION("IMPORTRANGE(""https://docs.google.com/spreadsheets/d/1kII0BjS6CtVrBvI8IrytgPdxDrlyQDyigzMsohRtDMs/edit?usp=sharing"",""อุทัยธานี!N530"")"),302045)</f>
        <v>302045</v>
      </c>
      <c r="O30" s="69">
        <f ca="1">IFERROR(__xludf.DUMMYFUNCTION("IMPORTRANGE(""https://docs.google.com/spreadsheets/d/1kII0BjS6CtVrBvI8IrytgPdxDrlyQDyigzMsohRtDMs/edit?usp=sharing"",""อุทัยธานี!N531"")"),0)</f>
        <v>0</v>
      </c>
      <c r="P30" s="69">
        <f ca="1">IFERROR(__xludf.DUMMYFUNCTION("IMPORTRANGE(""https://docs.google.com/spreadsheets/d/1kII0BjS6CtVrBvI8IrytgPdxDrlyQDyigzMsohRtDMs/edit?usp=sharing"",""อุทัยธานี!N532"")"),25339)</f>
        <v>25339</v>
      </c>
      <c r="Q30" s="74">
        <f ca="1">IFERROR(__xludf.DUMMYFUNCTION("IMPORTRANGE(""https://docs.google.com/spreadsheets/d/1kII0BjS6CtVrBvI8IrytgPdxDrlyQDyigzMsohRtDMs/edit?usp=sharing"",""อุทัยธานี!N535"")"),0)</f>
        <v>0</v>
      </c>
      <c r="R30" s="74">
        <f t="shared" ca="1" si="37"/>
        <v>0</v>
      </c>
      <c r="S30" s="68">
        <f ca="1">IFERROR(__xludf.DUMMYFUNCTION("IMPORTRANGE(""https://docs.google.com/spreadsheets/d/1kII0BjS6CtVrBvI8IrytgPdxDrlyQDyigzMsohRtDMs/edit?usp=sharing"",""อุทัยธานี!I537"")"),80)</f>
        <v>80</v>
      </c>
      <c r="T30" s="68">
        <f ca="1">IFERROR(__xludf.DUMMYFUNCTION("IMPORTRANGE(""https://docs.google.com/spreadsheets/d/1kII0BjS6CtVrBvI8IrytgPdxDrlyQDyigzMsohRtDMs/edit?usp=sharing"",""อุทัยธานี!J537"")"),0)</f>
        <v>0</v>
      </c>
      <c r="U30" s="75">
        <f t="shared" ca="1" si="6"/>
        <v>0</v>
      </c>
      <c r="V30" s="68">
        <f ca="1">IFERROR(__xludf.DUMMYFUNCTION("IMPORTRANGE(""https://docs.google.com/spreadsheets/d/1kII0BjS6CtVrBvI8IrytgPdxDrlyQDyigzMsohRtDMs/edit?usp=sharing"",""อุทัยธานี!I538"")"),80)</f>
        <v>80</v>
      </c>
      <c r="W30" s="68">
        <f ca="1">IFERROR(__xludf.DUMMYFUNCTION("IMPORTRANGE(""https://docs.google.com/spreadsheets/d/1kII0BjS6CtVrBvI8IrytgPdxDrlyQDyigzMsohRtDMs/edit?usp=sharing"",""อุทัยธานี!J538"")"),80)</f>
        <v>80</v>
      </c>
      <c r="X30" s="75">
        <f t="shared" ca="1" si="8"/>
        <v>100</v>
      </c>
      <c r="Y30" s="68">
        <f ca="1">IFERROR(__xludf.DUMMYFUNCTION("IMPORTRANGE(""https://docs.google.com/spreadsheets/d/1kII0BjS6CtVrBvI8IrytgPdxDrlyQDyigzMsohRtDMs/edit?usp=sharing"",""อุทัยธานี!I539"")"),0)</f>
        <v>0</v>
      </c>
      <c r="Z30" s="68">
        <f ca="1">IFERROR(__xludf.DUMMYFUNCTION("IMPORTRANGE(""https://docs.google.com/spreadsheets/d/1kII0BjS6CtVrBvI8IrytgPdxDrlyQDyigzMsohRtDMs/edit?usp=sharing"",""อุทัยธานี!J539"")"),0)</f>
        <v>0</v>
      </c>
      <c r="AA30" s="75">
        <f t="shared" ca="1" si="10"/>
        <v>0</v>
      </c>
      <c r="AB30" s="68">
        <f ca="1">IFERROR(__xludf.DUMMYFUNCTION("IMPORTRANGE(""https://docs.google.com/spreadsheets/d/1kII0BjS6CtVrBvI8IrytgPdxDrlyQDyigzMsohRtDMs/edit?usp=sharing"",""อุทัยธานี!I540"")"),0)</f>
        <v>0</v>
      </c>
      <c r="AC30" s="68">
        <f ca="1">IFERROR(__xludf.DUMMYFUNCTION("IMPORTRANGE(""https://docs.google.com/spreadsheets/d/1kII0BjS6CtVrBvI8IrytgPdxDrlyQDyigzMsohRtDMs/edit?usp=sharing"",""อุทัยธานี!J540"")"),0)</f>
        <v>0</v>
      </c>
      <c r="AD30" s="75">
        <f t="shared" ca="1" si="12"/>
        <v>0</v>
      </c>
      <c r="AE30" s="142">
        <f ca="1">IFERROR(__xludf.DUMMYFUNCTION("IMPORTRANGE(""https://docs.google.com/spreadsheets/d/1kII0BjS6CtVrBvI8IrytgPdxDrlyQDyigzMsohRtDMs/edit?usp=sharing"",""อุทัยธานี!I541"")"),80)</f>
        <v>80</v>
      </c>
      <c r="AF30" s="142">
        <f ca="1">IFERROR(__xludf.DUMMYFUNCTION("IMPORTRANGE(""https://docs.google.com/spreadsheets/d/1kII0BjS6CtVrBvI8IrytgPdxDrlyQDyigzMsohRtDMs/edit?usp=sharing"",""อุทัยธานี!J541"")"),44)</f>
        <v>44</v>
      </c>
      <c r="AG30" s="143">
        <f t="shared" ca="1" si="14"/>
        <v>55</v>
      </c>
      <c r="AH30" s="142">
        <f ca="1">IFERROR(__xludf.DUMMYFUNCTION("IMPORTRANGE(""https://docs.google.com/spreadsheets/d/1kII0BjS6CtVrBvI8IrytgPdxDrlyQDyigzMsohRtDMs/edit?usp=sharing"",""อุทัยธานี!I542"")"),80)</f>
        <v>80</v>
      </c>
      <c r="AI30" s="142">
        <f ca="1">IFERROR(__xludf.DUMMYFUNCTION("IMPORTRANGE(""https://docs.google.com/spreadsheets/d/1kII0BjS6CtVrBvI8IrytgPdxDrlyQDyigzMsohRtDMs/edit?usp=sharing"",""อุทัยธานี!J542"")"),60)</f>
        <v>60</v>
      </c>
      <c r="AJ30" s="143">
        <f t="shared" ca="1" si="16"/>
        <v>75</v>
      </c>
    </row>
    <row r="31" spans="1:36" ht="21" customHeight="1" x14ac:dyDescent="0.3">
      <c r="A31" s="177" t="s">
        <v>52</v>
      </c>
      <c r="B31" s="178"/>
      <c r="C31" s="76">
        <f t="shared" ref="C31:G31" ca="1" si="46">SUM(C32:C51)</f>
        <v>704720</v>
      </c>
      <c r="D31" s="34">
        <f t="shared" ca="1" si="46"/>
        <v>704720</v>
      </c>
      <c r="E31" s="34">
        <f t="shared" ca="1" si="46"/>
        <v>0</v>
      </c>
      <c r="F31" s="34">
        <f t="shared" ca="1" si="46"/>
        <v>704720</v>
      </c>
      <c r="G31" s="34">
        <f t="shared" ca="1" si="46"/>
        <v>0</v>
      </c>
      <c r="H31" s="34">
        <f t="shared" ca="1" si="32"/>
        <v>454010.82</v>
      </c>
      <c r="I31" s="35">
        <f t="shared" ca="1" si="1"/>
        <v>64.424284822340795</v>
      </c>
      <c r="J31" s="34">
        <f ca="1">SUM(J32:J51)</f>
        <v>454010.82</v>
      </c>
      <c r="K31" s="35">
        <f t="shared" ca="1" si="34"/>
        <v>64.424284822340795</v>
      </c>
      <c r="L31" s="35">
        <f t="shared" ca="1" si="35"/>
        <v>64.424284822340795</v>
      </c>
      <c r="M31" s="34">
        <f t="shared" ref="M31:Q31" ca="1" si="47">SUM(M32:M51)</f>
        <v>180610</v>
      </c>
      <c r="N31" s="34">
        <f t="shared" ca="1" si="47"/>
        <v>249786.82</v>
      </c>
      <c r="O31" s="34">
        <f t="shared" ca="1" si="47"/>
        <v>0</v>
      </c>
      <c r="P31" s="34">
        <f t="shared" ca="1" si="47"/>
        <v>23614</v>
      </c>
      <c r="Q31" s="36">
        <f t="shared" ca="1" si="47"/>
        <v>0</v>
      </c>
      <c r="R31" s="36">
        <f t="shared" ca="1" si="37"/>
        <v>0</v>
      </c>
      <c r="S31" s="34">
        <f t="shared" ref="S31:T31" ca="1" si="48">SUM(S32:S51)</f>
        <v>80</v>
      </c>
      <c r="T31" s="34">
        <f t="shared" ca="1" si="48"/>
        <v>80</v>
      </c>
      <c r="U31" s="37">
        <f t="shared" ca="1" si="6"/>
        <v>100</v>
      </c>
      <c r="V31" s="34">
        <f t="shared" ref="V31:W31" ca="1" si="49">SUM(V32:V51)</f>
        <v>80</v>
      </c>
      <c r="W31" s="34">
        <f t="shared" ca="1" si="49"/>
        <v>80</v>
      </c>
      <c r="X31" s="37">
        <f t="shared" ca="1" si="8"/>
        <v>100</v>
      </c>
      <c r="Y31" s="34">
        <f t="shared" ref="Y31:Z31" ca="1" si="50">SUM(Y32:Y51)</f>
        <v>0</v>
      </c>
      <c r="Z31" s="34">
        <f t="shared" ca="1" si="50"/>
        <v>0</v>
      </c>
      <c r="AA31" s="37">
        <f t="shared" ca="1" si="10"/>
        <v>0</v>
      </c>
      <c r="AB31" s="34">
        <f t="shared" ref="AB31:AC31" ca="1" si="51">SUM(AB32:AB51)</f>
        <v>0</v>
      </c>
      <c r="AC31" s="34">
        <f t="shared" ca="1" si="51"/>
        <v>0</v>
      </c>
      <c r="AD31" s="37">
        <f t="shared" ca="1" si="12"/>
        <v>0</v>
      </c>
      <c r="AE31" s="113">
        <f t="shared" ref="AE31:AF31" ca="1" si="52">SUM(AE32:AE51)</f>
        <v>80</v>
      </c>
      <c r="AF31" s="113">
        <f t="shared" ca="1" si="52"/>
        <v>80</v>
      </c>
      <c r="AG31" s="135">
        <f t="shared" ca="1" si="14"/>
        <v>100</v>
      </c>
      <c r="AH31" s="113">
        <f t="shared" ref="AH31:AI31" ca="1" si="53">SUM(AH32:AH51)</f>
        <v>80</v>
      </c>
      <c r="AI31" s="113">
        <f t="shared" ca="1" si="53"/>
        <v>50</v>
      </c>
      <c r="AJ31" s="135">
        <f t="shared" ca="1" si="16"/>
        <v>62.5</v>
      </c>
    </row>
    <row r="32" spans="1:36" ht="21" customHeight="1" x14ac:dyDescent="0.3">
      <c r="A32" s="54">
        <v>1</v>
      </c>
      <c r="B32" s="55" t="s">
        <v>53</v>
      </c>
      <c r="C32" s="56">
        <f t="shared" ref="C32:C51" ca="1" si="54">D32+E32</f>
        <v>277260</v>
      </c>
      <c r="D32" s="57">
        <f ca="1">IFERROR(__xludf.DUMMYFUNCTION("IMPORTRANGE(""https://docs.google.com/spreadsheets/d/1fb2B9NLcpJgjIieIJvenUTNPn0TimZDUi0OtYeiSQ_s/edit?usp=sharing"",""กาฬสินธุ์!L528"")"),277260)</f>
        <v>277260</v>
      </c>
      <c r="E32" s="57">
        <f ca="1">IFERROR(__xludf.DUMMYFUNCTION("IMPORTRANGE(""https://docs.google.com/spreadsheets/d/1fb2B9NLcpJgjIieIJvenUTNPn0TimZDUi0OtYeiSQ_s/edit?usp=sharing"",""กาฬสินธุ์!L535"")"),0)</f>
        <v>0</v>
      </c>
      <c r="F32" s="57">
        <f ca="1">IFERROR(__xludf.DUMMYFUNCTION("IMPORTRANGE(""https://docs.google.com/spreadsheets/d/1fb2B9NLcpJgjIieIJvenUTNPn0TimZDUi0OtYeiSQ_s/edit?usp=sharing"",""กาฬสินธุ์!M528"")"),277260)</f>
        <v>277260</v>
      </c>
      <c r="G32" s="57">
        <f ca="1">IFERROR(__xludf.DUMMYFUNCTION("IMPORTRANGE(""https://docs.google.com/spreadsheets/d/1fb2B9NLcpJgjIieIJvenUTNPn0TimZDUi0OtYeiSQ_s/edit?usp=sharing"",""กาฬสินธุ์!M535"")"),0)</f>
        <v>0</v>
      </c>
      <c r="H32" s="58">
        <f t="shared" ca="1" si="32"/>
        <v>43124</v>
      </c>
      <c r="I32" s="59">
        <f t="shared" ca="1" si="1"/>
        <v>15.553631969992065</v>
      </c>
      <c r="J32" s="60">
        <f t="shared" ref="J32:J51" ca="1" si="55">M32+N32+O32+P32</f>
        <v>43124</v>
      </c>
      <c r="K32" s="61">
        <f t="shared" ca="1" si="34"/>
        <v>15.553631969992065</v>
      </c>
      <c r="L32" s="61">
        <f t="shared" ca="1" si="35"/>
        <v>15.553631969992065</v>
      </c>
      <c r="M32" s="57">
        <f ca="1">IFERROR(__xludf.DUMMYFUNCTION("IMPORTRANGE(""https://docs.google.com/spreadsheets/d/1fb2B9NLcpJgjIieIJvenUTNPn0TimZDUi0OtYeiSQ_s/edit?usp=sharing"",""กาฬสินธุ์!N529"")"),28690)</f>
        <v>28690</v>
      </c>
      <c r="N32" s="57">
        <f ca="1">IFERROR(__xludf.DUMMYFUNCTION("IMPORTRANGE(""https://docs.google.com/spreadsheets/d/1fb2B9NLcpJgjIieIJvenUTNPn0TimZDUi0OtYeiSQ_s/edit?usp=sharing"",""กาฬสินธุ์!N530"")"),0)</f>
        <v>0</v>
      </c>
      <c r="O32" s="57">
        <f ca="1">IFERROR(__xludf.DUMMYFUNCTION("IMPORTRANGE(""https://docs.google.com/spreadsheets/d/1fb2B9NLcpJgjIieIJvenUTNPn0TimZDUi0OtYeiSQ_s/edit?usp=sharing"",""กาฬสินธุ์!N531"")"),0)</f>
        <v>0</v>
      </c>
      <c r="P32" s="57">
        <f ca="1">IFERROR(__xludf.DUMMYFUNCTION("IMPORTRANGE(""https://docs.google.com/spreadsheets/d/1fb2B9NLcpJgjIieIJvenUTNPn0TimZDUi0OtYeiSQ_s/edit?usp=sharing"",""กาฬสินธุ์!N532"")"),14434)</f>
        <v>14434</v>
      </c>
      <c r="Q32" s="62">
        <f ca="1">IFERROR(__xludf.DUMMYFUNCTION("IMPORTRANGE(""https://docs.google.com/spreadsheets/d/1fb2B9NLcpJgjIieIJvenUTNPn0TimZDUi0OtYeiSQ_s/edit?usp=sharing"",""กาฬสินธุ์!N535"")"),0)</f>
        <v>0</v>
      </c>
      <c r="R32" s="62">
        <f t="shared" ca="1" si="37"/>
        <v>0</v>
      </c>
      <c r="S32" s="57">
        <f ca="1">IFERROR(__xludf.DUMMYFUNCTION("IMPORTRANGE(""https://docs.google.com/spreadsheets/d/1fb2B9NLcpJgjIieIJvenUTNPn0TimZDUi0OtYeiSQ_s/edit?usp=sharing"",""กาฬสินธุ์!I537"")"),30)</f>
        <v>30</v>
      </c>
      <c r="T32" s="57">
        <f ca="1">IFERROR(__xludf.DUMMYFUNCTION("IMPORTRANGE(""https://docs.google.com/spreadsheets/d/1fb2B9NLcpJgjIieIJvenUTNPn0TimZDUi0OtYeiSQ_s/edit?usp=sharing"",""กาฬสินธุ์!J537"")"),30)</f>
        <v>30</v>
      </c>
      <c r="U32" s="63">
        <f t="shared" ca="1" si="6"/>
        <v>100</v>
      </c>
      <c r="V32" s="57">
        <f ca="1">IFERROR(__xludf.DUMMYFUNCTION("IMPORTRANGE(""https://docs.google.com/spreadsheets/d/1fb2B9NLcpJgjIieIJvenUTNPn0TimZDUi0OtYeiSQ_s/edit?usp=sharing"",""กาฬสินธุ์!I538"")"),30)</f>
        <v>30</v>
      </c>
      <c r="W32" s="57">
        <f ca="1">IFERROR(__xludf.DUMMYFUNCTION("IMPORTRANGE(""https://docs.google.com/spreadsheets/d/1fb2B9NLcpJgjIieIJvenUTNPn0TimZDUi0OtYeiSQ_s/edit?usp=sharing"",""กาฬสินธุ์!J538"")"),30)</f>
        <v>30</v>
      </c>
      <c r="X32" s="63">
        <f t="shared" ca="1" si="8"/>
        <v>100</v>
      </c>
      <c r="Y32" s="57">
        <f ca="1">IFERROR(__xludf.DUMMYFUNCTION("IMPORTRANGE(""https://docs.google.com/spreadsheets/d/1fb2B9NLcpJgjIieIJvenUTNPn0TimZDUi0OtYeiSQ_s/edit?usp=sharing"",""กาฬสินธุ์!I539"")"),0)</f>
        <v>0</v>
      </c>
      <c r="Z32" s="57">
        <f ca="1">IFERROR(__xludf.DUMMYFUNCTION("IMPORTRANGE(""https://docs.google.com/spreadsheets/d/1fb2B9NLcpJgjIieIJvenUTNPn0TimZDUi0OtYeiSQ_s/edit?usp=sharing"",""กาฬสินธุ์!J539"")"),0)</f>
        <v>0</v>
      </c>
      <c r="AA32" s="63">
        <f t="shared" ca="1" si="10"/>
        <v>0</v>
      </c>
      <c r="AB32" s="57">
        <f ca="1">IFERROR(__xludf.DUMMYFUNCTION("IMPORTRANGE(""https://docs.google.com/spreadsheets/d/1fb2B9NLcpJgjIieIJvenUTNPn0TimZDUi0OtYeiSQ_s/edit?usp=sharing"",""กาฬสินธุ์!I540"")"),0)</f>
        <v>0</v>
      </c>
      <c r="AC32" s="57">
        <f ca="1">IFERROR(__xludf.DUMMYFUNCTION("IMPORTRANGE(""https://docs.google.com/spreadsheets/d/1fb2B9NLcpJgjIieIJvenUTNPn0TimZDUi0OtYeiSQ_s/edit?usp=sharing"",""กาฬสินธุ์!J540"")"),0)</f>
        <v>0</v>
      </c>
      <c r="AD32" s="63">
        <f t="shared" ca="1" si="12"/>
        <v>0</v>
      </c>
      <c r="AE32" s="140">
        <f ca="1">IFERROR(__xludf.DUMMYFUNCTION("IMPORTRANGE(""https://docs.google.com/spreadsheets/d/1fb2B9NLcpJgjIieIJvenUTNPn0TimZDUi0OtYeiSQ_s/edit?usp=sharing"",""กาฬสินธุ์!I541"")"),30)</f>
        <v>30</v>
      </c>
      <c r="AF32" s="140">
        <f ca="1">IFERROR(__xludf.DUMMYFUNCTION("IMPORTRANGE(""https://docs.google.com/spreadsheets/d/1fb2B9NLcpJgjIieIJvenUTNPn0TimZDUi0OtYeiSQ_s/edit?usp=sharing"",""กาฬสินธุ์!J541"")"),30)</f>
        <v>30</v>
      </c>
      <c r="AG32" s="141">
        <f t="shared" ca="1" si="14"/>
        <v>100</v>
      </c>
      <c r="AH32" s="140">
        <f ca="1">IFERROR(__xludf.DUMMYFUNCTION("IMPORTRANGE(""https://docs.google.com/spreadsheets/d/1fb2B9NLcpJgjIieIJvenUTNPn0TimZDUi0OtYeiSQ_s/edit?usp=sharing"",""กาฬสินธุ์!I542"")"),30)</f>
        <v>30</v>
      </c>
      <c r="AI32" s="140">
        <f ca="1">IFERROR(__xludf.DUMMYFUNCTION("IMPORTRANGE(""https://docs.google.com/spreadsheets/d/1fb2B9NLcpJgjIieIJvenUTNPn0TimZDUi0OtYeiSQ_s/edit?usp=sharing"",""กาฬสินธุ์!J542"")"),0)</f>
        <v>0</v>
      </c>
      <c r="AJ32" s="141">
        <f t="shared" ca="1" si="16"/>
        <v>0</v>
      </c>
    </row>
    <row r="33" spans="1:36" ht="21" customHeight="1" x14ac:dyDescent="0.3">
      <c r="A33" s="54">
        <v>2</v>
      </c>
      <c r="B33" s="55" t="s">
        <v>54</v>
      </c>
      <c r="C33" s="56">
        <f t="shared" ca="1" si="54"/>
        <v>0</v>
      </c>
      <c r="D33" s="57">
        <f ca="1">IFERROR(__xludf.DUMMYFUNCTION("IMPORTRANGE(""https://docs.google.com/spreadsheets/d/1SaMnqrwRGmFYNR0MhpWmHuL5niYUd5E7vDq8X7whAlI/edit?usp=sharing"",""ขอนแก่น!L528"")"),0)</f>
        <v>0</v>
      </c>
      <c r="E33" s="64">
        <f ca="1">IFERROR(__xludf.DUMMYFUNCTION("IMPORTRANGE(""https://docs.google.com/spreadsheets/d/1SaMnqrwRGmFYNR0MhpWmHuL5niYUd5E7vDq8X7whAlI/edit?usp=sharing"",""ขอนแก่น!L535"")"),0)</f>
        <v>0</v>
      </c>
      <c r="F33" s="64">
        <f ca="1">IFERROR(__xludf.DUMMYFUNCTION("IMPORTRANGE(""https://docs.google.com/spreadsheets/d/1SaMnqrwRGmFYNR0MhpWmHuL5niYUd5E7vDq8X7whAlI/edit?usp=sharing"",""ขอนแก่น!M528"")"),0)</f>
        <v>0</v>
      </c>
      <c r="G33" s="64">
        <f ca="1">IFERROR(__xludf.DUMMYFUNCTION("IMPORTRANGE(""https://docs.google.com/spreadsheets/d/1SaMnqrwRGmFYNR0MhpWmHuL5niYUd5E7vDq8X7whAlI/edit?usp=sharing"",""ขอนแก่น!M535"")"),0)</f>
        <v>0</v>
      </c>
      <c r="H33" s="58">
        <f t="shared" ca="1" si="32"/>
        <v>0</v>
      </c>
      <c r="I33" s="59">
        <f t="shared" ca="1" si="1"/>
        <v>0</v>
      </c>
      <c r="J33" s="60">
        <f t="shared" ca="1" si="55"/>
        <v>0</v>
      </c>
      <c r="K33" s="61">
        <f t="shared" ca="1" si="34"/>
        <v>0</v>
      </c>
      <c r="L33" s="61">
        <f t="shared" ca="1" si="35"/>
        <v>0</v>
      </c>
      <c r="M33" s="64">
        <f ca="1">IFERROR(__xludf.DUMMYFUNCTION("IMPORTRANGE(""https://docs.google.com/spreadsheets/d/1SaMnqrwRGmFYNR0MhpWmHuL5niYUd5E7vDq8X7whAlI/edit?usp=sharing"",""ขอนแก่น!N529"")"),0)</f>
        <v>0</v>
      </c>
      <c r="N33" s="64">
        <f ca="1">IFERROR(__xludf.DUMMYFUNCTION("IMPORTRANGE(""https://docs.google.com/spreadsheets/d/1SaMnqrwRGmFYNR0MhpWmHuL5niYUd5E7vDq8X7whAlI/edit?usp=sharing"",""ขอนแก่น!N530"")"),0)</f>
        <v>0</v>
      </c>
      <c r="O33" s="64">
        <f ca="1">IFERROR(__xludf.DUMMYFUNCTION("IMPORTRANGE(""https://docs.google.com/spreadsheets/d/1SaMnqrwRGmFYNR0MhpWmHuL5niYUd5E7vDq8X7whAlI/edit?usp=sharing"",""ขอนแก่น!N531"")"),0)</f>
        <v>0</v>
      </c>
      <c r="P33" s="64">
        <f ca="1">IFERROR(__xludf.DUMMYFUNCTION("IMPORTRANGE(""https://docs.google.com/spreadsheets/d/1SaMnqrwRGmFYNR0MhpWmHuL5niYUd5E7vDq8X7whAlI/edit?usp=sharing"",""ขอนแก่น!N532"")"),0)</f>
        <v>0</v>
      </c>
      <c r="Q33" s="62">
        <f ca="1">IFERROR(__xludf.DUMMYFUNCTION("IMPORTRANGE(""https://docs.google.com/spreadsheets/d/1SaMnqrwRGmFYNR0MhpWmHuL5niYUd5E7vDq8X7whAlI/edit?usp=sharing"",""ขอนแก่น!N535"")"),0)</f>
        <v>0</v>
      </c>
      <c r="R33" s="62">
        <f t="shared" ca="1" si="37"/>
        <v>0</v>
      </c>
      <c r="S33" s="57">
        <f ca="1">IFERROR(__xludf.DUMMYFUNCTION("IMPORTRANGE(""https://docs.google.com/spreadsheets/d/1SaMnqrwRGmFYNR0MhpWmHuL5niYUd5E7vDq8X7whAlI/edit?usp=sharing"",""ขอนแก่น!I537"")"),0)</f>
        <v>0</v>
      </c>
      <c r="T33" s="57">
        <f ca="1">IFERROR(__xludf.DUMMYFUNCTION("IMPORTRANGE(""https://docs.google.com/spreadsheets/d/1SaMnqrwRGmFYNR0MhpWmHuL5niYUd5E7vDq8X7whAlI/edit?usp=sharing"",""ขอนแก่น!J537"")"),0)</f>
        <v>0</v>
      </c>
      <c r="U33" s="63">
        <f t="shared" ca="1" si="6"/>
        <v>0</v>
      </c>
      <c r="V33" s="57">
        <f ca="1">IFERROR(__xludf.DUMMYFUNCTION("IMPORTRANGE(""https://docs.google.com/spreadsheets/d/1SaMnqrwRGmFYNR0MhpWmHuL5niYUd5E7vDq8X7whAlI/edit?usp=sharing"",""ขอนแก่น!I538"")"),0)</f>
        <v>0</v>
      </c>
      <c r="W33" s="57">
        <f ca="1">IFERROR(__xludf.DUMMYFUNCTION("IMPORTRANGE(""https://docs.google.com/spreadsheets/d/1SaMnqrwRGmFYNR0MhpWmHuL5niYUd5E7vDq8X7whAlI/edit?usp=sharing"",""ขอนแก่น!J538"")"),0)</f>
        <v>0</v>
      </c>
      <c r="X33" s="63">
        <f t="shared" ca="1" si="8"/>
        <v>0</v>
      </c>
      <c r="Y33" s="57">
        <f ca="1">IFERROR(__xludf.DUMMYFUNCTION("IMPORTRANGE(""https://docs.google.com/spreadsheets/d/1SaMnqrwRGmFYNR0MhpWmHuL5niYUd5E7vDq8X7whAlI/edit?usp=sharing"",""ขอนแก่น!I539"")"),0)</f>
        <v>0</v>
      </c>
      <c r="Z33" s="57">
        <f ca="1">IFERROR(__xludf.DUMMYFUNCTION("IMPORTRANGE(""https://docs.google.com/spreadsheets/d/1SaMnqrwRGmFYNR0MhpWmHuL5niYUd5E7vDq8X7whAlI/edit?usp=sharing"",""ขอนแก่น!J539"")"),0)</f>
        <v>0</v>
      </c>
      <c r="AA33" s="63">
        <f t="shared" ca="1" si="10"/>
        <v>0</v>
      </c>
      <c r="AB33" s="57">
        <f ca="1">IFERROR(__xludf.DUMMYFUNCTION("IMPORTRANGE(""https://docs.google.com/spreadsheets/d/1SaMnqrwRGmFYNR0MhpWmHuL5niYUd5E7vDq8X7whAlI/edit?usp=sharing"",""ขอนแก่น!I540"")"),0)</f>
        <v>0</v>
      </c>
      <c r="AC33" s="57">
        <f ca="1">IFERROR(__xludf.DUMMYFUNCTION("IMPORTRANGE(""https://docs.google.com/spreadsheets/d/1SaMnqrwRGmFYNR0MhpWmHuL5niYUd5E7vDq8X7whAlI/edit?usp=sharing"",""ขอนแก่น!J540"")"),0)</f>
        <v>0</v>
      </c>
      <c r="AD33" s="63">
        <f t="shared" ca="1" si="12"/>
        <v>0</v>
      </c>
      <c r="AE33" s="140">
        <f ca="1">IFERROR(__xludf.DUMMYFUNCTION("IMPORTRANGE(""https://docs.google.com/spreadsheets/d/1SaMnqrwRGmFYNR0MhpWmHuL5niYUd5E7vDq8X7whAlI/edit?usp=sharing"",""ขอนแก่น!I541"")"),0)</f>
        <v>0</v>
      </c>
      <c r="AF33" s="140">
        <f ca="1">IFERROR(__xludf.DUMMYFUNCTION("IMPORTRANGE(""https://docs.google.com/spreadsheets/d/1SaMnqrwRGmFYNR0MhpWmHuL5niYUd5E7vDq8X7whAlI/edit?usp=sharing"",""ขอนแก่น!J541"")"),0)</f>
        <v>0</v>
      </c>
      <c r="AG33" s="141">
        <f t="shared" ca="1" si="14"/>
        <v>0</v>
      </c>
      <c r="AH33" s="140">
        <f ca="1">IFERROR(__xludf.DUMMYFUNCTION("IMPORTRANGE(""https://docs.google.com/spreadsheets/d/1SaMnqrwRGmFYNR0MhpWmHuL5niYUd5E7vDq8X7whAlI/edit?usp=sharing"",""ขอนแก่น!I542"")"),0)</f>
        <v>0</v>
      </c>
      <c r="AI33" s="140">
        <f ca="1">IFERROR(__xludf.DUMMYFUNCTION("IMPORTRANGE(""https://docs.google.com/spreadsheets/d/1SaMnqrwRGmFYNR0MhpWmHuL5niYUd5E7vDq8X7whAlI/edit?usp=sharing"",""ขอนแก่น!J542"")"),0)</f>
        <v>0</v>
      </c>
      <c r="AJ33" s="141">
        <f t="shared" ca="1" si="16"/>
        <v>0</v>
      </c>
    </row>
    <row r="34" spans="1:36" ht="21" customHeight="1" x14ac:dyDescent="0.3">
      <c r="A34" s="54">
        <v>3</v>
      </c>
      <c r="B34" s="55" t="s">
        <v>55</v>
      </c>
      <c r="C34" s="56">
        <f t="shared" ca="1" si="54"/>
        <v>0</v>
      </c>
      <c r="D34" s="57">
        <f ca="1">IFERROR(__xludf.DUMMYFUNCTION("IMPORTRANGE(""https://docs.google.com/spreadsheets/d/1xQzEtGHhTTgxHh6YUkKY1P4dRyjVhS74dGswLfAASA4/edit?usp=sharing"",""ชัยภูมิ!L528"")"),0)</f>
        <v>0</v>
      </c>
      <c r="E34" s="64">
        <f ca="1">IFERROR(__xludf.DUMMYFUNCTION("IMPORTRANGE(""https://docs.google.com/spreadsheets/d/1xQzEtGHhTTgxHh6YUkKY1P4dRyjVhS74dGswLfAASA4/edit?usp=sharing"",""ชัยภูมิ!L535"")"),0)</f>
        <v>0</v>
      </c>
      <c r="F34" s="64">
        <f ca="1">IFERROR(__xludf.DUMMYFUNCTION("IMPORTRANGE(""https://docs.google.com/spreadsheets/d/1xQzEtGHhTTgxHh6YUkKY1P4dRyjVhS74dGswLfAASA4/edit?usp=sharing"",""ชัยภูมิ!M528"")"),0)</f>
        <v>0</v>
      </c>
      <c r="G34" s="64">
        <f ca="1">IFERROR(__xludf.DUMMYFUNCTION("IMPORTRANGE(""https://docs.google.com/spreadsheets/d/1xQzEtGHhTTgxHh6YUkKY1P4dRyjVhS74dGswLfAASA4/edit?usp=sharing"",""ชัยภูมิ!M535"")"),0)</f>
        <v>0</v>
      </c>
      <c r="H34" s="58">
        <f t="shared" ca="1" si="32"/>
        <v>0</v>
      </c>
      <c r="I34" s="59">
        <f t="shared" ca="1" si="1"/>
        <v>0</v>
      </c>
      <c r="J34" s="60">
        <f t="shared" ca="1" si="55"/>
        <v>0</v>
      </c>
      <c r="K34" s="61">
        <f t="shared" ca="1" si="34"/>
        <v>0</v>
      </c>
      <c r="L34" s="61">
        <f t="shared" ca="1" si="35"/>
        <v>0</v>
      </c>
      <c r="M34" s="64">
        <f ca="1">IFERROR(__xludf.DUMMYFUNCTION("IMPORTRANGE(""https://docs.google.com/spreadsheets/d/1xQzEtGHhTTgxHh6YUkKY1P4dRyjVhS74dGswLfAASA4/edit?usp=sharing"",""ชัยภูมิ!N529"")"),0)</f>
        <v>0</v>
      </c>
      <c r="N34" s="64">
        <f ca="1">IFERROR(__xludf.DUMMYFUNCTION("IMPORTRANGE(""https://docs.google.com/spreadsheets/d/1xQzEtGHhTTgxHh6YUkKY1P4dRyjVhS74dGswLfAASA4/edit?usp=sharing"",""ชัยภูมิ!N530"")"),0)</f>
        <v>0</v>
      </c>
      <c r="O34" s="64">
        <f ca="1">IFERROR(__xludf.DUMMYFUNCTION("IMPORTRANGE(""https://docs.google.com/spreadsheets/d/1xQzEtGHhTTgxHh6YUkKY1P4dRyjVhS74dGswLfAASA4/edit?usp=sharing"",""ชัยภูมิ!N531"")"),0)</f>
        <v>0</v>
      </c>
      <c r="P34" s="64">
        <f ca="1">IFERROR(__xludf.DUMMYFUNCTION("IMPORTRANGE(""https://docs.google.com/spreadsheets/d/1xQzEtGHhTTgxHh6YUkKY1P4dRyjVhS74dGswLfAASA4/edit?usp=sharing"",""ชัยภูมิ!N532"")"),0)</f>
        <v>0</v>
      </c>
      <c r="Q34" s="62">
        <f ca="1">IFERROR(__xludf.DUMMYFUNCTION("IMPORTRANGE(""https://docs.google.com/spreadsheets/d/1xQzEtGHhTTgxHh6YUkKY1P4dRyjVhS74dGswLfAASA4/edit?usp=sharing"",""ชัยภูมิ!N535"")"),0)</f>
        <v>0</v>
      </c>
      <c r="R34" s="62">
        <f t="shared" ca="1" si="37"/>
        <v>0</v>
      </c>
      <c r="S34" s="57">
        <f ca="1">IFERROR(__xludf.DUMMYFUNCTION("IMPORTRANGE(""https://docs.google.com/spreadsheets/d/1xQzEtGHhTTgxHh6YUkKY1P4dRyjVhS74dGswLfAASA4/edit?usp=sharing"",""ชัยภูมิ!I537"")"),0)</f>
        <v>0</v>
      </c>
      <c r="T34" s="57">
        <f ca="1">IFERROR(__xludf.DUMMYFUNCTION("IMPORTRANGE(""https://docs.google.com/spreadsheets/d/1xQzEtGHhTTgxHh6YUkKY1P4dRyjVhS74dGswLfAASA4/edit?usp=sharing"",""ชัยภูมิ!J537"")"),0)</f>
        <v>0</v>
      </c>
      <c r="U34" s="63">
        <f t="shared" ca="1" si="6"/>
        <v>0</v>
      </c>
      <c r="V34" s="57">
        <f ca="1">IFERROR(__xludf.DUMMYFUNCTION("IMPORTRANGE(""https://docs.google.com/spreadsheets/d/1xQzEtGHhTTgxHh6YUkKY1P4dRyjVhS74dGswLfAASA4/edit?usp=sharing"",""ชัยภูมิ!I538"")"),0)</f>
        <v>0</v>
      </c>
      <c r="W34" s="57">
        <f ca="1">IFERROR(__xludf.DUMMYFUNCTION("IMPORTRANGE(""https://docs.google.com/spreadsheets/d/1xQzEtGHhTTgxHh6YUkKY1P4dRyjVhS74dGswLfAASA4/edit?usp=sharing"",""ชัยภูมิ!J538"")"),0)</f>
        <v>0</v>
      </c>
      <c r="X34" s="63">
        <f t="shared" ca="1" si="8"/>
        <v>0</v>
      </c>
      <c r="Y34" s="57">
        <f ca="1">IFERROR(__xludf.DUMMYFUNCTION("IMPORTRANGE(""https://docs.google.com/spreadsheets/d/1xQzEtGHhTTgxHh6YUkKY1P4dRyjVhS74dGswLfAASA4/edit?usp=sharing"",""ชัยภูมิ!I539"")"),0)</f>
        <v>0</v>
      </c>
      <c r="Z34" s="57">
        <f ca="1">IFERROR(__xludf.DUMMYFUNCTION("IMPORTRANGE(""https://docs.google.com/spreadsheets/d/1xQzEtGHhTTgxHh6YUkKY1P4dRyjVhS74dGswLfAASA4/edit?usp=sharing"",""ชัยภูมิ!J539"")"),0)</f>
        <v>0</v>
      </c>
      <c r="AA34" s="63">
        <f t="shared" ca="1" si="10"/>
        <v>0</v>
      </c>
      <c r="AB34" s="57">
        <f ca="1">IFERROR(__xludf.DUMMYFUNCTION("IMPORTRANGE(""https://docs.google.com/spreadsheets/d/1xQzEtGHhTTgxHh6YUkKY1P4dRyjVhS74dGswLfAASA4/edit?usp=sharing"",""ชัยภูมิ!I540"")"),0)</f>
        <v>0</v>
      </c>
      <c r="AC34" s="57">
        <f ca="1">IFERROR(__xludf.DUMMYFUNCTION("IMPORTRANGE(""https://docs.google.com/spreadsheets/d/1xQzEtGHhTTgxHh6YUkKY1P4dRyjVhS74dGswLfAASA4/edit?usp=sharing"",""ชัยภูมิ!J540"")"),0)</f>
        <v>0</v>
      </c>
      <c r="AD34" s="63">
        <f t="shared" ca="1" si="12"/>
        <v>0</v>
      </c>
      <c r="AE34" s="140">
        <f ca="1">IFERROR(__xludf.DUMMYFUNCTION("IMPORTRANGE(""https://docs.google.com/spreadsheets/d/1xQzEtGHhTTgxHh6YUkKY1P4dRyjVhS74dGswLfAASA4/edit?usp=sharing"",""ชัยภูมิ!I541"")"),0)</f>
        <v>0</v>
      </c>
      <c r="AF34" s="140">
        <f ca="1">IFERROR(__xludf.DUMMYFUNCTION("IMPORTRANGE(""https://docs.google.com/spreadsheets/d/1xQzEtGHhTTgxHh6YUkKY1P4dRyjVhS74dGswLfAASA4/edit?usp=sharing"",""ชัยภูมิ!J541"")"),0)</f>
        <v>0</v>
      </c>
      <c r="AG34" s="141">
        <f t="shared" ca="1" si="14"/>
        <v>0</v>
      </c>
      <c r="AH34" s="140">
        <f ca="1">IFERROR(__xludf.DUMMYFUNCTION("IMPORTRANGE(""https://docs.google.com/spreadsheets/d/1xQzEtGHhTTgxHh6YUkKY1P4dRyjVhS74dGswLfAASA4/edit?usp=sharing"",""ชัยภูมิ!I542"")"),0)</f>
        <v>0</v>
      </c>
      <c r="AI34" s="140">
        <f ca="1">IFERROR(__xludf.DUMMYFUNCTION("IMPORTRANGE(""https://docs.google.com/spreadsheets/d/1xQzEtGHhTTgxHh6YUkKY1P4dRyjVhS74dGswLfAASA4/edit?usp=sharing"",""ชัยภูมิ!J542"")"),0)</f>
        <v>0</v>
      </c>
      <c r="AJ34" s="141">
        <f t="shared" ca="1" si="16"/>
        <v>0</v>
      </c>
    </row>
    <row r="35" spans="1:36" ht="21" customHeight="1" x14ac:dyDescent="0.3">
      <c r="A35" s="54">
        <v>4</v>
      </c>
      <c r="B35" s="55" t="s">
        <v>56</v>
      </c>
      <c r="C35" s="56">
        <f t="shared" ca="1" si="54"/>
        <v>0</v>
      </c>
      <c r="D35" s="57">
        <f ca="1">IFERROR(__xludf.DUMMYFUNCTION("IMPORTRANGE(""https://docs.google.com/spreadsheets/d/1EXMBoBxU3OFbjT2TRpneM33qFjqDzrKmn9ydcflfI0o/edit?usp=sharing"",""นครพนม!L528"")"),0)</f>
        <v>0</v>
      </c>
      <c r="E35" s="64">
        <f ca="1">IFERROR(__xludf.DUMMYFUNCTION("IMPORTRANGE(""https://docs.google.com/spreadsheets/d/1EXMBoBxU3OFbjT2TRpneM33qFjqDzrKmn9ydcflfI0o/edit?usp=sharing"",""นครพนม!L535"")"),0)</f>
        <v>0</v>
      </c>
      <c r="F35" s="64">
        <f ca="1">IFERROR(__xludf.DUMMYFUNCTION("IMPORTRANGE(""https://docs.google.com/spreadsheets/d/1EXMBoBxU3OFbjT2TRpneM33qFjqDzrKmn9ydcflfI0o/edit?usp=sharing"",""นครพนม!M528"")"),0)</f>
        <v>0</v>
      </c>
      <c r="G35" s="64">
        <f ca="1">IFERROR(__xludf.DUMMYFUNCTION("IMPORTRANGE(""https://docs.google.com/spreadsheets/d/1EXMBoBxU3OFbjT2TRpneM33qFjqDzrKmn9ydcflfI0o/edit?usp=sharing"",""นครพนม!M535"")"),0)</f>
        <v>0</v>
      </c>
      <c r="H35" s="58">
        <f t="shared" ca="1" si="32"/>
        <v>0</v>
      </c>
      <c r="I35" s="59">
        <f t="shared" ca="1" si="1"/>
        <v>0</v>
      </c>
      <c r="J35" s="60">
        <f t="shared" ca="1" si="55"/>
        <v>0</v>
      </c>
      <c r="K35" s="61">
        <f t="shared" ca="1" si="34"/>
        <v>0</v>
      </c>
      <c r="L35" s="61">
        <f t="shared" ca="1" si="35"/>
        <v>0</v>
      </c>
      <c r="M35" s="64">
        <f ca="1">IFERROR(__xludf.DUMMYFUNCTION("IMPORTRANGE(""https://docs.google.com/spreadsheets/d/1EXMBoBxU3OFbjT2TRpneM33qFjqDzrKmn9ydcflfI0o/edit?usp=sharing"",""นครพนม!N529"")"),0)</f>
        <v>0</v>
      </c>
      <c r="N35" s="64">
        <f ca="1">IFERROR(__xludf.DUMMYFUNCTION("IMPORTRANGE(""https://docs.google.com/spreadsheets/d/1EXMBoBxU3OFbjT2TRpneM33qFjqDzrKmn9ydcflfI0o/edit?usp=sharing"",""นครพนม!N530"")"),0)</f>
        <v>0</v>
      </c>
      <c r="O35" s="64">
        <f ca="1">IFERROR(__xludf.DUMMYFUNCTION("IMPORTRANGE(""https://docs.google.com/spreadsheets/d/1EXMBoBxU3OFbjT2TRpneM33qFjqDzrKmn9ydcflfI0o/edit?usp=sharing"",""นครพนม!N531"")"),0)</f>
        <v>0</v>
      </c>
      <c r="P35" s="64">
        <f ca="1">IFERROR(__xludf.DUMMYFUNCTION("IMPORTRANGE(""https://docs.google.com/spreadsheets/d/1EXMBoBxU3OFbjT2TRpneM33qFjqDzrKmn9ydcflfI0o/edit?usp=sharing"",""นครพนม!N532"")"),0)</f>
        <v>0</v>
      </c>
      <c r="Q35" s="62">
        <f ca="1">IFERROR(__xludf.DUMMYFUNCTION("IMPORTRANGE(""https://docs.google.com/spreadsheets/d/1EXMBoBxU3OFbjT2TRpneM33qFjqDzrKmn9ydcflfI0o/edit?usp=sharing"",""นครพนม!N535"")"),0)</f>
        <v>0</v>
      </c>
      <c r="R35" s="62">
        <f t="shared" ca="1" si="37"/>
        <v>0</v>
      </c>
      <c r="S35" s="57">
        <f ca="1">IFERROR(__xludf.DUMMYFUNCTION("IMPORTRANGE(""https://docs.google.com/spreadsheets/d/1EXMBoBxU3OFbjT2TRpneM33qFjqDzrKmn9ydcflfI0o/edit?usp=sharing"",""นครพนม!I537"")"),0)</f>
        <v>0</v>
      </c>
      <c r="T35" s="57">
        <f ca="1">IFERROR(__xludf.DUMMYFUNCTION("IMPORTRANGE(""https://docs.google.com/spreadsheets/d/1EXMBoBxU3OFbjT2TRpneM33qFjqDzrKmn9ydcflfI0o/edit?usp=sharing"",""นครพนม!J537"")"),0)</f>
        <v>0</v>
      </c>
      <c r="U35" s="63">
        <f t="shared" ca="1" si="6"/>
        <v>0</v>
      </c>
      <c r="V35" s="57">
        <f ca="1">IFERROR(__xludf.DUMMYFUNCTION("IMPORTRANGE(""https://docs.google.com/spreadsheets/d/1EXMBoBxU3OFbjT2TRpneM33qFjqDzrKmn9ydcflfI0o/edit?usp=sharing"",""นครพนม!I538"")"),0)</f>
        <v>0</v>
      </c>
      <c r="W35" s="57">
        <f ca="1">IFERROR(__xludf.DUMMYFUNCTION("IMPORTRANGE(""https://docs.google.com/spreadsheets/d/1EXMBoBxU3OFbjT2TRpneM33qFjqDzrKmn9ydcflfI0o/edit?usp=sharing"",""นครพนม!J538"")"),0)</f>
        <v>0</v>
      </c>
      <c r="X35" s="63">
        <f t="shared" ca="1" si="8"/>
        <v>0</v>
      </c>
      <c r="Y35" s="57">
        <f ca="1">IFERROR(__xludf.DUMMYFUNCTION("IMPORTRANGE(""https://docs.google.com/spreadsheets/d/1EXMBoBxU3OFbjT2TRpneM33qFjqDzrKmn9ydcflfI0o/edit?usp=sharing"",""นครพนม!I539"")"),0)</f>
        <v>0</v>
      </c>
      <c r="Z35" s="57">
        <f ca="1">IFERROR(__xludf.DUMMYFUNCTION("IMPORTRANGE(""https://docs.google.com/spreadsheets/d/1EXMBoBxU3OFbjT2TRpneM33qFjqDzrKmn9ydcflfI0o/edit?usp=sharing"",""นครพนม!J539"")"),0)</f>
        <v>0</v>
      </c>
      <c r="AA35" s="63">
        <f t="shared" ca="1" si="10"/>
        <v>0</v>
      </c>
      <c r="AB35" s="57">
        <f ca="1">IFERROR(__xludf.DUMMYFUNCTION("IMPORTRANGE(""https://docs.google.com/spreadsheets/d/1EXMBoBxU3OFbjT2TRpneM33qFjqDzrKmn9ydcflfI0o/edit?usp=sharing"",""นครพนม!I540"")"),0)</f>
        <v>0</v>
      </c>
      <c r="AC35" s="57">
        <f ca="1">IFERROR(__xludf.DUMMYFUNCTION("IMPORTRANGE(""https://docs.google.com/spreadsheets/d/1EXMBoBxU3OFbjT2TRpneM33qFjqDzrKmn9ydcflfI0o/edit?usp=sharing"",""นครพนม!J540"")"),0)</f>
        <v>0</v>
      </c>
      <c r="AD35" s="63">
        <f t="shared" ca="1" si="12"/>
        <v>0</v>
      </c>
      <c r="AE35" s="140">
        <f ca="1">IFERROR(__xludf.DUMMYFUNCTION("IMPORTRANGE(""https://docs.google.com/spreadsheets/d/1EXMBoBxU3OFbjT2TRpneM33qFjqDzrKmn9ydcflfI0o/edit?usp=sharing"",""นครพนม!I541"")"),0)</f>
        <v>0</v>
      </c>
      <c r="AF35" s="140">
        <f ca="1">IFERROR(__xludf.DUMMYFUNCTION("IMPORTRANGE(""https://docs.google.com/spreadsheets/d/1EXMBoBxU3OFbjT2TRpneM33qFjqDzrKmn9ydcflfI0o/edit?usp=sharing"",""นครพนม!J541"")"),0)</f>
        <v>0</v>
      </c>
      <c r="AG35" s="141">
        <f t="shared" ca="1" si="14"/>
        <v>0</v>
      </c>
      <c r="AH35" s="140">
        <f ca="1">IFERROR(__xludf.DUMMYFUNCTION("IMPORTRANGE(""https://docs.google.com/spreadsheets/d/1EXMBoBxU3OFbjT2TRpneM33qFjqDzrKmn9ydcflfI0o/edit?usp=sharing"",""นครพนม!I542"")"),0)</f>
        <v>0</v>
      </c>
      <c r="AI35" s="140">
        <f ca="1">IFERROR(__xludf.DUMMYFUNCTION("IMPORTRANGE(""https://docs.google.com/spreadsheets/d/1EXMBoBxU3OFbjT2TRpneM33qFjqDzrKmn9ydcflfI0o/edit?usp=sharing"",""นครพนม!J542"")"),0)</f>
        <v>0</v>
      </c>
      <c r="AJ35" s="141">
        <f t="shared" ca="1" si="16"/>
        <v>0</v>
      </c>
    </row>
    <row r="36" spans="1:36" ht="21" customHeight="1" x14ac:dyDescent="0.3">
      <c r="A36" s="54">
        <v>5</v>
      </c>
      <c r="B36" s="55" t="s">
        <v>57</v>
      </c>
      <c r="C36" s="56">
        <f t="shared" ca="1" si="54"/>
        <v>427460</v>
      </c>
      <c r="D36" s="57">
        <f ca="1">IFERROR(__xludf.DUMMYFUNCTION("IMPORTRANGE(""https://docs.google.com/spreadsheets/d/1bDQrolntRWtHumK8W-x-HXKntwxB9S3sF5aDeRS66Ko/edit?usp=sharing"",""นครราชสีมา!L528"")"),427460)</f>
        <v>427460</v>
      </c>
      <c r="E36" s="64">
        <f ca="1">IFERROR(__xludf.DUMMYFUNCTION("IMPORTRANGE(""https://docs.google.com/spreadsheets/d/1bDQrolntRWtHumK8W-x-HXKntwxB9S3sF5aDeRS66Ko/edit?usp=sharing"",""นครราชสีมา!L535"")"),0)</f>
        <v>0</v>
      </c>
      <c r="F36" s="64">
        <f ca="1">IFERROR(__xludf.DUMMYFUNCTION("IMPORTRANGE(""https://docs.google.com/spreadsheets/d/1bDQrolntRWtHumK8W-x-HXKntwxB9S3sF5aDeRS66Ko/edit?usp=sharing"",""นครราชสีมา!M528"")"),427460)</f>
        <v>427460</v>
      </c>
      <c r="G36" s="64">
        <f ca="1">IFERROR(__xludf.DUMMYFUNCTION("IMPORTRANGE(""https://docs.google.com/spreadsheets/d/1bDQrolntRWtHumK8W-x-HXKntwxB9S3sF5aDeRS66Ko/edit?usp=sharing"",""นครราชสีมา!M535"")"),0)</f>
        <v>0</v>
      </c>
      <c r="H36" s="58">
        <f t="shared" ca="1" si="32"/>
        <v>410886.82</v>
      </c>
      <c r="I36" s="59">
        <f t="shared" ca="1" si="1"/>
        <v>96.122869976138119</v>
      </c>
      <c r="J36" s="60">
        <f t="shared" ca="1" si="55"/>
        <v>410886.82</v>
      </c>
      <c r="K36" s="61">
        <f t="shared" ca="1" si="34"/>
        <v>96.122869976138119</v>
      </c>
      <c r="L36" s="61">
        <f t="shared" ca="1" si="35"/>
        <v>96.122869976138119</v>
      </c>
      <c r="M36" s="64">
        <f ca="1">IFERROR(__xludf.DUMMYFUNCTION("IMPORTRANGE(""https://docs.google.com/spreadsheets/d/1bDQrolntRWtHumK8W-x-HXKntwxB9S3sF5aDeRS66Ko/edit?usp=sharing"",""นครราชสีมา!N529"")"),151920)</f>
        <v>151920</v>
      </c>
      <c r="N36" s="64">
        <f ca="1">IFERROR(__xludf.DUMMYFUNCTION("IMPORTRANGE(""https://docs.google.com/spreadsheets/d/1bDQrolntRWtHumK8W-x-HXKntwxB9S3sF5aDeRS66Ko/edit?usp=sharing"",""นครราชสีมา!N530"")"),249786.82)</f>
        <v>249786.82</v>
      </c>
      <c r="O36" s="64">
        <f ca="1">IFERROR(__xludf.DUMMYFUNCTION("IMPORTRANGE(""https://docs.google.com/spreadsheets/d/1bDQrolntRWtHumK8W-x-HXKntwxB9S3sF5aDeRS66Ko/edit?usp=sharing"",""นครราชสีมา!N531"")"),0)</f>
        <v>0</v>
      </c>
      <c r="P36" s="64">
        <f ca="1">IFERROR(__xludf.DUMMYFUNCTION("IMPORTRANGE(""https://docs.google.com/spreadsheets/d/1bDQrolntRWtHumK8W-x-HXKntwxB9S3sF5aDeRS66Ko/edit?usp=sharing"",""นครราชสีมา!N532"")"),9180)</f>
        <v>9180</v>
      </c>
      <c r="Q36" s="62">
        <f ca="1">IFERROR(__xludf.DUMMYFUNCTION("IMPORTRANGE(""https://docs.google.com/spreadsheets/d/1bDQrolntRWtHumK8W-x-HXKntwxB9S3sF5aDeRS66Ko/edit?usp=sharing"",""นครราชสีมา!N535"")"),0)</f>
        <v>0</v>
      </c>
      <c r="R36" s="62">
        <f t="shared" ca="1" si="37"/>
        <v>0</v>
      </c>
      <c r="S36" s="57">
        <f ca="1">IFERROR(__xludf.DUMMYFUNCTION("IMPORTRANGE(""https://docs.google.com/spreadsheets/d/1bDQrolntRWtHumK8W-x-HXKntwxB9S3sF5aDeRS66Ko/edit?usp=sharing"",""นครราชสีมา!I537"")"),50)</f>
        <v>50</v>
      </c>
      <c r="T36" s="57">
        <f ca="1">IFERROR(__xludf.DUMMYFUNCTION("IMPORTRANGE(""https://docs.google.com/spreadsheets/d/1bDQrolntRWtHumK8W-x-HXKntwxB9S3sF5aDeRS66Ko/edit?usp=sharing"",""นครราชสีมา!J537"")"),50)</f>
        <v>50</v>
      </c>
      <c r="U36" s="63">
        <f t="shared" ca="1" si="6"/>
        <v>100</v>
      </c>
      <c r="V36" s="57">
        <f ca="1">IFERROR(__xludf.DUMMYFUNCTION("IMPORTRANGE(""https://docs.google.com/spreadsheets/d/1bDQrolntRWtHumK8W-x-HXKntwxB9S3sF5aDeRS66Ko/edit?usp=sharing"",""นครราชสีมา!I538"")"),50)</f>
        <v>50</v>
      </c>
      <c r="W36" s="57">
        <f ca="1">IFERROR(__xludf.DUMMYFUNCTION("IMPORTRANGE(""https://docs.google.com/spreadsheets/d/1bDQrolntRWtHumK8W-x-HXKntwxB9S3sF5aDeRS66Ko/edit?usp=sharing"",""นครราชสีมา!J538"")"),50)</f>
        <v>50</v>
      </c>
      <c r="X36" s="63">
        <f t="shared" ca="1" si="8"/>
        <v>100</v>
      </c>
      <c r="Y36" s="57">
        <f ca="1">IFERROR(__xludf.DUMMYFUNCTION("IMPORTRANGE(""https://docs.google.com/spreadsheets/d/1bDQrolntRWtHumK8W-x-HXKntwxB9S3sF5aDeRS66Ko/edit?usp=sharing"",""นครราชสีมา!I539"")"),0)</f>
        <v>0</v>
      </c>
      <c r="Z36" s="57">
        <f ca="1">IFERROR(__xludf.DUMMYFUNCTION("IMPORTRANGE(""https://docs.google.com/spreadsheets/d/1bDQrolntRWtHumK8W-x-HXKntwxB9S3sF5aDeRS66Ko/edit?usp=sharing"",""นครราชสีมา!J539"")"),0)</f>
        <v>0</v>
      </c>
      <c r="AA36" s="63">
        <f t="shared" ca="1" si="10"/>
        <v>0</v>
      </c>
      <c r="AB36" s="57">
        <f ca="1">IFERROR(__xludf.DUMMYFUNCTION("IMPORTRANGE(""https://docs.google.com/spreadsheets/d/1bDQrolntRWtHumK8W-x-HXKntwxB9S3sF5aDeRS66Ko/edit?usp=sharing"",""นครราชสีมา!I540"")"),0)</f>
        <v>0</v>
      </c>
      <c r="AC36" s="57">
        <f ca="1">IFERROR(__xludf.DUMMYFUNCTION("IMPORTRANGE(""https://docs.google.com/spreadsheets/d/1bDQrolntRWtHumK8W-x-HXKntwxB9S3sF5aDeRS66Ko/edit?usp=sharing"",""นครราชสีมา!J540"")"),0)</f>
        <v>0</v>
      </c>
      <c r="AD36" s="63">
        <f t="shared" ca="1" si="12"/>
        <v>0</v>
      </c>
      <c r="AE36" s="140">
        <f ca="1">IFERROR(__xludf.DUMMYFUNCTION("IMPORTRANGE(""https://docs.google.com/spreadsheets/d/1bDQrolntRWtHumK8W-x-HXKntwxB9S3sF5aDeRS66Ko/edit?usp=sharing"",""นครราชสีมา!I541"")"),50)</f>
        <v>50</v>
      </c>
      <c r="AF36" s="140">
        <f ca="1">IFERROR(__xludf.DUMMYFUNCTION("IMPORTRANGE(""https://docs.google.com/spreadsheets/d/1bDQrolntRWtHumK8W-x-HXKntwxB9S3sF5aDeRS66Ko/edit?usp=sharing"",""นครราชสีมา!J541"")"),50)</f>
        <v>50</v>
      </c>
      <c r="AG36" s="141">
        <f t="shared" ca="1" si="14"/>
        <v>100</v>
      </c>
      <c r="AH36" s="140">
        <f ca="1">IFERROR(__xludf.DUMMYFUNCTION("IMPORTRANGE(""https://docs.google.com/spreadsheets/d/1bDQrolntRWtHumK8W-x-HXKntwxB9S3sF5aDeRS66Ko/edit?usp=sharing"",""นครราชสีมา!I542"")"),50)</f>
        <v>50</v>
      </c>
      <c r="AI36" s="140">
        <f ca="1">IFERROR(__xludf.DUMMYFUNCTION("IMPORTRANGE(""https://docs.google.com/spreadsheets/d/1bDQrolntRWtHumK8W-x-HXKntwxB9S3sF5aDeRS66Ko/edit?usp=sharing"",""นครราชสีมา!J542"")"),50)</f>
        <v>50</v>
      </c>
      <c r="AJ36" s="141">
        <f t="shared" ca="1" si="16"/>
        <v>100</v>
      </c>
    </row>
    <row r="37" spans="1:36" ht="21" customHeight="1" x14ac:dyDescent="0.3">
      <c r="A37" s="54">
        <v>6</v>
      </c>
      <c r="B37" s="55" t="s">
        <v>58</v>
      </c>
      <c r="C37" s="56">
        <f t="shared" ca="1" si="54"/>
        <v>0</v>
      </c>
      <c r="D37" s="57">
        <f ca="1">IFERROR(__xludf.DUMMYFUNCTION("IMPORTRANGE(""https://docs.google.com/spreadsheets/d/1_MzZ-2gVPiCW-d2VcafoCmFJQTSrZ6SQyFcMqRRQQ2w/edit?usp=sharing"",""บึงกาฬ!L528"")"),0)</f>
        <v>0</v>
      </c>
      <c r="E37" s="64">
        <f ca="1">IFERROR(__xludf.DUMMYFUNCTION("IMPORTRANGE(""https://docs.google.com/spreadsheets/d/1_MzZ-2gVPiCW-d2VcafoCmFJQTSrZ6SQyFcMqRRQQ2w/edit?usp=sharing"",""บึงกาฬ!L535"")"),0)</f>
        <v>0</v>
      </c>
      <c r="F37" s="64">
        <f ca="1">IFERROR(__xludf.DUMMYFUNCTION("IMPORTRANGE(""https://docs.google.com/spreadsheets/d/1_MzZ-2gVPiCW-d2VcafoCmFJQTSrZ6SQyFcMqRRQQ2w/edit?usp=sharing"",""บึงกาฬ!M528"")"),0)</f>
        <v>0</v>
      </c>
      <c r="G37" s="64">
        <f ca="1">IFERROR(__xludf.DUMMYFUNCTION("IMPORTRANGE(""https://docs.google.com/spreadsheets/d/1_MzZ-2gVPiCW-d2VcafoCmFJQTSrZ6SQyFcMqRRQQ2w/edit?usp=sharing"",""บึงกาฬ!M535"")"),0)</f>
        <v>0</v>
      </c>
      <c r="H37" s="58">
        <f t="shared" ca="1" si="32"/>
        <v>0</v>
      </c>
      <c r="I37" s="59">
        <f t="shared" ca="1" si="1"/>
        <v>0</v>
      </c>
      <c r="J37" s="60">
        <f t="shared" ca="1" si="55"/>
        <v>0</v>
      </c>
      <c r="K37" s="61">
        <f t="shared" ca="1" si="34"/>
        <v>0</v>
      </c>
      <c r="L37" s="61">
        <f t="shared" ca="1" si="35"/>
        <v>0</v>
      </c>
      <c r="M37" s="64">
        <f ca="1">IFERROR(__xludf.DUMMYFUNCTION("IMPORTRANGE(""https://docs.google.com/spreadsheets/d/1_MzZ-2gVPiCW-d2VcafoCmFJQTSrZ6SQyFcMqRRQQ2w/edit?usp=sharing"",""บึงกาฬ!N529"")"),0)</f>
        <v>0</v>
      </c>
      <c r="N37" s="64">
        <f ca="1">IFERROR(__xludf.DUMMYFUNCTION("IMPORTRANGE(""https://docs.google.com/spreadsheets/d/1_MzZ-2gVPiCW-d2VcafoCmFJQTSrZ6SQyFcMqRRQQ2w/edit?usp=sharing"",""บึงกาฬ!N530"")"),0)</f>
        <v>0</v>
      </c>
      <c r="O37" s="64">
        <f ca="1">IFERROR(__xludf.DUMMYFUNCTION("IMPORTRANGE(""https://docs.google.com/spreadsheets/d/1_MzZ-2gVPiCW-d2VcafoCmFJQTSrZ6SQyFcMqRRQQ2w/edit?usp=sharing"",""บึงกาฬ!N531"")"),0)</f>
        <v>0</v>
      </c>
      <c r="P37" s="64">
        <f ca="1">IFERROR(__xludf.DUMMYFUNCTION("IMPORTRANGE(""https://docs.google.com/spreadsheets/d/1_MzZ-2gVPiCW-d2VcafoCmFJQTSrZ6SQyFcMqRRQQ2w/edit?usp=sharing"",""บึงกาฬ!N532"")"),0)</f>
        <v>0</v>
      </c>
      <c r="Q37" s="62">
        <f ca="1">IFERROR(__xludf.DUMMYFUNCTION("IMPORTRANGE(""https://docs.google.com/spreadsheets/d/1_MzZ-2gVPiCW-d2VcafoCmFJQTSrZ6SQyFcMqRRQQ2w/edit?usp=sharing"",""บึงกาฬ!N535"")"),0)</f>
        <v>0</v>
      </c>
      <c r="R37" s="62">
        <f t="shared" ca="1" si="37"/>
        <v>0</v>
      </c>
      <c r="S37" s="57">
        <f ca="1">IFERROR(__xludf.DUMMYFUNCTION("IMPORTRANGE(""https://docs.google.com/spreadsheets/d/1_MzZ-2gVPiCW-d2VcafoCmFJQTSrZ6SQyFcMqRRQQ2w/edit?usp=sharing"",""บึงกาฬ!I537"")"),0)</f>
        <v>0</v>
      </c>
      <c r="T37" s="57">
        <f ca="1">IFERROR(__xludf.DUMMYFUNCTION("IMPORTRANGE(""https://docs.google.com/spreadsheets/d/1_MzZ-2gVPiCW-d2VcafoCmFJQTSrZ6SQyFcMqRRQQ2w/edit?usp=sharing"",""บึงกาฬ!J537"")"),0)</f>
        <v>0</v>
      </c>
      <c r="U37" s="63">
        <f t="shared" ca="1" si="6"/>
        <v>0</v>
      </c>
      <c r="V37" s="57">
        <f ca="1">IFERROR(__xludf.DUMMYFUNCTION("IMPORTRANGE(""https://docs.google.com/spreadsheets/d/1_MzZ-2gVPiCW-d2VcafoCmFJQTSrZ6SQyFcMqRRQQ2w/edit?usp=sharing"",""บึงกาฬ!I538"")"),0)</f>
        <v>0</v>
      </c>
      <c r="W37" s="57">
        <f ca="1">IFERROR(__xludf.DUMMYFUNCTION("IMPORTRANGE(""https://docs.google.com/spreadsheets/d/1_MzZ-2gVPiCW-d2VcafoCmFJQTSrZ6SQyFcMqRRQQ2w/edit?usp=sharing"",""บึงกาฬ!J538"")"),0)</f>
        <v>0</v>
      </c>
      <c r="X37" s="63">
        <f t="shared" ca="1" si="8"/>
        <v>0</v>
      </c>
      <c r="Y37" s="57">
        <f ca="1">IFERROR(__xludf.DUMMYFUNCTION("IMPORTRANGE(""https://docs.google.com/spreadsheets/d/1_MzZ-2gVPiCW-d2VcafoCmFJQTSrZ6SQyFcMqRRQQ2w/edit?usp=sharing"",""บึงกาฬ!I539"")"),0)</f>
        <v>0</v>
      </c>
      <c r="Z37" s="57">
        <f ca="1">IFERROR(__xludf.DUMMYFUNCTION("IMPORTRANGE(""https://docs.google.com/spreadsheets/d/1_MzZ-2gVPiCW-d2VcafoCmFJQTSrZ6SQyFcMqRRQQ2w/edit?usp=sharing"",""บึงกาฬ!J539"")"),0)</f>
        <v>0</v>
      </c>
      <c r="AA37" s="63">
        <f t="shared" ca="1" si="10"/>
        <v>0</v>
      </c>
      <c r="AB37" s="57">
        <f ca="1">IFERROR(__xludf.DUMMYFUNCTION("IMPORTRANGE(""https://docs.google.com/spreadsheets/d/1_MzZ-2gVPiCW-d2VcafoCmFJQTSrZ6SQyFcMqRRQQ2w/edit?usp=sharing"",""บึงกาฬ!I540"")"),0)</f>
        <v>0</v>
      </c>
      <c r="AC37" s="57">
        <f ca="1">IFERROR(__xludf.DUMMYFUNCTION("IMPORTRANGE(""https://docs.google.com/spreadsheets/d/1_MzZ-2gVPiCW-d2VcafoCmFJQTSrZ6SQyFcMqRRQQ2w/edit?usp=sharing"",""บึงกาฬ!J540"")"),0)</f>
        <v>0</v>
      </c>
      <c r="AD37" s="63">
        <f t="shared" ca="1" si="12"/>
        <v>0</v>
      </c>
      <c r="AE37" s="140">
        <f ca="1">IFERROR(__xludf.DUMMYFUNCTION("IMPORTRANGE(""https://docs.google.com/spreadsheets/d/1_MzZ-2gVPiCW-d2VcafoCmFJQTSrZ6SQyFcMqRRQQ2w/edit?usp=sharing"",""บึงกาฬ!I541"")"),0)</f>
        <v>0</v>
      </c>
      <c r="AF37" s="140">
        <f ca="1">IFERROR(__xludf.DUMMYFUNCTION("IMPORTRANGE(""https://docs.google.com/spreadsheets/d/1_MzZ-2gVPiCW-d2VcafoCmFJQTSrZ6SQyFcMqRRQQ2w/edit?usp=sharing"",""บึงกาฬ!J541"")"),0)</f>
        <v>0</v>
      </c>
      <c r="AG37" s="141">
        <f t="shared" ca="1" si="14"/>
        <v>0</v>
      </c>
      <c r="AH37" s="140">
        <f ca="1">IFERROR(__xludf.DUMMYFUNCTION("IMPORTRANGE(""https://docs.google.com/spreadsheets/d/1_MzZ-2gVPiCW-d2VcafoCmFJQTSrZ6SQyFcMqRRQQ2w/edit?usp=sharing"",""บึงกาฬ!I542"")"),0)</f>
        <v>0</v>
      </c>
      <c r="AI37" s="140">
        <f ca="1">IFERROR(__xludf.DUMMYFUNCTION("IMPORTRANGE(""https://docs.google.com/spreadsheets/d/1_MzZ-2gVPiCW-d2VcafoCmFJQTSrZ6SQyFcMqRRQQ2w/edit?usp=sharing"",""บึงกาฬ!J542"")"),0)</f>
        <v>0</v>
      </c>
      <c r="AJ37" s="141">
        <f t="shared" ca="1" si="16"/>
        <v>0</v>
      </c>
    </row>
    <row r="38" spans="1:36" ht="21" customHeight="1" x14ac:dyDescent="0.3">
      <c r="A38" s="54">
        <v>7</v>
      </c>
      <c r="B38" s="55" t="s">
        <v>59</v>
      </c>
      <c r="C38" s="56">
        <f t="shared" ca="1" si="54"/>
        <v>0</v>
      </c>
      <c r="D38" s="57">
        <f ca="1">IFERROR(__xludf.DUMMYFUNCTION("IMPORTRANGE(""https://docs.google.com/spreadsheets/d/1B3lPpzOuaNwVItLwLEZYl_qEblfcx7dRnbRkAw0l-pE/edit?usp=sharing"",""บุรีรัมย์!L528"")"),0)</f>
        <v>0</v>
      </c>
      <c r="E38" s="64">
        <f ca="1">IFERROR(__xludf.DUMMYFUNCTION("IMPORTRANGE(""https://docs.google.com/spreadsheets/d/1B3lPpzOuaNwVItLwLEZYl_qEblfcx7dRnbRkAw0l-pE/edit?usp=sharing"",""บุรีรัมย์!L535"")"),0)</f>
        <v>0</v>
      </c>
      <c r="F38" s="64">
        <f ca="1">IFERROR(__xludf.DUMMYFUNCTION("IMPORTRANGE(""https://docs.google.com/spreadsheets/d/1B3lPpzOuaNwVItLwLEZYl_qEblfcx7dRnbRkAw0l-pE/edit?usp=sharing"",""บุรีรัมย์!M528"")"),0)</f>
        <v>0</v>
      </c>
      <c r="G38" s="64">
        <f ca="1">IFERROR(__xludf.DUMMYFUNCTION("IMPORTRANGE(""https://docs.google.com/spreadsheets/d/1B3lPpzOuaNwVItLwLEZYl_qEblfcx7dRnbRkAw0l-pE/edit?usp=sharing"",""บุรีรัมย์!M535"")"),0)</f>
        <v>0</v>
      </c>
      <c r="H38" s="58">
        <f t="shared" ca="1" si="32"/>
        <v>0</v>
      </c>
      <c r="I38" s="59">
        <f t="shared" ca="1" si="1"/>
        <v>0</v>
      </c>
      <c r="J38" s="60">
        <f t="shared" ca="1" si="55"/>
        <v>0</v>
      </c>
      <c r="K38" s="61">
        <f t="shared" ca="1" si="34"/>
        <v>0</v>
      </c>
      <c r="L38" s="61">
        <f t="shared" ca="1" si="35"/>
        <v>0</v>
      </c>
      <c r="M38" s="64">
        <f ca="1">IFERROR(__xludf.DUMMYFUNCTION("IMPORTRANGE(""https://docs.google.com/spreadsheets/d/1B3lPpzOuaNwVItLwLEZYl_qEblfcx7dRnbRkAw0l-pE/edit?usp=sharing"",""บุรีรัมย์!N529"")"),0)</f>
        <v>0</v>
      </c>
      <c r="N38" s="64">
        <f ca="1">IFERROR(__xludf.DUMMYFUNCTION("IMPORTRANGE(""https://docs.google.com/spreadsheets/d/1B3lPpzOuaNwVItLwLEZYl_qEblfcx7dRnbRkAw0l-pE/edit?usp=sharing"",""บุรีรัมย์!N530"")"),0)</f>
        <v>0</v>
      </c>
      <c r="O38" s="64">
        <f ca="1">IFERROR(__xludf.DUMMYFUNCTION("IMPORTRANGE(""https://docs.google.com/spreadsheets/d/1B3lPpzOuaNwVItLwLEZYl_qEblfcx7dRnbRkAw0l-pE/edit?usp=sharing"",""บุรีรัมย์!N531"")"),0)</f>
        <v>0</v>
      </c>
      <c r="P38" s="64">
        <f ca="1">IFERROR(__xludf.DUMMYFUNCTION("IMPORTRANGE(""https://docs.google.com/spreadsheets/d/1B3lPpzOuaNwVItLwLEZYl_qEblfcx7dRnbRkAw0l-pE/edit?usp=sharing"",""บุรีรัมย์!N532"")"),0)</f>
        <v>0</v>
      </c>
      <c r="Q38" s="62">
        <f ca="1">IFERROR(__xludf.DUMMYFUNCTION("IMPORTRANGE(""https://docs.google.com/spreadsheets/d/1B3lPpzOuaNwVItLwLEZYl_qEblfcx7dRnbRkAw0l-pE/edit?usp=sharing"",""บุรีรัมย์!N535"")"),0)</f>
        <v>0</v>
      </c>
      <c r="R38" s="62">
        <f t="shared" ca="1" si="37"/>
        <v>0</v>
      </c>
      <c r="S38" s="57">
        <f ca="1">IFERROR(__xludf.DUMMYFUNCTION("IMPORTRANGE(""https://docs.google.com/spreadsheets/d/1B3lPpzOuaNwVItLwLEZYl_qEblfcx7dRnbRkAw0l-pE/edit?usp=sharing"",""บุรีรัมย์!I537"")"),0)</f>
        <v>0</v>
      </c>
      <c r="T38" s="57">
        <f ca="1">IFERROR(__xludf.DUMMYFUNCTION("IMPORTRANGE(""https://docs.google.com/spreadsheets/d/1B3lPpzOuaNwVItLwLEZYl_qEblfcx7dRnbRkAw0l-pE/edit?usp=sharing"",""บุรีรัมย์!J537"")"),0)</f>
        <v>0</v>
      </c>
      <c r="U38" s="63">
        <f t="shared" ca="1" si="6"/>
        <v>0</v>
      </c>
      <c r="V38" s="57">
        <f ca="1">IFERROR(__xludf.DUMMYFUNCTION("IMPORTRANGE(""https://docs.google.com/spreadsheets/d/1B3lPpzOuaNwVItLwLEZYl_qEblfcx7dRnbRkAw0l-pE/edit?usp=sharing"",""บุรีรัมย์!I538"")"),0)</f>
        <v>0</v>
      </c>
      <c r="W38" s="57">
        <f ca="1">IFERROR(__xludf.DUMMYFUNCTION("IMPORTRANGE(""https://docs.google.com/spreadsheets/d/1B3lPpzOuaNwVItLwLEZYl_qEblfcx7dRnbRkAw0l-pE/edit?usp=sharing"",""บุรีรัมย์!J538"")"),0)</f>
        <v>0</v>
      </c>
      <c r="X38" s="63">
        <f t="shared" ca="1" si="8"/>
        <v>0</v>
      </c>
      <c r="Y38" s="57">
        <f ca="1">IFERROR(__xludf.DUMMYFUNCTION("IMPORTRANGE(""https://docs.google.com/spreadsheets/d/1B3lPpzOuaNwVItLwLEZYl_qEblfcx7dRnbRkAw0l-pE/edit?usp=sharing"",""บุรีรัมย์!I539"")"),0)</f>
        <v>0</v>
      </c>
      <c r="Z38" s="57">
        <f ca="1">IFERROR(__xludf.DUMMYFUNCTION("IMPORTRANGE(""https://docs.google.com/spreadsheets/d/1B3lPpzOuaNwVItLwLEZYl_qEblfcx7dRnbRkAw0l-pE/edit?usp=sharing"",""บุรีรัมย์!J539"")"),0)</f>
        <v>0</v>
      </c>
      <c r="AA38" s="63">
        <f t="shared" ca="1" si="10"/>
        <v>0</v>
      </c>
      <c r="AB38" s="57">
        <f ca="1">IFERROR(__xludf.DUMMYFUNCTION("IMPORTRANGE(""https://docs.google.com/spreadsheets/d/1B3lPpzOuaNwVItLwLEZYl_qEblfcx7dRnbRkAw0l-pE/edit?usp=sharing"",""บุรีรัมย์!I540"")"),0)</f>
        <v>0</v>
      </c>
      <c r="AC38" s="57">
        <f ca="1">IFERROR(__xludf.DUMMYFUNCTION("IMPORTRANGE(""https://docs.google.com/spreadsheets/d/1B3lPpzOuaNwVItLwLEZYl_qEblfcx7dRnbRkAw0l-pE/edit?usp=sharing"",""บุรีรัมย์!J540"")"),0)</f>
        <v>0</v>
      </c>
      <c r="AD38" s="63">
        <f t="shared" ca="1" si="12"/>
        <v>0</v>
      </c>
      <c r="AE38" s="140">
        <f ca="1">IFERROR(__xludf.DUMMYFUNCTION("IMPORTRANGE(""https://docs.google.com/spreadsheets/d/1B3lPpzOuaNwVItLwLEZYl_qEblfcx7dRnbRkAw0l-pE/edit?usp=sharing"",""บุรีรัมย์!I541"")"),0)</f>
        <v>0</v>
      </c>
      <c r="AF38" s="140">
        <f ca="1">IFERROR(__xludf.DUMMYFUNCTION("IMPORTRANGE(""https://docs.google.com/spreadsheets/d/1B3lPpzOuaNwVItLwLEZYl_qEblfcx7dRnbRkAw0l-pE/edit?usp=sharing"",""บุรีรัมย์!J541"")"),0)</f>
        <v>0</v>
      </c>
      <c r="AG38" s="141">
        <f t="shared" ca="1" si="14"/>
        <v>0</v>
      </c>
      <c r="AH38" s="140">
        <f ca="1">IFERROR(__xludf.DUMMYFUNCTION("IMPORTRANGE(""https://docs.google.com/spreadsheets/d/1B3lPpzOuaNwVItLwLEZYl_qEblfcx7dRnbRkAw0l-pE/edit?usp=sharing"",""บุรีรัมย์!I542"")"),0)</f>
        <v>0</v>
      </c>
      <c r="AI38" s="140">
        <f ca="1">IFERROR(__xludf.DUMMYFUNCTION("IMPORTRANGE(""https://docs.google.com/spreadsheets/d/1B3lPpzOuaNwVItLwLEZYl_qEblfcx7dRnbRkAw0l-pE/edit?usp=sharing"",""บุรีรัมย์!J542"")"),0)</f>
        <v>0</v>
      </c>
      <c r="AJ38" s="141">
        <f t="shared" ca="1" si="16"/>
        <v>0</v>
      </c>
    </row>
    <row r="39" spans="1:36" ht="21" customHeight="1" x14ac:dyDescent="0.3">
      <c r="A39" s="54">
        <v>8</v>
      </c>
      <c r="B39" s="55" t="s">
        <v>60</v>
      </c>
      <c r="C39" s="56">
        <f t="shared" ca="1" si="54"/>
        <v>0</v>
      </c>
      <c r="D39" s="57">
        <f ca="1">IFERROR(__xludf.DUMMYFUNCTION("IMPORTRANGE(""https://docs.google.com/spreadsheets/d/19GOkiOqnzYbevLYWrMk4qFOXe3rX14BkSA8X-mq-a40/edit?usp=sharing"",""มหาสารคาม!L528"")"),0)</f>
        <v>0</v>
      </c>
      <c r="E39" s="64">
        <f ca="1">IFERROR(__xludf.DUMMYFUNCTION("IMPORTRANGE(""https://docs.google.com/spreadsheets/d/19GOkiOqnzYbevLYWrMk4qFOXe3rX14BkSA8X-mq-a40/edit?usp=sharing"",""มหาสารคาม!L535"")"),0)</f>
        <v>0</v>
      </c>
      <c r="F39" s="64">
        <f ca="1">IFERROR(__xludf.DUMMYFUNCTION("IMPORTRANGE(""https://docs.google.com/spreadsheets/d/19GOkiOqnzYbevLYWrMk4qFOXe3rX14BkSA8X-mq-a40/edit?usp=sharing"",""มหาสารคาม!M528"")"),0)</f>
        <v>0</v>
      </c>
      <c r="G39" s="64">
        <f ca="1">IFERROR(__xludf.DUMMYFUNCTION("IMPORTRANGE(""https://docs.google.com/spreadsheets/d/19GOkiOqnzYbevLYWrMk4qFOXe3rX14BkSA8X-mq-a40/edit?usp=sharing"",""มหาสารคาม!M535"")"),0)</f>
        <v>0</v>
      </c>
      <c r="H39" s="58">
        <f t="shared" ca="1" si="32"/>
        <v>0</v>
      </c>
      <c r="I39" s="59">
        <f t="shared" ca="1" si="1"/>
        <v>0</v>
      </c>
      <c r="J39" s="60">
        <f t="shared" ca="1" si="55"/>
        <v>0</v>
      </c>
      <c r="K39" s="61">
        <f t="shared" ca="1" si="34"/>
        <v>0</v>
      </c>
      <c r="L39" s="61">
        <f t="shared" ca="1" si="35"/>
        <v>0</v>
      </c>
      <c r="M39" s="64">
        <f ca="1">IFERROR(__xludf.DUMMYFUNCTION("IMPORTRANGE(""https://docs.google.com/spreadsheets/d/19GOkiOqnzYbevLYWrMk4qFOXe3rX14BkSA8X-mq-a40/edit?usp=sharing"",""มหาสารคาม!N529"")"),0)</f>
        <v>0</v>
      </c>
      <c r="N39" s="64">
        <f ca="1">IFERROR(__xludf.DUMMYFUNCTION("IMPORTRANGE(""https://docs.google.com/spreadsheets/d/19GOkiOqnzYbevLYWrMk4qFOXe3rX14BkSA8X-mq-a40/edit?usp=sharing"",""มหาสารคาม!N530"")"),0)</f>
        <v>0</v>
      </c>
      <c r="O39" s="64">
        <f ca="1">IFERROR(__xludf.DUMMYFUNCTION("IMPORTRANGE(""https://docs.google.com/spreadsheets/d/19GOkiOqnzYbevLYWrMk4qFOXe3rX14BkSA8X-mq-a40/edit?usp=sharing"",""มหาสารคาม!N531"")"),0)</f>
        <v>0</v>
      </c>
      <c r="P39" s="64">
        <f ca="1">IFERROR(__xludf.DUMMYFUNCTION("IMPORTRANGE(""https://docs.google.com/spreadsheets/d/19GOkiOqnzYbevLYWrMk4qFOXe3rX14BkSA8X-mq-a40/edit?usp=sharing"",""มหาสารคาม!N532"")"),0)</f>
        <v>0</v>
      </c>
      <c r="Q39" s="62">
        <f ca="1">IFERROR(__xludf.DUMMYFUNCTION("IMPORTRANGE(""https://docs.google.com/spreadsheets/d/19GOkiOqnzYbevLYWrMk4qFOXe3rX14BkSA8X-mq-a40/edit?usp=sharing"",""มหาสารคาม!N535"")"),0)</f>
        <v>0</v>
      </c>
      <c r="R39" s="62">
        <f t="shared" ca="1" si="37"/>
        <v>0</v>
      </c>
      <c r="S39" s="57">
        <f ca="1">IFERROR(__xludf.DUMMYFUNCTION("IMPORTRANGE(""https://docs.google.com/spreadsheets/d/19GOkiOqnzYbevLYWrMk4qFOXe3rX14BkSA8X-mq-a40/edit?usp=sharing"",""มหาสารคาม!I537"")"),0)</f>
        <v>0</v>
      </c>
      <c r="T39" s="57">
        <f ca="1">IFERROR(__xludf.DUMMYFUNCTION("IMPORTRANGE(""https://docs.google.com/spreadsheets/d/19GOkiOqnzYbevLYWrMk4qFOXe3rX14BkSA8X-mq-a40/edit?usp=sharing"",""มหาสารคาม!J537"")"),0)</f>
        <v>0</v>
      </c>
      <c r="U39" s="63">
        <f t="shared" ca="1" si="6"/>
        <v>0</v>
      </c>
      <c r="V39" s="57">
        <f ca="1">IFERROR(__xludf.DUMMYFUNCTION("IMPORTRANGE(""https://docs.google.com/spreadsheets/d/19GOkiOqnzYbevLYWrMk4qFOXe3rX14BkSA8X-mq-a40/edit?usp=sharing"",""มหาสารคาม!I538"")"),0)</f>
        <v>0</v>
      </c>
      <c r="W39" s="57">
        <f ca="1">IFERROR(__xludf.DUMMYFUNCTION("IMPORTRANGE(""https://docs.google.com/spreadsheets/d/19GOkiOqnzYbevLYWrMk4qFOXe3rX14BkSA8X-mq-a40/edit?usp=sharing"",""มหาสารคาม!J538"")"),0)</f>
        <v>0</v>
      </c>
      <c r="X39" s="63">
        <f t="shared" ca="1" si="8"/>
        <v>0</v>
      </c>
      <c r="Y39" s="57">
        <f ca="1">IFERROR(__xludf.DUMMYFUNCTION("IMPORTRANGE(""https://docs.google.com/spreadsheets/d/19GOkiOqnzYbevLYWrMk4qFOXe3rX14BkSA8X-mq-a40/edit?usp=sharing"",""มหาสารคาม!I539"")"),0)</f>
        <v>0</v>
      </c>
      <c r="Z39" s="57">
        <f ca="1">IFERROR(__xludf.DUMMYFUNCTION("IMPORTRANGE(""https://docs.google.com/spreadsheets/d/19GOkiOqnzYbevLYWrMk4qFOXe3rX14BkSA8X-mq-a40/edit?usp=sharing"",""มหาสารคาม!J539"")"),0)</f>
        <v>0</v>
      </c>
      <c r="AA39" s="63">
        <f t="shared" ca="1" si="10"/>
        <v>0</v>
      </c>
      <c r="AB39" s="57">
        <f ca="1">IFERROR(__xludf.DUMMYFUNCTION("IMPORTRANGE(""https://docs.google.com/spreadsheets/d/19GOkiOqnzYbevLYWrMk4qFOXe3rX14BkSA8X-mq-a40/edit?usp=sharing"",""มหาสารคาม!I540"")"),0)</f>
        <v>0</v>
      </c>
      <c r="AC39" s="57">
        <f ca="1">IFERROR(__xludf.DUMMYFUNCTION("IMPORTRANGE(""https://docs.google.com/spreadsheets/d/19GOkiOqnzYbevLYWrMk4qFOXe3rX14BkSA8X-mq-a40/edit?usp=sharing"",""มหาสารคาม!J540"")"),0)</f>
        <v>0</v>
      </c>
      <c r="AD39" s="63">
        <f t="shared" ca="1" si="12"/>
        <v>0</v>
      </c>
      <c r="AE39" s="140">
        <f ca="1">IFERROR(__xludf.DUMMYFUNCTION("IMPORTRANGE(""https://docs.google.com/spreadsheets/d/19GOkiOqnzYbevLYWrMk4qFOXe3rX14BkSA8X-mq-a40/edit?usp=sharing"",""มหาสารคาม!I541"")"),0)</f>
        <v>0</v>
      </c>
      <c r="AF39" s="140">
        <f ca="1">IFERROR(__xludf.DUMMYFUNCTION("IMPORTRANGE(""https://docs.google.com/spreadsheets/d/19GOkiOqnzYbevLYWrMk4qFOXe3rX14BkSA8X-mq-a40/edit?usp=sharing"",""มหาสารคาม!J541"")"),0)</f>
        <v>0</v>
      </c>
      <c r="AG39" s="141">
        <f t="shared" ca="1" si="14"/>
        <v>0</v>
      </c>
      <c r="AH39" s="140">
        <f ca="1">IFERROR(__xludf.DUMMYFUNCTION("IMPORTRANGE(""https://docs.google.com/spreadsheets/d/19GOkiOqnzYbevLYWrMk4qFOXe3rX14BkSA8X-mq-a40/edit?usp=sharing"",""มหาสารคาม!I542"")"),0)</f>
        <v>0</v>
      </c>
      <c r="AI39" s="140">
        <f ca="1">IFERROR(__xludf.DUMMYFUNCTION("IMPORTRANGE(""https://docs.google.com/spreadsheets/d/19GOkiOqnzYbevLYWrMk4qFOXe3rX14BkSA8X-mq-a40/edit?usp=sharing"",""มหาสารคาม!J542"")"),0)</f>
        <v>0</v>
      </c>
      <c r="AJ39" s="141">
        <f t="shared" ca="1" si="16"/>
        <v>0</v>
      </c>
    </row>
    <row r="40" spans="1:36" ht="21" customHeight="1" x14ac:dyDescent="0.3">
      <c r="A40" s="54">
        <v>9</v>
      </c>
      <c r="B40" s="55" t="s">
        <v>61</v>
      </c>
      <c r="C40" s="56">
        <f t="shared" ca="1" si="54"/>
        <v>0</v>
      </c>
      <c r="D40" s="57">
        <f ca="1">IFERROR(__xludf.DUMMYFUNCTION("IMPORTRANGE(""https://docs.google.com/spreadsheets/d/1uMKqWwuNQ-TCKboGA3Bb1qXb5uj2-faACNUINCz8PN4/edit?usp=sharing"",""มุกดาหาร!L528"")"),0)</f>
        <v>0</v>
      </c>
      <c r="E40" s="64">
        <f ca="1">IFERROR(__xludf.DUMMYFUNCTION("IMPORTRANGE(""https://docs.google.com/spreadsheets/d/1uMKqWwuNQ-TCKboGA3Bb1qXb5uj2-faACNUINCz8PN4/edit?usp=sharing"",""มุกดาหาร!L535"")"),0)</f>
        <v>0</v>
      </c>
      <c r="F40" s="64">
        <f ca="1">IFERROR(__xludf.DUMMYFUNCTION("IMPORTRANGE(""https://docs.google.com/spreadsheets/d/1uMKqWwuNQ-TCKboGA3Bb1qXb5uj2-faACNUINCz8PN4/edit?usp=sharing"",""มุกดาหาร!M528"")"),0)</f>
        <v>0</v>
      </c>
      <c r="G40" s="64">
        <f ca="1">IFERROR(__xludf.DUMMYFUNCTION("IMPORTRANGE(""https://docs.google.com/spreadsheets/d/1uMKqWwuNQ-TCKboGA3Bb1qXb5uj2-faACNUINCz8PN4/edit?usp=sharing"",""มุกดาหาร!M535"")"),0)</f>
        <v>0</v>
      </c>
      <c r="H40" s="58">
        <f t="shared" ca="1" si="32"/>
        <v>0</v>
      </c>
      <c r="I40" s="59">
        <f t="shared" ca="1" si="1"/>
        <v>0</v>
      </c>
      <c r="J40" s="60">
        <f t="shared" ca="1" si="55"/>
        <v>0</v>
      </c>
      <c r="K40" s="61">
        <f t="shared" ca="1" si="34"/>
        <v>0</v>
      </c>
      <c r="L40" s="61">
        <f t="shared" ca="1" si="35"/>
        <v>0</v>
      </c>
      <c r="M40" s="64">
        <f ca="1">IFERROR(__xludf.DUMMYFUNCTION("IMPORTRANGE(""https://docs.google.com/spreadsheets/d/1uMKqWwuNQ-TCKboGA3Bb1qXb5uj2-faACNUINCz8PN4/edit?usp=sharing"",""มุกดาหาร!N529"")"),0)</f>
        <v>0</v>
      </c>
      <c r="N40" s="64">
        <f ca="1">IFERROR(__xludf.DUMMYFUNCTION("IMPORTRANGE(""https://docs.google.com/spreadsheets/d/1uMKqWwuNQ-TCKboGA3Bb1qXb5uj2-faACNUINCz8PN4/edit?usp=sharing"",""มุกดาหาร!N530"")"),0)</f>
        <v>0</v>
      </c>
      <c r="O40" s="64">
        <f ca="1">IFERROR(__xludf.DUMMYFUNCTION("IMPORTRANGE(""https://docs.google.com/spreadsheets/d/1uMKqWwuNQ-TCKboGA3Bb1qXb5uj2-faACNUINCz8PN4/edit?usp=sharing"",""มุกดาหาร!N531"")"),0)</f>
        <v>0</v>
      </c>
      <c r="P40" s="64">
        <f ca="1">IFERROR(__xludf.DUMMYFUNCTION("IMPORTRANGE(""https://docs.google.com/spreadsheets/d/1uMKqWwuNQ-TCKboGA3Bb1qXb5uj2-faACNUINCz8PN4/edit?usp=sharing"",""มุกดาหาร!N532"")"),0)</f>
        <v>0</v>
      </c>
      <c r="Q40" s="62">
        <f ca="1">IFERROR(__xludf.DUMMYFUNCTION("IMPORTRANGE(""https://docs.google.com/spreadsheets/d/1uMKqWwuNQ-TCKboGA3Bb1qXb5uj2-faACNUINCz8PN4/edit?usp=sharing"",""มุกดาหาร!N535"")"),0)</f>
        <v>0</v>
      </c>
      <c r="R40" s="62">
        <f t="shared" ca="1" si="37"/>
        <v>0</v>
      </c>
      <c r="S40" s="57">
        <f ca="1">IFERROR(__xludf.DUMMYFUNCTION("IMPORTRANGE(""https://docs.google.com/spreadsheets/d/1uMKqWwuNQ-TCKboGA3Bb1qXb5uj2-faACNUINCz8PN4/edit?usp=sharing"",""มุกดาหาร!I537"")"),0)</f>
        <v>0</v>
      </c>
      <c r="T40" s="57">
        <f ca="1">IFERROR(__xludf.DUMMYFUNCTION("IMPORTRANGE(""https://docs.google.com/spreadsheets/d/1uMKqWwuNQ-TCKboGA3Bb1qXb5uj2-faACNUINCz8PN4/edit?usp=sharing"",""มุกดาหาร!J537"")"),0)</f>
        <v>0</v>
      </c>
      <c r="U40" s="63">
        <f t="shared" ca="1" si="6"/>
        <v>0</v>
      </c>
      <c r="V40" s="57">
        <f ca="1">IFERROR(__xludf.DUMMYFUNCTION("IMPORTRANGE(""https://docs.google.com/spreadsheets/d/1uMKqWwuNQ-TCKboGA3Bb1qXb5uj2-faACNUINCz8PN4/edit?usp=sharing"",""มุกดาหาร!I538"")"),0)</f>
        <v>0</v>
      </c>
      <c r="W40" s="57">
        <f ca="1">IFERROR(__xludf.DUMMYFUNCTION("IMPORTRANGE(""https://docs.google.com/spreadsheets/d/1uMKqWwuNQ-TCKboGA3Bb1qXb5uj2-faACNUINCz8PN4/edit?usp=sharing"",""มุกดาหาร!J538"")"),0)</f>
        <v>0</v>
      </c>
      <c r="X40" s="63">
        <f t="shared" ca="1" si="8"/>
        <v>0</v>
      </c>
      <c r="Y40" s="57">
        <f ca="1">IFERROR(__xludf.DUMMYFUNCTION("IMPORTRANGE(""https://docs.google.com/spreadsheets/d/1uMKqWwuNQ-TCKboGA3Bb1qXb5uj2-faACNUINCz8PN4/edit?usp=sharing"",""มุกดาหาร!I539"")"),0)</f>
        <v>0</v>
      </c>
      <c r="Z40" s="57">
        <f ca="1">IFERROR(__xludf.DUMMYFUNCTION("IMPORTRANGE(""https://docs.google.com/spreadsheets/d/1uMKqWwuNQ-TCKboGA3Bb1qXb5uj2-faACNUINCz8PN4/edit?usp=sharing"",""มุกดาหาร!J539"")"),0)</f>
        <v>0</v>
      </c>
      <c r="AA40" s="63">
        <f t="shared" ca="1" si="10"/>
        <v>0</v>
      </c>
      <c r="AB40" s="57">
        <f ca="1">IFERROR(__xludf.DUMMYFUNCTION("IMPORTRANGE(""https://docs.google.com/spreadsheets/d/1uMKqWwuNQ-TCKboGA3Bb1qXb5uj2-faACNUINCz8PN4/edit?usp=sharing"",""มุกดาหาร!I540"")"),0)</f>
        <v>0</v>
      </c>
      <c r="AC40" s="57">
        <f ca="1">IFERROR(__xludf.DUMMYFUNCTION("IMPORTRANGE(""https://docs.google.com/spreadsheets/d/1uMKqWwuNQ-TCKboGA3Bb1qXb5uj2-faACNUINCz8PN4/edit?usp=sharing"",""มุกดาหาร!J540"")"),0)</f>
        <v>0</v>
      </c>
      <c r="AD40" s="63">
        <f t="shared" ca="1" si="12"/>
        <v>0</v>
      </c>
      <c r="AE40" s="140">
        <f ca="1">IFERROR(__xludf.DUMMYFUNCTION("IMPORTRANGE(""https://docs.google.com/spreadsheets/d/1uMKqWwuNQ-TCKboGA3Bb1qXb5uj2-faACNUINCz8PN4/edit?usp=sharing"",""มุกดาหาร!I541"")"),0)</f>
        <v>0</v>
      </c>
      <c r="AF40" s="140">
        <f ca="1">IFERROR(__xludf.DUMMYFUNCTION("IMPORTRANGE(""https://docs.google.com/spreadsheets/d/1uMKqWwuNQ-TCKboGA3Bb1qXb5uj2-faACNUINCz8PN4/edit?usp=sharing"",""มุกดาหาร!J541"")"),0)</f>
        <v>0</v>
      </c>
      <c r="AG40" s="141">
        <f t="shared" ca="1" si="14"/>
        <v>0</v>
      </c>
      <c r="AH40" s="140">
        <f ca="1">IFERROR(__xludf.DUMMYFUNCTION("IMPORTRANGE(""https://docs.google.com/spreadsheets/d/1uMKqWwuNQ-TCKboGA3Bb1qXb5uj2-faACNUINCz8PN4/edit?usp=sharing"",""มุกดาหาร!I542"")"),0)</f>
        <v>0</v>
      </c>
      <c r="AI40" s="140">
        <f ca="1">IFERROR(__xludf.DUMMYFUNCTION("IMPORTRANGE(""https://docs.google.com/spreadsheets/d/1uMKqWwuNQ-TCKboGA3Bb1qXb5uj2-faACNUINCz8PN4/edit?usp=sharing"",""มุกดาหาร!J542"")"),0)</f>
        <v>0</v>
      </c>
      <c r="AJ40" s="141">
        <f t="shared" ca="1" si="16"/>
        <v>0</v>
      </c>
    </row>
    <row r="41" spans="1:36" ht="21" customHeight="1" x14ac:dyDescent="0.3">
      <c r="A41" s="54">
        <v>10</v>
      </c>
      <c r="B41" s="55" t="s">
        <v>62</v>
      </c>
      <c r="C41" s="56">
        <f t="shared" ca="1" si="54"/>
        <v>0</v>
      </c>
      <c r="D41" s="57">
        <f ca="1">IFERROR(__xludf.DUMMYFUNCTION("IMPORTRANGE(""https://docs.google.com/spreadsheets/d/1oKaccgDdQABndOzGr688Dbfxb_V3YcF67VqEPBtdzsc/edit?usp=sharing"",""ยโสธร!L528"")"),0)</f>
        <v>0</v>
      </c>
      <c r="E41" s="64">
        <f ca="1">IFERROR(__xludf.DUMMYFUNCTION("IMPORTRANGE(""https://docs.google.com/spreadsheets/d/1oKaccgDdQABndOzGr688Dbfxb_V3YcF67VqEPBtdzsc/edit?usp=sharing"",""ยโสธร!L535"")"),0)</f>
        <v>0</v>
      </c>
      <c r="F41" s="64">
        <f ca="1">IFERROR(__xludf.DUMMYFUNCTION("IMPORTRANGE(""https://docs.google.com/spreadsheets/d/1oKaccgDdQABndOzGr688Dbfxb_V3YcF67VqEPBtdzsc/edit?usp=sharing"",""ยโสธร!M528"")"),0)</f>
        <v>0</v>
      </c>
      <c r="G41" s="64">
        <f ca="1">IFERROR(__xludf.DUMMYFUNCTION("IMPORTRANGE(""https://docs.google.com/spreadsheets/d/1oKaccgDdQABndOzGr688Dbfxb_V3YcF67VqEPBtdzsc/edit?usp=sharing"",""ยโสธร!M535"")"),0)</f>
        <v>0</v>
      </c>
      <c r="H41" s="58">
        <f t="shared" ca="1" si="32"/>
        <v>0</v>
      </c>
      <c r="I41" s="59">
        <f t="shared" ca="1" si="1"/>
        <v>0</v>
      </c>
      <c r="J41" s="60">
        <f t="shared" ca="1" si="55"/>
        <v>0</v>
      </c>
      <c r="K41" s="61">
        <f t="shared" ca="1" si="34"/>
        <v>0</v>
      </c>
      <c r="L41" s="61">
        <f t="shared" ca="1" si="35"/>
        <v>0</v>
      </c>
      <c r="M41" s="64">
        <f ca="1">IFERROR(__xludf.DUMMYFUNCTION("IMPORTRANGE(""https://docs.google.com/spreadsheets/d/1oKaccgDdQABndOzGr688Dbfxb_V3YcF67VqEPBtdzsc/edit?usp=sharing"",""ยโสธร!N529"")"),0)</f>
        <v>0</v>
      </c>
      <c r="N41" s="64">
        <f ca="1">IFERROR(__xludf.DUMMYFUNCTION("IMPORTRANGE(""https://docs.google.com/spreadsheets/d/1oKaccgDdQABndOzGr688Dbfxb_V3YcF67VqEPBtdzsc/edit?usp=sharing"",""ยโสธร!N530"")"),0)</f>
        <v>0</v>
      </c>
      <c r="O41" s="64">
        <f ca="1">IFERROR(__xludf.DUMMYFUNCTION("IMPORTRANGE(""https://docs.google.com/spreadsheets/d/1oKaccgDdQABndOzGr688Dbfxb_V3YcF67VqEPBtdzsc/edit?usp=sharing"",""ยโสธร!N531"")"),0)</f>
        <v>0</v>
      </c>
      <c r="P41" s="64">
        <f ca="1">IFERROR(__xludf.DUMMYFUNCTION("IMPORTRANGE(""https://docs.google.com/spreadsheets/d/1oKaccgDdQABndOzGr688Dbfxb_V3YcF67VqEPBtdzsc/edit?usp=sharing"",""ยโสธร!N532"")"),0)</f>
        <v>0</v>
      </c>
      <c r="Q41" s="62">
        <f ca="1">IFERROR(__xludf.DUMMYFUNCTION("IMPORTRANGE(""https://docs.google.com/spreadsheets/d/1oKaccgDdQABndOzGr688Dbfxb_V3YcF67VqEPBtdzsc/edit?usp=sharing"",""ยโสธร!N535"")"),0)</f>
        <v>0</v>
      </c>
      <c r="R41" s="62">
        <f t="shared" ca="1" si="37"/>
        <v>0</v>
      </c>
      <c r="S41" s="57">
        <f ca="1">IFERROR(__xludf.DUMMYFUNCTION("IMPORTRANGE(""https://docs.google.com/spreadsheets/d/1oKaccgDdQABndOzGr688Dbfxb_V3YcF67VqEPBtdzsc/edit?usp=sharing"",""ยโสธร!I537"")"),0)</f>
        <v>0</v>
      </c>
      <c r="T41" s="57">
        <f ca="1">IFERROR(__xludf.DUMMYFUNCTION("IMPORTRANGE(""https://docs.google.com/spreadsheets/d/1oKaccgDdQABndOzGr688Dbfxb_V3YcF67VqEPBtdzsc/edit?usp=sharing"",""ยโสธร!J537"")"),0)</f>
        <v>0</v>
      </c>
      <c r="U41" s="63">
        <f t="shared" ca="1" si="6"/>
        <v>0</v>
      </c>
      <c r="V41" s="57">
        <f ca="1">IFERROR(__xludf.DUMMYFUNCTION("IMPORTRANGE(""https://docs.google.com/spreadsheets/d/1oKaccgDdQABndOzGr688Dbfxb_V3YcF67VqEPBtdzsc/edit?usp=sharing"",""ยโสธร!I538"")"),0)</f>
        <v>0</v>
      </c>
      <c r="W41" s="57">
        <f ca="1">IFERROR(__xludf.DUMMYFUNCTION("IMPORTRANGE(""https://docs.google.com/spreadsheets/d/1oKaccgDdQABndOzGr688Dbfxb_V3YcF67VqEPBtdzsc/edit?usp=sharing"",""ยโสธร!J538"")"),0)</f>
        <v>0</v>
      </c>
      <c r="X41" s="63">
        <f t="shared" ca="1" si="8"/>
        <v>0</v>
      </c>
      <c r="Y41" s="57">
        <f ca="1">IFERROR(__xludf.DUMMYFUNCTION("IMPORTRANGE(""https://docs.google.com/spreadsheets/d/1oKaccgDdQABndOzGr688Dbfxb_V3YcF67VqEPBtdzsc/edit?usp=sharing"",""ยโสธร!I539"")"),0)</f>
        <v>0</v>
      </c>
      <c r="Z41" s="57">
        <f ca="1">IFERROR(__xludf.DUMMYFUNCTION("IMPORTRANGE(""https://docs.google.com/spreadsheets/d/1oKaccgDdQABndOzGr688Dbfxb_V3YcF67VqEPBtdzsc/edit?usp=sharing"",""ยโสธร!J539"")"),0)</f>
        <v>0</v>
      </c>
      <c r="AA41" s="63">
        <f t="shared" ca="1" si="10"/>
        <v>0</v>
      </c>
      <c r="AB41" s="57">
        <f ca="1">IFERROR(__xludf.DUMMYFUNCTION("IMPORTRANGE(""https://docs.google.com/spreadsheets/d/1oKaccgDdQABndOzGr688Dbfxb_V3YcF67VqEPBtdzsc/edit?usp=sharing"",""ยโสธร!I540"")"),0)</f>
        <v>0</v>
      </c>
      <c r="AC41" s="57">
        <f ca="1">IFERROR(__xludf.DUMMYFUNCTION("IMPORTRANGE(""https://docs.google.com/spreadsheets/d/1oKaccgDdQABndOzGr688Dbfxb_V3YcF67VqEPBtdzsc/edit?usp=sharing"",""ยโสธร!J540"")"),0)</f>
        <v>0</v>
      </c>
      <c r="AD41" s="63">
        <f t="shared" ca="1" si="12"/>
        <v>0</v>
      </c>
      <c r="AE41" s="140">
        <f ca="1">IFERROR(__xludf.DUMMYFUNCTION("IMPORTRANGE(""https://docs.google.com/spreadsheets/d/1oKaccgDdQABndOzGr688Dbfxb_V3YcF67VqEPBtdzsc/edit?usp=sharing"",""ยโสธร!I541"")"),0)</f>
        <v>0</v>
      </c>
      <c r="AF41" s="140">
        <f ca="1">IFERROR(__xludf.DUMMYFUNCTION("IMPORTRANGE(""https://docs.google.com/spreadsheets/d/1oKaccgDdQABndOzGr688Dbfxb_V3YcF67VqEPBtdzsc/edit?usp=sharing"",""ยโสธร!J541"")"),0)</f>
        <v>0</v>
      </c>
      <c r="AG41" s="141">
        <f t="shared" ca="1" si="14"/>
        <v>0</v>
      </c>
      <c r="AH41" s="140">
        <f ca="1">IFERROR(__xludf.DUMMYFUNCTION("IMPORTRANGE(""https://docs.google.com/spreadsheets/d/1oKaccgDdQABndOzGr688Dbfxb_V3YcF67VqEPBtdzsc/edit?usp=sharing"",""ยโสธร!I542"")"),0)</f>
        <v>0</v>
      </c>
      <c r="AI41" s="140">
        <f ca="1">IFERROR(__xludf.DUMMYFUNCTION("IMPORTRANGE(""https://docs.google.com/spreadsheets/d/1oKaccgDdQABndOzGr688Dbfxb_V3YcF67VqEPBtdzsc/edit?usp=sharing"",""ยโสธร!J542"")"),0)</f>
        <v>0</v>
      </c>
      <c r="AJ41" s="141">
        <f t="shared" ca="1" si="16"/>
        <v>0</v>
      </c>
    </row>
    <row r="42" spans="1:36" ht="21" customHeight="1" x14ac:dyDescent="0.3">
      <c r="A42" s="54">
        <v>11</v>
      </c>
      <c r="B42" s="55" t="s">
        <v>63</v>
      </c>
      <c r="C42" s="56">
        <f t="shared" ca="1" si="54"/>
        <v>0</v>
      </c>
      <c r="D42" s="57">
        <f ca="1">IFERROR(__xludf.DUMMYFUNCTION("IMPORTRANGE(""https://docs.google.com/spreadsheets/d/1BRgc8xKpxZ0PX-gauieMVkV_IOxKSotf0yW8MabGprQ/edit?usp=sharing"",""ร้อยเอ็ด!L528"")"),0)</f>
        <v>0</v>
      </c>
      <c r="E42" s="64">
        <f ca="1">IFERROR(__xludf.DUMMYFUNCTION("IMPORTRANGE(""https://docs.google.com/spreadsheets/d/1BRgc8xKpxZ0PX-gauieMVkV_IOxKSotf0yW8MabGprQ/edit?usp=sharing"",""ร้อยเอ็ด!L535"")"),0)</f>
        <v>0</v>
      </c>
      <c r="F42" s="64">
        <f ca="1">IFERROR(__xludf.DUMMYFUNCTION("IMPORTRANGE(""https://docs.google.com/spreadsheets/d/1BRgc8xKpxZ0PX-gauieMVkV_IOxKSotf0yW8MabGprQ/edit?usp=sharing"",""ร้อยเอ็ด!M528"")"),0)</f>
        <v>0</v>
      </c>
      <c r="G42" s="64">
        <f ca="1">IFERROR(__xludf.DUMMYFUNCTION("IMPORTRANGE(""https://docs.google.com/spreadsheets/d/1BRgc8xKpxZ0PX-gauieMVkV_IOxKSotf0yW8MabGprQ/edit?usp=sharing"",""ร้อยเอ็ด!M535"")"),0)</f>
        <v>0</v>
      </c>
      <c r="H42" s="58">
        <f t="shared" ca="1" si="32"/>
        <v>0</v>
      </c>
      <c r="I42" s="59">
        <f t="shared" ca="1" si="1"/>
        <v>0</v>
      </c>
      <c r="J42" s="60">
        <f t="shared" ca="1" si="55"/>
        <v>0</v>
      </c>
      <c r="K42" s="61">
        <f t="shared" ca="1" si="34"/>
        <v>0</v>
      </c>
      <c r="L42" s="61">
        <f t="shared" ca="1" si="35"/>
        <v>0</v>
      </c>
      <c r="M42" s="64">
        <f ca="1">IFERROR(__xludf.DUMMYFUNCTION("IMPORTRANGE(""https://docs.google.com/spreadsheets/d/1BRgc8xKpxZ0PX-gauieMVkV_IOxKSotf0yW8MabGprQ/edit?usp=sharing"",""ร้อยเอ็ด!N529"")"),0)</f>
        <v>0</v>
      </c>
      <c r="N42" s="64">
        <f ca="1">IFERROR(__xludf.DUMMYFUNCTION("IMPORTRANGE(""https://docs.google.com/spreadsheets/d/1BRgc8xKpxZ0PX-gauieMVkV_IOxKSotf0yW8MabGprQ/edit?usp=sharing"",""ร้อยเอ็ด!N530"")"),0)</f>
        <v>0</v>
      </c>
      <c r="O42" s="64">
        <f ca="1">IFERROR(__xludf.DUMMYFUNCTION("IMPORTRANGE(""https://docs.google.com/spreadsheets/d/1BRgc8xKpxZ0PX-gauieMVkV_IOxKSotf0yW8MabGprQ/edit?usp=sharing"",""ร้อยเอ็ด!N531"")"),0)</f>
        <v>0</v>
      </c>
      <c r="P42" s="64">
        <f ca="1">IFERROR(__xludf.DUMMYFUNCTION("IMPORTRANGE(""https://docs.google.com/spreadsheets/d/1BRgc8xKpxZ0PX-gauieMVkV_IOxKSotf0yW8MabGprQ/edit?usp=sharing"",""ร้อยเอ็ด!N532"")"),0)</f>
        <v>0</v>
      </c>
      <c r="Q42" s="62">
        <f ca="1">IFERROR(__xludf.DUMMYFUNCTION("IMPORTRANGE(""https://docs.google.com/spreadsheets/d/1BRgc8xKpxZ0PX-gauieMVkV_IOxKSotf0yW8MabGprQ/edit?usp=sharing"",""ร้อยเอ็ด!N535"")"),0)</f>
        <v>0</v>
      </c>
      <c r="R42" s="62">
        <f t="shared" ca="1" si="37"/>
        <v>0</v>
      </c>
      <c r="S42" s="57">
        <f ca="1">IFERROR(__xludf.DUMMYFUNCTION("IMPORTRANGE(""https://docs.google.com/spreadsheets/d/1BRgc8xKpxZ0PX-gauieMVkV_IOxKSotf0yW8MabGprQ/edit?usp=sharing"",""ร้อยเอ็ด!I537"")"),0)</f>
        <v>0</v>
      </c>
      <c r="T42" s="57">
        <f ca="1">IFERROR(__xludf.DUMMYFUNCTION("IMPORTRANGE(""https://docs.google.com/spreadsheets/d/1BRgc8xKpxZ0PX-gauieMVkV_IOxKSotf0yW8MabGprQ/edit?usp=sharing"",""ร้อยเอ็ด!J537"")"),0)</f>
        <v>0</v>
      </c>
      <c r="U42" s="63">
        <f t="shared" ca="1" si="6"/>
        <v>0</v>
      </c>
      <c r="V42" s="57">
        <f ca="1">IFERROR(__xludf.DUMMYFUNCTION("IMPORTRANGE(""https://docs.google.com/spreadsheets/d/1BRgc8xKpxZ0PX-gauieMVkV_IOxKSotf0yW8MabGprQ/edit?usp=sharing"",""ร้อยเอ็ด!I538"")"),0)</f>
        <v>0</v>
      </c>
      <c r="W42" s="57">
        <f ca="1">IFERROR(__xludf.DUMMYFUNCTION("IMPORTRANGE(""https://docs.google.com/spreadsheets/d/1BRgc8xKpxZ0PX-gauieMVkV_IOxKSotf0yW8MabGprQ/edit?usp=sharing"",""ร้อยเอ็ด!J538"")"),0)</f>
        <v>0</v>
      </c>
      <c r="X42" s="63">
        <f t="shared" ca="1" si="8"/>
        <v>0</v>
      </c>
      <c r="Y42" s="57">
        <f ca="1">IFERROR(__xludf.DUMMYFUNCTION("IMPORTRANGE(""https://docs.google.com/spreadsheets/d/1BRgc8xKpxZ0PX-gauieMVkV_IOxKSotf0yW8MabGprQ/edit?usp=sharing"",""ร้อยเอ็ด!I539"")"),0)</f>
        <v>0</v>
      </c>
      <c r="Z42" s="57">
        <f ca="1">IFERROR(__xludf.DUMMYFUNCTION("IMPORTRANGE(""https://docs.google.com/spreadsheets/d/1BRgc8xKpxZ0PX-gauieMVkV_IOxKSotf0yW8MabGprQ/edit?usp=sharing"",""ร้อยเอ็ด!J539"")"),0)</f>
        <v>0</v>
      </c>
      <c r="AA42" s="63">
        <f t="shared" ca="1" si="10"/>
        <v>0</v>
      </c>
      <c r="AB42" s="57">
        <f ca="1">IFERROR(__xludf.DUMMYFUNCTION("IMPORTRANGE(""https://docs.google.com/spreadsheets/d/1BRgc8xKpxZ0PX-gauieMVkV_IOxKSotf0yW8MabGprQ/edit?usp=sharing"",""ร้อยเอ็ด!I540"")"),0)</f>
        <v>0</v>
      </c>
      <c r="AC42" s="57">
        <f ca="1">IFERROR(__xludf.DUMMYFUNCTION("IMPORTRANGE(""https://docs.google.com/spreadsheets/d/1BRgc8xKpxZ0PX-gauieMVkV_IOxKSotf0yW8MabGprQ/edit?usp=sharing"",""ร้อยเอ็ด!J540"")"),0)</f>
        <v>0</v>
      </c>
      <c r="AD42" s="63">
        <f t="shared" ca="1" si="12"/>
        <v>0</v>
      </c>
      <c r="AE42" s="140">
        <f ca="1">IFERROR(__xludf.DUMMYFUNCTION("IMPORTRANGE(""https://docs.google.com/spreadsheets/d/1BRgc8xKpxZ0PX-gauieMVkV_IOxKSotf0yW8MabGprQ/edit?usp=sharing"",""ร้อยเอ็ด!I541"")"),0)</f>
        <v>0</v>
      </c>
      <c r="AF42" s="140">
        <f ca="1">IFERROR(__xludf.DUMMYFUNCTION("IMPORTRANGE(""https://docs.google.com/spreadsheets/d/1BRgc8xKpxZ0PX-gauieMVkV_IOxKSotf0yW8MabGprQ/edit?usp=sharing"",""ร้อยเอ็ด!J541"")"),0)</f>
        <v>0</v>
      </c>
      <c r="AG42" s="141">
        <f t="shared" ca="1" si="14"/>
        <v>0</v>
      </c>
      <c r="AH42" s="140">
        <f ca="1">IFERROR(__xludf.DUMMYFUNCTION("IMPORTRANGE(""https://docs.google.com/spreadsheets/d/1BRgc8xKpxZ0PX-gauieMVkV_IOxKSotf0yW8MabGprQ/edit?usp=sharing"",""ร้อยเอ็ด!I542"")"),0)</f>
        <v>0</v>
      </c>
      <c r="AI42" s="140">
        <f ca="1">IFERROR(__xludf.DUMMYFUNCTION("IMPORTRANGE(""https://docs.google.com/spreadsheets/d/1BRgc8xKpxZ0PX-gauieMVkV_IOxKSotf0yW8MabGprQ/edit?usp=sharing"",""ร้อยเอ็ด!J542"")"),0)</f>
        <v>0</v>
      </c>
      <c r="AJ42" s="141">
        <f t="shared" ca="1" si="16"/>
        <v>0</v>
      </c>
    </row>
    <row r="43" spans="1:36" ht="21" customHeight="1" x14ac:dyDescent="0.3">
      <c r="A43" s="54">
        <v>12</v>
      </c>
      <c r="B43" s="55" t="s">
        <v>64</v>
      </c>
      <c r="C43" s="56">
        <f t="shared" ca="1" si="54"/>
        <v>0</v>
      </c>
      <c r="D43" s="57">
        <f ca="1">IFERROR(__xludf.DUMMYFUNCTION("IMPORTRANGE(""https://docs.google.com/spreadsheets/d/1IdolZc-dfdgMwAm_KZxYJl1sUOcIgnbGQzbWOlddedo/edit?usp=sharing"",""เลย!L528"")"),0)</f>
        <v>0</v>
      </c>
      <c r="E43" s="64">
        <f ca="1">IFERROR(__xludf.DUMMYFUNCTION("IMPORTRANGE(""https://docs.google.com/spreadsheets/d/1IdolZc-dfdgMwAm_KZxYJl1sUOcIgnbGQzbWOlddedo/edit?usp=sharing"",""เลย!L535"")"),0)</f>
        <v>0</v>
      </c>
      <c r="F43" s="64">
        <f ca="1">IFERROR(__xludf.DUMMYFUNCTION("IMPORTRANGE(""https://docs.google.com/spreadsheets/d/1IdolZc-dfdgMwAm_KZxYJl1sUOcIgnbGQzbWOlddedo/edit?usp=sharing"",""เลย!M528"")"),0)</f>
        <v>0</v>
      </c>
      <c r="G43" s="64">
        <f ca="1">IFERROR(__xludf.DUMMYFUNCTION("IMPORTRANGE(""https://docs.google.com/spreadsheets/d/1IdolZc-dfdgMwAm_KZxYJl1sUOcIgnbGQzbWOlddedo/edit?usp=sharing"",""เลย!M535"")"),0)</f>
        <v>0</v>
      </c>
      <c r="H43" s="58">
        <f t="shared" ca="1" si="32"/>
        <v>0</v>
      </c>
      <c r="I43" s="59">
        <f t="shared" ca="1" si="1"/>
        <v>0</v>
      </c>
      <c r="J43" s="60">
        <f t="shared" ca="1" si="55"/>
        <v>0</v>
      </c>
      <c r="K43" s="61">
        <f t="shared" ca="1" si="34"/>
        <v>0</v>
      </c>
      <c r="L43" s="61">
        <f t="shared" ca="1" si="35"/>
        <v>0</v>
      </c>
      <c r="M43" s="64">
        <f ca="1">IFERROR(__xludf.DUMMYFUNCTION("IMPORTRANGE(""https://docs.google.com/spreadsheets/d/1IdolZc-dfdgMwAm_KZxYJl1sUOcIgnbGQzbWOlddedo/edit?usp=sharing"",""เลย!N529"")"),0)</f>
        <v>0</v>
      </c>
      <c r="N43" s="64">
        <f ca="1">IFERROR(__xludf.DUMMYFUNCTION("IMPORTRANGE(""https://docs.google.com/spreadsheets/d/1IdolZc-dfdgMwAm_KZxYJl1sUOcIgnbGQzbWOlddedo/edit?usp=sharing"",""เลย!N530"")"),0)</f>
        <v>0</v>
      </c>
      <c r="O43" s="64">
        <f ca="1">IFERROR(__xludf.DUMMYFUNCTION("IMPORTRANGE(""https://docs.google.com/spreadsheets/d/1IdolZc-dfdgMwAm_KZxYJl1sUOcIgnbGQzbWOlddedo/edit?usp=sharing"",""เลย!N531"")"),0)</f>
        <v>0</v>
      </c>
      <c r="P43" s="64">
        <f ca="1">IFERROR(__xludf.DUMMYFUNCTION("IMPORTRANGE(""https://docs.google.com/spreadsheets/d/1IdolZc-dfdgMwAm_KZxYJl1sUOcIgnbGQzbWOlddedo/edit?usp=sharing"",""เลย!N532"")"),0)</f>
        <v>0</v>
      </c>
      <c r="Q43" s="62">
        <f ca="1">IFERROR(__xludf.DUMMYFUNCTION("IMPORTRANGE(""https://docs.google.com/spreadsheets/d/1IdolZc-dfdgMwAm_KZxYJl1sUOcIgnbGQzbWOlddedo/edit?usp=sharing"",""เลย!N535"")"),0)</f>
        <v>0</v>
      </c>
      <c r="R43" s="62">
        <f t="shared" ca="1" si="37"/>
        <v>0</v>
      </c>
      <c r="S43" s="57">
        <f ca="1">IFERROR(__xludf.DUMMYFUNCTION("IMPORTRANGE(""https://docs.google.com/spreadsheets/d/1IdolZc-dfdgMwAm_KZxYJl1sUOcIgnbGQzbWOlddedo/edit?usp=sharing"",""เลย!I537"")"),0)</f>
        <v>0</v>
      </c>
      <c r="T43" s="57">
        <f ca="1">IFERROR(__xludf.DUMMYFUNCTION("IMPORTRANGE(""https://docs.google.com/spreadsheets/d/1IdolZc-dfdgMwAm_KZxYJl1sUOcIgnbGQzbWOlddedo/edit?usp=sharing"",""เลย!J537"")"),0)</f>
        <v>0</v>
      </c>
      <c r="U43" s="63">
        <f t="shared" ca="1" si="6"/>
        <v>0</v>
      </c>
      <c r="V43" s="57">
        <f ca="1">IFERROR(__xludf.DUMMYFUNCTION("IMPORTRANGE(""https://docs.google.com/spreadsheets/d/1IdolZc-dfdgMwAm_KZxYJl1sUOcIgnbGQzbWOlddedo/edit?usp=sharing"",""เลย!I538"")"),0)</f>
        <v>0</v>
      </c>
      <c r="W43" s="57">
        <f ca="1">IFERROR(__xludf.DUMMYFUNCTION("IMPORTRANGE(""https://docs.google.com/spreadsheets/d/1IdolZc-dfdgMwAm_KZxYJl1sUOcIgnbGQzbWOlddedo/edit?usp=sharing"",""เลย!J538"")"),0)</f>
        <v>0</v>
      </c>
      <c r="X43" s="63">
        <f t="shared" ca="1" si="8"/>
        <v>0</v>
      </c>
      <c r="Y43" s="57">
        <f ca="1">IFERROR(__xludf.DUMMYFUNCTION("IMPORTRANGE(""https://docs.google.com/spreadsheets/d/1IdolZc-dfdgMwAm_KZxYJl1sUOcIgnbGQzbWOlddedo/edit?usp=sharing"",""เลย!I539"")"),0)</f>
        <v>0</v>
      </c>
      <c r="Z43" s="57">
        <f ca="1">IFERROR(__xludf.DUMMYFUNCTION("IMPORTRANGE(""https://docs.google.com/spreadsheets/d/1IdolZc-dfdgMwAm_KZxYJl1sUOcIgnbGQzbWOlddedo/edit?usp=sharing"",""เลย!J539"")"),0)</f>
        <v>0</v>
      </c>
      <c r="AA43" s="63">
        <f t="shared" ca="1" si="10"/>
        <v>0</v>
      </c>
      <c r="AB43" s="57">
        <f ca="1">IFERROR(__xludf.DUMMYFUNCTION("IMPORTRANGE(""https://docs.google.com/spreadsheets/d/1IdolZc-dfdgMwAm_KZxYJl1sUOcIgnbGQzbWOlddedo/edit?usp=sharing"",""เลย!I540"")"),0)</f>
        <v>0</v>
      </c>
      <c r="AC43" s="57">
        <f ca="1">IFERROR(__xludf.DUMMYFUNCTION("IMPORTRANGE(""https://docs.google.com/spreadsheets/d/1IdolZc-dfdgMwAm_KZxYJl1sUOcIgnbGQzbWOlddedo/edit?usp=sharing"",""เลย!J540"")"),0)</f>
        <v>0</v>
      </c>
      <c r="AD43" s="63">
        <f t="shared" ca="1" si="12"/>
        <v>0</v>
      </c>
      <c r="AE43" s="140">
        <f ca="1">IFERROR(__xludf.DUMMYFUNCTION("IMPORTRANGE(""https://docs.google.com/spreadsheets/d/1IdolZc-dfdgMwAm_KZxYJl1sUOcIgnbGQzbWOlddedo/edit?usp=sharing"",""เลย!I541"")"),0)</f>
        <v>0</v>
      </c>
      <c r="AF43" s="140">
        <f ca="1">IFERROR(__xludf.DUMMYFUNCTION("IMPORTRANGE(""https://docs.google.com/spreadsheets/d/1IdolZc-dfdgMwAm_KZxYJl1sUOcIgnbGQzbWOlddedo/edit?usp=sharing"",""เลย!J541"")"),0)</f>
        <v>0</v>
      </c>
      <c r="AG43" s="141">
        <f t="shared" ca="1" si="14"/>
        <v>0</v>
      </c>
      <c r="AH43" s="140">
        <f ca="1">IFERROR(__xludf.DUMMYFUNCTION("IMPORTRANGE(""https://docs.google.com/spreadsheets/d/1IdolZc-dfdgMwAm_KZxYJl1sUOcIgnbGQzbWOlddedo/edit?usp=sharing"",""เลย!I542"")"),0)</f>
        <v>0</v>
      </c>
      <c r="AI43" s="140">
        <f ca="1">IFERROR(__xludf.DUMMYFUNCTION("IMPORTRANGE(""https://docs.google.com/spreadsheets/d/1IdolZc-dfdgMwAm_KZxYJl1sUOcIgnbGQzbWOlddedo/edit?usp=sharing"",""เลย!J542"")"),0)</f>
        <v>0</v>
      </c>
      <c r="AJ43" s="141">
        <f t="shared" ca="1" si="16"/>
        <v>0</v>
      </c>
    </row>
    <row r="44" spans="1:36" ht="21" customHeight="1" x14ac:dyDescent="0.3">
      <c r="A44" s="54">
        <v>13</v>
      </c>
      <c r="B44" s="55" t="s">
        <v>65</v>
      </c>
      <c r="C44" s="56">
        <f t="shared" ca="1" si="54"/>
        <v>0</v>
      </c>
      <c r="D44" s="57">
        <f ca="1">IFERROR(__xludf.DUMMYFUNCTION("IMPORTRANGE(""https://docs.google.com/spreadsheets/d/1tZ0nmtGuIRCaGAMXHlQU8EpR9LOAJvyKfc4f7EFmE34/edit?usp=sharing"",""ศรีสะเกษ!L528"")"),0)</f>
        <v>0</v>
      </c>
      <c r="E44" s="64">
        <f ca="1">IFERROR(__xludf.DUMMYFUNCTION("IMPORTRANGE(""https://docs.google.com/spreadsheets/d/1tZ0nmtGuIRCaGAMXHlQU8EpR9LOAJvyKfc4f7EFmE34/edit?usp=sharing"",""ศรีสะเกษ!L535"")"),0)</f>
        <v>0</v>
      </c>
      <c r="F44" s="64">
        <f ca="1">IFERROR(__xludf.DUMMYFUNCTION("IMPORTRANGE(""https://docs.google.com/spreadsheets/d/1tZ0nmtGuIRCaGAMXHlQU8EpR9LOAJvyKfc4f7EFmE34/edit?usp=sharing"",""ศรีสะเกษ!M528"")"),0)</f>
        <v>0</v>
      </c>
      <c r="G44" s="64">
        <f ca="1">IFERROR(__xludf.DUMMYFUNCTION("IMPORTRANGE(""https://docs.google.com/spreadsheets/d/1tZ0nmtGuIRCaGAMXHlQU8EpR9LOAJvyKfc4f7EFmE34/edit?usp=sharing"",""ศรีสะเกษ!M535"")"),0)</f>
        <v>0</v>
      </c>
      <c r="H44" s="58">
        <f t="shared" ca="1" si="32"/>
        <v>0</v>
      </c>
      <c r="I44" s="59">
        <f t="shared" ca="1" si="1"/>
        <v>0</v>
      </c>
      <c r="J44" s="60">
        <f t="shared" ca="1" si="55"/>
        <v>0</v>
      </c>
      <c r="K44" s="61">
        <f t="shared" ca="1" si="34"/>
        <v>0</v>
      </c>
      <c r="L44" s="61">
        <f t="shared" ca="1" si="35"/>
        <v>0</v>
      </c>
      <c r="M44" s="64">
        <f ca="1">IFERROR(__xludf.DUMMYFUNCTION("IMPORTRANGE(""https://docs.google.com/spreadsheets/d/1tZ0nmtGuIRCaGAMXHlQU8EpR9LOAJvyKfc4f7EFmE34/edit?usp=sharing"",""ศรีสะเกษ!N529"")"),0)</f>
        <v>0</v>
      </c>
      <c r="N44" s="64">
        <f ca="1">IFERROR(__xludf.DUMMYFUNCTION("IMPORTRANGE(""https://docs.google.com/spreadsheets/d/1tZ0nmtGuIRCaGAMXHlQU8EpR9LOAJvyKfc4f7EFmE34/edit?usp=sharing"",""ศรีสะเกษ!N530"")"),0)</f>
        <v>0</v>
      </c>
      <c r="O44" s="64">
        <f ca="1">IFERROR(__xludf.DUMMYFUNCTION("IMPORTRANGE(""https://docs.google.com/spreadsheets/d/1tZ0nmtGuIRCaGAMXHlQU8EpR9LOAJvyKfc4f7EFmE34/edit?usp=sharing"",""ศรีสะเกษ!N531"")"),0)</f>
        <v>0</v>
      </c>
      <c r="P44" s="64">
        <f ca="1">IFERROR(__xludf.DUMMYFUNCTION("IMPORTRANGE(""https://docs.google.com/spreadsheets/d/1tZ0nmtGuIRCaGAMXHlQU8EpR9LOAJvyKfc4f7EFmE34/edit?usp=sharing"",""ศรีสะเกษ!N532"")"),0)</f>
        <v>0</v>
      </c>
      <c r="Q44" s="62">
        <f ca="1">IFERROR(__xludf.DUMMYFUNCTION("IMPORTRANGE(""https://docs.google.com/spreadsheets/d/1tZ0nmtGuIRCaGAMXHlQU8EpR9LOAJvyKfc4f7EFmE34/edit?usp=sharing"",""ศรีสะเกษ!N535"")"),0)</f>
        <v>0</v>
      </c>
      <c r="R44" s="62">
        <f t="shared" ca="1" si="37"/>
        <v>0</v>
      </c>
      <c r="S44" s="57">
        <f ca="1">IFERROR(__xludf.DUMMYFUNCTION("IMPORTRANGE(""https://docs.google.com/spreadsheets/d/1tZ0nmtGuIRCaGAMXHlQU8EpR9LOAJvyKfc4f7EFmE34/edit?usp=sharing"",""ศรีสะเกษ!I537"")"),0)</f>
        <v>0</v>
      </c>
      <c r="T44" s="57">
        <f ca="1">IFERROR(__xludf.DUMMYFUNCTION("IMPORTRANGE(""https://docs.google.com/spreadsheets/d/1tZ0nmtGuIRCaGAMXHlQU8EpR9LOAJvyKfc4f7EFmE34/edit?usp=sharing"",""ศรีสะเกษ!J537"")"),0)</f>
        <v>0</v>
      </c>
      <c r="U44" s="63">
        <f t="shared" ca="1" si="6"/>
        <v>0</v>
      </c>
      <c r="V44" s="57">
        <f ca="1">IFERROR(__xludf.DUMMYFUNCTION("IMPORTRANGE(""https://docs.google.com/spreadsheets/d/1tZ0nmtGuIRCaGAMXHlQU8EpR9LOAJvyKfc4f7EFmE34/edit?usp=sharing"",""ศรีสะเกษ!I538"")"),0)</f>
        <v>0</v>
      </c>
      <c r="W44" s="57">
        <f ca="1">IFERROR(__xludf.DUMMYFUNCTION("IMPORTRANGE(""https://docs.google.com/spreadsheets/d/1tZ0nmtGuIRCaGAMXHlQU8EpR9LOAJvyKfc4f7EFmE34/edit?usp=sharing"",""ศรีสะเกษ!J538"")"),0)</f>
        <v>0</v>
      </c>
      <c r="X44" s="63">
        <f t="shared" ca="1" si="8"/>
        <v>0</v>
      </c>
      <c r="Y44" s="57">
        <f ca="1">IFERROR(__xludf.DUMMYFUNCTION("IMPORTRANGE(""https://docs.google.com/spreadsheets/d/1tZ0nmtGuIRCaGAMXHlQU8EpR9LOAJvyKfc4f7EFmE34/edit?usp=sharing"",""ศรีสะเกษ!I539"")"),0)</f>
        <v>0</v>
      </c>
      <c r="Z44" s="57">
        <f ca="1">IFERROR(__xludf.DUMMYFUNCTION("IMPORTRANGE(""https://docs.google.com/spreadsheets/d/1tZ0nmtGuIRCaGAMXHlQU8EpR9LOAJvyKfc4f7EFmE34/edit?usp=sharing"",""ศรีสะเกษ!J539"")"),0)</f>
        <v>0</v>
      </c>
      <c r="AA44" s="63">
        <f t="shared" ca="1" si="10"/>
        <v>0</v>
      </c>
      <c r="AB44" s="57">
        <f ca="1">IFERROR(__xludf.DUMMYFUNCTION("IMPORTRANGE(""https://docs.google.com/spreadsheets/d/1tZ0nmtGuIRCaGAMXHlQU8EpR9LOAJvyKfc4f7EFmE34/edit?usp=sharing"",""ศรีสะเกษ!I540"")"),0)</f>
        <v>0</v>
      </c>
      <c r="AC44" s="57">
        <f ca="1">IFERROR(__xludf.DUMMYFUNCTION("IMPORTRANGE(""https://docs.google.com/spreadsheets/d/1tZ0nmtGuIRCaGAMXHlQU8EpR9LOAJvyKfc4f7EFmE34/edit?usp=sharing"",""ศรีสะเกษ!J540"")"),0)</f>
        <v>0</v>
      </c>
      <c r="AD44" s="63">
        <f t="shared" ca="1" si="12"/>
        <v>0</v>
      </c>
      <c r="AE44" s="140">
        <f ca="1">IFERROR(__xludf.DUMMYFUNCTION("IMPORTRANGE(""https://docs.google.com/spreadsheets/d/1tZ0nmtGuIRCaGAMXHlQU8EpR9LOAJvyKfc4f7EFmE34/edit?usp=sharing"",""ศรีสะเกษ!I541"")"),0)</f>
        <v>0</v>
      </c>
      <c r="AF44" s="140">
        <f ca="1">IFERROR(__xludf.DUMMYFUNCTION("IMPORTRANGE(""https://docs.google.com/spreadsheets/d/1tZ0nmtGuIRCaGAMXHlQU8EpR9LOAJvyKfc4f7EFmE34/edit?usp=sharing"",""ศรีสะเกษ!J541"")"),0)</f>
        <v>0</v>
      </c>
      <c r="AG44" s="141">
        <f t="shared" ca="1" si="14"/>
        <v>0</v>
      </c>
      <c r="AH44" s="140">
        <f ca="1">IFERROR(__xludf.DUMMYFUNCTION("IMPORTRANGE(""https://docs.google.com/spreadsheets/d/1tZ0nmtGuIRCaGAMXHlQU8EpR9LOAJvyKfc4f7EFmE34/edit?usp=sharing"",""ศรีสะเกษ!I542"")"),0)</f>
        <v>0</v>
      </c>
      <c r="AI44" s="140">
        <f ca="1">IFERROR(__xludf.DUMMYFUNCTION("IMPORTRANGE(""https://docs.google.com/spreadsheets/d/1tZ0nmtGuIRCaGAMXHlQU8EpR9LOAJvyKfc4f7EFmE34/edit?usp=sharing"",""ศรีสะเกษ!J542"")"),0)</f>
        <v>0</v>
      </c>
      <c r="AJ44" s="141">
        <f t="shared" ca="1" si="16"/>
        <v>0</v>
      </c>
    </row>
    <row r="45" spans="1:36" ht="21" customHeight="1" x14ac:dyDescent="0.3">
      <c r="A45" s="54">
        <v>14</v>
      </c>
      <c r="B45" s="55" t="s">
        <v>66</v>
      </c>
      <c r="C45" s="56">
        <f t="shared" ca="1" si="54"/>
        <v>0</v>
      </c>
      <c r="D45" s="57">
        <f ca="1">IFERROR(__xludf.DUMMYFUNCTION("IMPORTRANGE(""https://docs.google.com/spreadsheets/d/1QC8psz9w0f9IVE9Xuc2FT_btkaOzZbbUSgYObpBuetM/edit?usp=sharing"",""สกลนคร!L528"")"),0)</f>
        <v>0</v>
      </c>
      <c r="E45" s="64">
        <f ca="1">IFERROR(__xludf.DUMMYFUNCTION("IMPORTRANGE(""https://docs.google.com/spreadsheets/d/1QC8psz9w0f9IVE9Xuc2FT_btkaOzZbbUSgYObpBuetM/edit?usp=sharing"",""สกลนคร!L535"")"),0)</f>
        <v>0</v>
      </c>
      <c r="F45" s="64">
        <f ca="1">IFERROR(__xludf.DUMMYFUNCTION("IMPORTRANGE(""https://docs.google.com/spreadsheets/d/1QC8psz9w0f9IVE9Xuc2FT_btkaOzZbbUSgYObpBuetM/edit?usp=sharing"",""สกลนคร!M528"")"),0)</f>
        <v>0</v>
      </c>
      <c r="G45" s="64">
        <f ca="1">IFERROR(__xludf.DUMMYFUNCTION("IMPORTRANGE(""https://docs.google.com/spreadsheets/d/1QC8psz9w0f9IVE9Xuc2FT_btkaOzZbbUSgYObpBuetM/edit?usp=sharing"",""สกลนคร!M535"")"),0)</f>
        <v>0</v>
      </c>
      <c r="H45" s="58">
        <f t="shared" ca="1" si="32"/>
        <v>0</v>
      </c>
      <c r="I45" s="59">
        <f t="shared" ca="1" si="1"/>
        <v>0</v>
      </c>
      <c r="J45" s="60">
        <f t="shared" ca="1" si="55"/>
        <v>0</v>
      </c>
      <c r="K45" s="61">
        <f t="shared" ca="1" si="34"/>
        <v>0</v>
      </c>
      <c r="L45" s="61">
        <f t="shared" ca="1" si="35"/>
        <v>0</v>
      </c>
      <c r="M45" s="64">
        <f ca="1">IFERROR(__xludf.DUMMYFUNCTION("IMPORTRANGE(""https://docs.google.com/spreadsheets/d/1QC8psz9w0f9IVE9Xuc2FT_btkaOzZbbUSgYObpBuetM/edit?usp=sharing"",""สกลนคร!N529"")"),0)</f>
        <v>0</v>
      </c>
      <c r="N45" s="64">
        <f ca="1">IFERROR(__xludf.DUMMYFUNCTION("IMPORTRANGE(""https://docs.google.com/spreadsheets/d/1QC8psz9w0f9IVE9Xuc2FT_btkaOzZbbUSgYObpBuetM/edit?usp=sharing"",""สกลนคร!N530"")"),0)</f>
        <v>0</v>
      </c>
      <c r="O45" s="64">
        <f ca="1">IFERROR(__xludf.DUMMYFUNCTION("IMPORTRANGE(""https://docs.google.com/spreadsheets/d/1QC8psz9w0f9IVE9Xuc2FT_btkaOzZbbUSgYObpBuetM/edit?usp=sharing"",""สกลนคร!N531"")"),0)</f>
        <v>0</v>
      </c>
      <c r="P45" s="64">
        <f ca="1">IFERROR(__xludf.DUMMYFUNCTION("IMPORTRANGE(""https://docs.google.com/spreadsheets/d/1QC8psz9w0f9IVE9Xuc2FT_btkaOzZbbUSgYObpBuetM/edit?usp=sharing"",""สกลนคร!N532"")"),0)</f>
        <v>0</v>
      </c>
      <c r="Q45" s="62">
        <f ca="1">IFERROR(__xludf.DUMMYFUNCTION("IMPORTRANGE(""https://docs.google.com/spreadsheets/d/1QC8psz9w0f9IVE9Xuc2FT_btkaOzZbbUSgYObpBuetM/edit?usp=sharing"",""สกลนคร!N535"")"),0)</f>
        <v>0</v>
      </c>
      <c r="R45" s="62">
        <f t="shared" ca="1" si="37"/>
        <v>0</v>
      </c>
      <c r="S45" s="57">
        <f ca="1">IFERROR(__xludf.DUMMYFUNCTION("IMPORTRANGE(""https://docs.google.com/spreadsheets/d/1QC8psz9w0f9IVE9Xuc2FT_btkaOzZbbUSgYObpBuetM/edit?usp=sharing"",""สกลนคร!I537"")"),0)</f>
        <v>0</v>
      </c>
      <c r="T45" s="57">
        <f ca="1">IFERROR(__xludf.DUMMYFUNCTION("IMPORTRANGE(""https://docs.google.com/spreadsheets/d/1QC8psz9w0f9IVE9Xuc2FT_btkaOzZbbUSgYObpBuetM/edit?usp=sharing"",""สกลนคร!J537"")"),0)</f>
        <v>0</v>
      </c>
      <c r="U45" s="63">
        <f t="shared" ca="1" si="6"/>
        <v>0</v>
      </c>
      <c r="V45" s="57">
        <f ca="1">IFERROR(__xludf.DUMMYFUNCTION("IMPORTRANGE(""https://docs.google.com/spreadsheets/d/1QC8psz9w0f9IVE9Xuc2FT_btkaOzZbbUSgYObpBuetM/edit?usp=sharing"",""สกลนคร!I538"")"),0)</f>
        <v>0</v>
      </c>
      <c r="W45" s="57">
        <f ca="1">IFERROR(__xludf.DUMMYFUNCTION("IMPORTRANGE(""https://docs.google.com/spreadsheets/d/1QC8psz9w0f9IVE9Xuc2FT_btkaOzZbbUSgYObpBuetM/edit?usp=sharing"",""สกลนคร!J538"")"),0)</f>
        <v>0</v>
      </c>
      <c r="X45" s="63">
        <f t="shared" ca="1" si="8"/>
        <v>0</v>
      </c>
      <c r="Y45" s="57">
        <f ca="1">IFERROR(__xludf.DUMMYFUNCTION("IMPORTRANGE(""https://docs.google.com/spreadsheets/d/1QC8psz9w0f9IVE9Xuc2FT_btkaOzZbbUSgYObpBuetM/edit?usp=sharing"",""สกลนคร!I539"")"),0)</f>
        <v>0</v>
      </c>
      <c r="Z45" s="57">
        <f ca="1">IFERROR(__xludf.DUMMYFUNCTION("IMPORTRANGE(""https://docs.google.com/spreadsheets/d/1QC8psz9w0f9IVE9Xuc2FT_btkaOzZbbUSgYObpBuetM/edit?usp=sharing"",""สกลนคร!J539"")"),0)</f>
        <v>0</v>
      </c>
      <c r="AA45" s="63">
        <f t="shared" ca="1" si="10"/>
        <v>0</v>
      </c>
      <c r="AB45" s="57">
        <f ca="1">IFERROR(__xludf.DUMMYFUNCTION("IMPORTRANGE(""https://docs.google.com/spreadsheets/d/1QC8psz9w0f9IVE9Xuc2FT_btkaOzZbbUSgYObpBuetM/edit?usp=sharing"",""สกลนคร!I540"")"),0)</f>
        <v>0</v>
      </c>
      <c r="AC45" s="57">
        <f ca="1">IFERROR(__xludf.DUMMYFUNCTION("IMPORTRANGE(""https://docs.google.com/spreadsheets/d/1QC8psz9w0f9IVE9Xuc2FT_btkaOzZbbUSgYObpBuetM/edit?usp=sharing"",""สกลนคร!J540"")"),0)</f>
        <v>0</v>
      </c>
      <c r="AD45" s="63">
        <f t="shared" ca="1" si="12"/>
        <v>0</v>
      </c>
      <c r="AE45" s="140">
        <f ca="1">IFERROR(__xludf.DUMMYFUNCTION("IMPORTRANGE(""https://docs.google.com/spreadsheets/d/1QC8psz9w0f9IVE9Xuc2FT_btkaOzZbbUSgYObpBuetM/edit?usp=sharing"",""สกลนคร!I541"")"),0)</f>
        <v>0</v>
      </c>
      <c r="AF45" s="140">
        <f ca="1">IFERROR(__xludf.DUMMYFUNCTION("IMPORTRANGE(""https://docs.google.com/spreadsheets/d/1QC8psz9w0f9IVE9Xuc2FT_btkaOzZbbUSgYObpBuetM/edit?usp=sharing"",""สกลนคร!J541"")"),0)</f>
        <v>0</v>
      </c>
      <c r="AG45" s="141">
        <f t="shared" ca="1" si="14"/>
        <v>0</v>
      </c>
      <c r="AH45" s="140">
        <f ca="1">IFERROR(__xludf.DUMMYFUNCTION("IMPORTRANGE(""https://docs.google.com/spreadsheets/d/1QC8psz9w0f9IVE9Xuc2FT_btkaOzZbbUSgYObpBuetM/edit?usp=sharing"",""สกลนคร!I542"")"),0)</f>
        <v>0</v>
      </c>
      <c r="AI45" s="140">
        <f ca="1">IFERROR(__xludf.DUMMYFUNCTION("IMPORTRANGE(""https://docs.google.com/spreadsheets/d/1QC8psz9w0f9IVE9Xuc2FT_btkaOzZbbUSgYObpBuetM/edit?usp=sharing"",""สกลนคร!J542"")"),0)</f>
        <v>0</v>
      </c>
      <c r="AJ45" s="141">
        <f t="shared" ca="1" si="16"/>
        <v>0</v>
      </c>
    </row>
    <row r="46" spans="1:36" ht="21" customHeight="1" x14ac:dyDescent="0.3">
      <c r="A46" s="54">
        <v>15</v>
      </c>
      <c r="B46" s="55" t="s">
        <v>67</v>
      </c>
      <c r="C46" s="56">
        <f t="shared" ca="1" si="54"/>
        <v>0</v>
      </c>
      <c r="D46" s="57">
        <f ca="1">IFERROR(__xludf.DUMMYFUNCTION("IMPORTRANGE(""https://docs.google.com/spreadsheets/d/1wPdvRbu02d33MYVlbsCnyTiZpefEBs9NNktAnT1HZvw/edit?usp=sharing"",""สุรินทร์!L528"")"),0)</f>
        <v>0</v>
      </c>
      <c r="E46" s="64">
        <f ca="1">IFERROR(__xludf.DUMMYFUNCTION("IMPORTRANGE(""https://docs.google.com/spreadsheets/d/1wPdvRbu02d33MYVlbsCnyTiZpefEBs9NNktAnT1HZvw/edit?usp=sharing"",""สุรินทร์!L535"")"),0)</f>
        <v>0</v>
      </c>
      <c r="F46" s="64">
        <f ca="1">IFERROR(__xludf.DUMMYFUNCTION("IMPORTRANGE(""https://docs.google.com/spreadsheets/d/1wPdvRbu02d33MYVlbsCnyTiZpefEBs9NNktAnT1HZvw/edit?usp=sharing"",""สุรินทร์!M528"")"),0)</f>
        <v>0</v>
      </c>
      <c r="G46" s="64">
        <f ca="1">IFERROR(__xludf.DUMMYFUNCTION("IMPORTRANGE(""https://docs.google.com/spreadsheets/d/1wPdvRbu02d33MYVlbsCnyTiZpefEBs9NNktAnT1HZvw/edit?usp=sharing"",""สุรินทร์!M535"")"),0)</f>
        <v>0</v>
      </c>
      <c r="H46" s="58">
        <f t="shared" ca="1" si="32"/>
        <v>0</v>
      </c>
      <c r="I46" s="59">
        <f t="shared" ca="1" si="1"/>
        <v>0</v>
      </c>
      <c r="J46" s="60">
        <f t="shared" ca="1" si="55"/>
        <v>0</v>
      </c>
      <c r="K46" s="61">
        <f t="shared" ca="1" si="34"/>
        <v>0</v>
      </c>
      <c r="L46" s="61">
        <f t="shared" ca="1" si="35"/>
        <v>0</v>
      </c>
      <c r="M46" s="64">
        <f ca="1">IFERROR(__xludf.DUMMYFUNCTION("IMPORTRANGE(""https://docs.google.com/spreadsheets/d/1wPdvRbu02d33MYVlbsCnyTiZpefEBs9NNktAnT1HZvw/edit?usp=sharing"",""สุรินทร์!N529"")"),0)</f>
        <v>0</v>
      </c>
      <c r="N46" s="64">
        <f ca="1">IFERROR(__xludf.DUMMYFUNCTION("IMPORTRANGE(""https://docs.google.com/spreadsheets/d/1wPdvRbu02d33MYVlbsCnyTiZpefEBs9NNktAnT1HZvw/edit?usp=sharing"",""สุรินทร์!N530"")"),0)</f>
        <v>0</v>
      </c>
      <c r="O46" s="64">
        <f ca="1">IFERROR(__xludf.DUMMYFUNCTION("IMPORTRANGE(""https://docs.google.com/spreadsheets/d/1wPdvRbu02d33MYVlbsCnyTiZpefEBs9NNktAnT1HZvw/edit?usp=sharing"",""สุรินทร์!N531"")"),0)</f>
        <v>0</v>
      </c>
      <c r="P46" s="64">
        <f ca="1">IFERROR(__xludf.DUMMYFUNCTION("IMPORTRANGE(""https://docs.google.com/spreadsheets/d/1wPdvRbu02d33MYVlbsCnyTiZpefEBs9NNktAnT1HZvw/edit?usp=sharing"",""สุรินทร์!N532"")"),0)</f>
        <v>0</v>
      </c>
      <c r="Q46" s="62">
        <f ca="1">IFERROR(__xludf.DUMMYFUNCTION("IMPORTRANGE(""https://docs.google.com/spreadsheets/d/1wPdvRbu02d33MYVlbsCnyTiZpefEBs9NNktAnT1HZvw/edit?usp=sharing"",""สุรินทร์!N535"")"),0)</f>
        <v>0</v>
      </c>
      <c r="R46" s="62">
        <f t="shared" ca="1" si="37"/>
        <v>0</v>
      </c>
      <c r="S46" s="57">
        <f ca="1">IFERROR(__xludf.DUMMYFUNCTION("IMPORTRANGE(""https://docs.google.com/spreadsheets/d/1wPdvRbu02d33MYVlbsCnyTiZpefEBs9NNktAnT1HZvw/edit?usp=sharing"",""สุรินทร์!I537"")"),0)</f>
        <v>0</v>
      </c>
      <c r="T46" s="57">
        <f ca="1">IFERROR(__xludf.DUMMYFUNCTION("IMPORTRANGE(""https://docs.google.com/spreadsheets/d/1wPdvRbu02d33MYVlbsCnyTiZpefEBs9NNktAnT1HZvw/edit?usp=sharing"",""สุรินทร์!J537"")"),0)</f>
        <v>0</v>
      </c>
      <c r="U46" s="63">
        <f t="shared" ca="1" si="6"/>
        <v>0</v>
      </c>
      <c r="V46" s="57">
        <f ca="1">IFERROR(__xludf.DUMMYFUNCTION("IMPORTRANGE(""https://docs.google.com/spreadsheets/d/1wPdvRbu02d33MYVlbsCnyTiZpefEBs9NNktAnT1HZvw/edit?usp=sharing"",""สุรินทร์!I538"")"),0)</f>
        <v>0</v>
      </c>
      <c r="W46" s="57">
        <f ca="1">IFERROR(__xludf.DUMMYFUNCTION("IMPORTRANGE(""https://docs.google.com/spreadsheets/d/1wPdvRbu02d33MYVlbsCnyTiZpefEBs9NNktAnT1HZvw/edit?usp=sharing"",""สุรินทร์!J538"")"),0)</f>
        <v>0</v>
      </c>
      <c r="X46" s="63">
        <f t="shared" ca="1" si="8"/>
        <v>0</v>
      </c>
      <c r="Y46" s="57">
        <f ca="1">IFERROR(__xludf.DUMMYFUNCTION("IMPORTRANGE(""https://docs.google.com/spreadsheets/d/1wPdvRbu02d33MYVlbsCnyTiZpefEBs9NNktAnT1HZvw/edit?usp=sharing"",""สุรินทร์!I539"")"),0)</f>
        <v>0</v>
      </c>
      <c r="Z46" s="57">
        <f ca="1">IFERROR(__xludf.DUMMYFUNCTION("IMPORTRANGE(""https://docs.google.com/spreadsheets/d/1wPdvRbu02d33MYVlbsCnyTiZpefEBs9NNktAnT1HZvw/edit?usp=sharing"",""สุรินทร์!J539"")"),0)</f>
        <v>0</v>
      </c>
      <c r="AA46" s="63">
        <f t="shared" ca="1" si="10"/>
        <v>0</v>
      </c>
      <c r="AB46" s="57">
        <f ca="1">IFERROR(__xludf.DUMMYFUNCTION("IMPORTRANGE(""https://docs.google.com/spreadsheets/d/1wPdvRbu02d33MYVlbsCnyTiZpefEBs9NNktAnT1HZvw/edit?usp=sharing"",""สุรินทร์!I540"")"),0)</f>
        <v>0</v>
      </c>
      <c r="AC46" s="57">
        <f ca="1">IFERROR(__xludf.DUMMYFUNCTION("IMPORTRANGE(""https://docs.google.com/spreadsheets/d/1wPdvRbu02d33MYVlbsCnyTiZpefEBs9NNktAnT1HZvw/edit?usp=sharing"",""สุรินทร์!J540"")"),0)</f>
        <v>0</v>
      </c>
      <c r="AD46" s="63">
        <f t="shared" ca="1" si="12"/>
        <v>0</v>
      </c>
      <c r="AE46" s="140">
        <f ca="1">IFERROR(__xludf.DUMMYFUNCTION("IMPORTRANGE(""https://docs.google.com/spreadsheets/d/1wPdvRbu02d33MYVlbsCnyTiZpefEBs9NNktAnT1HZvw/edit?usp=sharing"",""สุรินทร์!I541"")"),0)</f>
        <v>0</v>
      </c>
      <c r="AF46" s="140">
        <f ca="1">IFERROR(__xludf.DUMMYFUNCTION("IMPORTRANGE(""https://docs.google.com/spreadsheets/d/1wPdvRbu02d33MYVlbsCnyTiZpefEBs9NNktAnT1HZvw/edit?usp=sharing"",""สุรินทร์!J541"")"),0)</f>
        <v>0</v>
      </c>
      <c r="AG46" s="141">
        <f t="shared" ca="1" si="14"/>
        <v>0</v>
      </c>
      <c r="AH46" s="140">
        <f ca="1">IFERROR(__xludf.DUMMYFUNCTION("IMPORTRANGE(""https://docs.google.com/spreadsheets/d/1wPdvRbu02d33MYVlbsCnyTiZpefEBs9NNktAnT1HZvw/edit?usp=sharing"",""สุรินทร์!I542"")"),0)</f>
        <v>0</v>
      </c>
      <c r="AI46" s="140">
        <f ca="1">IFERROR(__xludf.DUMMYFUNCTION("IMPORTRANGE(""https://docs.google.com/spreadsheets/d/1wPdvRbu02d33MYVlbsCnyTiZpefEBs9NNktAnT1HZvw/edit?usp=sharing"",""สุรินทร์!J542"")"),0)</f>
        <v>0</v>
      </c>
      <c r="AJ46" s="141">
        <f t="shared" ca="1" si="16"/>
        <v>0</v>
      </c>
    </row>
    <row r="47" spans="1:36" ht="21" customHeight="1" x14ac:dyDescent="0.3">
      <c r="A47" s="54">
        <v>16</v>
      </c>
      <c r="B47" s="55" t="s">
        <v>68</v>
      </c>
      <c r="C47" s="56">
        <f t="shared" ca="1" si="54"/>
        <v>0</v>
      </c>
      <c r="D47" s="57">
        <f ca="1">IFERROR(__xludf.DUMMYFUNCTION("IMPORTRANGE(""https://docs.google.com/spreadsheets/d/1GVExpf-Exi_2gmuqTYH28fseTB9MoKPXWcXCbSt_YrM/edit?usp=sharing"",""หนองคาย!L528"")"),0)</f>
        <v>0</v>
      </c>
      <c r="E47" s="64">
        <f ca="1">IFERROR(__xludf.DUMMYFUNCTION("IMPORTRANGE(""https://docs.google.com/spreadsheets/d/1GVExpf-Exi_2gmuqTYH28fseTB9MoKPXWcXCbSt_YrM/edit?usp=sharing"",""หนองคาย!L535"")"),0)</f>
        <v>0</v>
      </c>
      <c r="F47" s="64">
        <f ca="1">IFERROR(__xludf.DUMMYFUNCTION("IMPORTRANGE(""https://docs.google.com/spreadsheets/d/1GVExpf-Exi_2gmuqTYH28fseTB9MoKPXWcXCbSt_YrM/edit?usp=sharing"",""หนองคาย!M528"")"),0)</f>
        <v>0</v>
      </c>
      <c r="G47" s="64">
        <f ca="1">IFERROR(__xludf.DUMMYFUNCTION("IMPORTRANGE(""https://docs.google.com/spreadsheets/d/1GVExpf-Exi_2gmuqTYH28fseTB9MoKPXWcXCbSt_YrM/edit?usp=sharing"",""หนองคาย!M535"")"),0)</f>
        <v>0</v>
      </c>
      <c r="H47" s="58">
        <f t="shared" ca="1" si="32"/>
        <v>0</v>
      </c>
      <c r="I47" s="59">
        <f t="shared" ca="1" si="1"/>
        <v>0</v>
      </c>
      <c r="J47" s="60">
        <f t="shared" ca="1" si="55"/>
        <v>0</v>
      </c>
      <c r="K47" s="61">
        <f t="shared" ca="1" si="34"/>
        <v>0</v>
      </c>
      <c r="L47" s="61">
        <f t="shared" ca="1" si="35"/>
        <v>0</v>
      </c>
      <c r="M47" s="64">
        <f ca="1">IFERROR(__xludf.DUMMYFUNCTION("IMPORTRANGE(""https://docs.google.com/spreadsheets/d/1GVExpf-Exi_2gmuqTYH28fseTB9MoKPXWcXCbSt_YrM/edit?usp=sharing"",""หนองคาย!N529"")"),0)</f>
        <v>0</v>
      </c>
      <c r="N47" s="64">
        <f ca="1">IFERROR(__xludf.DUMMYFUNCTION("IMPORTRANGE(""https://docs.google.com/spreadsheets/d/1GVExpf-Exi_2gmuqTYH28fseTB9MoKPXWcXCbSt_YrM/edit?usp=sharing"",""หนองคาย!N530"")"),0)</f>
        <v>0</v>
      </c>
      <c r="O47" s="64">
        <f ca="1">IFERROR(__xludf.DUMMYFUNCTION("IMPORTRANGE(""https://docs.google.com/spreadsheets/d/1GVExpf-Exi_2gmuqTYH28fseTB9MoKPXWcXCbSt_YrM/edit?usp=sharing"",""หนองคาย!N531"")"),0)</f>
        <v>0</v>
      </c>
      <c r="P47" s="64">
        <f ca="1">IFERROR(__xludf.DUMMYFUNCTION("IMPORTRANGE(""https://docs.google.com/spreadsheets/d/1GVExpf-Exi_2gmuqTYH28fseTB9MoKPXWcXCbSt_YrM/edit?usp=sharing"",""หนองคาย!N532"")"),0)</f>
        <v>0</v>
      </c>
      <c r="Q47" s="62">
        <f ca="1">IFERROR(__xludf.DUMMYFUNCTION("IMPORTRANGE(""https://docs.google.com/spreadsheets/d/1GVExpf-Exi_2gmuqTYH28fseTB9MoKPXWcXCbSt_YrM/edit?usp=sharing"",""หนองคาย!N535"")"),0)</f>
        <v>0</v>
      </c>
      <c r="R47" s="62">
        <f t="shared" ca="1" si="37"/>
        <v>0</v>
      </c>
      <c r="S47" s="57">
        <f ca="1">IFERROR(__xludf.DUMMYFUNCTION("IMPORTRANGE(""https://docs.google.com/spreadsheets/d/1GVExpf-Exi_2gmuqTYH28fseTB9MoKPXWcXCbSt_YrM/edit?usp=sharing"",""หนองคาย!I537"")"),0)</f>
        <v>0</v>
      </c>
      <c r="T47" s="57">
        <f ca="1">IFERROR(__xludf.DUMMYFUNCTION("IMPORTRANGE(""https://docs.google.com/spreadsheets/d/1GVExpf-Exi_2gmuqTYH28fseTB9MoKPXWcXCbSt_YrM/edit?usp=sharing"",""หนองคาย!J537"")"),0)</f>
        <v>0</v>
      </c>
      <c r="U47" s="63">
        <f t="shared" ca="1" si="6"/>
        <v>0</v>
      </c>
      <c r="V47" s="57">
        <f ca="1">IFERROR(__xludf.DUMMYFUNCTION("IMPORTRANGE(""https://docs.google.com/spreadsheets/d/1GVExpf-Exi_2gmuqTYH28fseTB9MoKPXWcXCbSt_YrM/edit?usp=sharing"",""หนองคาย!I538"")"),0)</f>
        <v>0</v>
      </c>
      <c r="W47" s="57">
        <f ca="1">IFERROR(__xludf.DUMMYFUNCTION("IMPORTRANGE(""https://docs.google.com/spreadsheets/d/1GVExpf-Exi_2gmuqTYH28fseTB9MoKPXWcXCbSt_YrM/edit?usp=sharing"",""หนองคาย!J538"")"),0)</f>
        <v>0</v>
      </c>
      <c r="X47" s="63">
        <f t="shared" ca="1" si="8"/>
        <v>0</v>
      </c>
      <c r="Y47" s="57">
        <f ca="1">IFERROR(__xludf.DUMMYFUNCTION("IMPORTRANGE(""https://docs.google.com/spreadsheets/d/1GVExpf-Exi_2gmuqTYH28fseTB9MoKPXWcXCbSt_YrM/edit?usp=sharing"",""หนองคาย!I539"")"),0)</f>
        <v>0</v>
      </c>
      <c r="Z47" s="57">
        <f ca="1">IFERROR(__xludf.DUMMYFUNCTION("IMPORTRANGE(""https://docs.google.com/spreadsheets/d/1GVExpf-Exi_2gmuqTYH28fseTB9MoKPXWcXCbSt_YrM/edit?usp=sharing"",""หนองคาย!J539"")"),0)</f>
        <v>0</v>
      </c>
      <c r="AA47" s="63">
        <f t="shared" ca="1" si="10"/>
        <v>0</v>
      </c>
      <c r="AB47" s="57">
        <f ca="1">IFERROR(__xludf.DUMMYFUNCTION("IMPORTRANGE(""https://docs.google.com/spreadsheets/d/1GVExpf-Exi_2gmuqTYH28fseTB9MoKPXWcXCbSt_YrM/edit?usp=sharing"",""หนองคาย!I540"")"),0)</f>
        <v>0</v>
      </c>
      <c r="AC47" s="57">
        <f ca="1">IFERROR(__xludf.DUMMYFUNCTION("IMPORTRANGE(""https://docs.google.com/spreadsheets/d/1GVExpf-Exi_2gmuqTYH28fseTB9MoKPXWcXCbSt_YrM/edit?usp=sharing"",""หนองคาย!J540"")"),0)</f>
        <v>0</v>
      </c>
      <c r="AD47" s="63">
        <f t="shared" ca="1" si="12"/>
        <v>0</v>
      </c>
      <c r="AE47" s="140">
        <f ca="1">IFERROR(__xludf.DUMMYFUNCTION("IMPORTRANGE(""https://docs.google.com/spreadsheets/d/1GVExpf-Exi_2gmuqTYH28fseTB9MoKPXWcXCbSt_YrM/edit?usp=sharing"",""หนองคาย!I541"")"),0)</f>
        <v>0</v>
      </c>
      <c r="AF47" s="140">
        <f ca="1">IFERROR(__xludf.DUMMYFUNCTION("IMPORTRANGE(""https://docs.google.com/spreadsheets/d/1GVExpf-Exi_2gmuqTYH28fseTB9MoKPXWcXCbSt_YrM/edit?usp=sharing"",""หนองคาย!J541"")"),0)</f>
        <v>0</v>
      </c>
      <c r="AG47" s="141">
        <f t="shared" ca="1" si="14"/>
        <v>0</v>
      </c>
      <c r="AH47" s="140">
        <f ca="1">IFERROR(__xludf.DUMMYFUNCTION("IMPORTRANGE(""https://docs.google.com/spreadsheets/d/1GVExpf-Exi_2gmuqTYH28fseTB9MoKPXWcXCbSt_YrM/edit?usp=sharing"",""หนองคาย!I542"")"),0)</f>
        <v>0</v>
      </c>
      <c r="AI47" s="140">
        <f ca="1">IFERROR(__xludf.DUMMYFUNCTION("IMPORTRANGE(""https://docs.google.com/spreadsheets/d/1GVExpf-Exi_2gmuqTYH28fseTB9MoKPXWcXCbSt_YrM/edit?usp=sharing"",""หนองคาย!J542"")"),0)</f>
        <v>0</v>
      </c>
      <c r="AJ47" s="141">
        <f t="shared" ca="1" si="16"/>
        <v>0</v>
      </c>
    </row>
    <row r="48" spans="1:36" ht="21" customHeight="1" x14ac:dyDescent="0.3">
      <c r="A48" s="54">
        <v>17</v>
      </c>
      <c r="B48" s="55" t="s">
        <v>69</v>
      </c>
      <c r="C48" s="56">
        <f t="shared" ca="1" si="54"/>
        <v>0</v>
      </c>
      <c r="D48" s="57">
        <f ca="1">IFERROR(__xludf.DUMMYFUNCTION("IMPORTRANGE(""https://docs.google.com/spreadsheets/d/16UeMz0UgOB5BZcoxP75eYGcLFtGYRn9GoesD4OX9m5U/edit?usp=sharing"",""หนองบัวลำภู!L528"")"),0)</f>
        <v>0</v>
      </c>
      <c r="E48" s="64">
        <f ca="1">IFERROR(__xludf.DUMMYFUNCTION("IMPORTRANGE(""https://docs.google.com/spreadsheets/d/16UeMz0UgOB5BZcoxP75eYGcLFtGYRn9GoesD4OX9m5U/edit?usp=sharing"",""หนองบัวลำภู!L535"")"),0)</f>
        <v>0</v>
      </c>
      <c r="F48" s="64">
        <f ca="1">IFERROR(__xludf.DUMMYFUNCTION("IMPORTRANGE(""https://docs.google.com/spreadsheets/d/16UeMz0UgOB5BZcoxP75eYGcLFtGYRn9GoesD4OX9m5U/edit?usp=sharing"",""หนองบัวลำภู!M528"")"),0)</f>
        <v>0</v>
      </c>
      <c r="G48" s="64">
        <f ca="1">IFERROR(__xludf.DUMMYFUNCTION("IMPORTRANGE(""https://docs.google.com/spreadsheets/d/16UeMz0UgOB5BZcoxP75eYGcLFtGYRn9GoesD4OX9m5U/edit?usp=sharing"",""หนองบัวลำภู!M535"")"),0)</f>
        <v>0</v>
      </c>
      <c r="H48" s="58">
        <f t="shared" ca="1" si="32"/>
        <v>0</v>
      </c>
      <c r="I48" s="59">
        <f t="shared" ca="1" si="1"/>
        <v>0</v>
      </c>
      <c r="J48" s="60">
        <f t="shared" ca="1" si="55"/>
        <v>0</v>
      </c>
      <c r="K48" s="61">
        <f t="shared" ca="1" si="34"/>
        <v>0</v>
      </c>
      <c r="L48" s="61">
        <f t="shared" ca="1" si="35"/>
        <v>0</v>
      </c>
      <c r="M48" s="64">
        <f ca="1">IFERROR(__xludf.DUMMYFUNCTION("IMPORTRANGE(""https://docs.google.com/spreadsheets/d/16UeMz0UgOB5BZcoxP75eYGcLFtGYRn9GoesD4OX9m5U/edit?usp=sharing"",""หนองบัวลำภู!N529"")"),0)</f>
        <v>0</v>
      </c>
      <c r="N48" s="64">
        <f ca="1">IFERROR(__xludf.DUMMYFUNCTION("IMPORTRANGE(""https://docs.google.com/spreadsheets/d/16UeMz0UgOB5BZcoxP75eYGcLFtGYRn9GoesD4OX9m5U/edit?usp=sharing"",""หนองบัวลำภู!N530"")"),0)</f>
        <v>0</v>
      </c>
      <c r="O48" s="64">
        <f ca="1">IFERROR(__xludf.DUMMYFUNCTION("IMPORTRANGE(""https://docs.google.com/spreadsheets/d/16UeMz0UgOB5BZcoxP75eYGcLFtGYRn9GoesD4OX9m5U/edit?usp=sharing"",""หนองบัวลำภู!N531"")"),0)</f>
        <v>0</v>
      </c>
      <c r="P48" s="64">
        <f ca="1">IFERROR(__xludf.DUMMYFUNCTION("IMPORTRANGE(""https://docs.google.com/spreadsheets/d/16UeMz0UgOB5BZcoxP75eYGcLFtGYRn9GoesD4OX9m5U/edit?usp=sharing"",""หนองบัวลำภู!N532"")"),0)</f>
        <v>0</v>
      </c>
      <c r="Q48" s="62">
        <f ca="1">IFERROR(__xludf.DUMMYFUNCTION("IMPORTRANGE(""https://docs.google.com/spreadsheets/d/16UeMz0UgOB5BZcoxP75eYGcLFtGYRn9GoesD4OX9m5U/edit?usp=sharing"",""หนองบัวลำภู!N535"")"),0)</f>
        <v>0</v>
      </c>
      <c r="R48" s="62">
        <f t="shared" ca="1" si="37"/>
        <v>0</v>
      </c>
      <c r="S48" s="57">
        <f ca="1">IFERROR(__xludf.DUMMYFUNCTION("IMPORTRANGE(""https://docs.google.com/spreadsheets/d/16UeMz0UgOB5BZcoxP75eYGcLFtGYRn9GoesD4OX9m5U/edit?usp=sharing"",""หนองบัวลำภู!I537"")"),0)</f>
        <v>0</v>
      </c>
      <c r="T48" s="57">
        <f ca="1">IFERROR(__xludf.DUMMYFUNCTION("IMPORTRANGE(""https://docs.google.com/spreadsheets/d/16UeMz0UgOB5BZcoxP75eYGcLFtGYRn9GoesD4OX9m5U/edit?usp=sharing"",""หนองบัวลำภู!J537"")"),0)</f>
        <v>0</v>
      </c>
      <c r="U48" s="63">
        <f t="shared" ca="1" si="6"/>
        <v>0</v>
      </c>
      <c r="V48" s="57">
        <f ca="1">IFERROR(__xludf.DUMMYFUNCTION("IMPORTRANGE(""https://docs.google.com/spreadsheets/d/16UeMz0UgOB5BZcoxP75eYGcLFtGYRn9GoesD4OX9m5U/edit?usp=sharing"",""หนองบัวลำภู!I538"")"),0)</f>
        <v>0</v>
      </c>
      <c r="W48" s="57">
        <f ca="1">IFERROR(__xludf.DUMMYFUNCTION("IMPORTRANGE(""https://docs.google.com/spreadsheets/d/16UeMz0UgOB5BZcoxP75eYGcLFtGYRn9GoesD4OX9m5U/edit?usp=sharing"",""หนองบัวลำภู!J538"")"),0)</f>
        <v>0</v>
      </c>
      <c r="X48" s="63">
        <f t="shared" ca="1" si="8"/>
        <v>0</v>
      </c>
      <c r="Y48" s="57">
        <f ca="1">IFERROR(__xludf.DUMMYFUNCTION("IMPORTRANGE(""https://docs.google.com/spreadsheets/d/16UeMz0UgOB5BZcoxP75eYGcLFtGYRn9GoesD4OX9m5U/edit?usp=sharing"",""หนองบัวลำภู!I539"")"),0)</f>
        <v>0</v>
      </c>
      <c r="Z48" s="57">
        <f ca="1">IFERROR(__xludf.DUMMYFUNCTION("IMPORTRANGE(""https://docs.google.com/spreadsheets/d/16UeMz0UgOB5BZcoxP75eYGcLFtGYRn9GoesD4OX9m5U/edit?usp=sharing"",""หนองบัวลำภู!J539"")"),0)</f>
        <v>0</v>
      </c>
      <c r="AA48" s="63">
        <f t="shared" ca="1" si="10"/>
        <v>0</v>
      </c>
      <c r="AB48" s="57">
        <f ca="1">IFERROR(__xludf.DUMMYFUNCTION("IMPORTRANGE(""https://docs.google.com/spreadsheets/d/16UeMz0UgOB5BZcoxP75eYGcLFtGYRn9GoesD4OX9m5U/edit?usp=sharing"",""หนองบัวลำภู!I540"")"),0)</f>
        <v>0</v>
      </c>
      <c r="AC48" s="57">
        <f ca="1">IFERROR(__xludf.DUMMYFUNCTION("IMPORTRANGE(""https://docs.google.com/spreadsheets/d/16UeMz0UgOB5BZcoxP75eYGcLFtGYRn9GoesD4OX9m5U/edit?usp=sharing"",""หนองบัวลำภู!J540"")"),0)</f>
        <v>0</v>
      </c>
      <c r="AD48" s="63">
        <f t="shared" ca="1" si="12"/>
        <v>0</v>
      </c>
      <c r="AE48" s="140">
        <f ca="1">IFERROR(__xludf.DUMMYFUNCTION("IMPORTRANGE(""https://docs.google.com/spreadsheets/d/16UeMz0UgOB5BZcoxP75eYGcLFtGYRn9GoesD4OX9m5U/edit?usp=sharing"",""หนองบัวลำภู!I541"")"),0)</f>
        <v>0</v>
      </c>
      <c r="AF48" s="140">
        <f ca="1">IFERROR(__xludf.DUMMYFUNCTION("IMPORTRANGE(""https://docs.google.com/spreadsheets/d/16UeMz0UgOB5BZcoxP75eYGcLFtGYRn9GoesD4OX9m5U/edit?usp=sharing"",""หนองบัวลำภู!J541"")"),0)</f>
        <v>0</v>
      </c>
      <c r="AG48" s="141">
        <f t="shared" ca="1" si="14"/>
        <v>0</v>
      </c>
      <c r="AH48" s="140">
        <f ca="1">IFERROR(__xludf.DUMMYFUNCTION("IMPORTRANGE(""https://docs.google.com/spreadsheets/d/16UeMz0UgOB5BZcoxP75eYGcLFtGYRn9GoesD4OX9m5U/edit?usp=sharing"",""หนองบัวลำภู!I542"")"),0)</f>
        <v>0</v>
      </c>
      <c r="AI48" s="140">
        <f ca="1">IFERROR(__xludf.DUMMYFUNCTION("IMPORTRANGE(""https://docs.google.com/spreadsheets/d/16UeMz0UgOB5BZcoxP75eYGcLFtGYRn9GoesD4OX9m5U/edit?usp=sharing"",""หนองบัวลำภู!J542"")"),0)</f>
        <v>0</v>
      </c>
      <c r="AJ48" s="141">
        <f t="shared" ca="1" si="16"/>
        <v>0</v>
      </c>
    </row>
    <row r="49" spans="1:36" ht="21" customHeight="1" x14ac:dyDescent="0.3">
      <c r="A49" s="54">
        <v>18</v>
      </c>
      <c r="B49" s="55" t="s">
        <v>70</v>
      </c>
      <c r="C49" s="56">
        <f t="shared" ca="1" si="54"/>
        <v>0</v>
      </c>
      <c r="D49" s="57">
        <f ca="1">IFERROR(__xludf.DUMMYFUNCTION("IMPORTRANGE(""https://docs.google.com/spreadsheets/d/1uUP8Zo1-qaJLuIkRU0qlwLSE3DHkbdrrj2JGJiWBQZE/edit?usp=sharing"",""อำนาจเจริญ!L528"")"),0)</f>
        <v>0</v>
      </c>
      <c r="E49" s="64">
        <f ca="1">IFERROR(__xludf.DUMMYFUNCTION("IMPORTRANGE(""https://docs.google.com/spreadsheets/d/1uUP8Zo1-qaJLuIkRU0qlwLSE3DHkbdrrj2JGJiWBQZE/edit?usp=sharing"",""อำนาจเจริญ!L535"")"),0)</f>
        <v>0</v>
      </c>
      <c r="F49" s="64">
        <f ca="1">IFERROR(__xludf.DUMMYFUNCTION("IMPORTRANGE(""https://docs.google.com/spreadsheets/d/1uUP8Zo1-qaJLuIkRU0qlwLSE3DHkbdrrj2JGJiWBQZE/edit?usp=sharing"",""อำนาจเจริญ!M528"")"),0)</f>
        <v>0</v>
      </c>
      <c r="G49" s="64">
        <f ca="1">IFERROR(__xludf.DUMMYFUNCTION("IMPORTRANGE(""https://docs.google.com/spreadsheets/d/1uUP8Zo1-qaJLuIkRU0qlwLSE3DHkbdrrj2JGJiWBQZE/edit?usp=sharing"",""อำนาจเจริญ!M535"")"),0)</f>
        <v>0</v>
      </c>
      <c r="H49" s="58">
        <f t="shared" ca="1" si="32"/>
        <v>0</v>
      </c>
      <c r="I49" s="59">
        <f t="shared" ca="1" si="1"/>
        <v>0</v>
      </c>
      <c r="J49" s="60">
        <f t="shared" ca="1" si="55"/>
        <v>0</v>
      </c>
      <c r="K49" s="61">
        <f t="shared" ca="1" si="34"/>
        <v>0</v>
      </c>
      <c r="L49" s="61">
        <f t="shared" ca="1" si="35"/>
        <v>0</v>
      </c>
      <c r="M49" s="64">
        <f ca="1">IFERROR(__xludf.DUMMYFUNCTION("IMPORTRANGE(""https://docs.google.com/spreadsheets/d/1uUP8Zo1-qaJLuIkRU0qlwLSE3DHkbdrrj2JGJiWBQZE/edit?usp=sharing"",""อำนาจเจริญ!N529"")"),0)</f>
        <v>0</v>
      </c>
      <c r="N49" s="64">
        <f ca="1">IFERROR(__xludf.DUMMYFUNCTION("IMPORTRANGE(""https://docs.google.com/spreadsheets/d/1uUP8Zo1-qaJLuIkRU0qlwLSE3DHkbdrrj2JGJiWBQZE/edit?usp=sharing"",""อำนาจเจริญ!N530"")"),0)</f>
        <v>0</v>
      </c>
      <c r="O49" s="64">
        <f ca="1">IFERROR(__xludf.DUMMYFUNCTION("IMPORTRANGE(""https://docs.google.com/spreadsheets/d/1uUP8Zo1-qaJLuIkRU0qlwLSE3DHkbdrrj2JGJiWBQZE/edit?usp=sharing"",""อำนาจเจริญ!N531"")"),0)</f>
        <v>0</v>
      </c>
      <c r="P49" s="64">
        <f ca="1">IFERROR(__xludf.DUMMYFUNCTION("IMPORTRANGE(""https://docs.google.com/spreadsheets/d/1uUP8Zo1-qaJLuIkRU0qlwLSE3DHkbdrrj2JGJiWBQZE/edit?usp=sharing"",""อำนาจเจริญ!N532"")"),0)</f>
        <v>0</v>
      </c>
      <c r="Q49" s="62">
        <f ca="1">IFERROR(__xludf.DUMMYFUNCTION("IMPORTRANGE(""https://docs.google.com/spreadsheets/d/1uUP8Zo1-qaJLuIkRU0qlwLSE3DHkbdrrj2JGJiWBQZE/edit?usp=sharing"",""อำนาจเจริญ!N535"")"),0)</f>
        <v>0</v>
      </c>
      <c r="R49" s="62">
        <f t="shared" ca="1" si="37"/>
        <v>0</v>
      </c>
      <c r="S49" s="57">
        <f ca="1">IFERROR(__xludf.DUMMYFUNCTION("IMPORTRANGE(""https://docs.google.com/spreadsheets/d/1uUP8Zo1-qaJLuIkRU0qlwLSE3DHkbdrrj2JGJiWBQZE/edit?usp=sharing"",""อำนาจเจริญ!I537"")"),0)</f>
        <v>0</v>
      </c>
      <c r="T49" s="57">
        <f ca="1">IFERROR(__xludf.DUMMYFUNCTION("IMPORTRANGE(""https://docs.google.com/spreadsheets/d/1uUP8Zo1-qaJLuIkRU0qlwLSE3DHkbdrrj2JGJiWBQZE/edit?usp=sharing"",""อำนาจเจริญ!J537"")"),0)</f>
        <v>0</v>
      </c>
      <c r="U49" s="63">
        <f t="shared" ca="1" si="6"/>
        <v>0</v>
      </c>
      <c r="V49" s="57">
        <f ca="1">IFERROR(__xludf.DUMMYFUNCTION("IMPORTRANGE(""https://docs.google.com/spreadsheets/d/1uUP8Zo1-qaJLuIkRU0qlwLSE3DHkbdrrj2JGJiWBQZE/edit?usp=sharing"",""อำนาจเจริญ!I538"")"),0)</f>
        <v>0</v>
      </c>
      <c r="W49" s="57">
        <f ca="1">IFERROR(__xludf.DUMMYFUNCTION("IMPORTRANGE(""https://docs.google.com/spreadsheets/d/1uUP8Zo1-qaJLuIkRU0qlwLSE3DHkbdrrj2JGJiWBQZE/edit?usp=sharing"",""อำนาจเจริญ!J538"")"),0)</f>
        <v>0</v>
      </c>
      <c r="X49" s="63">
        <f t="shared" ca="1" si="8"/>
        <v>0</v>
      </c>
      <c r="Y49" s="57">
        <f ca="1">IFERROR(__xludf.DUMMYFUNCTION("IMPORTRANGE(""https://docs.google.com/spreadsheets/d/1uUP8Zo1-qaJLuIkRU0qlwLSE3DHkbdrrj2JGJiWBQZE/edit?usp=sharing"",""อำนาจเจริญ!I539"")"),0)</f>
        <v>0</v>
      </c>
      <c r="Z49" s="57">
        <f ca="1">IFERROR(__xludf.DUMMYFUNCTION("IMPORTRANGE(""https://docs.google.com/spreadsheets/d/1uUP8Zo1-qaJLuIkRU0qlwLSE3DHkbdrrj2JGJiWBQZE/edit?usp=sharing"",""อำนาจเจริญ!J539"")"),0)</f>
        <v>0</v>
      </c>
      <c r="AA49" s="63">
        <f t="shared" ca="1" si="10"/>
        <v>0</v>
      </c>
      <c r="AB49" s="57">
        <f ca="1">IFERROR(__xludf.DUMMYFUNCTION("IMPORTRANGE(""https://docs.google.com/spreadsheets/d/1uUP8Zo1-qaJLuIkRU0qlwLSE3DHkbdrrj2JGJiWBQZE/edit?usp=sharing"",""อำนาจเจริญ!I540"")"),0)</f>
        <v>0</v>
      </c>
      <c r="AC49" s="57">
        <f ca="1">IFERROR(__xludf.DUMMYFUNCTION("IMPORTRANGE(""https://docs.google.com/spreadsheets/d/1uUP8Zo1-qaJLuIkRU0qlwLSE3DHkbdrrj2JGJiWBQZE/edit?usp=sharing"",""อำนาจเจริญ!J540"")"),0)</f>
        <v>0</v>
      </c>
      <c r="AD49" s="63">
        <f t="shared" ca="1" si="12"/>
        <v>0</v>
      </c>
      <c r="AE49" s="140">
        <f ca="1">IFERROR(__xludf.DUMMYFUNCTION("IMPORTRANGE(""https://docs.google.com/spreadsheets/d/1uUP8Zo1-qaJLuIkRU0qlwLSE3DHkbdrrj2JGJiWBQZE/edit?usp=sharing"",""อำนาจเจริญ!I541"")"),0)</f>
        <v>0</v>
      </c>
      <c r="AF49" s="140">
        <f ca="1">IFERROR(__xludf.DUMMYFUNCTION("IMPORTRANGE(""https://docs.google.com/spreadsheets/d/1uUP8Zo1-qaJLuIkRU0qlwLSE3DHkbdrrj2JGJiWBQZE/edit?usp=sharing"",""อำนาจเจริญ!J541"")"),0)</f>
        <v>0</v>
      </c>
      <c r="AG49" s="141">
        <f t="shared" ca="1" si="14"/>
        <v>0</v>
      </c>
      <c r="AH49" s="140">
        <f ca="1">IFERROR(__xludf.DUMMYFUNCTION("IMPORTRANGE(""https://docs.google.com/spreadsheets/d/1uUP8Zo1-qaJLuIkRU0qlwLSE3DHkbdrrj2JGJiWBQZE/edit?usp=sharing"",""อำนาจเจริญ!I542"")"),0)</f>
        <v>0</v>
      </c>
      <c r="AI49" s="140">
        <f ca="1">IFERROR(__xludf.DUMMYFUNCTION("IMPORTRANGE(""https://docs.google.com/spreadsheets/d/1uUP8Zo1-qaJLuIkRU0qlwLSE3DHkbdrrj2JGJiWBQZE/edit?usp=sharing"",""อำนาจเจริญ!J542"")"),0)</f>
        <v>0</v>
      </c>
      <c r="AJ49" s="141">
        <f t="shared" ca="1" si="16"/>
        <v>0</v>
      </c>
    </row>
    <row r="50" spans="1:36" ht="21" customHeight="1" x14ac:dyDescent="0.3">
      <c r="A50" s="54">
        <v>19</v>
      </c>
      <c r="B50" s="55" t="s">
        <v>71</v>
      </c>
      <c r="C50" s="56">
        <f t="shared" ca="1" si="54"/>
        <v>0</v>
      </c>
      <c r="D50" s="57">
        <f ca="1">IFERROR(__xludf.DUMMYFUNCTION("IMPORTRANGE(""https://docs.google.com/spreadsheets/d/1hb_taSOHanzRjqfzWPiFo8yiT83VV1L7vvUCLhOiHKc/edit?usp=sharing"",""อุดรธานี!L528"")"),0)</f>
        <v>0</v>
      </c>
      <c r="E50" s="64">
        <f ca="1">IFERROR(__xludf.DUMMYFUNCTION("IMPORTRANGE(""https://docs.google.com/spreadsheets/d/1hb_taSOHanzRjqfzWPiFo8yiT83VV1L7vvUCLhOiHKc/edit?usp=sharing"",""อุดรธานี!L535"")"),0)</f>
        <v>0</v>
      </c>
      <c r="F50" s="64">
        <f ca="1">IFERROR(__xludf.DUMMYFUNCTION("IMPORTRANGE(""https://docs.google.com/spreadsheets/d/1hb_taSOHanzRjqfzWPiFo8yiT83VV1L7vvUCLhOiHKc/edit?usp=sharing"",""อุดรธานี!M528"")"),0)</f>
        <v>0</v>
      </c>
      <c r="G50" s="64">
        <f ca="1">IFERROR(__xludf.DUMMYFUNCTION("IMPORTRANGE(""https://docs.google.com/spreadsheets/d/1hb_taSOHanzRjqfzWPiFo8yiT83VV1L7vvUCLhOiHKc/edit?usp=sharing"",""อุดรธานี!M535"")"),0)</f>
        <v>0</v>
      </c>
      <c r="H50" s="58">
        <f t="shared" ca="1" si="32"/>
        <v>0</v>
      </c>
      <c r="I50" s="59">
        <f t="shared" ca="1" si="1"/>
        <v>0</v>
      </c>
      <c r="J50" s="60">
        <f t="shared" ca="1" si="55"/>
        <v>0</v>
      </c>
      <c r="K50" s="61">
        <f t="shared" ca="1" si="34"/>
        <v>0</v>
      </c>
      <c r="L50" s="61">
        <f t="shared" ca="1" si="35"/>
        <v>0</v>
      </c>
      <c r="M50" s="64">
        <f ca="1">IFERROR(__xludf.DUMMYFUNCTION("IMPORTRANGE(""https://docs.google.com/spreadsheets/d/1hb_taSOHanzRjqfzWPiFo8yiT83VV1L7vvUCLhOiHKc/edit?usp=sharing"",""อุดรธานี!N529"")"),0)</f>
        <v>0</v>
      </c>
      <c r="N50" s="64">
        <f ca="1">IFERROR(__xludf.DUMMYFUNCTION("IMPORTRANGE(""https://docs.google.com/spreadsheets/d/1hb_taSOHanzRjqfzWPiFo8yiT83VV1L7vvUCLhOiHKc/edit?usp=sharing"",""อุดรธานี!N530"")"),0)</f>
        <v>0</v>
      </c>
      <c r="O50" s="64">
        <f ca="1">IFERROR(__xludf.DUMMYFUNCTION("IMPORTRANGE(""https://docs.google.com/spreadsheets/d/1hb_taSOHanzRjqfzWPiFo8yiT83VV1L7vvUCLhOiHKc/edit?usp=sharing"",""อุดรธานี!N531"")"),0)</f>
        <v>0</v>
      </c>
      <c r="P50" s="64">
        <f ca="1">IFERROR(__xludf.DUMMYFUNCTION("IMPORTRANGE(""https://docs.google.com/spreadsheets/d/1hb_taSOHanzRjqfzWPiFo8yiT83VV1L7vvUCLhOiHKc/edit?usp=sharing"",""อุดรธานี!N532"")"),0)</f>
        <v>0</v>
      </c>
      <c r="Q50" s="62">
        <f ca="1">IFERROR(__xludf.DUMMYFUNCTION("IMPORTRANGE(""https://docs.google.com/spreadsheets/d/1hb_taSOHanzRjqfzWPiFo8yiT83VV1L7vvUCLhOiHKc/edit?usp=sharing"",""อุดรธานี!N535"")"),0)</f>
        <v>0</v>
      </c>
      <c r="R50" s="62">
        <f t="shared" ca="1" si="37"/>
        <v>0</v>
      </c>
      <c r="S50" s="57">
        <f ca="1">IFERROR(__xludf.DUMMYFUNCTION("IMPORTRANGE(""https://docs.google.com/spreadsheets/d/1hb_taSOHanzRjqfzWPiFo8yiT83VV1L7vvUCLhOiHKc/edit?usp=sharing"",""อุดรธานี!I537"")"),0)</f>
        <v>0</v>
      </c>
      <c r="T50" s="57">
        <f ca="1">IFERROR(__xludf.DUMMYFUNCTION("IMPORTRANGE(""https://docs.google.com/spreadsheets/d/1hb_taSOHanzRjqfzWPiFo8yiT83VV1L7vvUCLhOiHKc/edit?usp=sharing"",""อุดรธานี!J537"")"),0)</f>
        <v>0</v>
      </c>
      <c r="U50" s="63">
        <f t="shared" ca="1" si="6"/>
        <v>0</v>
      </c>
      <c r="V50" s="57">
        <f ca="1">IFERROR(__xludf.DUMMYFUNCTION("IMPORTRANGE(""https://docs.google.com/spreadsheets/d/1hb_taSOHanzRjqfzWPiFo8yiT83VV1L7vvUCLhOiHKc/edit?usp=sharing"",""อุดรธานี!I538"")"),0)</f>
        <v>0</v>
      </c>
      <c r="W50" s="57">
        <f ca="1">IFERROR(__xludf.DUMMYFUNCTION("IMPORTRANGE(""https://docs.google.com/spreadsheets/d/1hb_taSOHanzRjqfzWPiFo8yiT83VV1L7vvUCLhOiHKc/edit?usp=sharing"",""อุดรธานี!J538"")"),0)</f>
        <v>0</v>
      </c>
      <c r="X50" s="63">
        <f t="shared" ca="1" si="8"/>
        <v>0</v>
      </c>
      <c r="Y50" s="57">
        <f ca="1">IFERROR(__xludf.DUMMYFUNCTION("IMPORTRANGE(""https://docs.google.com/spreadsheets/d/1hb_taSOHanzRjqfzWPiFo8yiT83VV1L7vvUCLhOiHKc/edit?usp=sharing"",""อุดรธานี!I539"")"),0)</f>
        <v>0</v>
      </c>
      <c r="Z50" s="57">
        <f ca="1">IFERROR(__xludf.DUMMYFUNCTION("IMPORTRANGE(""https://docs.google.com/spreadsheets/d/1hb_taSOHanzRjqfzWPiFo8yiT83VV1L7vvUCLhOiHKc/edit?usp=sharing"",""อุดรธานี!J539"")"),0)</f>
        <v>0</v>
      </c>
      <c r="AA50" s="63">
        <f t="shared" ca="1" si="10"/>
        <v>0</v>
      </c>
      <c r="AB50" s="57">
        <f ca="1">IFERROR(__xludf.DUMMYFUNCTION("IMPORTRANGE(""https://docs.google.com/spreadsheets/d/1hb_taSOHanzRjqfzWPiFo8yiT83VV1L7vvUCLhOiHKc/edit?usp=sharing"",""อุดรธานี!I540"")"),0)</f>
        <v>0</v>
      </c>
      <c r="AC50" s="57">
        <f ca="1">IFERROR(__xludf.DUMMYFUNCTION("IMPORTRANGE(""https://docs.google.com/spreadsheets/d/1hb_taSOHanzRjqfzWPiFo8yiT83VV1L7vvUCLhOiHKc/edit?usp=sharing"",""อุดรธานี!J540"")"),0)</f>
        <v>0</v>
      </c>
      <c r="AD50" s="63">
        <f t="shared" ca="1" si="12"/>
        <v>0</v>
      </c>
      <c r="AE50" s="140">
        <f ca="1">IFERROR(__xludf.DUMMYFUNCTION("IMPORTRANGE(""https://docs.google.com/spreadsheets/d/1hb_taSOHanzRjqfzWPiFo8yiT83VV1L7vvUCLhOiHKc/edit?usp=sharing"",""อุดรธานี!I541"")"),0)</f>
        <v>0</v>
      </c>
      <c r="AF50" s="140">
        <f ca="1">IFERROR(__xludf.DUMMYFUNCTION("IMPORTRANGE(""https://docs.google.com/spreadsheets/d/1hb_taSOHanzRjqfzWPiFo8yiT83VV1L7vvUCLhOiHKc/edit?usp=sharing"",""อุดรธานี!J541"")"),0)</f>
        <v>0</v>
      </c>
      <c r="AG50" s="141">
        <f t="shared" ca="1" si="14"/>
        <v>0</v>
      </c>
      <c r="AH50" s="140">
        <f ca="1">IFERROR(__xludf.DUMMYFUNCTION("IMPORTRANGE(""https://docs.google.com/spreadsheets/d/1hb_taSOHanzRjqfzWPiFo8yiT83VV1L7vvUCLhOiHKc/edit?usp=sharing"",""อุดรธานี!I542"")"),0)</f>
        <v>0</v>
      </c>
      <c r="AI50" s="140">
        <f ca="1">IFERROR(__xludf.DUMMYFUNCTION("IMPORTRANGE(""https://docs.google.com/spreadsheets/d/1hb_taSOHanzRjqfzWPiFo8yiT83VV1L7vvUCLhOiHKc/edit?usp=sharing"",""อุดรธานี!J542"")"),0)</f>
        <v>0</v>
      </c>
      <c r="AJ50" s="141">
        <f t="shared" ca="1" si="16"/>
        <v>0</v>
      </c>
    </row>
    <row r="51" spans="1:36" ht="21" customHeight="1" x14ac:dyDescent="0.3">
      <c r="A51" s="65">
        <v>20</v>
      </c>
      <c r="B51" s="66" t="s">
        <v>72</v>
      </c>
      <c r="C51" s="67">
        <f t="shared" ca="1" si="54"/>
        <v>0</v>
      </c>
      <c r="D51" s="68">
        <f ca="1">IFERROR(__xludf.DUMMYFUNCTION("IMPORTRANGE(""https://docs.google.com/spreadsheets/d/17IOkEwkUd63EGNfyNDnM5de9YlZ7rwzTiW6-dokVjKI/edit?usp=sharing"",""อุบลราชธานี!L528"")"),0)</f>
        <v>0</v>
      </c>
      <c r="E51" s="69">
        <f ca="1">IFERROR(__xludf.DUMMYFUNCTION("IMPORTRANGE(""https://docs.google.com/spreadsheets/d/17IOkEwkUd63EGNfyNDnM5de9YlZ7rwzTiW6-dokVjKI/edit?usp=sharing"",""อุบลราชธานี!L535"")"),0)</f>
        <v>0</v>
      </c>
      <c r="F51" s="69">
        <f ca="1">IFERROR(__xludf.DUMMYFUNCTION("IMPORTRANGE(""https://docs.google.com/spreadsheets/d/17IOkEwkUd63EGNfyNDnM5de9YlZ7rwzTiW6-dokVjKI/edit?usp=sharing"",""อุบลราชธานี!M528"")"),0)</f>
        <v>0</v>
      </c>
      <c r="G51" s="69">
        <f ca="1">IFERROR(__xludf.DUMMYFUNCTION("IMPORTRANGE(""https://docs.google.com/spreadsheets/d/17IOkEwkUd63EGNfyNDnM5de9YlZ7rwzTiW6-dokVjKI/edit?usp=sharing"",""อุบลราชธานี!M535"")"),0)</f>
        <v>0</v>
      </c>
      <c r="H51" s="70">
        <f t="shared" ca="1" si="32"/>
        <v>0</v>
      </c>
      <c r="I51" s="71">
        <f t="shared" ca="1" si="1"/>
        <v>0</v>
      </c>
      <c r="J51" s="72">
        <f t="shared" ca="1" si="55"/>
        <v>0</v>
      </c>
      <c r="K51" s="73">
        <f t="shared" ca="1" si="34"/>
        <v>0</v>
      </c>
      <c r="L51" s="73">
        <f t="shared" ca="1" si="35"/>
        <v>0</v>
      </c>
      <c r="M51" s="69">
        <f ca="1">IFERROR(__xludf.DUMMYFUNCTION("IMPORTRANGE(""https://docs.google.com/spreadsheets/d/17IOkEwkUd63EGNfyNDnM5de9YlZ7rwzTiW6-dokVjKI/edit?usp=sharing"",""อุบลราชธานี!N529"")"),0)</f>
        <v>0</v>
      </c>
      <c r="N51" s="69">
        <f ca="1">IFERROR(__xludf.DUMMYFUNCTION("IMPORTRANGE(""https://docs.google.com/spreadsheets/d/17IOkEwkUd63EGNfyNDnM5de9YlZ7rwzTiW6-dokVjKI/edit?usp=sharing"",""อุบลราชธานี!N530"")"),0)</f>
        <v>0</v>
      </c>
      <c r="O51" s="69">
        <f ca="1">IFERROR(__xludf.DUMMYFUNCTION("IMPORTRANGE(""https://docs.google.com/spreadsheets/d/17IOkEwkUd63EGNfyNDnM5de9YlZ7rwzTiW6-dokVjKI/edit?usp=sharing"",""อุบลราชธานี!N531"")"),0)</f>
        <v>0</v>
      </c>
      <c r="P51" s="69">
        <f ca="1">IFERROR(__xludf.DUMMYFUNCTION("IMPORTRANGE(""https://docs.google.com/spreadsheets/d/17IOkEwkUd63EGNfyNDnM5de9YlZ7rwzTiW6-dokVjKI/edit?usp=sharing"",""อุบลราชธานี!N532"")"),0)</f>
        <v>0</v>
      </c>
      <c r="Q51" s="74">
        <f ca="1">IFERROR(__xludf.DUMMYFUNCTION("IMPORTRANGE(""https://docs.google.com/spreadsheets/d/17IOkEwkUd63EGNfyNDnM5de9YlZ7rwzTiW6-dokVjKI/edit?usp=sharing"",""อุบลราชธานี!N535"")"),0)</f>
        <v>0</v>
      </c>
      <c r="R51" s="74">
        <f t="shared" ca="1" si="37"/>
        <v>0</v>
      </c>
      <c r="S51" s="68">
        <f ca="1">IFERROR(__xludf.DUMMYFUNCTION("IMPORTRANGE(""https://docs.google.com/spreadsheets/d/17IOkEwkUd63EGNfyNDnM5de9YlZ7rwzTiW6-dokVjKI/edit?usp=sharing"",""อุบลราชธานี!I537"")"),0)</f>
        <v>0</v>
      </c>
      <c r="T51" s="68">
        <f ca="1">IFERROR(__xludf.DUMMYFUNCTION("IMPORTRANGE(""https://docs.google.com/spreadsheets/d/17IOkEwkUd63EGNfyNDnM5de9YlZ7rwzTiW6-dokVjKI/edit?usp=sharing"",""อุบลราชธานี!J537"")"),0)</f>
        <v>0</v>
      </c>
      <c r="U51" s="75">
        <f t="shared" ca="1" si="6"/>
        <v>0</v>
      </c>
      <c r="V51" s="68">
        <f ca="1">IFERROR(__xludf.DUMMYFUNCTION("IMPORTRANGE(""https://docs.google.com/spreadsheets/d/17IOkEwkUd63EGNfyNDnM5de9YlZ7rwzTiW6-dokVjKI/edit?usp=sharing"",""อุบลราชธานี!I538"")"),0)</f>
        <v>0</v>
      </c>
      <c r="W51" s="68">
        <f ca="1">IFERROR(__xludf.DUMMYFUNCTION("IMPORTRANGE(""https://docs.google.com/spreadsheets/d/17IOkEwkUd63EGNfyNDnM5de9YlZ7rwzTiW6-dokVjKI/edit?usp=sharing"",""อุบลราชธานี!J538"")"),0)</f>
        <v>0</v>
      </c>
      <c r="X51" s="75">
        <f t="shared" ca="1" si="8"/>
        <v>0</v>
      </c>
      <c r="Y51" s="68">
        <f ca="1">IFERROR(__xludf.DUMMYFUNCTION("IMPORTRANGE(""https://docs.google.com/spreadsheets/d/17IOkEwkUd63EGNfyNDnM5de9YlZ7rwzTiW6-dokVjKI/edit?usp=sharing"",""อุบลราชธานี!I539"")"),0)</f>
        <v>0</v>
      </c>
      <c r="Z51" s="68">
        <f ca="1">IFERROR(__xludf.DUMMYFUNCTION("IMPORTRANGE(""https://docs.google.com/spreadsheets/d/17IOkEwkUd63EGNfyNDnM5de9YlZ7rwzTiW6-dokVjKI/edit?usp=sharing"",""อุบลราชธานี!J539"")"),0)</f>
        <v>0</v>
      </c>
      <c r="AA51" s="75">
        <f t="shared" ca="1" si="10"/>
        <v>0</v>
      </c>
      <c r="AB51" s="68">
        <f ca="1">IFERROR(__xludf.DUMMYFUNCTION("IMPORTRANGE(""https://docs.google.com/spreadsheets/d/17IOkEwkUd63EGNfyNDnM5de9YlZ7rwzTiW6-dokVjKI/edit?usp=sharing"",""อุบลราชธานี!I540"")"),0)</f>
        <v>0</v>
      </c>
      <c r="AC51" s="68">
        <f ca="1">IFERROR(__xludf.DUMMYFUNCTION("IMPORTRANGE(""https://docs.google.com/spreadsheets/d/17IOkEwkUd63EGNfyNDnM5de9YlZ7rwzTiW6-dokVjKI/edit?usp=sharing"",""อุบลราชธานี!J540"")"),0)</f>
        <v>0</v>
      </c>
      <c r="AD51" s="75">
        <f t="shared" ca="1" si="12"/>
        <v>0</v>
      </c>
      <c r="AE51" s="142">
        <f ca="1">IFERROR(__xludf.DUMMYFUNCTION("IMPORTRANGE(""https://docs.google.com/spreadsheets/d/17IOkEwkUd63EGNfyNDnM5de9YlZ7rwzTiW6-dokVjKI/edit?usp=sharing"",""อุบลราชธานี!I541"")"),0)</f>
        <v>0</v>
      </c>
      <c r="AF51" s="142">
        <f ca="1">IFERROR(__xludf.DUMMYFUNCTION("IMPORTRANGE(""https://docs.google.com/spreadsheets/d/17IOkEwkUd63EGNfyNDnM5de9YlZ7rwzTiW6-dokVjKI/edit?usp=sharing"",""อุบลราชธานี!J541"")"),0)</f>
        <v>0</v>
      </c>
      <c r="AG51" s="143">
        <f t="shared" ca="1" si="14"/>
        <v>0</v>
      </c>
      <c r="AH51" s="142">
        <f ca="1">IFERROR(__xludf.DUMMYFUNCTION("IMPORTRANGE(""https://docs.google.com/spreadsheets/d/17IOkEwkUd63EGNfyNDnM5de9YlZ7rwzTiW6-dokVjKI/edit?usp=sharing"",""อุบลราชธานี!I542"")"),0)</f>
        <v>0</v>
      </c>
      <c r="AI51" s="142">
        <f ca="1">IFERROR(__xludf.DUMMYFUNCTION("IMPORTRANGE(""https://docs.google.com/spreadsheets/d/17IOkEwkUd63EGNfyNDnM5de9YlZ7rwzTiW6-dokVjKI/edit?usp=sharing"",""อุบลราชธานี!J542"")"),0)</f>
        <v>0</v>
      </c>
      <c r="AJ51" s="143">
        <f t="shared" ca="1" si="16"/>
        <v>0</v>
      </c>
    </row>
    <row r="52" spans="1:36" ht="21" customHeight="1" x14ac:dyDescent="0.3">
      <c r="A52" s="186" t="s">
        <v>73</v>
      </c>
      <c r="B52" s="178"/>
      <c r="C52" s="76">
        <f t="shared" ref="C52:G52" ca="1" si="56">SUM(C53:C73)</f>
        <v>1282380</v>
      </c>
      <c r="D52" s="34">
        <f t="shared" ca="1" si="56"/>
        <v>1282380</v>
      </c>
      <c r="E52" s="34">
        <f t="shared" ca="1" si="56"/>
        <v>0</v>
      </c>
      <c r="F52" s="34">
        <f t="shared" ca="1" si="56"/>
        <v>1282380</v>
      </c>
      <c r="G52" s="34">
        <f t="shared" ca="1" si="56"/>
        <v>0</v>
      </c>
      <c r="H52" s="34">
        <f t="shared" ca="1" si="32"/>
        <v>674028</v>
      </c>
      <c r="I52" s="35">
        <f t="shared" ca="1" si="1"/>
        <v>52.560707434613768</v>
      </c>
      <c r="J52" s="34">
        <f ca="1">SUM(J53:J73)</f>
        <v>674028</v>
      </c>
      <c r="K52" s="35">
        <f t="shared" ca="1" si="34"/>
        <v>52.560707434613768</v>
      </c>
      <c r="L52" s="35">
        <f t="shared" ca="1" si="35"/>
        <v>52.560707434613768</v>
      </c>
      <c r="M52" s="34">
        <f t="shared" ref="M52:Q52" ca="1" si="57">SUM(M53:M73)</f>
        <v>379248</v>
      </c>
      <c r="N52" s="34">
        <f t="shared" ca="1" si="57"/>
        <v>250000</v>
      </c>
      <c r="O52" s="34">
        <f t="shared" ca="1" si="57"/>
        <v>0</v>
      </c>
      <c r="P52" s="34">
        <f t="shared" ca="1" si="57"/>
        <v>44780</v>
      </c>
      <c r="Q52" s="36">
        <f t="shared" ca="1" si="57"/>
        <v>0</v>
      </c>
      <c r="R52" s="36">
        <f t="shared" ca="1" si="37"/>
        <v>0</v>
      </c>
      <c r="S52" s="34">
        <f t="shared" ref="S52:T52" ca="1" si="58">SUM(S53:S73)</f>
        <v>150</v>
      </c>
      <c r="T52" s="34">
        <f t="shared" ca="1" si="58"/>
        <v>150</v>
      </c>
      <c r="U52" s="37">
        <f t="shared" ca="1" si="6"/>
        <v>100</v>
      </c>
      <c r="V52" s="34">
        <f t="shared" ref="V52:W52" ca="1" si="59">SUM(V53:V73)</f>
        <v>150</v>
      </c>
      <c r="W52" s="34">
        <f t="shared" ca="1" si="59"/>
        <v>150</v>
      </c>
      <c r="X52" s="37">
        <f t="shared" ca="1" si="8"/>
        <v>100</v>
      </c>
      <c r="Y52" s="34">
        <f t="shared" ref="Y52:Z52" ca="1" si="60">SUM(Y53:Y73)</f>
        <v>0</v>
      </c>
      <c r="Z52" s="34">
        <f t="shared" ca="1" si="60"/>
        <v>0</v>
      </c>
      <c r="AA52" s="37">
        <f t="shared" ca="1" si="10"/>
        <v>0</v>
      </c>
      <c r="AB52" s="34">
        <f t="shared" ref="AB52:AC52" ca="1" si="61">SUM(AB53:AB73)</f>
        <v>0</v>
      </c>
      <c r="AC52" s="34">
        <f t="shared" ca="1" si="61"/>
        <v>0</v>
      </c>
      <c r="AD52" s="37">
        <f t="shared" ca="1" si="12"/>
        <v>0</v>
      </c>
      <c r="AE52" s="113">
        <f t="shared" ref="AE52:AF52" ca="1" si="62">SUM(AE53:AE73)</f>
        <v>150</v>
      </c>
      <c r="AF52" s="113">
        <f t="shared" ca="1" si="62"/>
        <v>150</v>
      </c>
      <c r="AG52" s="135">
        <f t="shared" ca="1" si="14"/>
        <v>100</v>
      </c>
      <c r="AH52" s="113">
        <f t="shared" ref="AH52:AI52" ca="1" si="63">SUM(AH53:AH73)</f>
        <v>150</v>
      </c>
      <c r="AI52" s="113">
        <f t="shared" ca="1" si="63"/>
        <v>50</v>
      </c>
      <c r="AJ52" s="135">
        <f t="shared" ca="1" si="16"/>
        <v>33.333333333333336</v>
      </c>
    </row>
    <row r="53" spans="1:36" ht="21" customHeight="1" x14ac:dyDescent="0.3">
      <c r="A53" s="54">
        <v>1</v>
      </c>
      <c r="B53" s="55" t="s">
        <v>74</v>
      </c>
      <c r="C53" s="56">
        <f t="shared" ref="C53:C73" ca="1" si="64">D53+E53</f>
        <v>427460</v>
      </c>
      <c r="D53" s="57">
        <f ca="1">IFERROR(__xludf.DUMMYFUNCTION("IMPORTRANGE(""https://docs.google.com/spreadsheets/d/1hKO5uv94SSRZWOvrh72HRcpyoEQF9TsE_Cvxl77XNU4/edit?usp=sharing"",""กาญจนบุรี!L528"")"),427460)</f>
        <v>427460</v>
      </c>
      <c r="E53" s="57">
        <f ca="1">IFERROR(__xludf.DUMMYFUNCTION("IMPORTRANGE(""https://docs.google.com/spreadsheets/d/1hKO5uv94SSRZWOvrh72HRcpyoEQF9TsE_Cvxl77XNU4/edit?usp=sharing"",""กาญจนบุรี!L535"")"),0)</f>
        <v>0</v>
      </c>
      <c r="F53" s="57">
        <f ca="1">IFERROR(__xludf.DUMMYFUNCTION("IMPORTRANGE(""https://docs.google.com/spreadsheets/d/1hKO5uv94SSRZWOvrh72HRcpyoEQF9TsE_Cvxl77XNU4/edit?usp=sharing"",""กาญจนบุรี!M528"")"),427460)</f>
        <v>427460</v>
      </c>
      <c r="G53" s="57">
        <f ca="1">IFERROR(__xludf.DUMMYFUNCTION("IMPORTRANGE(""https://docs.google.com/spreadsheets/d/1hKO5uv94SSRZWOvrh72HRcpyoEQF9TsE_Cvxl77XNU4/edit?usp=sharing"",""กาญจนบุรี!M535"")"),0)</f>
        <v>0</v>
      </c>
      <c r="H53" s="58">
        <f t="shared" ca="1" si="32"/>
        <v>122198</v>
      </c>
      <c r="I53" s="59">
        <f t="shared" ca="1" si="1"/>
        <v>28.587002292612173</v>
      </c>
      <c r="J53" s="60">
        <f t="shared" ref="J53:J73" ca="1" si="65">M53+N53+O53+P53</f>
        <v>122198</v>
      </c>
      <c r="K53" s="61">
        <f t="shared" ca="1" si="34"/>
        <v>28.587002292612173</v>
      </c>
      <c r="L53" s="61">
        <f t="shared" ca="1" si="35"/>
        <v>28.587002292612173</v>
      </c>
      <c r="M53" s="57">
        <f ca="1">IFERROR(__xludf.DUMMYFUNCTION("IMPORTRANGE(""https://docs.google.com/spreadsheets/d/1hKO5uv94SSRZWOvrh72HRcpyoEQF9TsE_Cvxl77XNU4/edit?usp=sharing"",""กาญจนบุรี!N529"")"),109713)</f>
        <v>109713</v>
      </c>
      <c r="N53" s="57">
        <f ca="1">IFERROR(__xludf.DUMMYFUNCTION("IMPORTRANGE(""https://docs.google.com/spreadsheets/d/1hKO5uv94SSRZWOvrh72HRcpyoEQF9TsE_Cvxl77XNU4/edit?usp=sharing"",""กาญจนบุรี!N530"")"),0)</f>
        <v>0</v>
      </c>
      <c r="O53" s="57">
        <f ca="1">IFERROR(__xludf.DUMMYFUNCTION("IMPORTRANGE(""https://docs.google.com/spreadsheets/d/1hKO5uv94SSRZWOvrh72HRcpyoEQF9TsE_Cvxl77XNU4/edit?usp=sharing"",""กาญจนบุรี!N531"")"),0)</f>
        <v>0</v>
      </c>
      <c r="P53" s="57">
        <f ca="1">IFERROR(__xludf.DUMMYFUNCTION("IMPORTRANGE(""https://docs.google.com/spreadsheets/d/1hKO5uv94SSRZWOvrh72HRcpyoEQF9TsE_Cvxl77XNU4/edit?usp=sharing"",""กาญจนบุรี!N532"")"),12485)</f>
        <v>12485</v>
      </c>
      <c r="Q53" s="62">
        <f ca="1">IFERROR(__xludf.DUMMYFUNCTION("IMPORTRANGE(""https://docs.google.com/spreadsheets/d/1hKO5uv94SSRZWOvrh72HRcpyoEQF9TsE_Cvxl77XNU4/edit?usp=sharing"",""กาญจนบุรี!N535"")"),0)</f>
        <v>0</v>
      </c>
      <c r="R53" s="62">
        <f t="shared" ca="1" si="37"/>
        <v>0</v>
      </c>
      <c r="S53" s="57">
        <f ca="1">IFERROR(__xludf.DUMMYFUNCTION("IMPORTRANGE(""https://docs.google.com/spreadsheets/d/1hKO5uv94SSRZWOvrh72HRcpyoEQF9TsE_Cvxl77XNU4/edit?usp=sharing"",""กาญจนบุรี!I537"")"),50)</f>
        <v>50</v>
      </c>
      <c r="T53" s="57">
        <f ca="1">IFERROR(__xludf.DUMMYFUNCTION("IMPORTRANGE(""https://docs.google.com/spreadsheets/d/1hKO5uv94SSRZWOvrh72HRcpyoEQF9TsE_Cvxl77XNU4/edit?usp=sharing"",""กาญจนบุรี!J537"")"),50)</f>
        <v>50</v>
      </c>
      <c r="U53" s="63">
        <f t="shared" ca="1" si="6"/>
        <v>100</v>
      </c>
      <c r="V53" s="57">
        <f ca="1">IFERROR(__xludf.DUMMYFUNCTION("IMPORTRANGE(""https://docs.google.com/spreadsheets/d/1hKO5uv94SSRZWOvrh72HRcpyoEQF9TsE_Cvxl77XNU4/edit?usp=sharing"",""กาญจนบุรี!I538"")"),50)</f>
        <v>50</v>
      </c>
      <c r="W53" s="57">
        <f ca="1">IFERROR(__xludf.DUMMYFUNCTION("IMPORTRANGE(""https://docs.google.com/spreadsheets/d/1hKO5uv94SSRZWOvrh72HRcpyoEQF9TsE_Cvxl77XNU4/edit?usp=sharing"",""กาญจนบุรี!J538"")"),50)</f>
        <v>50</v>
      </c>
      <c r="X53" s="63">
        <f t="shared" ca="1" si="8"/>
        <v>100</v>
      </c>
      <c r="Y53" s="57">
        <f ca="1">IFERROR(__xludf.DUMMYFUNCTION("IMPORTRANGE(""https://docs.google.com/spreadsheets/d/1hKO5uv94SSRZWOvrh72HRcpyoEQF9TsE_Cvxl77XNU4/edit?usp=sharing"",""กาญจนบุรี!I539"")"),0)</f>
        <v>0</v>
      </c>
      <c r="Z53" s="57">
        <f ca="1">IFERROR(__xludf.DUMMYFUNCTION("IMPORTRANGE(""https://docs.google.com/spreadsheets/d/1hKO5uv94SSRZWOvrh72HRcpyoEQF9TsE_Cvxl77XNU4/edit?usp=sharing"",""กาญจนบุรี!J539"")"),0)</f>
        <v>0</v>
      </c>
      <c r="AA53" s="63">
        <f t="shared" ca="1" si="10"/>
        <v>0</v>
      </c>
      <c r="AB53" s="57">
        <f ca="1">IFERROR(__xludf.DUMMYFUNCTION("IMPORTRANGE(""https://docs.google.com/spreadsheets/d/1hKO5uv94SSRZWOvrh72HRcpyoEQF9TsE_Cvxl77XNU4/edit?usp=sharing"",""กาญจนบุรี!I540"")"),0)</f>
        <v>0</v>
      </c>
      <c r="AC53" s="57">
        <f ca="1">IFERROR(__xludf.DUMMYFUNCTION("IMPORTRANGE(""https://docs.google.com/spreadsheets/d/1hKO5uv94SSRZWOvrh72HRcpyoEQF9TsE_Cvxl77XNU4/edit?usp=sharing"",""กาญจนบุรี!J540"")"),0)</f>
        <v>0</v>
      </c>
      <c r="AD53" s="63">
        <f t="shared" ca="1" si="12"/>
        <v>0</v>
      </c>
      <c r="AE53" s="140">
        <f ca="1">IFERROR(__xludf.DUMMYFUNCTION("IMPORTRANGE(""https://docs.google.com/spreadsheets/d/1hKO5uv94SSRZWOvrh72HRcpyoEQF9TsE_Cvxl77XNU4/edit?usp=sharing"",""กาญจนบุรี!I541"")"),50)</f>
        <v>50</v>
      </c>
      <c r="AF53" s="140">
        <f ca="1">IFERROR(__xludf.DUMMYFUNCTION("IMPORTRANGE(""https://docs.google.com/spreadsheets/d/1hKO5uv94SSRZWOvrh72HRcpyoEQF9TsE_Cvxl77XNU4/edit?usp=sharing"",""กาญจนบุรี!J541"")"),50)</f>
        <v>50</v>
      </c>
      <c r="AG53" s="141">
        <f t="shared" ca="1" si="14"/>
        <v>100</v>
      </c>
      <c r="AH53" s="140">
        <f ca="1">IFERROR(__xludf.DUMMYFUNCTION("IMPORTRANGE(""https://docs.google.com/spreadsheets/d/1hKO5uv94SSRZWOvrh72HRcpyoEQF9TsE_Cvxl77XNU4/edit?usp=sharing"",""กาญจนบุรี!I542"")"),50)</f>
        <v>50</v>
      </c>
      <c r="AI53" s="140">
        <f ca="1">IFERROR(__xludf.DUMMYFUNCTION("IMPORTRANGE(""https://docs.google.com/spreadsheets/d/1hKO5uv94SSRZWOvrh72HRcpyoEQF9TsE_Cvxl77XNU4/edit?usp=sharing"",""กาญจนบุรี!J542"")"),0)</f>
        <v>0</v>
      </c>
      <c r="AJ53" s="141">
        <f t="shared" ca="1" si="16"/>
        <v>0</v>
      </c>
    </row>
    <row r="54" spans="1:36" ht="21" customHeight="1" x14ac:dyDescent="0.3">
      <c r="A54" s="54">
        <v>2</v>
      </c>
      <c r="B54" s="55" t="s">
        <v>75</v>
      </c>
      <c r="C54" s="56">
        <f t="shared" ca="1" si="64"/>
        <v>0</v>
      </c>
      <c r="D54" s="57">
        <f ca="1">IFERROR(__xludf.DUMMYFUNCTION("IMPORTRANGE(""https://docs.google.com/spreadsheets/d/1njBaP_xXd-Uotvo2D9zb01TTCFkLJLDK97Tk1l9Qux0/edit?usp=sharing"",""จันทบุรี!L528"")"),0)</f>
        <v>0</v>
      </c>
      <c r="E54" s="64">
        <f ca="1">IFERROR(__xludf.DUMMYFUNCTION("IMPORTRANGE(""https://docs.google.com/spreadsheets/d/1njBaP_xXd-Uotvo2D9zb01TTCFkLJLDK97Tk1l9Qux0/edit?usp=sharing"",""จันทบุรี!L535"")"),0)</f>
        <v>0</v>
      </c>
      <c r="F54" s="64">
        <f ca="1">IFERROR(__xludf.DUMMYFUNCTION("IMPORTRANGE(""https://docs.google.com/spreadsheets/d/1njBaP_xXd-Uotvo2D9zb01TTCFkLJLDK97Tk1l9Qux0/edit?usp=sharing"",""จันทบุรี!M528"")"),0)</f>
        <v>0</v>
      </c>
      <c r="G54" s="64">
        <f ca="1">IFERROR(__xludf.DUMMYFUNCTION("IMPORTRANGE(""https://docs.google.com/spreadsheets/d/1njBaP_xXd-Uotvo2D9zb01TTCFkLJLDK97Tk1l9Qux0/edit?usp=sharing"",""จันทบุรี!M535"")"),0)</f>
        <v>0</v>
      </c>
      <c r="H54" s="58">
        <f t="shared" ca="1" si="32"/>
        <v>0</v>
      </c>
      <c r="I54" s="59">
        <f t="shared" ca="1" si="1"/>
        <v>0</v>
      </c>
      <c r="J54" s="60">
        <f t="shared" ca="1" si="65"/>
        <v>0</v>
      </c>
      <c r="K54" s="61">
        <f t="shared" ca="1" si="34"/>
        <v>0</v>
      </c>
      <c r="L54" s="61">
        <f t="shared" ca="1" si="35"/>
        <v>0</v>
      </c>
      <c r="M54" s="64">
        <f ca="1">IFERROR(__xludf.DUMMYFUNCTION("IMPORTRANGE(""https://docs.google.com/spreadsheets/d/1njBaP_xXd-Uotvo2D9zb01TTCFkLJLDK97Tk1l9Qux0/edit?usp=sharing"",""จันทบุรี!N529"")"),0)</f>
        <v>0</v>
      </c>
      <c r="N54" s="64">
        <f ca="1">IFERROR(__xludf.DUMMYFUNCTION("IMPORTRANGE(""https://docs.google.com/spreadsheets/d/1njBaP_xXd-Uotvo2D9zb01TTCFkLJLDK97Tk1l9Qux0/edit?usp=sharing"",""จันทบุรี!N530"")"),0)</f>
        <v>0</v>
      </c>
      <c r="O54" s="64">
        <f ca="1">IFERROR(__xludf.DUMMYFUNCTION("IMPORTRANGE(""https://docs.google.com/spreadsheets/d/1njBaP_xXd-Uotvo2D9zb01TTCFkLJLDK97Tk1l9Qux0/edit?usp=sharing"",""จันทบุรี!N531"")"),0)</f>
        <v>0</v>
      </c>
      <c r="P54" s="64">
        <f ca="1">IFERROR(__xludf.DUMMYFUNCTION("IMPORTRANGE(""https://docs.google.com/spreadsheets/d/1njBaP_xXd-Uotvo2D9zb01TTCFkLJLDK97Tk1l9Qux0/edit?usp=sharing"",""จันทบุรี!N532"")"),0)</f>
        <v>0</v>
      </c>
      <c r="Q54" s="62">
        <f ca="1">IFERROR(__xludf.DUMMYFUNCTION("IMPORTRANGE(""https://docs.google.com/spreadsheets/d/1njBaP_xXd-Uotvo2D9zb01TTCFkLJLDK97Tk1l9Qux0/edit?usp=sharing"",""จันทบุรี!N535"")"),0)</f>
        <v>0</v>
      </c>
      <c r="R54" s="62">
        <f t="shared" ca="1" si="37"/>
        <v>0</v>
      </c>
      <c r="S54" s="57">
        <f ca="1">IFERROR(__xludf.DUMMYFUNCTION("IMPORTRANGE(""https://docs.google.com/spreadsheets/d/1njBaP_xXd-Uotvo2D9zb01TTCFkLJLDK97Tk1l9Qux0/edit?usp=sharing"",""จันทบุรี!I537"")"),0)</f>
        <v>0</v>
      </c>
      <c r="T54" s="57">
        <f ca="1">IFERROR(__xludf.DUMMYFUNCTION("IMPORTRANGE(""https://docs.google.com/spreadsheets/d/1njBaP_xXd-Uotvo2D9zb01TTCFkLJLDK97Tk1l9Qux0/edit?usp=sharing"",""จันทบุรี!J537"")"),0)</f>
        <v>0</v>
      </c>
      <c r="U54" s="63">
        <f t="shared" ca="1" si="6"/>
        <v>0</v>
      </c>
      <c r="V54" s="57">
        <f ca="1">IFERROR(__xludf.DUMMYFUNCTION("IMPORTRANGE(""https://docs.google.com/spreadsheets/d/1njBaP_xXd-Uotvo2D9zb01TTCFkLJLDK97Tk1l9Qux0/edit?usp=sharing"",""จันทบุรี!I538"")"),0)</f>
        <v>0</v>
      </c>
      <c r="W54" s="57">
        <f ca="1">IFERROR(__xludf.DUMMYFUNCTION("IMPORTRANGE(""https://docs.google.com/spreadsheets/d/1njBaP_xXd-Uotvo2D9zb01TTCFkLJLDK97Tk1l9Qux0/edit?usp=sharing"",""จันทบุรี!J538"")"),0)</f>
        <v>0</v>
      </c>
      <c r="X54" s="63">
        <f t="shared" ca="1" si="8"/>
        <v>0</v>
      </c>
      <c r="Y54" s="57">
        <f ca="1">IFERROR(__xludf.DUMMYFUNCTION("IMPORTRANGE(""https://docs.google.com/spreadsheets/d/1njBaP_xXd-Uotvo2D9zb01TTCFkLJLDK97Tk1l9Qux0/edit?usp=sharing"",""จันทบุรี!I539"")"),0)</f>
        <v>0</v>
      </c>
      <c r="Z54" s="57">
        <f ca="1">IFERROR(__xludf.DUMMYFUNCTION("IMPORTRANGE(""https://docs.google.com/spreadsheets/d/1njBaP_xXd-Uotvo2D9zb01TTCFkLJLDK97Tk1l9Qux0/edit?usp=sharing"",""จันทบุรี!J539"")"),0)</f>
        <v>0</v>
      </c>
      <c r="AA54" s="63">
        <f t="shared" ca="1" si="10"/>
        <v>0</v>
      </c>
      <c r="AB54" s="57">
        <f ca="1">IFERROR(__xludf.DUMMYFUNCTION("IMPORTRANGE(""https://docs.google.com/spreadsheets/d/1njBaP_xXd-Uotvo2D9zb01TTCFkLJLDK97Tk1l9Qux0/edit?usp=sharing"",""จันทบุรี!I540"")"),0)</f>
        <v>0</v>
      </c>
      <c r="AC54" s="57">
        <f ca="1">IFERROR(__xludf.DUMMYFUNCTION("IMPORTRANGE(""https://docs.google.com/spreadsheets/d/1njBaP_xXd-Uotvo2D9zb01TTCFkLJLDK97Tk1l9Qux0/edit?usp=sharing"",""จันทบุรี!J540"")"),0)</f>
        <v>0</v>
      </c>
      <c r="AD54" s="63">
        <f t="shared" ca="1" si="12"/>
        <v>0</v>
      </c>
      <c r="AE54" s="140">
        <f ca="1">IFERROR(__xludf.DUMMYFUNCTION("IMPORTRANGE(""https://docs.google.com/spreadsheets/d/1njBaP_xXd-Uotvo2D9zb01TTCFkLJLDK97Tk1l9Qux0/edit?usp=sharing"",""จันทบุรี!I541"")"),0)</f>
        <v>0</v>
      </c>
      <c r="AF54" s="140">
        <f ca="1">IFERROR(__xludf.DUMMYFUNCTION("IMPORTRANGE(""https://docs.google.com/spreadsheets/d/1njBaP_xXd-Uotvo2D9zb01TTCFkLJLDK97Tk1l9Qux0/edit?usp=sharing"",""จันทบุรี!J541"")"),0)</f>
        <v>0</v>
      </c>
      <c r="AG54" s="141">
        <f t="shared" ca="1" si="14"/>
        <v>0</v>
      </c>
      <c r="AH54" s="140">
        <f ca="1">IFERROR(__xludf.DUMMYFUNCTION("IMPORTRANGE(""https://docs.google.com/spreadsheets/d/1njBaP_xXd-Uotvo2D9zb01TTCFkLJLDK97Tk1l9Qux0/edit?usp=sharing"",""จันทบุรี!I542"")"),0)</f>
        <v>0</v>
      </c>
      <c r="AI54" s="140">
        <f ca="1">IFERROR(__xludf.DUMMYFUNCTION("IMPORTRANGE(""https://docs.google.com/spreadsheets/d/1njBaP_xXd-Uotvo2D9zb01TTCFkLJLDK97Tk1l9Qux0/edit?usp=sharing"",""จันทบุรี!J542"")"),0)</f>
        <v>0</v>
      </c>
      <c r="AJ54" s="141">
        <f t="shared" ca="1" si="16"/>
        <v>0</v>
      </c>
    </row>
    <row r="55" spans="1:36" ht="21" customHeight="1" x14ac:dyDescent="0.3">
      <c r="A55" s="54">
        <v>3</v>
      </c>
      <c r="B55" s="55" t="s">
        <v>76</v>
      </c>
      <c r="C55" s="56">
        <f t="shared" ca="1" si="64"/>
        <v>0</v>
      </c>
      <c r="D55" s="57">
        <f ca="1">IFERROR(__xludf.DUMMYFUNCTION("IMPORTRANGE(""https://docs.google.com/spreadsheets/d/14xp6qUzrGFnUk_qnc1eEmfiaNRd4_grkhpfQH_46fa8/edit?usp=sharing"",""ฉะเชิงเทรา!L528"")"),0)</f>
        <v>0</v>
      </c>
      <c r="E55" s="64">
        <f ca="1">IFERROR(__xludf.DUMMYFUNCTION("IMPORTRANGE(""https://docs.google.com/spreadsheets/d/14xp6qUzrGFnUk_qnc1eEmfiaNRd4_grkhpfQH_46fa8/edit?usp=sharing"",""ฉะเชิงเทรา!L535"")"),0)</f>
        <v>0</v>
      </c>
      <c r="F55" s="64">
        <f ca="1">IFERROR(__xludf.DUMMYFUNCTION("IMPORTRANGE(""https://docs.google.com/spreadsheets/d/14xp6qUzrGFnUk_qnc1eEmfiaNRd4_grkhpfQH_46fa8/edit?usp=sharing"",""ฉะเชิงเทรา!M528"")"),0)</f>
        <v>0</v>
      </c>
      <c r="G55" s="64">
        <f ca="1">IFERROR(__xludf.DUMMYFUNCTION("IMPORTRANGE(""https://docs.google.com/spreadsheets/d/14xp6qUzrGFnUk_qnc1eEmfiaNRd4_grkhpfQH_46fa8/edit?usp=sharing"",""ฉะเชิงเทรา!M535"")"),0)</f>
        <v>0</v>
      </c>
      <c r="H55" s="58">
        <f t="shared" ca="1" si="32"/>
        <v>0</v>
      </c>
      <c r="I55" s="59">
        <f t="shared" ca="1" si="1"/>
        <v>0</v>
      </c>
      <c r="J55" s="60">
        <f t="shared" ca="1" si="65"/>
        <v>0</v>
      </c>
      <c r="K55" s="61">
        <f t="shared" ca="1" si="34"/>
        <v>0</v>
      </c>
      <c r="L55" s="61">
        <f t="shared" ca="1" si="35"/>
        <v>0</v>
      </c>
      <c r="M55" s="64">
        <f ca="1">IFERROR(__xludf.DUMMYFUNCTION("IMPORTRANGE(""https://docs.google.com/spreadsheets/d/14xp6qUzrGFnUk_qnc1eEmfiaNRd4_grkhpfQH_46fa8/edit?usp=sharing"",""ฉะเชิงเทรา!N529"")"),0)</f>
        <v>0</v>
      </c>
      <c r="N55" s="64">
        <f ca="1">IFERROR(__xludf.DUMMYFUNCTION("IMPORTRANGE(""https://docs.google.com/spreadsheets/d/14xp6qUzrGFnUk_qnc1eEmfiaNRd4_grkhpfQH_46fa8/edit?usp=sharing"",""ฉะเชิงเทรา!N530"")"),0)</f>
        <v>0</v>
      </c>
      <c r="O55" s="64">
        <f ca="1">IFERROR(__xludf.DUMMYFUNCTION("IMPORTRANGE(""https://docs.google.com/spreadsheets/d/14xp6qUzrGFnUk_qnc1eEmfiaNRd4_grkhpfQH_46fa8/edit?usp=sharing"",""ฉะเชิงเทรา!N531"")"),0)</f>
        <v>0</v>
      </c>
      <c r="P55" s="64">
        <f ca="1">IFERROR(__xludf.DUMMYFUNCTION("IMPORTRANGE(""https://docs.google.com/spreadsheets/d/14xp6qUzrGFnUk_qnc1eEmfiaNRd4_grkhpfQH_46fa8/edit?usp=sharing"",""ฉะเชิงเทรา!N532"")"),0)</f>
        <v>0</v>
      </c>
      <c r="Q55" s="62">
        <f ca="1">IFERROR(__xludf.DUMMYFUNCTION("IMPORTRANGE(""https://docs.google.com/spreadsheets/d/14xp6qUzrGFnUk_qnc1eEmfiaNRd4_grkhpfQH_46fa8/edit?usp=sharing"",""ฉะเชิงเทรา!N535"")"),0)</f>
        <v>0</v>
      </c>
      <c r="R55" s="62">
        <f t="shared" ca="1" si="37"/>
        <v>0</v>
      </c>
      <c r="S55" s="57">
        <f ca="1">IFERROR(__xludf.DUMMYFUNCTION("IMPORTRANGE(""https://docs.google.com/spreadsheets/d/14xp6qUzrGFnUk_qnc1eEmfiaNRd4_grkhpfQH_46fa8/edit?usp=sharing"",""ฉะเชิงเทรา!I537"")"),0)</f>
        <v>0</v>
      </c>
      <c r="T55" s="57">
        <f ca="1">IFERROR(__xludf.DUMMYFUNCTION("IMPORTRANGE(""https://docs.google.com/spreadsheets/d/14xp6qUzrGFnUk_qnc1eEmfiaNRd4_grkhpfQH_46fa8/edit?usp=sharing"",""ฉะเชิงเทรา!J537"")"),0)</f>
        <v>0</v>
      </c>
      <c r="U55" s="63">
        <f t="shared" ca="1" si="6"/>
        <v>0</v>
      </c>
      <c r="V55" s="57">
        <f ca="1">IFERROR(__xludf.DUMMYFUNCTION("IMPORTRANGE(""https://docs.google.com/spreadsheets/d/14xp6qUzrGFnUk_qnc1eEmfiaNRd4_grkhpfQH_46fa8/edit?usp=sharing"",""ฉะเชิงเทรา!I538"")"),0)</f>
        <v>0</v>
      </c>
      <c r="W55" s="57">
        <f ca="1">IFERROR(__xludf.DUMMYFUNCTION("IMPORTRANGE(""https://docs.google.com/spreadsheets/d/14xp6qUzrGFnUk_qnc1eEmfiaNRd4_grkhpfQH_46fa8/edit?usp=sharing"",""ฉะเชิงเทรา!J538"")"),0)</f>
        <v>0</v>
      </c>
      <c r="X55" s="63">
        <f t="shared" ca="1" si="8"/>
        <v>0</v>
      </c>
      <c r="Y55" s="57">
        <f ca="1">IFERROR(__xludf.DUMMYFUNCTION("IMPORTRANGE(""https://docs.google.com/spreadsheets/d/14xp6qUzrGFnUk_qnc1eEmfiaNRd4_grkhpfQH_46fa8/edit?usp=sharing"",""ฉะเชิงเทรา!I539"")"),0)</f>
        <v>0</v>
      </c>
      <c r="Z55" s="57">
        <f ca="1">IFERROR(__xludf.DUMMYFUNCTION("IMPORTRANGE(""https://docs.google.com/spreadsheets/d/14xp6qUzrGFnUk_qnc1eEmfiaNRd4_grkhpfQH_46fa8/edit?usp=sharing"",""ฉะเชิงเทรา!J539"")"),0)</f>
        <v>0</v>
      </c>
      <c r="AA55" s="63">
        <f t="shared" ca="1" si="10"/>
        <v>0</v>
      </c>
      <c r="AB55" s="57">
        <f ca="1">IFERROR(__xludf.DUMMYFUNCTION("IMPORTRANGE(""https://docs.google.com/spreadsheets/d/14xp6qUzrGFnUk_qnc1eEmfiaNRd4_grkhpfQH_46fa8/edit?usp=sharing"",""ฉะเชิงเทรา!I540"")"),0)</f>
        <v>0</v>
      </c>
      <c r="AC55" s="57">
        <f ca="1">IFERROR(__xludf.DUMMYFUNCTION("IMPORTRANGE(""https://docs.google.com/spreadsheets/d/14xp6qUzrGFnUk_qnc1eEmfiaNRd4_grkhpfQH_46fa8/edit?usp=sharing"",""ฉะเชิงเทรา!J540"")"),0)</f>
        <v>0</v>
      </c>
      <c r="AD55" s="63">
        <f t="shared" ca="1" si="12"/>
        <v>0</v>
      </c>
      <c r="AE55" s="140">
        <f ca="1">IFERROR(__xludf.DUMMYFUNCTION("IMPORTRANGE(""https://docs.google.com/spreadsheets/d/14xp6qUzrGFnUk_qnc1eEmfiaNRd4_grkhpfQH_46fa8/edit?usp=sharing"",""ฉะเชิงเทรา!I541"")"),0)</f>
        <v>0</v>
      </c>
      <c r="AF55" s="140">
        <f ca="1">IFERROR(__xludf.DUMMYFUNCTION("IMPORTRANGE(""https://docs.google.com/spreadsheets/d/14xp6qUzrGFnUk_qnc1eEmfiaNRd4_grkhpfQH_46fa8/edit?usp=sharing"",""ฉะเชิงเทรา!J541"")"),0)</f>
        <v>0</v>
      </c>
      <c r="AG55" s="141">
        <f t="shared" ca="1" si="14"/>
        <v>0</v>
      </c>
      <c r="AH55" s="140">
        <f ca="1">IFERROR(__xludf.DUMMYFUNCTION("IMPORTRANGE(""https://docs.google.com/spreadsheets/d/14xp6qUzrGFnUk_qnc1eEmfiaNRd4_grkhpfQH_46fa8/edit?usp=sharing"",""ฉะเชิงเทรา!I542"")"),0)</f>
        <v>0</v>
      </c>
      <c r="AI55" s="140">
        <f ca="1">IFERROR(__xludf.DUMMYFUNCTION("IMPORTRANGE(""https://docs.google.com/spreadsheets/d/14xp6qUzrGFnUk_qnc1eEmfiaNRd4_grkhpfQH_46fa8/edit?usp=sharing"",""ฉะเชิงเทรา!J542"")"),0)</f>
        <v>0</v>
      </c>
      <c r="AJ55" s="141">
        <f t="shared" ca="1" si="16"/>
        <v>0</v>
      </c>
    </row>
    <row r="56" spans="1:36" ht="21" customHeight="1" x14ac:dyDescent="0.3">
      <c r="A56" s="54">
        <v>4</v>
      </c>
      <c r="B56" s="55" t="s">
        <v>77</v>
      </c>
      <c r="C56" s="56">
        <f t="shared" ca="1" si="64"/>
        <v>427460</v>
      </c>
      <c r="D56" s="57">
        <f ca="1">IFERROR(__xludf.DUMMYFUNCTION("IMPORTRANGE(""https://docs.google.com/spreadsheets/d/1_Zwps30dlVa-pZFsorjVf1Pil6WXwzCsJU0U2whO3NI/edit?usp=sharing"",""ชลบุรี!L528"")"),427460)</f>
        <v>427460</v>
      </c>
      <c r="E56" s="64">
        <f ca="1">IFERROR(__xludf.DUMMYFUNCTION("IMPORTRANGE(""https://docs.google.com/spreadsheets/d/1_Zwps30dlVa-pZFsorjVf1Pil6WXwzCsJU0U2whO3NI/edit?usp=sharing"",""ชลบุรี!L535"")"),0)</f>
        <v>0</v>
      </c>
      <c r="F56" s="64">
        <f ca="1">IFERROR(__xludf.DUMMYFUNCTION("IMPORTRANGE(""https://docs.google.com/spreadsheets/d/1_Zwps30dlVa-pZFsorjVf1Pil6WXwzCsJU0U2whO3NI/edit?usp=sharing"",""ชลบุรี!M528"")"),427460)</f>
        <v>427460</v>
      </c>
      <c r="G56" s="64">
        <f ca="1">IFERROR(__xludf.DUMMYFUNCTION("IMPORTRANGE(""https://docs.google.com/spreadsheets/d/1_Zwps30dlVa-pZFsorjVf1Pil6WXwzCsJU0U2whO3NI/edit?usp=sharing"",""ชลบุรี!M535"")"),0)</f>
        <v>0</v>
      </c>
      <c r="H56" s="58">
        <f t="shared" ca="1" si="32"/>
        <v>421550</v>
      </c>
      <c r="I56" s="59">
        <f t="shared" ca="1" si="1"/>
        <v>98.617414494923509</v>
      </c>
      <c r="J56" s="60">
        <f t="shared" ca="1" si="65"/>
        <v>421550</v>
      </c>
      <c r="K56" s="61">
        <f t="shared" ca="1" si="34"/>
        <v>98.617414494923509</v>
      </c>
      <c r="L56" s="61">
        <f t="shared" ca="1" si="35"/>
        <v>98.617414494923509</v>
      </c>
      <c r="M56" s="64">
        <f ca="1">IFERROR(__xludf.DUMMYFUNCTION("IMPORTRANGE(""https://docs.google.com/spreadsheets/d/1_Zwps30dlVa-pZFsorjVf1Pil6WXwzCsJU0U2whO3NI/edit?usp=sharing"",""ชลบุรี!N529"")"),149565)</f>
        <v>149565</v>
      </c>
      <c r="N56" s="64">
        <f ca="1">IFERROR(__xludf.DUMMYFUNCTION("IMPORTRANGE(""https://docs.google.com/spreadsheets/d/1_Zwps30dlVa-pZFsorjVf1Pil6WXwzCsJU0U2whO3NI/edit?usp=sharing"",""ชลบุรี!N530"")"),250000)</f>
        <v>250000</v>
      </c>
      <c r="O56" s="64">
        <f ca="1">IFERROR(__xludf.DUMMYFUNCTION("IMPORTRANGE(""https://docs.google.com/spreadsheets/d/1_Zwps30dlVa-pZFsorjVf1Pil6WXwzCsJU0U2whO3NI/edit?usp=sharing"",""ชลบุรี!N531"")"),0)</f>
        <v>0</v>
      </c>
      <c r="P56" s="64">
        <f ca="1">IFERROR(__xludf.DUMMYFUNCTION("IMPORTRANGE(""https://docs.google.com/spreadsheets/d/1_Zwps30dlVa-pZFsorjVf1Pil6WXwzCsJU0U2whO3NI/edit?usp=sharing"",""ชลบุรี!N532"")"),21985)</f>
        <v>21985</v>
      </c>
      <c r="Q56" s="62">
        <f ca="1">IFERROR(__xludf.DUMMYFUNCTION("IMPORTRANGE(""https://docs.google.com/spreadsheets/d/1_Zwps30dlVa-pZFsorjVf1Pil6WXwzCsJU0U2whO3NI/edit?usp=sharing"",""ชลบุรี!N535"")"),0)</f>
        <v>0</v>
      </c>
      <c r="R56" s="62">
        <f t="shared" ca="1" si="37"/>
        <v>0</v>
      </c>
      <c r="S56" s="57">
        <f ca="1">IFERROR(__xludf.DUMMYFUNCTION("IMPORTRANGE(""https://docs.google.com/spreadsheets/d/1_Zwps30dlVa-pZFsorjVf1Pil6WXwzCsJU0U2whO3NI/edit?usp=sharing"",""ชลบุรี!I537"")"),50)</f>
        <v>50</v>
      </c>
      <c r="T56" s="57">
        <f ca="1">IFERROR(__xludf.DUMMYFUNCTION("IMPORTRANGE(""https://docs.google.com/spreadsheets/d/1_Zwps30dlVa-pZFsorjVf1Pil6WXwzCsJU0U2whO3NI/edit?usp=sharing"",""ชลบุรี!J537"")"),50)</f>
        <v>50</v>
      </c>
      <c r="U56" s="63">
        <f t="shared" ca="1" si="6"/>
        <v>100</v>
      </c>
      <c r="V56" s="57">
        <f ca="1">IFERROR(__xludf.DUMMYFUNCTION("IMPORTRANGE(""https://docs.google.com/spreadsheets/d/1_Zwps30dlVa-pZFsorjVf1Pil6WXwzCsJU0U2whO3NI/edit?usp=sharing"",""ชลบุรี!I538"")"),50)</f>
        <v>50</v>
      </c>
      <c r="W56" s="57">
        <f ca="1">IFERROR(__xludf.DUMMYFUNCTION("IMPORTRANGE(""https://docs.google.com/spreadsheets/d/1_Zwps30dlVa-pZFsorjVf1Pil6WXwzCsJU0U2whO3NI/edit?usp=sharing"",""ชลบุรี!J538"")"),50)</f>
        <v>50</v>
      </c>
      <c r="X56" s="63">
        <f t="shared" ca="1" si="8"/>
        <v>100</v>
      </c>
      <c r="Y56" s="57">
        <f ca="1">IFERROR(__xludf.DUMMYFUNCTION("IMPORTRANGE(""https://docs.google.com/spreadsheets/d/1_Zwps30dlVa-pZFsorjVf1Pil6WXwzCsJU0U2whO3NI/edit?usp=sharing"",""ชลบุรี!I539"")"),0)</f>
        <v>0</v>
      </c>
      <c r="Z56" s="57">
        <f ca="1">IFERROR(__xludf.DUMMYFUNCTION("IMPORTRANGE(""https://docs.google.com/spreadsheets/d/1_Zwps30dlVa-pZFsorjVf1Pil6WXwzCsJU0U2whO3NI/edit?usp=sharing"",""ชลบุรี!J539"")"),0)</f>
        <v>0</v>
      </c>
      <c r="AA56" s="63">
        <f t="shared" ca="1" si="10"/>
        <v>0</v>
      </c>
      <c r="AB56" s="57">
        <f ca="1">IFERROR(__xludf.DUMMYFUNCTION("IMPORTRANGE(""https://docs.google.com/spreadsheets/d/1_Zwps30dlVa-pZFsorjVf1Pil6WXwzCsJU0U2whO3NI/edit?usp=sharing"",""ชลบุรี!I540"")"),0)</f>
        <v>0</v>
      </c>
      <c r="AC56" s="57">
        <f ca="1">IFERROR(__xludf.DUMMYFUNCTION("IMPORTRANGE(""https://docs.google.com/spreadsheets/d/1_Zwps30dlVa-pZFsorjVf1Pil6WXwzCsJU0U2whO3NI/edit?usp=sharing"",""ชลบุรี!J540"")"),0)</f>
        <v>0</v>
      </c>
      <c r="AD56" s="63">
        <f t="shared" ca="1" si="12"/>
        <v>0</v>
      </c>
      <c r="AE56" s="140">
        <f ca="1">IFERROR(__xludf.DUMMYFUNCTION("IMPORTRANGE(""https://docs.google.com/spreadsheets/d/1_Zwps30dlVa-pZFsorjVf1Pil6WXwzCsJU0U2whO3NI/edit?usp=sharing"",""ชลบุรี!I541"")"),50)</f>
        <v>50</v>
      </c>
      <c r="AF56" s="140">
        <f ca="1">IFERROR(__xludf.DUMMYFUNCTION("IMPORTRANGE(""https://docs.google.com/spreadsheets/d/1_Zwps30dlVa-pZFsorjVf1Pil6WXwzCsJU0U2whO3NI/edit?usp=sharing"",""ชลบุรี!J541"")"),50)</f>
        <v>50</v>
      </c>
      <c r="AG56" s="141">
        <f t="shared" ca="1" si="14"/>
        <v>100</v>
      </c>
      <c r="AH56" s="140">
        <f ca="1">IFERROR(__xludf.DUMMYFUNCTION("IMPORTRANGE(""https://docs.google.com/spreadsheets/d/1_Zwps30dlVa-pZFsorjVf1Pil6WXwzCsJU0U2whO3NI/edit?usp=sharing"",""ชลบุรี!I542"")"),50)</f>
        <v>50</v>
      </c>
      <c r="AI56" s="140">
        <f ca="1">IFERROR(__xludf.DUMMYFUNCTION("IMPORTRANGE(""https://docs.google.com/spreadsheets/d/1_Zwps30dlVa-pZFsorjVf1Pil6WXwzCsJU0U2whO3NI/edit?usp=sharing"",""ชลบุรี!J542"")"),50)</f>
        <v>50</v>
      </c>
      <c r="AJ56" s="141">
        <f t="shared" ca="1" si="16"/>
        <v>100</v>
      </c>
    </row>
    <row r="57" spans="1:36" ht="21" customHeight="1" x14ac:dyDescent="0.3">
      <c r="A57" s="54">
        <v>5</v>
      </c>
      <c r="B57" s="55" t="s">
        <v>78</v>
      </c>
      <c r="C57" s="56">
        <f t="shared" ca="1" si="64"/>
        <v>0</v>
      </c>
      <c r="D57" s="57">
        <f ca="1">IFERROR(__xludf.DUMMYFUNCTION("IMPORTRANGE(""https://docs.google.com/spreadsheets/d/1xAsT4sUbBlom7l0acStESh_15nvjZcXjZM7fK5uZSq8/edit?usp=sharing"",""ชัยนาท!L528"")"),0)</f>
        <v>0</v>
      </c>
      <c r="E57" s="64">
        <f ca="1">IFERROR(__xludf.DUMMYFUNCTION("IMPORTRANGE(""https://docs.google.com/spreadsheets/d/1xAsT4sUbBlom7l0acStESh_15nvjZcXjZM7fK5uZSq8/edit?usp=sharing"",""ชัยนาท!L535"")"),0)</f>
        <v>0</v>
      </c>
      <c r="F57" s="64">
        <f ca="1">IFERROR(__xludf.DUMMYFUNCTION("IMPORTRANGE(""https://docs.google.com/spreadsheets/d/1xAsT4sUbBlom7l0acStESh_15nvjZcXjZM7fK5uZSq8/edit?usp=sharing"",""ชัยนาท!M528"")"),0)</f>
        <v>0</v>
      </c>
      <c r="G57" s="64">
        <f ca="1">IFERROR(__xludf.DUMMYFUNCTION("IMPORTRANGE(""https://docs.google.com/spreadsheets/d/1xAsT4sUbBlom7l0acStESh_15nvjZcXjZM7fK5uZSq8/edit?usp=sharing"",""ชัยนาท!M535"")"),0)</f>
        <v>0</v>
      </c>
      <c r="H57" s="58">
        <f t="shared" ca="1" si="32"/>
        <v>0</v>
      </c>
      <c r="I57" s="59">
        <f t="shared" ca="1" si="1"/>
        <v>0</v>
      </c>
      <c r="J57" s="60">
        <f t="shared" ca="1" si="65"/>
        <v>0</v>
      </c>
      <c r="K57" s="61">
        <f t="shared" ca="1" si="34"/>
        <v>0</v>
      </c>
      <c r="L57" s="61">
        <f t="shared" ca="1" si="35"/>
        <v>0</v>
      </c>
      <c r="M57" s="64">
        <f ca="1">IFERROR(__xludf.DUMMYFUNCTION("IMPORTRANGE(""https://docs.google.com/spreadsheets/d/1xAsT4sUbBlom7l0acStESh_15nvjZcXjZM7fK5uZSq8/edit?usp=sharing"",""ชัยนาท!N529"")"),0)</f>
        <v>0</v>
      </c>
      <c r="N57" s="64">
        <f ca="1">IFERROR(__xludf.DUMMYFUNCTION("IMPORTRANGE(""https://docs.google.com/spreadsheets/d/1xAsT4sUbBlom7l0acStESh_15nvjZcXjZM7fK5uZSq8/edit?usp=sharing"",""ชัยนาท!N530"")"),0)</f>
        <v>0</v>
      </c>
      <c r="O57" s="64">
        <f ca="1">IFERROR(__xludf.DUMMYFUNCTION("IMPORTRANGE(""https://docs.google.com/spreadsheets/d/1xAsT4sUbBlom7l0acStESh_15nvjZcXjZM7fK5uZSq8/edit?usp=sharing"",""ชัยนาท!N531"")"),0)</f>
        <v>0</v>
      </c>
      <c r="P57" s="64">
        <f ca="1">IFERROR(__xludf.DUMMYFUNCTION("IMPORTRANGE(""https://docs.google.com/spreadsheets/d/1xAsT4sUbBlom7l0acStESh_15nvjZcXjZM7fK5uZSq8/edit?usp=sharing"",""ชัยนาท!N532"")"),0)</f>
        <v>0</v>
      </c>
      <c r="Q57" s="62">
        <f ca="1">IFERROR(__xludf.DUMMYFUNCTION("IMPORTRANGE(""https://docs.google.com/spreadsheets/d/1xAsT4sUbBlom7l0acStESh_15nvjZcXjZM7fK5uZSq8/edit?usp=sharing"",""ชัยนาท!N535"")"),0)</f>
        <v>0</v>
      </c>
      <c r="R57" s="62">
        <f t="shared" ca="1" si="37"/>
        <v>0</v>
      </c>
      <c r="S57" s="57">
        <f ca="1">IFERROR(__xludf.DUMMYFUNCTION("IMPORTRANGE(""https://docs.google.com/spreadsheets/d/1xAsT4sUbBlom7l0acStESh_15nvjZcXjZM7fK5uZSq8/edit?usp=sharing"",""ชัยนาท!I537"")"),0)</f>
        <v>0</v>
      </c>
      <c r="T57" s="57">
        <f ca="1">IFERROR(__xludf.DUMMYFUNCTION("IMPORTRANGE(""https://docs.google.com/spreadsheets/d/1xAsT4sUbBlom7l0acStESh_15nvjZcXjZM7fK5uZSq8/edit?usp=sharing"",""ชัยนาท!J537"")"),0)</f>
        <v>0</v>
      </c>
      <c r="U57" s="63">
        <f t="shared" ca="1" si="6"/>
        <v>0</v>
      </c>
      <c r="V57" s="57">
        <f ca="1">IFERROR(__xludf.DUMMYFUNCTION("IMPORTRANGE(""https://docs.google.com/spreadsheets/d/1xAsT4sUbBlom7l0acStESh_15nvjZcXjZM7fK5uZSq8/edit?usp=sharing"",""ชัยนาท!I538"")"),0)</f>
        <v>0</v>
      </c>
      <c r="W57" s="57">
        <f ca="1">IFERROR(__xludf.DUMMYFUNCTION("IMPORTRANGE(""https://docs.google.com/spreadsheets/d/1xAsT4sUbBlom7l0acStESh_15nvjZcXjZM7fK5uZSq8/edit?usp=sharing"",""ชัยนาท!J538"")"),0)</f>
        <v>0</v>
      </c>
      <c r="X57" s="63">
        <f t="shared" ca="1" si="8"/>
        <v>0</v>
      </c>
      <c r="Y57" s="57">
        <f ca="1">IFERROR(__xludf.DUMMYFUNCTION("IMPORTRANGE(""https://docs.google.com/spreadsheets/d/1xAsT4sUbBlom7l0acStESh_15nvjZcXjZM7fK5uZSq8/edit?usp=sharing"",""ชัยนาท!I539"")"),0)</f>
        <v>0</v>
      </c>
      <c r="Z57" s="57">
        <f ca="1">IFERROR(__xludf.DUMMYFUNCTION("IMPORTRANGE(""https://docs.google.com/spreadsheets/d/1xAsT4sUbBlom7l0acStESh_15nvjZcXjZM7fK5uZSq8/edit?usp=sharing"",""ชัยนาท!J539"")"),0)</f>
        <v>0</v>
      </c>
      <c r="AA57" s="63">
        <f t="shared" ca="1" si="10"/>
        <v>0</v>
      </c>
      <c r="AB57" s="57">
        <f ca="1">IFERROR(__xludf.DUMMYFUNCTION("IMPORTRANGE(""https://docs.google.com/spreadsheets/d/1xAsT4sUbBlom7l0acStESh_15nvjZcXjZM7fK5uZSq8/edit?usp=sharing"",""ชัยนาท!I540"")"),0)</f>
        <v>0</v>
      </c>
      <c r="AC57" s="57">
        <f ca="1">IFERROR(__xludf.DUMMYFUNCTION("IMPORTRANGE(""https://docs.google.com/spreadsheets/d/1xAsT4sUbBlom7l0acStESh_15nvjZcXjZM7fK5uZSq8/edit?usp=sharing"",""ชัยนาท!J540"")"),0)</f>
        <v>0</v>
      </c>
      <c r="AD57" s="63">
        <f t="shared" ca="1" si="12"/>
        <v>0</v>
      </c>
      <c r="AE57" s="140">
        <f ca="1">IFERROR(__xludf.DUMMYFUNCTION("IMPORTRANGE(""https://docs.google.com/spreadsheets/d/1xAsT4sUbBlom7l0acStESh_15nvjZcXjZM7fK5uZSq8/edit?usp=sharing"",""ชัยนาท!I541"")"),0)</f>
        <v>0</v>
      </c>
      <c r="AF57" s="140">
        <f ca="1">IFERROR(__xludf.DUMMYFUNCTION("IMPORTRANGE(""https://docs.google.com/spreadsheets/d/1xAsT4sUbBlom7l0acStESh_15nvjZcXjZM7fK5uZSq8/edit?usp=sharing"",""ชัยนาท!J541"")"),0)</f>
        <v>0</v>
      </c>
      <c r="AG57" s="141">
        <f t="shared" ca="1" si="14"/>
        <v>0</v>
      </c>
      <c r="AH57" s="140">
        <f ca="1">IFERROR(__xludf.DUMMYFUNCTION("IMPORTRANGE(""https://docs.google.com/spreadsheets/d/1xAsT4sUbBlom7l0acStESh_15nvjZcXjZM7fK5uZSq8/edit?usp=sharing"",""ชัยนาท!I542"")"),0)</f>
        <v>0</v>
      </c>
      <c r="AI57" s="140">
        <f ca="1">IFERROR(__xludf.DUMMYFUNCTION("IMPORTRANGE(""https://docs.google.com/spreadsheets/d/1xAsT4sUbBlom7l0acStESh_15nvjZcXjZM7fK5uZSq8/edit?usp=sharing"",""ชัยนาท!J542"")"),0)</f>
        <v>0</v>
      </c>
      <c r="AJ57" s="141">
        <f t="shared" ca="1" si="16"/>
        <v>0</v>
      </c>
    </row>
    <row r="58" spans="1:36" ht="21" customHeight="1" x14ac:dyDescent="0.3">
      <c r="A58" s="54">
        <v>6</v>
      </c>
      <c r="B58" s="55" t="s">
        <v>79</v>
      </c>
      <c r="C58" s="56">
        <f t="shared" ca="1" si="64"/>
        <v>0</v>
      </c>
      <c r="D58" s="57">
        <f ca="1">IFERROR(__xludf.DUMMYFUNCTION("IMPORTRANGE(""https://docs.google.com/spreadsheets/d/1vWPVBOAaZ6mHSI8yf95DNqHwTJ1cpeFsvqt6cxV34QA/edit?usp=sharing"",""ตราด!L528"")"),0)</f>
        <v>0</v>
      </c>
      <c r="E58" s="64">
        <f ca="1">IFERROR(__xludf.DUMMYFUNCTION("IMPORTRANGE(""https://docs.google.com/spreadsheets/d/1vWPVBOAaZ6mHSI8yf95DNqHwTJ1cpeFsvqt6cxV34QA/edit?usp=sharing"",""ตราด!L535"")"),0)</f>
        <v>0</v>
      </c>
      <c r="F58" s="64">
        <f ca="1">IFERROR(__xludf.DUMMYFUNCTION("IMPORTRANGE(""https://docs.google.com/spreadsheets/d/1vWPVBOAaZ6mHSI8yf95DNqHwTJ1cpeFsvqt6cxV34QA/edit?usp=sharing"",""ตราด!M528"")"),0)</f>
        <v>0</v>
      </c>
      <c r="G58" s="64">
        <f ca="1">IFERROR(__xludf.DUMMYFUNCTION("IMPORTRANGE(""https://docs.google.com/spreadsheets/d/1vWPVBOAaZ6mHSI8yf95DNqHwTJ1cpeFsvqt6cxV34QA/edit?usp=sharing"",""ตราด!M535"")"),0)</f>
        <v>0</v>
      </c>
      <c r="H58" s="58">
        <f t="shared" ca="1" si="32"/>
        <v>0</v>
      </c>
      <c r="I58" s="59">
        <f t="shared" ca="1" si="1"/>
        <v>0</v>
      </c>
      <c r="J58" s="60">
        <f t="shared" ca="1" si="65"/>
        <v>0</v>
      </c>
      <c r="K58" s="61">
        <f t="shared" ca="1" si="34"/>
        <v>0</v>
      </c>
      <c r="L58" s="61">
        <f t="shared" ca="1" si="35"/>
        <v>0</v>
      </c>
      <c r="M58" s="64">
        <f ca="1">IFERROR(__xludf.DUMMYFUNCTION("IMPORTRANGE(""https://docs.google.com/spreadsheets/d/1vWPVBOAaZ6mHSI8yf95DNqHwTJ1cpeFsvqt6cxV34QA/edit?usp=sharing"",""ตราด!N529"")"),0)</f>
        <v>0</v>
      </c>
      <c r="N58" s="64">
        <f ca="1">IFERROR(__xludf.DUMMYFUNCTION("IMPORTRANGE(""https://docs.google.com/spreadsheets/d/1vWPVBOAaZ6mHSI8yf95DNqHwTJ1cpeFsvqt6cxV34QA/edit?usp=sharing"",""ตราด!N530"")"),0)</f>
        <v>0</v>
      </c>
      <c r="O58" s="64">
        <f ca="1">IFERROR(__xludf.DUMMYFUNCTION("IMPORTRANGE(""https://docs.google.com/spreadsheets/d/1vWPVBOAaZ6mHSI8yf95DNqHwTJ1cpeFsvqt6cxV34QA/edit?usp=sharing"",""ตราด!N531"")"),0)</f>
        <v>0</v>
      </c>
      <c r="P58" s="64">
        <f ca="1">IFERROR(__xludf.DUMMYFUNCTION("IMPORTRANGE(""https://docs.google.com/spreadsheets/d/1vWPVBOAaZ6mHSI8yf95DNqHwTJ1cpeFsvqt6cxV34QA/edit?usp=sharing"",""ตราด!N532"")"),0)</f>
        <v>0</v>
      </c>
      <c r="Q58" s="62">
        <f ca="1">IFERROR(__xludf.DUMMYFUNCTION("IMPORTRANGE(""https://docs.google.com/spreadsheets/d/1vWPVBOAaZ6mHSI8yf95DNqHwTJ1cpeFsvqt6cxV34QA/edit?usp=sharing"",""ตราด!N535"")"),0)</f>
        <v>0</v>
      </c>
      <c r="R58" s="62">
        <f t="shared" ca="1" si="37"/>
        <v>0</v>
      </c>
      <c r="S58" s="57">
        <f ca="1">IFERROR(__xludf.DUMMYFUNCTION("IMPORTRANGE(""https://docs.google.com/spreadsheets/d/1vWPVBOAaZ6mHSI8yf95DNqHwTJ1cpeFsvqt6cxV34QA/edit?usp=sharing"",""ตราด!I537"")"),0)</f>
        <v>0</v>
      </c>
      <c r="T58" s="57">
        <f ca="1">IFERROR(__xludf.DUMMYFUNCTION("IMPORTRANGE(""https://docs.google.com/spreadsheets/d/1vWPVBOAaZ6mHSI8yf95DNqHwTJ1cpeFsvqt6cxV34QA/edit?usp=sharing"",""ตราด!J537"")"),0)</f>
        <v>0</v>
      </c>
      <c r="U58" s="63">
        <f t="shared" ca="1" si="6"/>
        <v>0</v>
      </c>
      <c r="V58" s="57">
        <f ca="1">IFERROR(__xludf.DUMMYFUNCTION("IMPORTRANGE(""https://docs.google.com/spreadsheets/d/1vWPVBOAaZ6mHSI8yf95DNqHwTJ1cpeFsvqt6cxV34QA/edit?usp=sharing"",""ตราด!I538"")"),0)</f>
        <v>0</v>
      </c>
      <c r="W58" s="57">
        <f ca="1">IFERROR(__xludf.DUMMYFUNCTION("IMPORTRANGE(""https://docs.google.com/spreadsheets/d/1vWPVBOAaZ6mHSI8yf95DNqHwTJ1cpeFsvqt6cxV34QA/edit?usp=sharing"",""ตราด!J538"")"),0)</f>
        <v>0</v>
      </c>
      <c r="X58" s="63">
        <f t="shared" ca="1" si="8"/>
        <v>0</v>
      </c>
      <c r="Y58" s="57">
        <f ca="1">IFERROR(__xludf.DUMMYFUNCTION("IMPORTRANGE(""https://docs.google.com/spreadsheets/d/1vWPVBOAaZ6mHSI8yf95DNqHwTJ1cpeFsvqt6cxV34QA/edit?usp=sharing"",""ตราด!I539"")"),0)</f>
        <v>0</v>
      </c>
      <c r="Z58" s="57">
        <f ca="1">IFERROR(__xludf.DUMMYFUNCTION("IMPORTRANGE(""https://docs.google.com/spreadsheets/d/1vWPVBOAaZ6mHSI8yf95DNqHwTJ1cpeFsvqt6cxV34QA/edit?usp=sharing"",""ตราด!J539"")"),0)</f>
        <v>0</v>
      </c>
      <c r="AA58" s="63">
        <f t="shared" ca="1" si="10"/>
        <v>0</v>
      </c>
      <c r="AB58" s="57">
        <f ca="1">IFERROR(__xludf.DUMMYFUNCTION("IMPORTRANGE(""https://docs.google.com/spreadsheets/d/1vWPVBOAaZ6mHSI8yf95DNqHwTJ1cpeFsvqt6cxV34QA/edit?usp=sharing"",""ตราด!I540"")"),0)</f>
        <v>0</v>
      </c>
      <c r="AC58" s="57">
        <f ca="1">IFERROR(__xludf.DUMMYFUNCTION("IMPORTRANGE(""https://docs.google.com/spreadsheets/d/1vWPVBOAaZ6mHSI8yf95DNqHwTJ1cpeFsvqt6cxV34QA/edit?usp=sharing"",""ตราด!J540"")"),0)</f>
        <v>0</v>
      </c>
      <c r="AD58" s="63">
        <f t="shared" ca="1" si="12"/>
        <v>0</v>
      </c>
      <c r="AE58" s="140">
        <f ca="1">IFERROR(__xludf.DUMMYFUNCTION("IMPORTRANGE(""https://docs.google.com/spreadsheets/d/1vWPVBOAaZ6mHSI8yf95DNqHwTJ1cpeFsvqt6cxV34QA/edit?usp=sharing"",""ตราด!I541"")"),0)</f>
        <v>0</v>
      </c>
      <c r="AF58" s="140">
        <f ca="1">IFERROR(__xludf.DUMMYFUNCTION("IMPORTRANGE(""https://docs.google.com/spreadsheets/d/1vWPVBOAaZ6mHSI8yf95DNqHwTJ1cpeFsvqt6cxV34QA/edit?usp=sharing"",""ตราด!J541"")"),0)</f>
        <v>0</v>
      </c>
      <c r="AG58" s="141">
        <f t="shared" ca="1" si="14"/>
        <v>0</v>
      </c>
      <c r="AH58" s="140">
        <f ca="1">IFERROR(__xludf.DUMMYFUNCTION("IMPORTRANGE(""https://docs.google.com/spreadsheets/d/1vWPVBOAaZ6mHSI8yf95DNqHwTJ1cpeFsvqt6cxV34QA/edit?usp=sharing"",""ตราด!I542"")"),0)</f>
        <v>0</v>
      </c>
      <c r="AI58" s="140">
        <f ca="1">IFERROR(__xludf.DUMMYFUNCTION("IMPORTRANGE(""https://docs.google.com/spreadsheets/d/1vWPVBOAaZ6mHSI8yf95DNqHwTJ1cpeFsvqt6cxV34QA/edit?usp=sharing"",""ตราด!J542"")"),0)</f>
        <v>0</v>
      </c>
      <c r="AJ58" s="141">
        <f t="shared" ca="1" si="16"/>
        <v>0</v>
      </c>
    </row>
    <row r="59" spans="1:36" ht="21" customHeight="1" x14ac:dyDescent="0.3">
      <c r="A59" s="54">
        <v>7</v>
      </c>
      <c r="B59" s="55" t="s">
        <v>80</v>
      </c>
      <c r="C59" s="56">
        <f t="shared" ca="1" si="64"/>
        <v>0</v>
      </c>
      <c r="D59" s="57">
        <f ca="1">IFERROR(__xludf.DUMMYFUNCTION("IMPORTRANGE(""https://docs.google.com/spreadsheets/d/1phaeSb9lTGgzDpbvVqI9hfmOQQzUom07-HEvpbARzEg/edit?usp=sharing"",""นครนายก!L528"")"),0)</f>
        <v>0</v>
      </c>
      <c r="E59" s="64">
        <f ca="1">IFERROR(__xludf.DUMMYFUNCTION("IMPORTRANGE(""https://docs.google.com/spreadsheets/d/1phaeSb9lTGgzDpbvVqI9hfmOQQzUom07-HEvpbARzEg/edit?usp=sharing"",""นครนายก!L535"")"),0)</f>
        <v>0</v>
      </c>
      <c r="F59" s="64">
        <f ca="1">IFERROR(__xludf.DUMMYFUNCTION("IMPORTRANGE(""https://docs.google.com/spreadsheets/d/1phaeSb9lTGgzDpbvVqI9hfmOQQzUom07-HEvpbARzEg/edit?usp=sharing"",""นครนายก!M528"")"),0)</f>
        <v>0</v>
      </c>
      <c r="G59" s="64">
        <f ca="1">IFERROR(__xludf.DUMMYFUNCTION("IMPORTRANGE(""https://docs.google.com/spreadsheets/d/1phaeSb9lTGgzDpbvVqI9hfmOQQzUom07-HEvpbARzEg/edit?usp=sharing"",""นครนายก!M535"")"),0)</f>
        <v>0</v>
      </c>
      <c r="H59" s="58">
        <f t="shared" ca="1" si="32"/>
        <v>0</v>
      </c>
      <c r="I59" s="59">
        <f t="shared" ca="1" si="1"/>
        <v>0</v>
      </c>
      <c r="J59" s="60">
        <f t="shared" ca="1" si="65"/>
        <v>0</v>
      </c>
      <c r="K59" s="61">
        <f t="shared" ca="1" si="34"/>
        <v>0</v>
      </c>
      <c r="L59" s="61">
        <f t="shared" ca="1" si="35"/>
        <v>0</v>
      </c>
      <c r="M59" s="64">
        <f ca="1">IFERROR(__xludf.DUMMYFUNCTION("IMPORTRANGE(""https://docs.google.com/spreadsheets/d/1phaeSb9lTGgzDpbvVqI9hfmOQQzUom07-HEvpbARzEg/edit?usp=sharing"",""นครนายก!N529"")"),0)</f>
        <v>0</v>
      </c>
      <c r="N59" s="64">
        <f ca="1">IFERROR(__xludf.DUMMYFUNCTION("IMPORTRANGE(""https://docs.google.com/spreadsheets/d/1phaeSb9lTGgzDpbvVqI9hfmOQQzUom07-HEvpbARzEg/edit?usp=sharing"",""นครนายก!N530"")"),0)</f>
        <v>0</v>
      </c>
      <c r="O59" s="64">
        <f ca="1">IFERROR(__xludf.DUMMYFUNCTION("IMPORTRANGE(""https://docs.google.com/spreadsheets/d/1phaeSb9lTGgzDpbvVqI9hfmOQQzUom07-HEvpbARzEg/edit?usp=sharing"",""นครนายก!N531"")"),0)</f>
        <v>0</v>
      </c>
      <c r="P59" s="64">
        <f ca="1">IFERROR(__xludf.DUMMYFUNCTION("IMPORTRANGE(""https://docs.google.com/spreadsheets/d/1phaeSb9lTGgzDpbvVqI9hfmOQQzUom07-HEvpbARzEg/edit?usp=sharing"",""นครนายก!N532"")"),0)</f>
        <v>0</v>
      </c>
      <c r="Q59" s="62">
        <f ca="1">IFERROR(__xludf.DUMMYFUNCTION("IMPORTRANGE(""https://docs.google.com/spreadsheets/d/1phaeSb9lTGgzDpbvVqI9hfmOQQzUom07-HEvpbARzEg/edit?usp=sharing"",""นครนายก!N535"")"),0)</f>
        <v>0</v>
      </c>
      <c r="R59" s="62">
        <f t="shared" ca="1" si="37"/>
        <v>0</v>
      </c>
      <c r="S59" s="57">
        <f ca="1">IFERROR(__xludf.DUMMYFUNCTION("IMPORTRANGE(""https://docs.google.com/spreadsheets/d/1phaeSb9lTGgzDpbvVqI9hfmOQQzUom07-HEvpbARzEg/edit?usp=sharing"",""นครนายก!I537"")"),0)</f>
        <v>0</v>
      </c>
      <c r="T59" s="57">
        <f ca="1">IFERROR(__xludf.DUMMYFUNCTION("IMPORTRANGE(""https://docs.google.com/spreadsheets/d/1phaeSb9lTGgzDpbvVqI9hfmOQQzUom07-HEvpbARzEg/edit?usp=sharing"",""นครนายก!J537"")"),0)</f>
        <v>0</v>
      </c>
      <c r="U59" s="63">
        <f t="shared" ca="1" si="6"/>
        <v>0</v>
      </c>
      <c r="V59" s="57">
        <f ca="1">IFERROR(__xludf.DUMMYFUNCTION("IMPORTRANGE(""https://docs.google.com/spreadsheets/d/1phaeSb9lTGgzDpbvVqI9hfmOQQzUom07-HEvpbARzEg/edit?usp=sharing"",""นครนายก!I538"")"),0)</f>
        <v>0</v>
      </c>
      <c r="W59" s="57">
        <f ca="1">IFERROR(__xludf.DUMMYFUNCTION("IMPORTRANGE(""https://docs.google.com/spreadsheets/d/1phaeSb9lTGgzDpbvVqI9hfmOQQzUom07-HEvpbARzEg/edit?usp=sharing"",""นครนายก!J538"")"),0)</f>
        <v>0</v>
      </c>
      <c r="X59" s="63">
        <f t="shared" ca="1" si="8"/>
        <v>0</v>
      </c>
      <c r="Y59" s="57">
        <f ca="1">IFERROR(__xludf.DUMMYFUNCTION("IMPORTRANGE(""https://docs.google.com/spreadsheets/d/1phaeSb9lTGgzDpbvVqI9hfmOQQzUom07-HEvpbARzEg/edit?usp=sharing"",""นครนายก!I539"")"),0)</f>
        <v>0</v>
      </c>
      <c r="Z59" s="57">
        <f ca="1">IFERROR(__xludf.DUMMYFUNCTION("IMPORTRANGE(""https://docs.google.com/spreadsheets/d/1phaeSb9lTGgzDpbvVqI9hfmOQQzUom07-HEvpbARzEg/edit?usp=sharing"",""นครนายก!J539"")"),0)</f>
        <v>0</v>
      </c>
      <c r="AA59" s="63">
        <f t="shared" ca="1" si="10"/>
        <v>0</v>
      </c>
      <c r="AB59" s="57">
        <f ca="1">IFERROR(__xludf.DUMMYFUNCTION("IMPORTRANGE(""https://docs.google.com/spreadsheets/d/1phaeSb9lTGgzDpbvVqI9hfmOQQzUom07-HEvpbARzEg/edit?usp=sharing"",""นครนายก!I540"")"),0)</f>
        <v>0</v>
      </c>
      <c r="AC59" s="57">
        <f ca="1">IFERROR(__xludf.DUMMYFUNCTION("IMPORTRANGE(""https://docs.google.com/spreadsheets/d/1phaeSb9lTGgzDpbvVqI9hfmOQQzUom07-HEvpbARzEg/edit?usp=sharing"",""นครนายก!J540"")"),0)</f>
        <v>0</v>
      </c>
      <c r="AD59" s="63">
        <f t="shared" ca="1" si="12"/>
        <v>0</v>
      </c>
      <c r="AE59" s="140">
        <f ca="1">IFERROR(__xludf.DUMMYFUNCTION("IMPORTRANGE(""https://docs.google.com/spreadsheets/d/1phaeSb9lTGgzDpbvVqI9hfmOQQzUom07-HEvpbARzEg/edit?usp=sharing"",""นครนายก!I541"")"),0)</f>
        <v>0</v>
      </c>
      <c r="AF59" s="140">
        <f ca="1">IFERROR(__xludf.DUMMYFUNCTION("IMPORTRANGE(""https://docs.google.com/spreadsheets/d/1phaeSb9lTGgzDpbvVqI9hfmOQQzUom07-HEvpbARzEg/edit?usp=sharing"",""นครนายก!J541"")"),0)</f>
        <v>0</v>
      </c>
      <c r="AG59" s="141">
        <f t="shared" ca="1" si="14"/>
        <v>0</v>
      </c>
      <c r="AH59" s="140">
        <f ca="1">IFERROR(__xludf.DUMMYFUNCTION("IMPORTRANGE(""https://docs.google.com/spreadsheets/d/1phaeSb9lTGgzDpbvVqI9hfmOQQzUom07-HEvpbARzEg/edit?usp=sharing"",""นครนายก!I542"")"),0)</f>
        <v>0</v>
      </c>
      <c r="AI59" s="140">
        <f ca="1">IFERROR(__xludf.DUMMYFUNCTION("IMPORTRANGE(""https://docs.google.com/spreadsheets/d/1phaeSb9lTGgzDpbvVqI9hfmOQQzUom07-HEvpbARzEg/edit?usp=sharing"",""นครนายก!J542"")"),0)</f>
        <v>0</v>
      </c>
      <c r="AJ59" s="141">
        <f t="shared" ca="1" si="16"/>
        <v>0</v>
      </c>
    </row>
    <row r="60" spans="1:36" ht="21" customHeight="1" x14ac:dyDescent="0.3">
      <c r="A60" s="54">
        <v>8</v>
      </c>
      <c r="B60" s="55" t="s">
        <v>81</v>
      </c>
      <c r="C60" s="56">
        <f t="shared" ca="1" si="64"/>
        <v>0</v>
      </c>
      <c r="D60" s="57">
        <f ca="1">IFERROR(__xludf.DUMMYFUNCTION("IMPORTRANGE(""https://docs.google.com/spreadsheets/d/1tpwhWwkqkBeiSWCcfB5f2fbwPRbM9hHOEDSDHpl2MIc/edit?usp=sharing"",""นครปฐม!L528"")"),0)</f>
        <v>0</v>
      </c>
      <c r="E60" s="64">
        <f ca="1">IFERROR(__xludf.DUMMYFUNCTION("IMPORTRANGE(""https://docs.google.com/spreadsheets/d/1tpwhWwkqkBeiSWCcfB5f2fbwPRbM9hHOEDSDHpl2MIc/edit?usp=sharing"",""นครปฐม!L535"")"),0)</f>
        <v>0</v>
      </c>
      <c r="F60" s="64">
        <f ca="1">IFERROR(__xludf.DUMMYFUNCTION("IMPORTRANGE(""https://docs.google.com/spreadsheets/d/1tpwhWwkqkBeiSWCcfB5f2fbwPRbM9hHOEDSDHpl2MIc/edit?usp=sharing"",""นครปฐม!M528"")"),0)</f>
        <v>0</v>
      </c>
      <c r="G60" s="64">
        <f ca="1">IFERROR(__xludf.DUMMYFUNCTION("IMPORTRANGE(""https://docs.google.com/spreadsheets/d/1tpwhWwkqkBeiSWCcfB5f2fbwPRbM9hHOEDSDHpl2MIc/edit?usp=sharing"",""นครปฐม!M535"")"),0)</f>
        <v>0</v>
      </c>
      <c r="H60" s="58">
        <f t="shared" ca="1" si="32"/>
        <v>0</v>
      </c>
      <c r="I60" s="59">
        <f t="shared" ca="1" si="1"/>
        <v>0</v>
      </c>
      <c r="J60" s="60">
        <f t="shared" ca="1" si="65"/>
        <v>0</v>
      </c>
      <c r="K60" s="61">
        <f t="shared" ca="1" si="34"/>
        <v>0</v>
      </c>
      <c r="L60" s="61">
        <f t="shared" ca="1" si="35"/>
        <v>0</v>
      </c>
      <c r="M60" s="64">
        <f ca="1">IFERROR(__xludf.DUMMYFUNCTION("IMPORTRANGE(""https://docs.google.com/spreadsheets/d/1tpwhWwkqkBeiSWCcfB5f2fbwPRbM9hHOEDSDHpl2MIc/edit?usp=sharing"",""นครปฐม!N529"")"),0)</f>
        <v>0</v>
      </c>
      <c r="N60" s="64">
        <f ca="1">IFERROR(__xludf.DUMMYFUNCTION("IMPORTRANGE(""https://docs.google.com/spreadsheets/d/1tpwhWwkqkBeiSWCcfB5f2fbwPRbM9hHOEDSDHpl2MIc/edit?usp=sharing"",""นครปฐม!N530"")"),0)</f>
        <v>0</v>
      </c>
      <c r="O60" s="64">
        <f ca="1">IFERROR(__xludf.DUMMYFUNCTION("IMPORTRANGE(""https://docs.google.com/spreadsheets/d/1tpwhWwkqkBeiSWCcfB5f2fbwPRbM9hHOEDSDHpl2MIc/edit?usp=sharing"",""นครปฐม!N531"")"),0)</f>
        <v>0</v>
      </c>
      <c r="P60" s="64">
        <f ca="1">IFERROR(__xludf.DUMMYFUNCTION("IMPORTRANGE(""https://docs.google.com/spreadsheets/d/1tpwhWwkqkBeiSWCcfB5f2fbwPRbM9hHOEDSDHpl2MIc/edit?usp=sharing"",""นครปฐม!N532"")"),0)</f>
        <v>0</v>
      </c>
      <c r="Q60" s="62">
        <f ca="1">IFERROR(__xludf.DUMMYFUNCTION("IMPORTRANGE(""https://docs.google.com/spreadsheets/d/1tpwhWwkqkBeiSWCcfB5f2fbwPRbM9hHOEDSDHpl2MIc/edit?usp=sharing"",""นครปฐม!N535"")"),0)</f>
        <v>0</v>
      </c>
      <c r="R60" s="62">
        <f t="shared" ca="1" si="37"/>
        <v>0</v>
      </c>
      <c r="S60" s="57">
        <f ca="1">IFERROR(__xludf.DUMMYFUNCTION("IMPORTRANGE(""https://docs.google.com/spreadsheets/d/1tpwhWwkqkBeiSWCcfB5f2fbwPRbM9hHOEDSDHpl2MIc/edit?usp=sharing"",""นครปฐม!I537"")"),0)</f>
        <v>0</v>
      </c>
      <c r="T60" s="57">
        <f ca="1">IFERROR(__xludf.DUMMYFUNCTION("IMPORTRANGE(""https://docs.google.com/spreadsheets/d/1tpwhWwkqkBeiSWCcfB5f2fbwPRbM9hHOEDSDHpl2MIc/edit?usp=sharing"",""นครปฐม!J537"")"),0)</f>
        <v>0</v>
      </c>
      <c r="U60" s="63">
        <f t="shared" ca="1" si="6"/>
        <v>0</v>
      </c>
      <c r="V60" s="57">
        <f ca="1">IFERROR(__xludf.DUMMYFUNCTION("IMPORTRANGE(""https://docs.google.com/spreadsheets/d/1tpwhWwkqkBeiSWCcfB5f2fbwPRbM9hHOEDSDHpl2MIc/edit?usp=sharing"",""นครปฐม!I538"")"),0)</f>
        <v>0</v>
      </c>
      <c r="W60" s="57">
        <f ca="1">IFERROR(__xludf.DUMMYFUNCTION("IMPORTRANGE(""https://docs.google.com/spreadsheets/d/1tpwhWwkqkBeiSWCcfB5f2fbwPRbM9hHOEDSDHpl2MIc/edit?usp=sharing"",""นครปฐม!J538"")"),0)</f>
        <v>0</v>
      </c>
      <c r="X60" s="63">
        <f t="shared" ca="1" si="8"/>
        <v>0</v>
      </c>
      <c r="Y60" s="57">
        <f ca="1">IFERROR(__xludf.DUMMYFUNCTION("IMPORTRANGE(""https://docs.google.com/spreadsheets/d/1tpwhWwkqkBeiSWCcfB5f2fbwPRbM9hHOEDSDHpl2MIc/edit?usp=sharing"",""นครปฐม!I539"")"),0)</f>
        <v>0</v>
      </c>
      <c r="Z60" s="57">
        <f ca="1">IFERROR(__xludf.DUMMYFUNCTION("IMPORTRANGE(""https://docs.google.com/spreadsheets/d/1tpwhWwkqkBeiSWCcfB5f2fbwPRbM9hHOEDSDHpl2MIc/edit?usp=sharing"",""นครปฐม!J539"")"),0)</f>
        <v>0</v>
      </c>
      <c r="AA60" s="63">
        <f t="shared" ca="1" si="10"/>
        <v>0</v>
      </c>
      <c r="AB60" s="57">
        <f ca="1">IFERROR(__xludf.DUMMYFUNCTION("IMPORTRANGE(""https://docs.google.com/spreadsheets/d/1tpwhWwkqkBeiSWCcfB5f2fbwPRbM9hHOEDSDHpl2MIc/edit?usp=sharing"",""นครปฐม!I540"")"),0)</f>
        <v>0</v>
      </c>
      <c r="AC60" s="57">
        <f ca="1">IFERROR(__xludf.DUMMYFUNCTION("IMPORTRANGE(""https://docs.google.com/spreadsheets/d/1tpwhWwkqkBeiSWCcfB5f2fbwPRbM9hHOEDSDHpl2MIc/edit?usp=sharing"",""นครปฐม!J540"")"),0)</f>
        <v>0</v>
      </c>
      <c r="AD60" s="63">
        <f t="shared" ca="1" si="12"/>
        <v>0</v>
      </c>
      <c r="AE60" s="140">
        <f ca="1">IFERROR(__xludf.DUMMYFUNCTION("IMPORTRANGE(""https://docs.google.com/spreadsheets/d/1tpwhWwkqkBeiSWCcfB5f2fbwPRbM9hHOEDSDHpl2MIc/edit?usp=sharing"",""นครปฐม!I541"")"),0)</f>
        <v>0</v>
      </c>
      <c r="AF60" s="140">
        <f ca="1">IFERROR(__xludf.DUMMYFUNCTION("IMPORTRANGE(""https://docs.google.com/spreadsheets/d/1tpwhWwkqkBeiSWCcfB5f2fbwPRbM9hHOEDSDHpl2MIc/edit?usp=sharing"",""นครปฐม!J541"")"),0)</f>
        <v>0</v>
      </c>
      <c r="AG60" s="141">
        <f t="shared" ca="1" si="14"/>
        <v>0</v>
      </c>
      <c r="AH60" s="140">
        <f ca="1">IFERROR(__xludf.DUMMYFUNCTION("IMPORTRANGE(""https://docs.google.com/spreadsheets/d/1tpwhWwkqkBeiSWCcfB5f2fbwPRbM9hHOEDSDHpl2MIc/edit?usp=sharing"",""นครปฐม!I542"")"),0)</f>
        <v>0</v>
      </c>
      <c r="AI60" s="140">
        <f ca="1">IFERROR(__xludf.DUMMYFUNCTION("IMPORTRANGE(""https://docs.google.com/spreadsheets/d/1tpwhWwkqkBeiSWCcfB5f2fbwPRbM9hHOEDSDHpl2MIc/edit?usp=sharing"",""นครปฐม!J542"")"),0)</f>
        <v>0</v>
      </c>
      <c r="AJ60" s="141">
        <f t="shared" ca="1" si="16"/>
        <v>0</v>
      </c>
    </row>
    <row r="61" spans="1:36" ht="21" customHeight="1" x14ac:dyDescent="0.3">
      <c r="A61" s="54">
        <v>9</v>
      </c>
      <c r="B61" s="55" t="s">
        <v>82</v>
      </c>
      <c r="C61" s="56">
        <f t="shared" ca="1" si="64"/>
        <v>0</v>
      </c>
      <c r="D61" s="57">
        <f ca="1">IFERROR(__xludf.DUMMYFUNCTION("IMPORTRANGE(""https://docs.google.com/spreadsheets/d/1fJJCVBkBnhriyv0Cp5ZFMr0I_yrfdEITNpb4zILJgUQ/edit?usp=sharing"",""ปทุมธานี!L528"")"),0)</f>
        <v>0</v>
      </c>
      <c r="E61" s="64">
        <f ca="1">IFERROR(__xludf.DUMMYFUNCTION("IMPORTRANGE(""https://docs.google.com/spreadsheets/d/1fJJCVBkBnhriyv0Cp5ZFMr0I_yrfdEITNpb4zILJgUQ/edit?usp=sharing"",""ปทุมธานี!L535"")"),0)</f>
        <v>0</v>
      </c>
      <c r="F61" s="64">
        <f ca="1">IFERROR(__xludf.DUMMYFUNCTION("IMPORTRANGE(""https://docs.google.com/spreadsheets/d/1fJJCVBkBnhriyv0Cp5ZFMr0I_yrfdEITNpb4zILJgUQ/edit?usp=sharing"",""ปทุมธานี!M528"")"),0)</f>
        <v>0</v>
      </c>
      <c r="G61" s="64">
        <f ca="1">IFERROR(__xludf.DUMMYFUNCTION("IMPORTRANGE(""https://docs.google.com/spreadsheets/d/1fJJCVBkBnhriyv0Cp5ZFMr0I_yrfdEITNpb4zILJgUQ/edit?usp=sharing"",""ปทุมธานี!M535"")"),0)</f>
        <v>0</v>
      </c>
      <c r="H61" s="58">
        <f t="shared" ca="1" si="32"/>
        <v>0</v>
      </c>
      <c r="I61" s="59">
        <f t="shared" ca="1" si="1"/>
        <v>0</v>
      </c>
      <c r="J61" s="60">
        <f t="shared" ca="1" si="65"/>
        <v>0</v>
      </c>
      <c r="K61" s="61">
        <f t="shared" ca="1" si="34"/>
        <v>0</v>
      </c>
      <c r="L61" s="61">
        <f t="shared" ca="1" si="35"/>
        <v>0</v>
      </c>
      <c r="M61" s="64">
        <f ca="1">IFERROR(__xludf.DUMMYFUNCTION("IMPORTRANGE(""https://docs.google.com/spreadsheets/d/1fJJCVBkBnhriyv0Cp5ZFMr0I_yrfdEITNpb4zILJgUQ/edit?usp=sharing"",""ปทุมธานี!N529"")"),0)</f>
        <v>0</v>
      </c>
      <c r="N61" s="64">
        <f ca="1">IFERROR(__xludf.DUMMYFUNCTION("IMPORTRANGE(""https://docs.google.com/spreadsheets/d/1fJJCVBkBnhriyv0Cp5ZFMr0I_yrfdEITNpb4zILJgUQ/edit?usp=sharing"",""ปทุมธานี!N530"")"),0)</f>
        <v>0</v>
      </c>
      <c r="O61" s="64">
        <f ca="1">IFERROR(__xludf.DUMMYFUNCTION("IMPORTRANGE(""https://docs.google.com/spreadsheets/d/1fJJCVBkBnhriyv0Cp5ZFMr0I_yrfdEITNpb4zILJgUQ/edit?usp=sharing"",""ปทุมธานี!N531"")"),0)</f>
        <v>0</v>
      </c>
      <c r="P61" s="64">
        <f ca="1">IFERROR(__xludf.DUMMYFUNCTION("IMPORTRANGE(""https://docs.google.com/spreadsheets/d/1fJJCVBkBnhriyv0Cp5ZFMr0I_yrfdEITNpb4zILJgUQ/edit?usp=sharing"",""ปทุมธานี!N532"")"),0)</f>
        <v>0</v>
      </c>
      <c r="Q61" s="62">
        <f ca="1">IFERROR(__xludf.DUMMYFUNCTION("IMPORTRANGE(""https://docs.google.com/spreadsheets/d/1fJJCVBkBnhriyv0Cp5ZFMr0I_yrfdEITNpb4zILJgUQ/edit?usp=sharing"",""ปทุมธานี!N535"")"),0)</f>
        <v>0</v>
      </c>
      <c r="R61" s="62">
        <f t="shared" ca="1" si="37"/>
        <v>0</v>
      </c>
      <c r="S61" s="57">
        <f ca="1">IFERROR(__xludf.DUMMYFUNCTION("IMPORTRANGE(""https://docs.google.com/spreadsheets/d/1fJJCVBkBnhriyv0Cp5ZFMr0I_yrfdEITNpb4zILJgUQ/edit?usp=sharing"",""ปทุมธานี!I537"")"),0)</f>
        <v>0</v>
      </c>
      <c r="T61" s="57">
        <f ca="1">IFERROR(__xludf.DUMMYFUNCTION("IMPORTRANGE(""https://docs.google.com/spreadsheets/d/1fJJCVBkBnhriyv0Cp5ZFMr0I_yrfdEITNpb4zILJgUQ/edit?usp=sharing"",""ปทุมธานี!J537"")"),0)</f>
        <v>0</v>
      </c>
      <c r="U61" s="63">
        <f t="shared" ca="1" si="6"/>
        <v>0</v>
      </c>
      <c r="V61" s="57">
        <f ca="1">IFERROR(__xludf.DUMMYFUNCTION("IMPORTRANGE(""https://docs.google.com/spreadsheets/d/1fJJCVBkBnhriyv0Cp5ZFMr0I_yrfdEITNpb4zILJgUQ/edit?usp=sharing"",""ปทุมธานี!I538"")"),0)</f>
        <v>0</v>
      </c>
      <c r="W61" s="57">
        <f ca="1">IFERROR(__xludf.DUMMYFUNCTION("IMPORTRANGE(""https://docs.google.com/spreadsheets/d/1fJJCVBkBnhriyv0Cp5ZFMr0I_yrfdEITNpb4zILJgUQ/edit?usp=sharing"",""ปทุมธานี!J538"")"),0)</f>
        <v>0</v>
      </c>
      <c r="X61" s="63">
        <f t="shared" ca="1" si="8"/>
        <v>0</v>
      </c>
      <c r="Y61" s="57">
        <f ca="1">IFERROR(__xludf.DUMMYFUNCTION("IMPORTRANGE(""https://docs.google.com/spreadsheets/d/1fJJCVBkBnhriyv0Cp5ZFMr0I_yrfdEITNpb4zILJgUQ/edit?usp=sharing"",""ปทุมธานี!I539"")"),0)</f>
        <v>0</v>
      </c>
      <c r="Z61" s="57">
        <f ca="1">IFERROR(__xludf.DUMMYFUNCTION("IMPORTRANGE(""https://docs.google.com/spreadsheets/d/1fJJCVBkBnhriyv0Cp5ZFMr0I_yrfdEITNpb4zILJgUQ/edit?usp=sharing"",""ปทุมธานี!J539"")"),0)</f>
        <v>0</v>
      </c>
      <c r="AA61" s="63">
        <f t="shared" ca="1" si="10"/>
        <v>0</v>
      </c>
      <c r="AB61" s="57">
        <f ca="1">IFERROR(__xludf.DUMMYFUNCTION("IMPORTRANGE(""https://docs.google.com/spreadsheets/d/1fJJCVBkBnhriyv0Cp5ZFMr0I_yrfdEITNpb4zILJgUQ/edit?usp=sharing"",""ปทุมธานี!I540"")"),0)</f>
        <v>0</v>
      </c>
      <c r="AC61" s="57">
        <f ca="1">IFERROR(__xludf.DUMMYFUNCTION("IMPORTRANGE(""https://docs.google.com/spreadsheets/d/1fJJCVBkBnhriyv0Cp5ZFMr0I_yrfdEITNpb4zILJgUQ/edit?usp=sharing"",""ปทุมธานี!J540"")"),0)</f>
        <v>0</v>
      </c>
      <c r="AD61" s="63">
        <f t="shared" ca="1" si="12"/>
        <v>0</v>
      </c>
      <c r="AE61" s="140">
        <f ca="1">IFERROR(__xludf.DUMMYFUNCTION("IMPORTRANGE(""https://docs.google.com/spreadsheets/d/1fJJCVBkBnhriyv0Cp5ZFMr0I_yrfdEITNpb4zILJgUQ/edit?usp=sharing"",""ปทุมธานี!I541"")"),0)</f>
        <v>0</v>
      </c>
      <c r="AF61" s="140">
        <f ca="1">IFERROR(__xludf.DUMMYFUNCTION("IMPORTRANGE(""https://docs.google.com/spreadsheets/d/1fJJCVBkBnhriyv0Cp5ZFMr0I_yrfdEITNpb4zILJgUQ/edit?usp=sharing"",""ปทุมธานี!J541"")"),0)</f>
        <v>0</v>
      </c>
      <c r="AG61" s="141">
        <f t="shared" ca="1" si="14"/>
        <v>0</v>
      </c>
      <c r="AH61" s="140">
        <f ca="1">IFERROR(__xludf.DUMMYFUNCTION("IMPORTRANGE(""https://docs.google.com/spreadsheets/d/1fJJCVBkBnhriyv0Cp5ZFMr0I_yrfdEITNpb4zILJgUQ/edit?usp=sharing"",""ปทุมธานี!I542"")"),0)</f>
        <v>0</v>
      </c>
      <c r="AI61" s="140">
        <f ca="1">IFERROR(__xludf.DUMMYFUNCTION("IMPORTRANGE(""https://docs.google.com/spreadsheets/d/1fJJCVBkBnhriyv0Cp5ZFMr0I_yrfdEITNpb4zILJgUQ/edit?usp=sharing"",""ปทุมธานี!J542"")"),0)</f>
        <v>0</v>
      </c>
      <c r="AJ61" s="141">
        <f t="shared" ca="1" si="16"/>
        <v>0</v>
      </c>
    </row>
    <row r="62" spans="1:36" ht="21" customHeight="1" x14ac:dyDescent="0.3">
      <c r="A62" s="54">
        <v>10</v>
      </c>
      <c r="B62" s="55" t="s">
        <v>83</v>
      </c>
      <c r="C62" s="56">
        <f t="shared" ca="1" si="64"/>
        <v>0</v>
      </c>
      <c r="D62" s="57">
        <f ca="1">IFERROR(__xludf.DUMMYFUNCTION("IMPORTRANGE(""https://docs.google.com/spreadsheets/d/1W5Jj_S0gYw6wSO7QcMI02YgyOBDKYgmm0NSUk-AQEac/edit?usp=sharing"",""ประจวบคีรีขันธ์!L528"")"),0)</f>
        <v>0</v>
      </c>
      <c r="E62" s="64">
        <f ca="1">IFERROR(__xludf.DUMMYFUNCTION("IMPORTRANGE(""https://docs.google.com/spreadsheets/d/1W5Jj_S0gYw6wSO7QcMI02YgyOBDKYgmm0NSUk-AQEac/edit?usp=sharing"",""ประจวบคีรีขันธ์!L535"")"),0)</f>
        <v>0</v>
      </c>
      <c r="F62" s="64">
        <f ca="1">IFERROR(__xludf.DUMMYFUNCTION("IMPORTRANGE(""https://docs.google.com/spreadsheets/d/1W5Jj_S0gYw6wSO7QcMI02YgyOBDKYgmm0NSUk-AQEac/edit?usp=sharing"",""ประจวบคีรีขันธ์!M528"")"),0)</f>
        <v>0</v>
      </c>
      <c r="G62" s="64">
        <f ca="1">IFERROR(__xludf.DUMMYFUNCTION("IMPORTRANGE(""https://docs.google.com/spreadsheets/d/1W5Jj_S0gYw6wSO7QcMI02YgyOBDKYgmm0NSUk-AQEac/edit?usp=sharing"",""ประจวบคีรีขันธ์!M535"")"),0)</f>
        <v>0</v>
      </c>
      <c r="H62" s="58">
        <f t="shared" ca="1" si="32"/>
        <v>0</v>
      </c>
      <c r="I62" s="59">
        <f t="shared" ca="1" si="1"/>
        <v>0</v>
      </c>
      <c r="J62" s="60">
        <f t="shared" ca="1" si="65"/>
        <v>0</v>
      </c>
      <c r="K62" s="61">
        <f t="shared" ca="1" si="34"/>
        <v>0</v>
      </c>
      <c r="L62" s="61">
        <f t="shared" ca="1" si="35"/>
        <v>0</v>
      </c>
      <c r="M62" s="64">
        <f ca="1">IFERROR(__xludf.DUMMYFUNCTION("IMPORTRANGE(""https://docs.google.com/spreadsheets/d/1W5Jj_S0gYw6wSO7QcMI02YgyOBDKYgmm0NSUk-AQEac/edit?usp=sharing"",""ประจวบคีรีขันธ์!N529"")"),0)</f>
        <v>0</v>
      </c>
      <c r="N62" s="64">
        <f ca="1">IFERROR(__xludf.DUMMYFUNCTION("IMPORTRANGE(""https://docs.google.com/spreadsheets/d/1W5Jj_S0gYw6wSO7QcMI02YgyOBDKYgmm0NSUk-AQEac/edit?usp=sharing"",""ประจวบคีรีขันธ์!N530"")"),0)</f>
        <v>0</v>
      </c>
      <c r="O62" s="64">
        <f ca="1">IFERROR(__xludf.DUMMYFUNCTION("IMPORTRANGE(""https://docs.google.com/spreadsheets/d/1W5Jj_S0gYw6wSO7QcMI02YgyOBDKYgmm0NSUk-AQEac/edit?usp=sharing"",""ประจวบคีรีขันธ์!N531"")"),0)</f>
        <v>0</v>
      </c>
      <c r="P62" s="64">
        <f ca="1">IFERROR(__xludf.DUMMYFUNCTION("IMPORTRANGE(""https://docs.google.com/spreadsheets/d/1W5Jj_S0gYw6wSO7QcMI02YgyOBDKYgmm0NSUk-AQEac/edit?usp=sharing"",""ประจวบคีรีขันธ์!N532"")"),0)</f>
        <v>0</v>
      </c>
      <c r="Q62" s="62">
        <f ca="1">IFERROR(__xludf.DUMMYFUNCTION("IMPORTRANGE(""https://docs.google.com/spreadsheets/d/1W5Jj_S0gYw6wSO7QcMI02YgyOBDKYgmm0NSUk-AQEac/edit?usp=sharing"",""ประจวบคีรีขันธ์!N535"")"),0)</f>
        <v>0</v>
      </c>
      <c r="R62" s="62">
        <f t="shared" ca="1" si="37"/>
        <v>0</v>
      </c>
      <c r="S62" s="57">
        <f ca="1">IFERROR(__xludf.DUMMYFUNCTION("IMPORTRANGE(""https://docs.google.com/spreadsheets/d/1W5Jj_S0gYw6wSO7QcMI02YgyOBDKYgmm0NSUk-AQEac/edit?usp=sharing"",""ประจวบคีรีขันธ์!I537"")"),0)</f>
        <v>0</v>
      </c>
      <c r="T62" s="57">
        <f ca="1">IFERROR(__xludf.DUMMYFUNCTION("IMPORTRANGE(""https://docs.google.com/spreadsheets/d/1W5Jj_S0gYw6wSO7QcMI02YgyOBDKYgmm0NSUk-AQEac/edit?usp=sharing"",""ประจวบคีรีขันธ์!J537"")"),0)</f>
        <v>0</v>
      </c>
      <c r="U62" s="63">
        <f t="shared" ca="1" si="6"/>
        <v>0</v>
      </c>
      <c r="V62" s="57">
        <f ca="1">IFERROR(__xludf.DUMMYFUNCTION("IMPORTRANGE(""https://docs.google.com/spreadsheets/d/1W5Jj_S0gYw6wSO7QcMI02YgyOBDKYgmm0NSUk-AQEac/edit?usp=sharing"",""ประจวบคีรีขันธ์!I538"")"),0)</f>
        <v>0</v>
      </c>
      <c r="W62" s="57">
        <f ca="1">IFERROR(__xludf.DUMMYFUNCTION("IMPORTRANGE(""https://docs.google.com/spreadsheets/d/1W5Jj_S0gYw6wSO7QcMI02YgyOBDKYgmm0NSUk-AQEac/edit?usp=sharing"",""ประจวบคีรีขันธ์!J538"")"),0)</f>
        <v>0</v>
      </c>
      <c r="X62" s="63">
        <f t="shared" ca="1" si="8"/>
        <v>0</v>
      </c>
      <c r="Y62" s="57">
        <f ca="1">IFERROR(__xludf.DUMMYFUNCTION("IMPORTRANGE(""https://docs.google.com/spreadsheets/d/1W5Jj_S0gYw6wSO7QcMI02YgyOBDKYgmm0NSUk-AQEac/edit?usp=sharing"",""ประจวบคีรีขันธ์!I539"")"),0)</f>
        <v>0</v>
      </c>
      <c r="Z62" s="57">
        <f ca="1">IFERROR(__xludf.DUMMYFUNCTION("IMPORTRANGE(""https://docs.google.com/spreadsheets/d/1W5Jj_S0gYw6wSO7QcMI02YgyOBDKYgmm0NSUk-AQEac/edit?usp=sharing"",""ประจวบคีรีขันธ์!J539"")"),0)</f>
        <v>0</v>
      </c>
      <c r="AA62" s="63">
        <f t="shared" ca="1" si="10"/>
        <v>0</v>
      </c>
      <c r="AB62" s="57">
        <f ca="1">IFERROR(__xludf.DUMMYFUNCTION("IMPORTRANGE(""https://docs.google.com/spreadsheets/d/1W5Jj_S0gYw6wSO7QcMI02YgyOBDKYgmm0NSUk-AQEac/edit?usp=sharing"",""ประจวบคีรีขันธ์!I540"")"),0)</f>
        <v>0</v>
      </c>
      <c r="AC62" s="57">
        <f ca="1">IFERROR(__xludf.DUMMYFUNCTION("IMPORTRANGE(""https://docs.google.com/spreadsheets/d/1W5Jj_S0gYw6wSO7QcMI02YgyOBDKYgmm0NSUk-AQEac/edit?usp=sharing"",""ประจวบคีรีขันธ์!J540"")"),0)</f>
        <v>0</v>
      </c>
      <c r="AD62" s="63">
        <f t="shared" ca="1" si="12"/>
        <v>0</v>
      </c>
      <c r="AE62" s="140">
        <f ca="1">IFERROR(__xludf.DUMMYFUNCTION("IMPORTRANGE(""https://docs.google.com/spreadsheets/d/1W5Jj_S0gYw6wSO7QcMI02YgyOBDKYgmm0NSUk-AQEac/edit?usp=sharing"",""ประจวบคีรีขันธ์!I541"")"),0)</f>
        <v>0</v>
      </c>
      <c r="AF62" s="140">
        <f ca="1">IFERROR(__xludf.DUMMYFUNCTION("IMPORTRANGE(""https://docs.google.com/spreadsheets/d/1W5Jj_S0gYw6wSO7QcMI02YgyOBDKYgmm0NSUk-AQEac/edit?usp=sharing"",""ประจวบคีรีขันธ์!J541"")"),0)</f>
        <v>0</v>
      </c>
      <c r="AG62" s="141">
        <f t="shared" ca="1" si="14"/>
        <v>0</v>
      </c>
      <c r="AH62" s="140">
        <f ca="1">IFERROR(__xludf.DUMMYFUNCTION("IMPORTRANGE(""https://docs.google.com/spreadsheets/d/1W5Jj_S0gYw6wSO7QcMI02YgyOBDKYgmm0NSUk-AQEac/edit?usp=sharing"",""ประจวบคีรีขันธ์!I542"")"),0)</f>
        <v>0</v>
      </c>
      <c r="AI62" s="140">
        <f ca="1">IFERROR(__xludf.DUMMYFUNCTION("IMPORTRANGE(""https://docs.google.com/spreadsheets/d/1W5Jj_S0gYw6wSO7QcMI02YgyOBDKYgmm0NSUk-AQEac/edit?usp=sharing"",""ประจวบคีรีขันธ์!J542"")"),0)</f>
        <v>0</v>
      </c>
      <c r="AJ62" s="141">
        <f t="shared" ca="1" si="16"/>
        <v>0</v>
      </c>
    </row>
    <row r="63" spans="1:36" ht="21" customHeight="1" x14ac:dyDescent="0.3">
      <c r="A63" s="54">
        <v>11</v>
      </c>
      <c r="B63" s="55" t="s">
        <v>84</v>
      </c>
      <c r="C63" s="56">
        <f t="shared" ca="1" si="64"/>
        <v>0</v>
      </c>
      <c r="D63" s="57">
        <f ca="1">IFERROR(__xludf.DUMMYFUNCTION("IMPORTRANGE(""https://docs.google.com/spreadsheets/d/1nYxRXgnCfTXtqUY1otYuTlnrzE0Tn-Y0YRsW5pkRVqo/edit?usp=sharing"",""ปราจีนบุรี!L528"")"),0)</f>
        <v>0</v>
      </c>
      <c r="E63" s="64">
        <f ca="1">IFERROR(__xludf.DUMMYFUNCTION("IMPORTRANGE(""https://docs.google.com/spreadsheets/d/1nYxRXgnCfTXtqUY1otYuTlnrzE0Tn-Y0YRsW5pkRVqo/edit?usp=sharing"",""ปราจีนบุรี!L535"")"),0)</f>
        <v>0</v>
      </c>
      <c r="F63" s="64">
        <f ca="1">IFERROR(__xludf.DUMMYFUNCTION("IMPORTRANGE(""https://docs.google.com/spreadsheets/d/1nYxRXgnCfTXtqUY1otYuTlnrzE0Tn-Y0YRsW5pkRVqo/edit?usp=sharing"",""ปราจีนบุรี!M528"")"),0)</f>
        <v>0</v>
      </c>
      <c r="G63" s="64">
        <f ca="1">IFERROR(__xludf.DUMMYFUNCTION("IMPORTRANGE(""https://docs.google.com/spreadsheets/d/1nYxRXgnCfTXtqUY1otYuTlnrzE0Tn-Y0YRsW5pkRVqo/edit?usp=sharing"",""ปราจีนบุรี!M535"")"),0)</f>
        <v>0</v>
      </c>
      <c r="H63" s="58">
        <f t="shared" ca="1" si="32"/>
        <v>0</v>
      </c>
      <c r="I63" s="59">
        <f t="shared" ca="1" si="1"/>
        <v>0</v>
      </c>
      <c r="J63" s="60">
        <f t="shared" ca="1" si="65"/>
        <v>0</v>
      </c>
      <c r="K63" s="61">
        <f t="shared" ca="1" si="34"/>
        <v>0</v>
      </c>
      <c r="L63" s="61">
        <f t="shared" ca="1" si="35"/>
        <v>0</v>
      </c>
      <c r="M63" s="64">
        <f ca="1">IFERROR(__xludf.DUMMYFUNCTION("IMPORTRANGE(""https://docs.google.com/spreadsheets/d/1nYxRXgnCfTXtqUY1otYuTlnrzE0Tn-Y0YRsW5pkRVqo/edit?usp=sharing"",""ปราจีนบุรี!N529"")"),0)</f>
        <v>0</v>
      </c>
      <c r="N63" s="64">
        <f ca="1">IFERROR(__xludf.DUMMYFUNCTION("IMPORTRANGE(""https://docs.google.com/spreadsheets/d/1nYxRXgnCfTXtqUY1otYuTlnrzE0Tn-Y0YRsW5pkRVqo/edit?usp=sharing"",""ปราจีนบุรี!N530"")"),0)</f>
        <v>0</v>
      </c>
      <c r="O63" s="64">
        <f ca="1">IFERROR(__xludf.DUMMYFUNCTION("IMPORTRANGE(""https://docs.google.com/spreadsheets/d/1nYxRXgnCfTXtqUY1otYuTlnrzE0Tn-Y0YRsW5pkRVqo/edit?usp=sharing"",""ปราจีนบุรี!N531"")"),0)</f>
        <v>0</v>
      </c>
      <c r="P63" s="64">
        <f ca="1">IFERROR(__xludf.DUMMYFUNCTION("IMPORTRANGE(""https://docs.google.com/spreadsheets/d/1nYxRXgnCfTXtqUY1otYuTlnrzE0Tn-Y0YRsW5pkRVqo/edit?usp=sharing"",""ปราจีนบุรี!N532"")"),0)</f>
        <v>0</v>
      </c>
      <c r="Q63" s="62">
        <f ca="1">IFERROR(__xludf.DUMMYFUNCTION("IMPORTRANGE(""https://docs.google.com/spreadsheets/d/1nYxRXgnCfTXtqUY1otYuTlnrzE0Tn-Y0YRsW5pkRVqo/edit?usp=sharing"",""ปราจีนบุรี!N535"")"),0)</f>
        <v>0</v>
      </c>
      <c r="R63" s="62">
        <f t="shared" ca="1" si="37"/>
        <v>0</v>
      </c>
      <c r="S63" s="57">
        <f ca="1">IFERROR(__xludf.DUMMYFUNCTION("IMPORTRANGE(""https://docs.google.com/spreadsheets/d/1nYxRXgnCfTXtqUY1otYuTlnrzE0Tn-Y0YRsW5pkRVqo/edit?usp=sharing"",""ปราจีนบุรี!I537"")"),0)</f>
        <v>0</v>
      </c>
      <c r="T63" s="57">
        <f ca="1">IFERROR(__xludf.DUMMYFUNCTION("IMPORTRANGE(""https://docs.google.com/spreadsheets/d/1nYxRXgnCfTXtqUY1otYuTlnrzE0Tn-Y0YRsW5pkRVqo/edit?usp=sharing"",""ปราจีนบุรี!J537"")"),0)</f>
        <v>0</v>
      </c>
      <c r="U63" s="63">
        <f t="shared" ca="1" si="6"/>
        <v>0</v>
      </c>
      <c r="V63" s="57">
        <f ca="1">IFERROR(__xludf.DUMMYFUNCTION("IMPORTRANGE(""https://docs.google.com/spreadsheets/d/1nYxRXgnCfTXtqUY1otYuTlnrzE0Tn-Y0YRsW5pkRVqo/edit?usp=sharing"",""ปราจีนบุรี!I538"")"),0)</f>
        <v>0</v>
      </c>
      <c r="W63" s="57">
        <f ca="1">IFERROR(__xludf.DUMMYFUNCTION("IMPORTRANGE(""https://docs.google.com/spreadsheets/d/1nYxRXgnCfTXtqUY1otYuTlnrzE0Tn-Y0YRsW5pkRVqo/edit?usp=sharing"",""ปราจีนบุรี!J538"")"),0)</f>
        <v>0</v>
      </c>
      <c r="X63" s="63">
        <f t="shared" ca="1" si="8"/>
        <v>0</v>
      </c>
      <c r="Y63" s="57">
        <f ca="1">IFERROR(__xludf.DUMMYFUNCTION("IMPORTRANGE(""https://docs.google.com/spreadsheets/d/1nYxRXgnCfTXtqUY1otYuTlnrzE0Tn-Y0YRsW5pkRVqo/edit?usp=sharing"",""ปราจีนบุรี!I539"")"),0)</f>
        <v>0</v>
      </c>
      <c r="Z63" s="57">
        <f ca="1">IFERROR(__xludf.DUMMYFUNCTION("IMPORTRANGE(""https://docs.google.com/spreadsheets/d/1nYxRXgnCfTXtqUY1otYuTlnrzE0Tn-Y0YRsW5pkRVqo/edit?usp=sharing"",""ปราจีนบุรี!J539"")"),0)</f>
        <v>0</v>
      </c>
      <c r="AA63" s="63">
        <f t="shared" ca="1" si="10"/>
        <v>0</v>
      </c>
      <c r="AB63" s="57">
        <f ca="1">IFERROR(__xludf.DUMMYFUNCTION("IMPORTRANGE(""https://docs.google.com/spreadsheets/d/1nYxRXgnCfTXtqUY1otYuTlnrzE0Tn-Y0YRsW5pkRVqo/edit?usp=sharing"",""ปราจีนบุรี!I540"")"),0)</f>
        <v>0</v>
      </c>
      <c r="AC63" s="57">
        <f ca="1">IFERROR(__xludf.DUMMYFUNCTION("IMPORTRANGE(""https://docs.google.com/spreadsheets/d/1nYxRXgnCfTXtqUY1otYuTlnrzE0Tn-Y0YRsW5pkRVqo/edit?usp=sharing"",""ปราจีนบุรี!J540"")"),0)</f>
        <v>0</v>
      </c>
      <c r="AD63" s="63">
        <f t="shared" ca="1" si="12"/>
        <v>0</v>
      </c>
      <c r="AE63" s="140">
        <f ca="1">IFERROR(__xludf.DUMMYFUNCTION("IMPORTRANGE(""https://docs.google.com/spreadsheets/d/1nYxRXgnCfTXtqUY1otYuTlnrzE0Tn-Y0YRsW5pkRVqo/edit?usp=sharing"",""ปราจีนบุรี!I541"")"),0)</f>
        <v>0</v>
      </c>
      <c r="AF63" s="140">
        <f ca="1">IFERROR(__xludf.DUMMYFUNCTION("IMPORTRANGE(""https://docs.google.com/spreadsheets/d/1nYxRXgnCfTXtqUY1otYuTlnrzE0Tn-Y0YRsW5pkRVqo/edit?usp=sharing"",""ปราจีนบุรี!J541"")"),0)</f>
        <v>0</v>
      </c>
      <c r="AG63" s="141">
        <f t="shared" ca="1" si="14"/>
        <v>0</v>
      </c>
      <c r="AH63" s="140">
        <f ca="1">IFERROR(__xludf.DUMMYFUNCTION("IMPORTRANGE(""https://docs.google.com/spreadsheets/d/1nYxRXgnCfTXtqUY1otYuTlnrzE0Tn-Y0YRsW5pkRVqo/edit?usp=sharing"",""ปราจีนบุรี!I542"")"),0)</f>
        <v>0</v>
      </c>
      <c r="AI63" s="140">
        <f ca="1">IFERROR(__xludf.DUMMYFUNCTION("IMPORTRANGE(""https://docs.google.com/spreadsheets/d/1nYxRXgnCfTXtqUY1otYuTlnrzE0Tn-Y0YRsW5pkRVqo/edit?usp=sharing"",""ปราจีนบุรี!J542"")"),0)</f>
        <v>0</v>
      </c>
      <c r="AJ63" s="141">
        <f t="shared" ca="1" si="16"/>
        <v>0</v>
      </c>
    </row>
    <row r="64" spans="1:36" ht="21" customHeight="1" x14ac:dyDescent="0.3">
      <c r="A64" s="54">
        <v>12</v>
      </c>
      <c r="B64" s="55" t="s">
        <v>85</v>
      </c>
      <c r="C64" s="56">
        <f t="shared" ca="1" si="64"/>
        <v>0</v>
      </c>
      <c r="D64" s="57">
        <f ca="1">IFERROR(__xludf.DUMMYFUNCTION("IMPORTRANGE(""https://docs.google.com/spreadsheets/d/1nNHCLO8ZAXOMfQvxux7cf_hrzPAh8FAvaHq_ClKbZNo/edit?usp=sharing"",""พระนครศรีอยุธยา!L528"")"),0)</f>
        <v>0</v>
      </c>
      <c r="E64" s="64">
        <f ca="1">IFERROR(__xludf.DUMMYFUNCTION("IMPORTRANGE(""https://docs.google.com/spreadsheets/d/1nNHCLO8ZAXOMfQvxux7cf_hrzPAh8FAvaHq_ClKbZNo/edit?usp=sharing"",""พระนครศรีอยุธยา!L535"")"),0)</f>
        <v>0</v>
      </c>
      <c r="F64" s="64">
        <f ca="1">IFERROR(__xludf.DUMMYFUNCTION("IMPORTRANGE(""https://docs.google.com/spreadsheets/d/1nNHCLO8ZAXOMfQvxux7cf_hrzPAh8FAvaHq_ClKbZNo/edit?usp=sharing"",""พระนครศรีอยุธยา!M528"")"),0)</f>
        <v>0</v>
      </c>
      <c r="G64" s="64">
        <f ca="1">IFERROR(__xludf.DUMMYFUNCTION("IMPORTRANGE(""https://docs.google.com/spreadsheets/d/1nNHCLO8ZAXOMfQvxux7cf_hrzPAh8FAvaHq_ClKbZNo/edit?usp=sharing"",""พระนครศรีอยุธยา!M535"")"),0)</f>
        <v>0</v>
      </c>
      <c r="H64" s="58">
        <f t="shared" ca="1" si="32"/>
        <v>0</v>
      </c>
      <c r="I64" s="59">
        <f t="shared" ca="1" si="1"/>
        <v>0</v>
      </c>
      <c r="J64" s="60">
        <f t="shared" ca="1" si="65"/>
        <v>0</v>
      </c>
      <c r="K64" s="61">
        <f t="shared" ca="1" si="34"/>
        <v>0</v>
      </c>
      <c r="L64" s="61">
        <f t="shared" ca="1" si="35"/>
        <v>0</v>
      </c>
      <c r="M64" s="64">
        <f ca="1">IFERROR(__xludf.DUMMYFUNCTION("IMPORTRANGE(""https://docs.google.com/spreadsheets/d/1nNHCLO8ZAXOMfQvxux7cf_hrzPAh8FAvaHq_ClKbZNo/edit?usp=sharing"",""พระนครศรีอยุธยา!N529"")"),0)</f>
        <v>0</v>
      </c>
      <c r="N64" s="64">
        <f ca="1">IFERROR(__xludf.DUMMYFUNCTION("IMPORTRANGE(""https://docs.google.com/spreadsheets/d/1nNHCLO8ZAXOMfQvxux7cf_hrzPAh8FAvaHq_ClKbZNo/edit?usp=sharing"",""พระนครศรีอยุธยา!N530"")"),0)</f>
        <v>0</v>
      </c>
      <c r="O64" s="64">
        <f ca="1">IFERROR(__xludf.DUMMYFUNCTION("IMPORTRANGE(""https://docs.google.com/spreadsheets/d/1nNHCLO8ZAXOMfQvxux7cf_hrzPAh8FAvaHq_ClKbZNo/edit?usp=sharing"",""พระนครศรีอยุธยา!N531"")"),0)</f>
        <v>0</v>
      </c>
      <c r="P64" s="64">
        <f ca="1">IFERROR(__xludf.DUMMYFUNCTION("IMPORTRANGE(""https://docs.google.com/spreadsheets/d/1nNHCLO8ZAXOMfQvxux7cf_hrzPAh8FAvaHq_ClKbZNo/edit?usp=sharing"",""พระนครศรีอยุธยา!N532"")"),0)</f>
        <v>0</v>
      </c>
      <c r="Q64" s="62">
        <f ca="1">IFERROR(__xludf.DUMMYFUNCTION("IMPORTRANGE(""https://docs.google.com/spreadsheets/d/1nNHCLO8ZAXOMfQvxux7cf_hrzPAh8FAvaHq_ClKbZNo/edit?usp=sharing"",""พระนครศรีอยุธยา!N535"")"),0)</f>
        <v>0</v>
      </c>
      <c r="R64" s="62">
        <f t="shared" ca="1" si="37"/>
        <v>0</v>
      </c>
      <c r="S64" s="57">
        <f ca="1">IFERROR(__xludf.DUMMYFUNCTION("IMPORTRANGE(""https://docs.google.com/spreadsheets/d/1nNHCLO8ZAXOMfQvxux7cf_hrzPAh8FAvaHq_ClKbZNo/edit?usp=sharing"",""พระนครศรีอยุธยา!I537"")"),0)</f>
        <v>0</v>
      </c>
      <c r="T64" s="57">
        <f ca="1">IFERROR(__xludf.DUMMYFUNCTION("IMPORTRANGE(""https://docs.google.com/spreadsheets/d/1nNHCLO8ZAXOMfQvxux7cf_hrzPAh8FAvaHq_ClKbZNo/edit?usp=sharing"",""พระนครศรีอยุธยา!J537"")"),0)</f>
        <v>0</v>
      </c>
      <c r="U64" s="63">
        <f t="shared" ca="1" si="6"/>
        <v>0</v>
      </c>
      <c r="V64" s="57">
        <f ca="1">IFERROR(__xludf.DUMMYFUNCTION("IMPORTRANGE(""https://docs.google.com/spreadsheets/d/1nNHCLO8ZAXOMfQvxux7cf_hrzPAh8FAvaHq_ClKbZNo/edit?usp=sharing"",""พระนครศรีอยุธยา!I538"")"),0)</f>
        <v>0</v>
      </c>
      <c r="W64" s="57">
        <f ca="1">IFERROR(__xludf.DUMMYFUNCTION("IMPORTRANGE(""https://docs.google.com/spreadsheets/d/1nNHCLO8ZAXOMfQvxux7cf_hrzPAh8FAvaHq_ClKbZNo/edit?usp=sharing"",""พระนครศรีอยุธยา!J538"")"),0)</f>
        <v>0</v>
      </c>
      <c r="X64" s="63">
        <f t="shared" ca="1" si="8"/>
        <v>0</v>
      </c>
      <c r="Y64" s="57">
        <f ca="1">IFERROR(__xludf.DUMMYFUNCTION("IMPORTRANGE(""https://docs.google.com/spreadsheets/d/1nNHCLO8ZAXOMfQvxux7cf_hrzPAh8FAvaHq_ClKbZNo/edit?usp=sharing"",""พระนครศรีอยุธยา!I539"")"),0)</f>
        <v>0</v>
      </c>
      <c r="Z64" s="57">
        <f ca="1">IFERROR(__xludf.DUMMYFUNCTION("IMPORTRANGE(""https://docs.google.com/spreadsheets/d/1nNHCLO8ZAXOMfQvxux7cf_hrzPAh8FAvaHq_ClKbZNo/edit?usp=sharing"",""พระนครศรีอยุธยา!J539"")"),0)</f>
        <v>0</v>
      </c>
      <c r="AA64" s="63">
        <f t="shared" ca="1" si="10"/>
        <v>0</v>
      </c>
      <c r="AB64" s="57">
        <f ca="1">IFERROR(__xludf.DUMMYFUNCTION("IMPORTRANGE(""https://docs.google.com/spreadsheets/d/1nNHCLO8ZAXOMfQvxux7cf_hrzPAh8FAvaHq_ClKbZNo/edit?usp=sharing"",""พระนครศรีอยุธยา!I540"")"),0)</f>
        <v>0</v>
      </c>
      <c r="AC64" s="57">
        <f ca="1">IFERROR(__xludf.DUMMYFUNCTION("IMPORTRANGE(""https://docs.google.com/spreadsheets/d/1nNHCLO8ZAXOMfQvxux7cf_hrzPAh8FAvaHq_ClKbZNo/edit?usp=sharing"",""พระนครศรีอยุธยา!J540"")"),0)</f>
        <v>0</v>
      </c>
      <c r="AD64" s="63">
        <f t="shared" ca="1" si="12"/>
        <v>0</v>
      </c>
      <c r="AE64" s="140">
        <f ca="1">IFERROR(__xludf.DUMMYFUNCTION("IMPORTRANGE(""https://docs.google.com/spreadsheets/d/1nNHCLO8ZAXOMfQvxux7cf_hrzPAh8FAvaHq_ClKbZNo/edit?usp=sharing"",""พระนครศรีอยุธยา!I541"")"),0)</f>
        <v>0</v>
      </c>
      <c r="AF64" s="140">
        <f ca="1">IFERROR(__xludf.DUMMYFUNCTION("IMPORTRANGE(""https://docs.google.com/spreadsheets/d/1nNHCLO8ZAXOMfQvxux7cf_hrzPAh8FAvaHq_ClKbZNo/edit?usp=sharing"",""พระนครศรีอยุธยา!J541"")"),0)</f>
        <v>0</v>
      </c>
      <c r="AG64" s="141">
        <f t="shared" ca="1" si="14"/>
        <v>0</v>
      </c>
      <c r="AH64" s="140">
        <f ca="1">IFERROR(__xludf.DUMMYFUNCTION("IMPORTRANGE(""https://docs.google.com/spreadsheets/d/1nNHCLO8ZAXOMfQvxux7cf_hrzPAh8FAvaHq_ClKbZNo/edit?usp=sharing"",""พระนครศรีอยุธยา!I542"")"),0)</f>
        <v>0</v>
      </c>
      <c r="AI64" s="140">
        <f ca="1">IFERROR(__xludf.DUMMYFUNCTION("IMPORTRANGE(""https://docs.google.com/spreadsheets/d/1nNHCLO8ZAXOMfQvxux7cf_hrzPAh8FAvaHq_ClKbZNo/edit?usp=sharing"",""พระนครศรีอยุธยา!J542"")"),0)</f>
        <v>0</v>
      </c>
      <c r="AJ64" s="141">
        <f t="shared" ca="1" si="16"/>
        <v>0</v>
      </c>
    </row>
    <row r="65" spans="1:36" ht="21" customHeight="1" x14ac:dyDescent="0.3">
      <c r="A65" s="54">
        <v>13</v>
      </c>
      <c r="B65" s="55" t="s">
        <v>86</v>
      </c>
      <c r="C65" s="56">
        <f t="shared" ca="1" si="64"/>
        <v>0</v>
      </c>
      <c r="D65" s="57">
        <f ca="1">IFERROR(__xludf.DUMMYFUNCTION("IMPORTRANGE(""https://docs.google.com/spreadsheets/d/1CdNicvf3i6yt4tJlCePe3V1Va76wYqW0QzMzTsaGRrA/edit?usp=sharing"",""เพชรบุรี!L528"")"),0)</f>
        <v>0</v>
      </c>
      <c r="E65" s="64">
        <f ca="1">IFERROR(__xludf.DUMMYFUNCTION("IMPORTRANGE(""https://docs.google.com/spreadsheets/d/1CdNicvf3i6yt4tJlCePe3V1Va76wYqW0QzMzTsaGRrA/edit?usp=sharing"",""เพชรบุรี!L535"")"),0)</f>
        <v>0</v>
      </c>
      <c r="F65" s="64">
        <f ca="1">IFERROR(__xludf.DUMMYFUNCTION("IMPORTRANGE(""https://docs.google.com/spreadsheets/d/1CdNicvf3i6yt4tJlCePe3V1Va76wYqW0QzMzTsaGRrA/edit?usp=sharing"",""เพชรบุรี!M528"")"),0)</f>
        <v>0</v>
      </c>
      <c r="G65" s="64">
        <f ca="1">IFERROR(__xludf.DUMMYFUNCTION("IMPORTRANGE(""https://docs.google.com/spreadsheets/d/1CdNicvf3i6yt4tJlCePe3V1Va76wYqW0QzMzTsaGRrA/edit?usp=sharing"",""เพชรบุรี!M535"")"),0)</f>
        <v>0</v>
      </c>
      <c r="H65" s="58">
        <f t="shared" ca="1" si="32"/>
        <v>0</v>
      </c>
      <c r="I65" s="59">
        <f t="shared" ca="1" si="1"/>
        <v>0</v>
      </c>
      <c r="J65" s="60">
        <f t="shared" ca="1" si="65"/>
        <v>0</v>
      </c>
      <c r="K65" s="61">
        <f t="shared" ca="1" si="34"/>
        <v>0</v>
      </c>
      <c r="L65" s="61">
        <f t="shared" ca="1" si="35"/>
        <v>0</v>
      </c>
      <c r="M65" s="64">
        <f ca="1">IFERROR(__xludf.DUMMYFUNCTION("IMPORTRANGE(""https://docs.google.com/spreadsheets/d/1CdNicvf3i6yt4tJlCePe3V1Va76wYqW0QzMzTsaGRrA/edit?usp=sharing"",""เพชรบุรี!N529"")"),0)</f>
        <v>0</v>
      </c>
      <c r="N65" s="64">
        <f ca="1">IFERROR(__xludf.DUMMYFUNCTION("IMPORTRANGE(""https://docs.google.com/spreadsheets/d/1CdNicvf3i6yt4tJlCePe3V1Va76wYqW0QzMzTsaGRrA/edit?usp=sharing"",""เพชรบุรี!N530"")"),0)</f>
        <v>0</v>
      </c>
      <c r="O65" s="64">
        <f ca="1">IFERROR(__xludf.DUMMYFUNCTION("IMPORTRANGE(""https://docs.google.com/spreadsheets/d/1CdNicvf3i6yt4tJlCePe3V1Va76wYqW0QzMzTsaGRrA/edit?usp=sharing"",""เพชรบุรี!N531"")"),0)</f>
        <v>0</v>
      </c>
      <c r="P65" s="64">
        <f ca="1">IFERROR(__xludf.DUMMYFUNCTION("IMPORTRANGE(""https://docs.google.com/spreadsheets/d/1CdNicvf3i6yt4tJlCePe3V1Va76wYqW0QzMzTsaGRrA/edit?usp=sharing"",""เพชรบุรี!N532"")"),0)</f>
        <v>0</v>
      </c>
      <c r="Q65" s="62">
        <f ca="1">IFERROR(__xludf.DUMMYFUNCTION("IMPORTRANGE(""https://docs.google.com/spreadsheets/d/1CdNicvf3i6yt4tJlCePe3V1Va76wYqW0QzMzTsaGRrA/edit?usp=sharing"",""เพชรบุรี!N535"")"),0)</f>
        <v>0</v>
      </c>
      <c r="R65" s="62">
        <f t="shared" ca="1" si="37"/>
        <v>0</v>
      </c>
      <c r="S65" s="57">
        <f ca="1">IFERROR(__xludf.DUMMYFUNCTION("IMPORTRANGE(""https://docs.google.com/spreadsheets/d/1CdNicvf3i6yt4tJlCePe3V1Va76wYqW0QzMzTsaGRrA/edit?usp=sharing"",""เพชรบุรี!I537"")"),0)</f>
        <v>0</v>
      </c>
      <c r="T65" s="57">
        <f ca="1">IFERROR(__xludf.DUMMYFUNCTION("IMPORTRANGE(""https://docs.google.com/spreadsheets/d/1CdNicvf3i6yt4tJlCePe3V1Va76wYqW0QzMzTsaGRrA/edit?usp=sharing"",""เพชรบุรี!J537"")"),0)</f>
        <v>0</v>
      </c>
      <c r="U65" s="63">
        <f t="shared" ca="1" si="6"/>
        <v>0</v>
      </c>
      <c r="V65" s="57">
        <f ca="1">IFERROR(__xludf.DUMMYFUNCTION("IMPORTRANGE(""https://docs.google.com/spreadsheets/d/1CdNicvf3i6yt4tJlCePe3V1Va76wYqW0QzMzTsaGRrA/edit?usp=sharing"",""เพชรบุรี!I538"")"),0)</f>
        <v>0</v>
      </c>
      <c r="W65" s="57">
        <f ca="1">IFERROR(__xludf.DUMMYFUNCTION("IMPORTRANGE(""https://docs.google.com/spreadsheets/d/1CdNicvf3i6yt4tJlCePe3V1Va76wYqW0QzMzTsaGRrA/edit?usp=sharing"",""เพชรบุรี!J538"")"),0)</f>
        <v>0</v>
      </c>
      <c r="X65" s="63">
        <f t="shared" ca="1" si="8"/>
        <v>0</v>
      </c>
      <c r="Y65" s="57">
        <f ca="1">IFERROR(__xludf.DUMMYFUNCTION("IMPORTRANGE(""https://docs.google.com/spreadsheets/d/1CdNicvf3i6yt4tJlCePe3V1Va76wYqW0QzMzTsaGRrA/edit?usp=sharing"",""เพชรบุรี!I539"")"),0)</f>
        <v>0</v>
      </c>
      <c r="Z65" s="57">
        <f ca="1">IFERROR(__xludf.DUMMYFUNCTION("IMPORTRANGE(""https://docs.google.com/spreadsheets/d/1CdNicvf3i6yt4tJlCePe3V1Va76wYqW0QzMzTsaGRrA/edit?usp=sharing"",""เพชรบุรี!J539"")"),0)</f>
        <v>0</v>
      </c>
      <c r="AA65" s="63">
        <f t="shared" ca="1" si="10"/>
        <v>0</v>
      </c>
      <c r="AB65" s="57">
        <f ca="1">IFERROR(__xludf.DUMMYFUNCTION("IMPORTRANGE(""https://docs.google.com/spreadsheets/d/1CdNicvf3i6yt4tJlCePe3V1Va76wYqW0QzMzTsaGRrA/edit?usp=sharing"",""เพชรบุรี!I540"")"),0)</f>
        <v>0</v>
      </c>
      <c r="AC65" s="57">
        <f ca="1">IFERROR(__xludf.DUMMYFUNCTION("IMPORTRANGE(""https://docs.google.com/spreadsheets/d/1CdNicvf3i6yt4tJlCePe3V1Va76wYqW0QzMzTsaGRrA/edit?usp=sharing"",""เพชรบุรี!J540"")"),0)</f>
        <v>0</v>
      </c>
      <c r="AD65" s="63">
        <f t="shared" ca="1" si="12"/>
        <v>0</v>
      </c>
      <c r="AE65" s="140">
        <f ca="1">IFERROR(__xludf.DUMMYFUNCTION("IMPORTRANGE(""https://docs.google.com/spreadsheets/d/1CdNicvf3i6yt4tJlCePe3V1Va76wYqW0QzMzTsaGRrA/edit?usp=sharing"",""เพชรบุรี!I541"")"),0)</f>
        <v>0</v>
      </c>
      <c r="AF65" s="140">
        <f ca="1">IFERROR(__xludf.DUMMYFUNCTION("IMPORTRANGE(""https://docs.google.com/spreadsheets/d/1CdNicvf3i6yt4tJlCePe3V1Va76wYqW0QzMzTsaGRrA/edit?usp=sharing"",""เพชรบุรี!J541"")"),0)</f>
        <v>0</v>
      </c>
      <c r="AG65" s="141">
        <f t="shared" ca="1" si="14"/>
        <v>0</v>
      </c>
      <c r="AH65" s="140">
        <f ca="1">IFERROR(__xludf.DUMMYFUNCTION("IMPORTRANGE(""https://docs.google.com/spreadsheets/d/1CdNicvf3i6yt4tJlCePe3V1Va76wYqW0QzMzTsaGRrA/edit?usp=sharing"",""เพชรบุรี!I542"")"),0)</f>
        <v>0</v>
      </c>
      <c r="AI65" s="140">
        <f ca="1">IFERROR(__xludf.DUMMYFUNCTION("IMPORTRANGE(""https://docs.google.com/spreadsheets/d/1CdNicvf3i6yt4tJlCePe3V1Va76wYqW0QzMzTsaGRrA/edit?usp=sharing"",""เพชรบุรี!J542"")"),0)</f>
        <v>0</v>
      </c>
      <c r="AJ65" s="141">
        <f t="shared" ca="1" si="16"/>
        <v>0</v>
      </c>
    </row>
    <row r="66" spans="1:36" ht="21" customHeight="1" x14ac:dyDescent="0.3">
      <c r="A66" s="54">
        <v>14</v>
      </c>
      <c r="B66" s="55" t="s">
        <v>87</v>
      </c>
      <c r="C66" s="56">
        <f t="shared" ca="1" si="64"/>
        <v>0</v>
      </c>
      <c r="D66" s="57">
        <f ca="1">IFERROR(__xludf.DUMMYFUNCTION("IMPORTRANGE(""https://docs.google.com/spreadsheets/d/1XiF77UIVHV0Kjc6xbXuOuJ10WgJYxd4p_22ngKVV5oM/edit?usp=sharing"",""ระยอง!L528"")"),0)</f>
        <v>0</v>
      </c>
      <c r="E66" s="64">
        <f ca="1">IFERROR(__xludf.DUMMYFUNCTION("IMPORTRANGE(""https://docs.google.com/spreadsheets/d/1XiF77UIVHV0Kjc6xbXuOuJ10WgJYxd4p_22ngKVV5oM/edit?usp=sharing"",""ระยอง!L535"")"),0)</f>
        <v>0</v>
      </c>
      <c r="F66" s="64">
        <f ca="1">IFERROR(__xludf.DUMMYFUNCTION("IMPORTRANGE(""https://docs.google.com/spreadsheets/d/1XiF77UIVHV0Kjc6xbXuOuJ10WgJYxd4p_22ngKVV5oM/edit?usp=sharing"",""ระยอง!M528"")"),0)</f>
        <v>0</v>
      </c>
      <c r="G66" s="64">
        <f ca="1">IFERROR(__xludf.DUMMYFUNCTION("IMPORTRANGE(""https://docs.google.com/spreadsheets/d/1XiF77UIVHV0Kjc6xbXuOuJ10WgJYxd4p_22ngKVV5oM/edit?usp=sharing"",""ระยอง!M535"")"),0)</f>
        <v>0</v>
      </c>
      <c r="H66" s="58">
        <f t="shared" ca="1" si="32"/>
        <v>0</v>
      </c>
      <c r="I66" s="59">
        <f t="shared" ca="1" si="1"/>
        <v>0</v>
      </c>
      <c r="J66" s="60">
        <f t="shared" ca="1" si="65"/>
        <v>0</v>
      </c>
      <c r="K66" s="61">
        <f t="shared" ca="1" si="34"/>
        <v>0</v>
      </c>
      <c r="L66" s="61">
        <f t="shared" ca="1" si="35"/>
        <v>0</v>
      </c>
      <c r="M66" s="64">
        <f ca="1">IFERROR(__xludf.DUMMYFUNCTION("IMPORTRANGE(""https://docs.google.com/spreadsheets/d/1XiF77UIVHV0Kjc6xbXuOuJ10WgJYxd4p_22ngKVV5oM/edit?usp=sharing"",""ระยอง!N529"")"),0)</f>
        <v>0</v>
      </c>
      <c r="N66" s="64">
        <f ca="1">IFERROR(__xludf.DUMMYFUNCTION("IMPORTRANGE(""https://docs.google.com/spreadsheets/d/1XiF77UIVHV0Kjc6xbXuOuJ10WgJYxd4p_22ngKVV5oM/edit?usp=sharing"",""ระยอง!N530"")"),0)</f>
        <v>0</v>
      </c>
      <c r="O66" s="64">
        <f ca="1">IFERROR(__xludf.DUMMYFUNCTION("IMPORTRANGE(""https://docs.google.com/spreadsheets/d/1XiF77UIVHV0Kjc6xbXuOuJ10WgJYxd4p_22ngKVV5oM/edit?usp=sharing"",""ระยอง!N531"")"),0)</f>
        <v>0</v>
      </c>
      <c r="P66" s="64">
        <f ca="1">IFERROR(__xludf.DUMMYFUNCTION("IMPORTRANGE(""https://docs.google.com/spreadsheets/d/1XiF77UIVHV0Kjc6xbXuOuJ10WgJYxd4p_22ngKVV5oM/edit?usp=sharing"",""ระยอง!N532"")"),0)</f>
        <v>0</v>
      </c>
      <c r="Q66" s="62">
        <f ca="1">IFERROR(__xludf.DUMMYFUNCTION("IMPORTRANGE(""https://docs.google.com/spreadsheets/d/1XiF77UIVHV0Kjc6xbXuOuJ10WgJYxd4p_22ngKVV5oM/edit?usp=sharing"",""ระยอง!N535"")"),0)</f>
        <v>0</v>
      </c>
      <c r="R66" s="62">
        <f t="shared" ca="1" si="37"/>
        <v>0</v>
      </c>
      <c r="S66" s="57">
        <f ca="1">IFERROR(__xludf.DUMMYFUNCTION("IMPORTRANGE(""https://docs.google.com/spreadsheets/d/1XiF77UIVHV0Kjc6xbXuOuJ10WgJYxd4p_22ngKVV5oM/edit?usp=sharing"",""ระยอง!I537"")"),0)</f>
        <v>0</v>
      </c>
      <c r="T66" s="57">
        <f ca="1">IFERROR(__xludf.DUMMYFUNCTION("IMPORTRANGE(""https://docs.google.com/spreadsheets/d/1XiF77UIVHV0Kjc6xbXuOuJ10WgJYxd4p_22ngKVV5oM/edit?usp=sharing"",""ระยอง!J537"")"),0)</f>
        <v>0</v>
      </c>
      <c r="U66" s="63">
        <f t="shared" ca="1" si="6"/>
        <v>0</v>
      </c>
      <c r="V66" s="57">
        <f ca="1">IFERROR(__xludf.DUMMYFUNCTION("IMPORTRANGE(""https://docs.google.com/spreadsheets/d/1XiF77UIVHV0Kjc6xbXuOuJ10WgJYxd4p_22ngKVV5oM/edit?usp=sharing"",""ระยอง!I538"")"),0)</f>
        <v>0</v>
      </c>
      <c r="W66" s="57">
        <f ca="1">IFERROR(__xludf.DUMMYFUNCTION("IMPORTRANGE(""https://docs.google.com/spreadsheets/d/1XiF77UIVHV0Kjc6xbXuOuJ10WgJYxd4p_22ngKVV5oM/edit?usp=sharing"",""ระยอง!J538"")"),0)</f>
        <v>0</v>
      </c>
      <c r="X66" s="63">
        <f t="shared" ca="1" si="8"/>
        <v>0</v>
      </c>
      <c r="Y66" s="57">
        <f ca="1">IFERROR(__xludf.DUMMYFUNCTION("IMPORTRANGE(""https://docs.google.com/spreadsheets/d/1XiF77UIVHV0Kjc6xbXuOuJ10WgJYxd4p_22ngKVV5oM/edit?usp=sharing"",""ระยอง!I539"")"),0)</f>
        <v>0</v>
      </c>
      <c r="Z66" s="57">
        <f ca="1">IFERROR(__xludf.DUMMYFUNCTION("IMPORTRANGE(""https://docs.google.com/spreadsheets/d/1XiF77UIVHV0Kjc6xbXuOuJ10WgJYxd4p_22ngKVV5oM/edit?usp=sharing"",""ระยอง!J539"")"),0)</f>
        <v>0</v>
      </c>
      <c r="AA66" s="63">
        <f t="shared" ca="1" si="10"/>
        <v>0</v>
      </c>
      <c r="AB66" s="57">
        <f ca="1">IFERROR(__xludf.DUMMYFUNCTION("IMPORTRANGE(""https://docs.google.com/spreadsheets/d/1XiF77UIVHV0Kjc6xbXuOuJ10WgJYxd4p_22ngKVV5oM/edit?usp=sharing"",""ระยอง!I540"")"),0)</f>
        <v>0</v>
      </c>
      <c r="AC66" s="57">
        <f ca="1">IFERROR(__xludf.DUMMYFUNCTION("IMPORTRANGE(""https://docs.google.com/spreadsheets/d/1XiF77UIVHV0Kjc6xbXuOuJ10WgJYxd4p_22ngKVV5oM/edit?usp=sharing"",""ระยอง!J540"")"),0)</f>
        <v>0</v>
      </c>
      <c r="AD66" s="63">
        <f t="shared" ca="1" si="12"/>
        <v>0</v>
      </c>
      <c r="AE66" s="140">
        <f ca="1">IFERROR(__xludf.DUMMYFUNCTION("IMPORTRANGE(""https://docs.google.com/spreadsheets/d/1XiF77UIVHV0Kjc6xbXuOuJ10WgJYxd4p_22ngKVV5oM/edit?usp=sharing"",""ระยอง!I541"")"),0)</f>
        <v>0</v>
      </c>
      <c r="AF66" s="140">
        <f ca="1">IFERROR(__xludf.DUMMYFUNCTION("IMPORTRANGE(""https://docs.google.com/spreadsheets/d/1XiF77UIVHV0Kjc6xbXuOuJ10WgJYxd4p_22ngKVV5oM/edit?usp=sharing"",""ระยอง!J541"")"),0)</f>
        <v>0</v>
      </c>
      <c r="AG66" s="141">
        <f t="shared" ca="1" si="14"/>
        <v>0</v>
      </c>
      <c r="AH66" s="140">
        <f ca="1">IFERROR(__xludf.DUMMYFUNCTION("IMPORTRANGE(""https://docs.google.com/spreadsheets/d/1XiF77UIVHV0Kjc6xbXuOuJ10WgJYxd4p_22ngKVV5oM/edit?usp=sharing"",""ระยอง!I542"")"),0)</f>
        <v>0</v>
      </c>
      <c r="AI66" s="140">
        <f ca="1">IFERROR(__xludf.DUMMYFUNCTION("IMPORTRANGE(""https://docs.google.com/spreadsheets/d/1XiF77UIVHV0Kjc6xbXuOuJ10WgJYxd4p_22ngKVV5oM/edit?usp=sharing"",""ระยอง!J542"")"),0)</f>
        <v>0</v>
      </c>
      <c r="AJ66" s="141">
        <f t="shared" ca="1" si="16"/>
        <v>0</v>
      </c>
    </row>
    <row r="67" spans="1:36" ht="21" customHeight="1" x14ac:dyDescent="0.3">
      <c r="A67" s="54">
        <v>15</v>
      </c>
      <c r="B67" s="55" t="s">
        <v>88</v>
      </c>
      <c r="C67" s="56">
        <f t="shared" ca="1" si="64"/>
        <v>0</v>
      </c>
      <c r="D67" s="57">
        <f ca="1">IFERROR(__xludf.DUMMYFUNCTION("IMPORTRANGE(""https://docs.google.com/spreadsheets/d/1qU-W_9MCQD1pgIVXGEOjCFo9QqlmJywuebyGgaN92r8/edit?usp=sharing"",""ราชบุรี!L528"")"),0)</f>
        <v>0</v>
      </c>
      <c r="E67" s="64">
        <f ca="1">IFERROR(__xludf.DUMMYFUNCTION("IMPORTRANGE(""https://docs.google.com/spreadsheets/d/1qU-W_9MCQD1pgIVXGEOjCFo9QqlmJywuebyGgaN92r8/edit?usp=sharing"",""ราชบุรี!L535"")"),0)</f>
        <v>0</v>
      </c>
      <c r="F67" s="64">
        <f ca="1">IFERROR(__xludf.DUMMYFUNCTION("IMPORTRANGE(""https://docs.google.com/spreadsheets/d/1qU-W_9MCQD1pgIVXGEOjCFo9QqlmJywuebyGgaN92r8/edit?usp=sharing"",""ราชบุรี!M528"")"),0)</f>
        <v>0</v>
      </c>
      <c r="G67" s="64">
        <f ca="1">IFERROR(__xludf.DUMMYFUNCTION("IMPORTRANGE(""https://docs.google.com/spreadsheets/d/1qU-W_9MCQD1pgIVXGEOjCFo9QqlmJywuebyGgaN92r8/edit?usp=sharing"",""ราชบุรี!M535"")"),0)</f>
        <v>0</v>
      </c>
      <c r="H67" s="58">
        <f t="shared" ca="1" si="32"/>
        <v>0</v>
      </c>
      <c r="I67" s="59">
        <f t="shared" ca="1" si="1"/>
        <v>0</v>
      </c>
      <c r="J67" s="60">
        <f t="shared" ca="1" si="65"/>
        <v>0</v>
      </c>
      <c r="K67" s="61">
        <f t="shared" ca="1" si="34"/>
        <v>0</v>
      </c>
      <c r="L67" s="61">
        <f t="shared" ca="1" si="35"/>
        <v>0</v>
      </c>
      <c r="M67" s="64">
        <f ca="1">IFERROR(__xludf.DUMMYFUNCTION("IMPORTRANGE(""https://docs.google.com/spreadsheets/d/1qU-W_9MCQD1pgIVXGEOjCFo9QqlmJywuebyGgaN92r8/edit?usp=sharing"",""ราชบุรี!N529"")"),0)</f>
        <v>0</v>
      </c>
      <c r="N67" s="64">
        <f ca="1">IFERROR(__xludf.DUMMYFUNCTION("IMPORTRANGE(""https://docs.google.com/spreadsheets/d/1qU-W_9MCQD1pgIVXGEOjCFo9QqlmJywuebyGgaN92r8/edit?usp=sharing"",""ราชบุรี!N530"")"),0)</f>
        <v>0</v>
      </c>
      <c r="O67" s="64">
        <f ca="1">IFERROR(__xludf.DUMMYFUNCTION("IMPORTRANGE(""https://docs.google.com/spreadsheets/d/1qU-W_9MCQD1pgIVXGEOjCFo9QqlmJywuebyGgaN92r8/edit?usp=sharing"",""ราชบุรี!N531"")"),0)</f>
        <v>0</v>
      </c>
      <c r="P67" s="64">
        <f ca="1">IFERROR(__xludf.DUMMYFUNCTION("IMPORTRANGE(""https://docs.google.com/spreadsheets/d/1qU-W_9MCQD1pgIVXGEOjCFo9QqlmJywuebyGgaN92r8/edit?usp=sharing"",""ราชบุรี!N532"")"),0)</f>
        <v>0</v>
      </c>
      <c r="Q67" s="62">
        <f ca="1">IFERROR(__xludf.DUMMYFUNCTION("IMPORTRANGE(""https://docs.google.com/spreadsheets/d/1qU-W_9MCQD1pgIVXGEOjCFo9QqlmJywuebyGgaN92r8/edit?usp=sharing"",""ราชบุรี!N535"")"),0)</f>
        <v>0</v>
      </c>
      <c r="R67" s="62">
        <f t="shared" ca="1" si="37"/>
        <v>0</v>
      </c>
      <c r="S67" s="57">
        <f ca="1">IFERROR(__xludf.DUMMYFUNCTION("IMPORTRANGE(""https://docs.google.com/spreadsheets/d/1qU-W_9MCQD1pgIVXGEOjCFo9QqlmJywuebyGgaN92r8/edit?usp=sharing"",""ราชบุรี!I537"")"),0)</f>
        <v>0</v>
      </c>
      <c r="T67" s="57">
        <f ca="1">IFERROR(__xludf.DUMMYFUNCTION("IMPORTRANGE(""https://docs.google.com/spreadsheets/d/1qU-W_9MCQD1pgIVXGEOjCFo9QqlmJywuebyGgaN92r8/edit?usp=sharing"",""ราชบุรี!J537"")"),0)</f>
        <v>0</v>
      </c>
      <c r="U67" s="63">
        <f t="shared" ca="1" si="6"/>
        <v>0</v>
      </c>
      <c r="V67" s="57">
        <f ca="1">IFERROR(__xludf.DUMMYFUNCTION("IMPORTRANGE(""https://docs.google.com/spreadsheets/d/1qU-W_9MCQD1pgIVXGEOjCFo9QqlmJywuebyGgaN92r8/edit?usp=sharing"",""ราชบุรี!I538"")"),0)</f>
        <v>0</v>
      </c>
      <c r="W67" s="57">
        <f ca="1">IFERROR(__xludf.DUMMYFUNCTION("IMPORTRANGE(""https://docs.google.com/spreadsheets/d/1qU-W_9MCQD1pgIVXGEOjCFo9QqlmJywuebyGgaN92r8/edit?usp=sharing"",""ราชบุรี!J538"")"),0)</f>
        <v>0</v>
      </c>
      <c r="X67" s="63">
        <f t="shared" ca="1" si="8"/>
        <v>0</v>
      </c>
      <c r="Y67" s="57">
        <f ca="1">IFERROR(__xludf.DUMMYFUNCTION("IMPORTRANGE(""https://docs.google.com/spreadsheets/d/1qU-W_9MCQD1pgIVXGEOjCFo9QqlmJywuebyGgaN92r8/edit?usp=sharing"",""ราชบุรี!I539"")"),0)</f>
        <v>0</v>
      </c>
      <c r="Z67" s="57">
        <f ca="1">IFERROR(__xludf.DUMMYFUNCTION("IMPORTRANGE(""https://docs.google.com/spreadsheets/d/1qU-W_9MCQD1pgIVXGEOjCFo9QqlmJywuebyGgaN92r8/edit?usp=sharing"",""ราชบุรี!J539"")"),0)</f>
        <v>0</v>
      </c>
      <c r="AA67" s="63">
        <f t="shared" ca="1" si="10"/>
        <v>0</v>
      </c>
      <c r="AB67" s="57">
        <f ca="1">IFERROR(__xludf.DUMMYFUNCTION("IMPORTRANGE(""https://docs.google.com/spreadsheets/d/1qU-W_9MCQD1pgIVXGEOjCFo9QqlmJywuebyGgaN92r8/edit?usp=sharing"",""ราชบุรี!I540"")"),0)</f>
        <v>0</v>
      </c>
      <c r="AC67" s="57">
        <f ca="1">IFERROR(__xludf.DUMMYFUNCTION("IMPORTRANGE(""https://docs.google.com/spreadsheets/d/1qU-W_9MCQD1pgIVXGEOjCFo9QqlmJywuebyGgaN92r8/edit?usp=sharing"",""ราชบุรี!J540"")"),0)</f>
        <v>0</v>
      </c>
      <c r="AD67" s="63">
        <f t="shared" ca="1" si="12"/>
        <v>0</v>
      </c>
      <c r="AE67" s="140">
        <f ca="1">IFERROR(__xludf.DUMMYFUNCTION("IMPORTRANGE(""https://docs.google.com/spreadsheets/d/1qU-W_9MCQD1pgIVXGEOjCFo9QqlmJywuebyGgaN92r8/edit?usp=sharing"",""ราชบุรี!I541"")"),0)</f>
        <v>0</v>
      </c>
      <c r="AF67" s="140">
        <f ca="1">IFERROR(__xludf.DUMMYFUNCTION("IMPORTRANGE(""https://docs.google.com/spreadsheets/d/1qU-W_9MCQD1pgIVXGEOjCFo9QqlmJywuebyGgaN92r8/edit?usp=sharing"",""ราชบุรี!J541"")"),0)</f>
        <v>0</v>
      </c>
      <c r="AG67" s="141">
        <f t="shared" ca="1" si="14"/>
        <v>0</v>
      </c>
      <c r="AH67" s="140">
        <f ca="1">IFERROR(__xludf.DUMMYFUNCTION("IMPORTRANGE(""https://docs.google.com/spreadsheets/d/1qU-W_9MCQD1pgIVXGEOjCFo9QqlmJywuebyGgaN92r8/edit?usp=sharing"",""ราชบุรี!I542"")"),0)</f>
        <v>0</v>
      </c>
      <c r="AI67" s="140">
        <f ca="1">IFERROR(__xludf.DUMMYFUNCTION("IMPORTRANGE(""https://docs.google.com/spreadsheets/d/1qU-W_9MCQD1pgIVXGEOjCFo9QqlmJywuebyGgaN92r8/edit?usp=sharing"",""ราชบุรี!J542"")"),0)</f>
        <v>0</v>
      </c>
      <c r="AJ67" s="141">
        <f t="shared" ca="1" si="16"/>
        <v>0</v>
      </c>
    </row>
    <row r="68" spans="1:36" ht="24" customHeight="1" x14ac:dyDescent="0.3">
      <c r="A68" s="54">
        <v>16</v>
      </c>
      <c r="B68" s="55" t="s">
        <v>89</v>
      </c>
      <c r="C68" s="56">
        <f t="shared" ca="1" si="64"/>
        <v>0</v>
      </c>
      <c r="D68" s="57">
        <f ca="1">IFERROR(__xludf.DUMMYFUNCTION("IMPORTRANGE(""https://docs.google.com/spreadsheets/d/1xYFIxIM_CspAP5Q-5Zx_V0T_Ut3cjryrjd2hss28vGk/edit?usp=sharing"",""ลพบุรี!L528"")"),0)</f>
        <v>0</v>
      </c>
      <c r="E68" s="64">
        <f ca="1">IFERROR(__xludf.DUMMYFUNCTION("IMPORTRANGE(""https://docs.google.com/spreadsheets/d/1xYFIxIM_CspAP5Q-5Zx_V0T_Ut3cjryrjd2hss28vGk/edit?usp=sharing"",""ลพบุรี!L535"")"),0)</f>
        <v>0</v>
      </c>
      <c r="F68" s="64">
        <f ca="1">IFERROR(__xludf.DUMMYFUNCTION("IMPORTRANGE(""https://docs.google.com/spreadsheets/d/1xYFIxIM_CspAP5Q-5Zx_V0T_Ut3cjryrjd2hss28vGk/edit?usp=sharing"",""ลพบุรี!M528"")"),0)</f>
        <v>0</v>
      </c>
      <c r="G68" s="64">
        <f ca="1">IFERROR(__xludf.DUMMYFUNCTION("IMPORTRANGE(""https://docs.google.com/spreadsheets/d/1xYFIxIM_CspAP5Q-5Zx_V0T_Ut3cjryrjd2hss28vGk/edit?usp=sharing"",""ลพบุรี!M535"")"),0)</f>
        <v>0</v>
      </c>
      <c r="H68" s="58">
        <f t="shared" ca="1" si="32"/>
        <v>0</v>
      </c>
      <c r="I68" s="59">
        <f t="shared" ca="1" si="1"/>
        <v>0</v>
      </c>
      <c r="J68" s="60">
        <f t="shared" ca="1" si="65"/>
        <v>0</v>
      </c>
      <c r="K68" s="61">
        <f t="shared" ca="1" si="34"/>
        <v>0</v>
      </c>
      <c r="L68" s="61">
        <f t="shared" ca="1" si="35"/>
        <v>0</v>
      </c>
      <c r="M68" s="64">
        <f ca="1">IFERROR(__xludf.DUMMYFUNCTION("IMPORTRANGE(""https://docs.google.com/spreadsheets/d/1xYFIxIM_CspAP5Q-5Zx_V0T_Ut3cjryrjd2hss28vGk/edit?usp=sharing"",""ลพบุรี!N529"")"),0)</f>
        <v>0</v>
      </c>
      <c r="N68" s="64">
        <f ca="1">IFERROR(__xludf.DUMMYFUNCTION("IMPORTRANGE(""https://docs.google.com/spreadsheets/d/1xYFIxIM_CspAP5Q-5Zx_V0T_Ut3cjryrjd2hss28vGk/edit?usp=sharing"",""ลพบุรี!N530"")"),0)</f>
        <v>0</v>
      </c>
      <c r="O68" s="64">
        <f ca="1">IFERROR(__xludf.DUMMYFUNCTION("IMPORTRANGE(""https://docs.google.com/spreadsheets/d/1xYFIxIM_CspAP5Q-5Zx_V0T_Ut3cjryrjd2hss28vGk/edit?usp=sharing"",""ลพบุรี!N531"")"),0)</f>
        <v>0</v>
      </c>
      <c r="P68" s="64">
        <f ca="1">IFERROR(__xludf.DUMMYFUNCTION("IMPORTRANGE(""https://docs.google.com/spreadsheets/d/1xYFIxIM_CspAP5Q-5Zx_V0T_Ut3cjryrjd2hss28vGk/edit?usp=sharing"",""ลพบุรี!N532"")"),0)</f>
        <v>0</v>
      </c>
      <c r="Q68" s="62">
        <f ca="1">IFERROR(__xludf.DUMMYFUNCTION("IMPORTRANGE(""https://docs.google.com/spreadsheets/d/1xYFIxIM_CspAP5Q-5Zx_V0T_Ut3cjryrjd2hss28vGk/edit?usp=sharing"",""ลพบุรี!N535"")"),0)</f>
        <v>0</v>
      </c>
      <c r="R68" s="62">
        <f t="shared" ca="1" si="37"/>
        <v>0</v>
      </c>
      <c r="S68" s="57">
        <f ca="1">IFERROR(__xludf.DUMMYFUNCTION("IMPORTRANGE(""https://docs.google.com/spreadsheets/d/1xYFIxIM_CspAP5Q-5Zx_V0T_Ut3cjryrjd2hss28vGk/edit?usp=sharing"",""ลพบุรี!I537"")"),0)</f>
        <v>0</v>
      </c>
      <c r="T68" s="57">
        <f ca="1">IFERROR(__xludf.DUMMYFUNCTION("IMPORTRANGE(""https://docs.google.com/spreadsheets/d/1xYFIxIM_CspAP5Q-5Zx_V0T_Ut3cjryrjd2hss28vGk/edit?usp=sharing"",""ลพบุรี!J537"")"),0)</f>
        <v>0</v>
      </c>
      <c r="U68" s="63">
        <f t="shared" ca="1" si="6"/>
        <v>0</v>
      </c>
      <c r="V68" s="57">
        <f ca="1">IFERROR(__xludf.DUMMYFUNCTION("IMPORTRANGE(""https://docs.google.com/spreadsheets/d/1xYFIxIM_CspAP5Q-5Zx_V0T_Ut3cjryrjd2hss28vGk/edit?usp=sharing"",""ลพบุรี!I538"")"),0)</f>
        <v>0</v>
      </c>
      <c r="W68" s="57">
        <f ca="1">IFERROR(__xludf.DUMMYFUNCTION("IMPORTRANGE(""https://docs.google.com/spreadsheets/d/1xYFIxIM_CspAP5Q-5Zx_V0T_Ut3cjryrjd2hss28vGk/edit?usp=sharing"",""ลพบุรี!J538"")"),0)</f>
        <v>0</v>
      </c>
      <c r="X68" s="63">
        <f t="shared" ca="1" si="8"/>
        <v>0</v>
      </c>
      <c r="Y68" s="57">
        <f ca="1">IFERROR(__xludf.DUMMYFUNCTION("IMPORTRANGE(""https://docs.google.com/spreadsheets/d/1xYFIxIM_CspAP5Q-5Zx_V0T_Ut3cjryrjd2hss28vGk/edit?usp=sharing"",""ลพบุรี!I539"")"),0)</f>
        <v>0</v>
      </c>
      <c r="Z68" s="57">
        <f ca="1">IFERROR(__xludf.DUMMYFUNCTION("IMPORTRANGE(""https://docs.google.com/spreadsheets/d/1xYFIxIM_CspAP5Q-5Zx_V0T_Ut3cjryrjd2hss28vGk/edit?usp=sharing"",""ลพบุรี!J539"")"),0)</f>
        <v>0</v>
      </c>
      <c r="AA68" s="63">
        <f t="shared" ca="1" si="10"/>
        <v>0</v>
      </c>
      <c r="AB68" s="57">
        <f ca="1">IFERROR(__xludf.DUMMYFUNCTION("IMPORTRANGE(""https://docs.google.com/spreadsheets/d/1xYFIxIM_CspAP5Q-5Zx_V0T_Ut3cjryrjd2hss28vGk/edit?usp=sharing"",""ลพบุรี!I540"")"),0)</f>
        <v>0</v>
      </c>
      <c r="AC68" s="57">
        <f ca="1">IFERROR(__xludf.DUMMYFUNCTION("IMPORTRANGE(""https://docs.google.com/spreadsheets/d/1xYFIxIM_CspAP5Q-5Zx_V0T_Ut3cjryrjd2hss28vGk/edit?usp=sharing"",""ลพบุรี!J540"")"),0)</f>
        <v>0</v>
      </c>
      <c r="AD68" s="63">
        <f t="shared" ca="1" si="12"/>
        <v>0</v>
      </c>
      <c r="AE68" s="140">
        <f ca="1">IFERROR(__xludf.DUMMYFUNCTION("IMPORTRANGE(""https://docs.google.com/spreadsheets/d/1xYFIxIM_CspAP5Q-5Zx_V0T_Ut3cjryrjd2hss28vGk/edit?usp=sharing"",""ลพบุรี!I541"")"),0)</f>
        <v>0</v>
      </c>
      <c r="AF68" s="140">
        <f ca="1">IFERROR(__xludf.DUMMYFUNCTION("IMPORTRANGE(""https://docs.google.com/spreadsheets/d/1xYFIxIM_CspAP5Q-5Zx_V0T_Ut3cjryrjd2hss28vGk/edit?usp=sharing"",""ลพบุรี!J541"")"),0)</f>
        <v>0</v>
      </c>
      <c r="AG68" s="141">
        <f t="shared" ca="1" si="14"/>
        <v>0</v>
      </c>
      <c r="AH68" s="140">
        <f ca="1">IFERROR(__xludf.DUMMYFUNCTION("IMPORTRANGE(""https://docs.google.com/spreadsheets/d/1xYFIxIM_CspAP5Q-5Zx_V0T_Ut3cjryrjd2hss28vGk/edit?usp=sharing"",""ลพบุรี!I542"")"),0)</f>
        <v>0</v>
      </c>
      <c r="AI68" s="140">
        <f ca="1">IFERROR(__xludf.DUMMYFUNCTION("IMPORTRANGE(""https://docs.google.com/spreadsheets/d/1xYFIxIM_CspAP5Q-5Zx_V0T_Ut3cjryrjd2hss28vGk/edit?usp=sharing"",""ลพบุรี!J542"")"),0)</f>
        <v>0</v>
      </c>
      <c r="AJ68" s="141">
        <f t="shared" ca="1" si="16"/>
        <v>0</v>
      </c>
    </row>
    <row r="69" spans="1:36" ht="21" customHeight="1" x14ac:dyDescent="0.3">
      <c r="A69" s="54">
        <v>17</v>
      </c>
      <c r="B69" s="55" t="s">
        <v>90</v>
      </c>
      <c r="C69" s="56">
        <f t="shared" ca="1" si="64"/>
        <v>427460</v>
      </c>
      <c r="D69" s="57">
        <f ca="1">IFERROR(__xludf.DUMMYFUNCTION("IMPORTRANGE(""https://docs.google.com/spreadsheets/d/11s9m3tKsCBdPWq6syhZm27eBGbKneDLZc75co106bio/edit?usp=sharing"",""สระแก้ว!L528"")"),427460)</f>
        <v>427460</v>
      </c>
      <c r="E69" s="64">
        <f ca="1">IFERROR(__xludf.DUMMYFUNCTION("IMPORTRANGE(""https://docs.google.com/spreadsheets/d/11s9m3tKsCBdPWq6syhZm27eBGbKneDLZc75co106bio/edit?usp=sharing"",""สระแก้ว!L535"")"),0)</f>
        <v>0</v>
      </c>
      <c r="F69" s="64">
        <f ca="1">IFERROR(__xludf.DUMMYFUNCTION("IMPORTRANGE(""https://docs.google.com/spreadsheets/d/11s9m3tKsCBdPWq6syhZm27eBGbKneDLZc75co106bio/edit?usp=sharing"",""สระแก้ว!M528"")"),427460)</f>
        <v>427460</v>
      </c>
      <c r="G69" s="64">
        <f ca="1">IFERROR(__xludf.DUMMYFUNCTION("IMPORTRANGE(""https://docs.google.com/spreadsheets/d/11s9m3tKsCBdPWq6syhZm27eBGbKneDLZc75co106bio/edit?usp=sharing"",""สระแก้ว!M535"")"),0)</f>
        <v>0</v>
      </c>
      <c r="H69" s="58">
        <f t="shared" ca="1" si="32"/>
        <v>130280</v>
      </c>
      <c r="I69" s="59">
        <f t="shared" ca="1" si="1"/>
        <v>30.477705516305619</v>
      </c>
      <c r="J69" s="60">
        <f t="shared" ca="1" si="65"/>
        <v>130280</v>
      </c>
      <c r="K69" s="61">
        <f t="shared" ca="1" si="34"/>
        <v>30.477705516305619</v>
      </c>
      <c r="L69" s="61">
        <f t="shared" ca="1" si="35"/>
        <v>30.477705516305619</v>
      </c>
      <c r="M69" s="64">
        <f ca="1">IFERROR(__xludf.DUMMYFUNCTION("IMPORTRANGE(""https://docs.google.com/spreadsheets/d/11s9m3tKsCBdPWq6syhZm27eBGbKneDLZc75co106bio/edit?usp=sharing"",""สระแก้ว!N529"")"),119970)</f>
        <v>119970</v>
      </c>
      <c r="N69" s="64">
        <f ca="1">IFERROR(__xludf.DUMMYFUNCTION("IMPORTRANGE(""https://docs.google.com/spreadsheets/d/11s9m3tKsCBdPWq6syhZm27eBGbKneDLZc75co106bio/edit?usp=sharing"",""สระแก้ว!N530"")"),0)</f>
        <v>0</v>
      </c>
      <c r="O69" s="64">
        <f ca="1">IFERROR(__xludf.DUMMYFUNCTION("IMPORTRANGE(""https://docs.google.com/spreadsheets/d/11s9m3tKsCBdPWq6syhZm27eBGbKneDLZc75co106bio/edit?usp=sharing"",""สระแก้ว!N531"")"),0)</f>
        <v>0</v>
      </c>
      <c r="P69" s="64">
        <f ca="1">IFERROR(__xludf.DUMMYFUNCTION("IMPORTRANGE(""https://docs.google.com/spreadsheets/d/11s9m3tKsCBdPWq6syhZm27eBGbKneDLZc75co106bio/edit?usp=sharing"",""สระแก้ว!N532"")"),10310)</f>
        <v>10310</v>
      </c>
      <c r="Q69" s="62">
        <f ca="1">IFERROR(__xludf.DUMMYFUNCTION("IMPORTRANGE(""https://docs.google.com/spreadsheets/d/11s9m3tKsCBdPWq6syhZm27eBGbKneDLZc75co106bio/edit?usp=sharing"",""สระแก้ว!N535"")"),0)</f>
        <v>0</v>
      </c>
      <c r="R69" s="62">
        <f t="shared" ca="1" si="37"/>
        <v>0</v>
      </c>
      <c r="S69" s="57">
        <f ca="1">IFERROR(__xludf.DUMMYFUNCTION("IMPORTRANGE(""https://docs.google.com/spreadsheets/d/11s9m3tKsCBdPWq6syhZm27eBGbKneDLZc75co106bio/edit?usp=sharing"",""สระแก้ว!I537"")"),50)</f>
        <v>50</v>
      </c>
      <c r="T69" s="57">
        <f ca="1">IFERROR(__xludf.DUMMYFUNCTION("IMPORTRANGE(""https://docs.google.com/spreadsheets/d/11s9m3tKsCBdPWq6syhZm27eBGbKneDLZc75co106bio/edit?usp=sharing"",""สระแก้ว!J537"")"),50)</f>
        <v>50</v>
      </c>
      <c r="U69" s="63">
        <f t="shared" ca="1" si="6"/>
        <v>100</v>
      </c>
      <c r="V69" s="57">
        <f ca="1">IFERROR(__xludf.DUMMYFUNCTION("IMPORTRANGE(""https://docs.google.com/spreadsheets/d/11s9m3tKsCBdPWq6syhZm27eBGbKneDLZc75co106bio/edit?usp=sharing"",""สระแก้ว!I538"")"),50)</f>
        <v>50</v>
      </c>
      <c r="W69" s="57">
        <f ca="1">IFERROR(__xludf.DUMMYFUNCTION("IMPORTRANGE(""https://docs.google.com/spreadsheets/d/11s9m3tKsCBdPWq6syhZm27eBGbKneDLZc75co106bio/edit?usp=sharing"",""สระแก้ว!J538"")"),50)</f>
        <v>50</v>
      </c>
      <c r="X69" s="63">
        <f t="shared" ca="1" si="8"/>
        <v>100</v>
      </c>
      <c r="Y69" s="57">
        <f ca="1">IFERROR(__xludf.DUMMYFUNCTION("IMPORTRANGE(""https://docs.google.com/spreadsheets/d/11s9m3tKsCBdPWq6syhZm27eBGbKneDLZc75co106bio/edit?usp=sharing"",""สระแก้ว!I539"")"),0)</f>
        <v>0</v>
      </c>
      <c r="Z69" s="57">
        <f ca="1">IFERROR(__xludf.DUMMYFUNCTION("IMPORTRANGE(""https://docs.google.com/spreadsheets/d/11s9m3tKsCBdPWq6syhZm27eBGbKneDLZc75co106bio/edit?usp=sharing"",""สระแก้ว!J539"")"),0)</f>
        <v>0</v>
      </c>
      <c r="AA69" s="63">
        <f t="shared" ca="1" si="10"/>
        <v>0</v>
      </c>
      <c r="AB69" s="57">
        <f ca="1">IFERROR(__xludf.DUMMYFUNCTION("IMPORTRANGE(""https://docs.google.com/spreadsheets/d/11s9m3tKsCBdPWq6syhZm27eBGbKneDLZc75co106bio/edit?usp=sharing"",""สระแก้ว!I540"")"),0)</f>
        <v>0</v>
      </c>
      <c r="AC69" s="57">
        <f ca="1">IFERROR(__xludf.DUMMYFUNCTION("IMPORTRANGE(""https://docs.google.com/spreadsheets/d/11s9m3tKsCBdPWq6syhZm27eBGbKneDLZc75co106bio/edit?usp=sharing"",""สระแก้ว!J540"")"),0)</f>
        <v>0</v>
      </c>
      <c r="AD69" s="63">
        <f t="shared" ca="1" si="12"/>
        <v>0</v>
      </c>
      <c r="AE69" s="140">
        <f ca="1">IFERROR(__xludf.DUMMYFUNCTION("IMPORTRANGE(""https://docs.google.com/spreadsheets/d/11s9m3tKsCBdPWq6syhZm27eBGbKneDLZc75co106bio/edit?usp=sharing"",""สระแก้ว!I541"")"),50)</f>
        <v>50</v>
      </c>
      <c r="AF69" s="140">
        <f ca="1">IFERROR(__xludf.DUMMYFUNCTION("IMPORTRANGE(""https://docs.google.com/spreadsheets/d/11s9m3tKsCBdPWq6syhZm27eBGbKneDLZc75co106bio/edit?usp=sharing"",""สระแก้ว!J541"")"),50)</f>
        <v>50</v>
      </c>
      <c r="AG69" s="141">
        <f t="shared" ca="1" si="14"/>
        <v>100</v>
      </c>
      <c r="AH69" s="140">
        <f ca="1">IFERROR(__xludf.DUMMYFUNCTION("IMPORTRANGE(""https://docs.google.com/spreadsheets/d/11s9m3tKsCBdPWq6syhZm27eBGbKneDLZc75co106bio/edit?usp=sharing"",""สระแก้ว!I542"")"),50)</f>
        <v>50</v>
      </c>
      <c r="AI69" s="140">
        <f ca="1">IFERROR(__xludf.DUMMYFUNCTION("IMPORTRANGE(""https://docs.google.com/spreadsheets/d/11s9m3tKsCBdPWq6syhZm27eBGbKneDLZc75co106bio/edit?usp=sharing"",""สระแก้ว!J542"")"),0)</f>
        <v>0</v>
      </c>
      <c r="AJ69" s="141">
        <f t="shared" ca="1" si="16"/>
        <v>0</v>
      </c>
    </row>
    <row r="70" spans="1:36" ht="21" customHeight="1" x14ac:dyDescent="0.3">
      <c r="A70" s="54">
        <v>18</v>
      </c>
      <c r="B70" s="55" t="s">
        <v>91</v>
      </c>
      <c r="C70" s="56">
        <f t="shared" ca="1" si="64"/>
        <v>0</v>
      </c>
      <c r="D70" s="57">
        <f ca="1">IFERROR(__xludf.DUMMYFUNCTION("IMPORTRANGE(""https://docs.google.com/spreadsheets/d/1Nn1EvsFPtXldgpgVb3Rcng2K2cls68LFQsBh2FyW0Bg/edit?usp=sharing"",""สระบุรี!L528"")"),0)</f>
        <v>0</v>
      </c>
      <c r="E70" s="64">
        <f ca="1">IFERROR(__xludf.DUMMYFUNCTION("IMPORTRANGE(""https://docs.google.com/spreadsheets/d/1Nn1EvsFPtXldgpgVb3Rcng2K2cls68LFQsBh2FyW0Bg/edit?usp=sharing"",""สระบุรี!L535"")"),0)</f>
        <v>0</v>
      </c>
      <c r="F70" s="64">
        <f ca="1">IFERROR(__xludf.DUMMYFUNCTION("IMPORTRANGE(""https://docs.google.com/spreadsheets/d/1Nn1EvsFPtXldgpgVb3Rcng2K2cls68LFQsBh2FyW0Bg/edit?usp=sharing"",""สระบุรี!M528"")"),0)</f>
        <v>0</v>
      </c>
      <c r="G70" s="64">
        <f ca="1">IFERROR(__xludf.DUMMYFUNCTION("IMPORTRANGE(""https://docs.google.com/spreadsheets/d/1Nn1EvsFPtXldgpgVb3Rcng2K2cls68LFQsBh2FyW0Bg/edit?usp=sharing"",""สระบุรี!M535"")"),0)</f>
        <v>0</v>
      </c>
      <c r="H70" s="58">
        <f t="shared" ca="1" si="32"/>
        <v>0</v>
      </c>
      <c r="I70" s="59">
        <f t="shared" ca="1" si="1"/>
        <v>0</v>
      </c>
      <c r="J70" s="60">
        <f t="shared" ca="1" si="65"/>
        <v>0</v>
      </c>
      <c r="K70" s="61">
        <f t="shared" ca="1" si="34"/>
        <v>0</v>
      </c>
      <c r="L70" s="61">
        <f t="shared" ca="1" si="35"/>
        <v>0</v>
      </c>
      <c r="M70" s="64">
        <f ca="1">IFERROR(__xludf.DUMMYFUNCTION("IMPORTRANGE(""https://docs.google.com/spreadsheets/d/1Nn1EvsFPtXldgpgVb3Rcng2K2cls68LFQsBh2FyW0Bg/edit?usp=sharing"",""สระบุรี!N529"")"),0)</f>
        <v>0</v>
      </c>
      <c r="N70" s="64">
        <f ca="1">IFERROR(__xludf.DUMMYFUNCTION("IMPORTRANGE(""https://docs.google.com/spreadsheets/d/1Nn1EvsFPtXldgpgVb3Rcng2K2cls68LFQsBh2FyW0Bg/edit?usp=sharing"",""สระบุรี!N530"")"),0)</f>
        <v>0</v>
      </c>
      <c r="O70" s="64">
        <f ca="1">IFERROR(__xludf.DUMMYFUNCTION("IMPORTRANGE(""https://docs.google.com/spreadsheets/d/1Nn1EvsFPtXldgpgVb3Rcng2K2cls68LFQsBh2FyW0Bg/edit?usp=sharing"",""สระบุรี!N531"")"),0)</f>
        <v>0</v>
      </c>
      <c r="P70" s="64">
        <f ca="1">IFERROR(__xludf.DUMMYFUNCTION("IMPORTRANGE(""https://docs.google.com/spreadsheets/d/1Nn1EvsFPtXldgpgVb3Rcng2K2cls68LFQsBh2FyW0Bg/edit?usp=sharing"",""สระบุรี!N532"")"),0)</f>
        <v>0</v>
      </c>
      <c r="Q70" s="62">
        <f ca="1">IFERROR(__xludf.DUMMYFUNCTION("IMPORTRANGE(""https://docs.google.com/spreadsheets/d/1Nn1EvsFPtXldgpgVb3Rcng2K2cls68LFQsBh2FyW0Bg/edit?usp=sharing"",""สระบุรี!N535"")"),0)</f>
        <v>0</v>
      </c>
      <c r="R70" s="62">
        <f t="shared" ca="1" si="37"/>
        <v>0</v>
      </c>
      <c r="S70" s="57">
        <f ca="1">IFERROR(__xludf.DUMMYFUNCTION("IMPORTRANGE(""https://docs.google.com/spreadsheets/d/1Nn1EvsFPtXldgpgVb3Rcng2K2cls68LFQsBh2FyW0Bg/edit?usp=sharing"",""สระบุรี!I537"")"),0)</f>
        <v>0</v>
      </c>
      <c r="T70" s="57">
        <f ca="1">IFERROR(__xludf.DUMMYFUNCTION("IMPORTRANGE(""https://docs.google.com/spreadsheets/d/1Nn1EvsFPtXldgpgVb3Rcng2K2cls68LFQsBh2FyW0Bg/edit?usp=sharing"",""สระบุรี!J537"")"),0)</f>
        <v>0</v>
      </c>
      <c r="U70" s="63">
        <f t="shared" ca="1" si="6"/>
        <v>0</v>
      </c>
      <c r="V70" s="57">
        <f ca="1">IFERROR(__xludf.DUMMYFUNCTION("IMPORTRANGE(""https://docs.google.com/spreadsheets/d/1Nn1EvsFPtXldgpgVb3Rcng2K2cls68LFQsBh2FyW0Bg/edit?usp=sharing"",""สระบุรี!I538"")"),0)</f>
        <v>0</v>
      </c>
      <c r="W70" s="57">
        <f ca="1">IFERROR(__xludf.DUMMYFUNCTION("IMPORTRANGE(""https://docs.google.com/spreadsheets/d/1Nn1EvsFPtXldgpgVb3Rcng2K2cls68LFQsBh2FyW0Bg/edit?usp=sharing"",""สระบุรี!J538"")"),0)</f>
        <v>0</v>
      </c>
      <c r="X70" s="63">
        <f t="shared" ca="1" si="8"/>
        <v>0</v>
      </c>
      <c r="Y70" s="57">
        <f ca="1">IFERROR(__xludf.DUMMYFUNCTION("IMPORTRANGE(""https://docs.google.com/spreadsheets/d/1Nn1EvsFPtXldgpgVb3Rcng2K2cls68LFQsBh2FyW0Bg/edit?usp=sharing"",""สระบุรี!I539"")"),0)</f>
        <v>0</v>
      </c>
      <c r="Z70" s="57">
        <f ca="1">IFERROR(__xludf.DUMMYFUNCTION("IMPORTRANGE(""https://docs.google.com/spreadsheets/d/1Nn1EvsFPtXldgpgVb3Rcng2K2cls68LFQsBh2FyW0Bg/edit?usp=sharing"",""สระบุรี!J539"")"),0)</f>
        <v>0</v>
      </c>
      <c r="AA70" s="63">
        <f t="shared" ca="1" si="10"/>
        <v>0</v>
      </c>
      <c r="AB70" s="57">
        <f ca="1">IFERROR(__xludf.DUMMYFUNCTION("IMPORTRANGE(""https://docs.google.com/spreadsheets/d/1Nn1EvsFPtXldgpgVb3Rcng2K2cls68LFQsBh2FyW0Bg/edit?usp=sharing"",""สระบุรี!I540"")"),0)</f>
        <v>0</v>
      </c>
      <c r="AC70" s="57">
        <f ca="1">IFERROR(__xludf.DUMMYFUNCTION("IMPORTRANGE(""https://docs.google.com/spreadsheets/d/1Nn1EvsFPtXldgpgVb3Rcng2K2cls68LFQsBh2FyW0Bg/edit?usp=sharing"",""สระบุรี!J540"")"),0)</f>
        <v>0</v>
      </c>
      <c r="AD70" s="63">
        <f t="shared" ca="1" si="12"/>
        <v>0</v>
      </c>
      <c r="AE70" s="140">
        <f ca="1">IFERROR(__xludf.DUMMYFUNCTION("IMPORTRANGE(""https://docs.google.com/spreadsheets/d/1Nn1EvsFPtXldgpgVb3Rcng2K2cls68LFQsBh2FyW0Bg/edit?usp=sharing"",""สระบุรี!I541"")"),0)</f>
        <v>0</v>
      </c>
      <c r="AF70" s="140">
        <f ca="1">IFERROR(__xludf.DUMMYFUNCTION("IMPORTRANGE(""https://docs.google.com/spreadsheets/d/1Nn1EvsFPtXldgpgVb3Rcng2K2cls68LFQsBh2FyW0Bg/edit?usp=sharing"",""สระบุรี!J541"")"),0)</f>
        <v>0</v>
      </c>
      <c r="AG70" s="141">
        <f t="shared" ca="1" si="14"/>
        <v>0</v>
      </c>
      <c r="AH70" s="140">
        <f ca="1">IFERROR(__xludf.DUMMYFUNCTION("IMPORTRANGE(""https://docs.google.com/spreadsheets/d/1Nn1EvsFPtXldgpgVb3Rcng2K2cls68LFQsBh2FyW0Bg/edit?usp=sharing"",""สระบุรี!I542"")"),0)</f>
        <v>0</v>
      </c>
      <c r="AI70" s="140">
        <f ca="1">IFERROR(__xludf.DUMMYFUNCTION("IMPORTRANGE(""https://docs.google.com/spreadsheets/d/1Nn1EvsFPtXldgpgVb3Rcng2K2cls68LFQsBh2FyW0Bg/edit?usp=sharing"",""สระบุรี!J542"")"),0)</f>
        <v>0</v>
      </c>
      <c r="AJ70" s="141">
        <f t="shared" ca="1" si="16"/>
        <v>0</v>
      </c>
    </row>
    <row r="71" spans="1:36" ht="21" customHeight="1" x14ac:dyDescent="0.3">
      <c r="A71" s="54">
        <v>19</v>
      </c>
      <c r="B71" s="55" t="s">
        <v>92</v>
      </c>
      <c r="C71" s="56">
        <f t="shared" ca="1" si="64"/>
        <v>0</v>
      </c>
      <c r="D71" s="57">
        <f ca="1">IFERROR(__xludf.DUMMYFUNCTION("IMPORTRANGE(""https://docs.google.com/spreadsheets/d/149xufxukrnEciK3WPbNpHwUK8BKEJxp3UcBG3Al6dA4/edit?usp=sharing"",""สิงห์บุรี!L528"")"),0)</f>
        <v>0</v>
      </c>
      <c r="E71" s="64">
        <f ca="1">IFERROR(__xludf.DUMMYFUNCTION("IMPORTRANGE(""https://docs.google.com/spreadsheets/d/149xufxukrnEciK3WPbNpHwUK8BKEJxp3UcBG3Al6dA4/edit?usp=sharing"",""สิงห์บุรี!L535"")"),0)</f>
        <v>0</v>
      </c>
      <c r="F71" s="64">
        <f ca="1">IFERROR(__xludf.DUMMYFUNCTION("IMPORTRANGE(""https://docs.google.com/spreadsheets/d/149xufxukrnEciK3WPbNpHwUK8BKEJxp3UcBG3Al6dA4/edit?usp=sharing"",""สิงห์บุรี!M528"")"),0)</f>
        <v>0</v>
      </c>
      <c r="G71" s="64">
        <f ca="1">IFERROR(__xludf.DUMMYFUNCTION("IMPORTRANGE(""https://docs.google.com/spreadsheets/d/149xufxukrnEciK3WPbNpHwUK8BKEJxp3UcBG3Al6dA4/edit?usp=sharing"",""สิงห์บุรี!M535"")"),0)</f>
        <v>0</v>
      </c>
      <c r="H71" s="58">
        <f t="shared" ca="1" si="32"/>
        <v>0</v>
      </c>
      <c r="I71" s="59">
        <f t="shared" ca="1" si="1"/>
        <v>0</v>
      </c>
      <c r="J71" s="60">
        <f t="shared" ca="1" si="65"/>
        <v>0</v>
      </c>
      <c r="K71" s="61">
        <f t="shared" ca="1" si="34"/>
        <v>0</v>
      </c>
      <c r="L71" s="61">
        <f t="shared" ca="1" si="35"/>
        <v>0</v>
      </c>
      <c r="M71" s="64">
        <f ca="1">IFERROR(__xludf.DUMMYFUNCTION("IMPORTRANGE(""https://docs.google.com/spreadsheets/d/149xufxukrnEciK3WPbNpHwUK8BKEJxp3UcBG3Al6dA4/edit?usp=sharing"",""สิงห์บุรี!N529"")"),0)</f>
        <v>0</v>
      </c>
      <c r="N71" s="64">
        <f ca="1">IFERROR(__xludf.DUMMYFUNCTION("IMPORTRANGE(""https://docs.google.com/spreadsheets/d/149xufxukrnEciK3WPbNpHwUK8BKEJxp3UcBG3Al6dA4/edit?usp=sharing"",""สิงห์บุรี!N530"")"),0)</f>
        <v>0</v>
      </c>
      <c r="O71" s="64">
        <f ca="1">IFERROR(__xludf.DUMMYFUNCTION("IMPORTRANGE(""https://docs.google.com/spreadsheets/d/149xufxukrnEciK3WPbNpHwUK8BKEJxp3UcBG3Al6dA4/edit?usp=sharing"",""สิงห์บุรี!N531"")"),0)</f>
        <v>0</v>
      </c>
      <c r="P71" s="64">
        <f ca="1">IFERROR(__xludf.DUMMYFUNCTION("IMPORTRANGE(""https://docs.google.com/spreadsheets/d/149xufxukrnEciK3WPbNpHwUK8BKEJxp3UcBG3Al6dA4/edit?usp=sharing"",""สิงห์บุรี!N532"")"),0)</f>
        <v>0</v>
      </c>
      <c r="Q71" s="62">
        <f ca="1">IFERROR(__xludf.DUMMYFUNCTION("IMPORTRANGE(""https://docs.google.com/spreadsheets/d/149xufxukrnEciK3WPbNpHwUK8BKEJxp3UcBG3Al6dA4/edit?usp=sharing"",""สิงห์บุรี!N535"")"),0)</f>
        <v>0</v>
      </c>
      <c r="R71" s="62">
        <f t="shared" ca="1" si="37"/>
        <v>0</v>
      </c>
      <c r="S71" s="57">
        <f ca="1">IFERROR(__xludf.DUMMYFUNCTION("IMPORTRANGE(""https://docs.google.com/spreadsheets/d/149xufxukrnEciK3WPbNpHwUK8BKEJxp3UcBG3Al6dA4/edit?usp=sharing"",""สิงห์บุรี!I537"")"),0)</f>
        <v>0</v>
      </c>
      <c r="T71" s="57">
        <f ca="1">IFERROR(__xludf.DUMMYFUNCTION("IMPORTRANGE(""https://docs.google.com/spreadsheets/d/149xufxukrnEciK3WPbNpHwUK8BKEJxp3UcBG3Al6dA4/edit?usp=sharing"",""สิงห์บุรี!J537"")"),0)</f>
        <v>0</v>
      </c>
      <c r="U71" s="63">
        <f t="shared" ca="1" si="6"/>
        <v>0</v>
      </c>
      <c r="V71" s="57">
        <f ca="1">IFERROR(__xludf.DUMMYFUNCTION("IMPORTRANGE(""https://docs.google.com/spreadsheets/d/149xufxukrnEciK3WPbNpHwUK8BKEJxp3UcBG3Al6dA4/edit?usp=sharing"",""สิงห์บุรี!I538"")"),0)</f>
        <v>0</v>
      </c>
      <c r="W71" s="57">
        <f ca="1">IFERROR(__xludf.DUMMYFUNCTION("IMPORTRANGE(""https://docs.google.com/spreadsheets/d/149xufxukrnEciK3WPbNpHwUK8BKEJxp3UcBG3Al6dA4/edit?usp=sharing"",""สิงห์บุรี!J538"")"),0)</f>
        <v>0</v>
      </c>
      <c r="X71" s="63">
        <f t="shared" ca="1" si="8"/>
        <v>0</v>
      </c>
      <c r="Y71" s="57">
        <f ca="1">IFERROR(__xludf.DUMMYFUNCTION("IMPORTRANGE(""https://docs.google.com/spreadsheets/d/149xufxukrnEciK3WPbNpHwUK8BKEJxp3UcBG3Al6dA4/edit?usp=sharing"",""สิงห์บุรี!I539"")"),0)</f>
        <v>0</v>
      </c>
      <c r="Z71" s="57">
        <f ca="1">IFERROR(__xludf.DUMMYFUNCTION("IMPORTRANGE(""https://docs.google.com/spreadsheets/d/149xufxukrnEciK3WPbNpHwUK8BKEJxp3UcBG3Al6dA4/edit?usp=sharing"",""สิงห์บุรี!J539"")"),0)</f>
        <v>0</v>
      </c>
      <c r="AA71" s="63">
        <f t="shared" ca="1" si="10"/>
        <v>0</v>
      </c>
      <c r="AB71" s="57">
        <f ca="1">IFERROR(__xludf.DUMMYFUNCTION("IMPORTRANGE(""https://docs.google.com/spreadsheets/d/149xufxukrnEciK3WPbNpHwUK8BKEJxp3UcBG3Al6dA4/edit?usp=sharing"",""สิงห์บุรี!I540"")"),0)</f>
        <v>0</v>
      </c>
      <c r="AC71" s="57">
        <f ca="1">IFERROR(__xludf.DUMMYFUNCTION("IMPORTRANGE(""https://docs.google.com/spreadsheets/d/149xufxukrnEciK3WPbNpHwUK8BKEJxp3UcBG3Al6dA4/edit?usp=sharing"",""สิงห์บุรี!J540"")"),0)</f>
        <v>0</v>
      </c>
      <c r="AD71" s="63">
        <f t="shared" ca="1" si="12"/>
        <v>0</v>
      </c>
      <c r="AE71" s="140">
        <f ca="1">IFERROR(__xludf.DUMMYFUNCTION("IMPORTRANGE(""https://docs.google.com/spreadsheets/d/149xufxukrnEciK3WPbNpHwUK8BKEJxp3UcBG3Al6dA4/edit?usp=sharing"",""สิงห์บุรี!I541"")"),0)</f>
        <v>0</v>
      </c>
      <c r="AF71" s="140">
        <f ca="1">IFERROR(__xludf.DUMMYFUNCTION("IMPORTRANGE(""https://docs.google.com/spreadsheets/d/149xufxukrnEciK3WPbNpHwUK8BKEJxp3UcBG3Al6dA4/edit?usp=sharing"",""สิงห์บุรี!J541"")"),0)</f>
        <v>0</v>
      </c>
      <c r="AG71" s="141">
        <f t="shared" ca="1" si="14"/>
        <v>0</v>
      </c>
      <c r="AH71" s="140">
        <f ca="1">IFERROR(__xludf.DUMMYFUNCTION("IMPORTRANGE(""https://docs.google.com/spreadsheets/d/149xufxukrnEciK3WPbNpHwUK8BKEJxp3UcBG3Al6dA4/edit?usp=sharing"",""สิงห์บุรี!I542"")"),0)</f>
        <v>0</v>
      </c>
      <c r="AI71" s="140">
        <f ca="1">IFERROR(__xludf.DUMMYFUNCTION("IMPORTRANGE(""https://docs.google.com/spreadsheets/d/149xufxukrnEciK3WPbNpHwUK8BKEJxp3UcBG3Al6dA4/edit?usp=sharing"",""สิงห์บุรี!J542"")"),0)</f>
        <v>0</v>
      </c>
      <c r="AJ71" s="141">
        <f t="shared" ca="1" si="16"/>
        <v>0</v>
      </c>
    </row>
    <row r="72" spans="1:36" ht="21" customHeight="1" x14ac:dyDescent="0.3">
      <c r="A72" s="54">
        <v>20</v>
      </c>
      <c r="B72" s="55" t="s">
        <v>93</v>
      </c>
      <c r="C72" s="56">
        <f t="shared" ca="1" si="64"/>
        <v>0</v>
      </c>
      <c r="D72" s="57">
        <f ca="1">IFERROR(__xludf.DUMMYFUNCTION("IMPORTRANGE(""https://docs.google.com/spreadsheets/d/132g-zJpz2uMKimp17uOIx8A7o3w1Z25zwJyXnwsB56c/edit?usp=sharing"",""สุพรรณบุรี!L528"")"),0)</f>
        <v>0</v>
      </c>
      <c r="E72" s="64">
        <f ca="1">IFERROR(__xludf.DUMMYFUNCTION("IMPORTRANGE(""https://docs.google.com/spreadsheets/d/132g-zJpz2uMKimp17uOIx8A7o3w1Z25zwJyXnwsB56c/edit?usp=sharing"",""สุพรรณบุรี!L535"")"),0)</f>
        <v>0</v>
      </c>
      <c r="F72" s="64">
        <f ca="1">IFERROR(__xludf.DUMMYFUNCTION("IMPORTRANGE(""https://docs.google.com/spreadsheets/d/132g-zJpz2uMKimp17uOIx8A7o3w1Z25zwJyXnwsB56c/edit?usp=sharing"",""สุพรรณบุรี!M528"")"),0)</f>
        <v>0</v>
      </c>
      <c r="G72" s="64">
        <f ca="1">IFERROR(__xludf.DUMMYFUNCTION("IMPORTRANGE(""https://docs.google.com/spreadsheets/d/132g-zJpz2uMKimp17uOIx8A7o3w1Z25zwJyXnwsB56c/edit?usp=sharing"",""สุพรรณบุรี!M535"")"),0)</f>
        <v>0</v>
      </c>
      <c r="H72" s="58">
        <f t="shared" ca="1" si="32"/>
        <v>0</v>
      </c>
      <c r="I72" s="59">
        <f t="shared" ca="1" si="1"/>
        <v>0</v>
      </c>
      <c r="J72" s="60">
        <f t="shared" ca="1" si="65"/>
        <v>0</v>
      </c>
      <c r="K72" s="61">
        <f t="shared" ca="1" si="34"/>
        <v>0</v>
      </c>
      <c r="L72" s="61">
        <f t="shared" ca="1" si="35"/>
        <v>0</v>
      </c>
      <c r="M72" s="64">
        <f ca="1">IFERROR(__xludf.DUMMYFUNCTION("IMPORTRANGE(""https://docs.google.com/spreadsheets/d/132g-zJpz2uMKimp17uOIx8A7o3w1Z25zwJyXnwsB56c/edit?usp=sharing"",""สุพรรณบุรี!N529"")"),0)</f>
        <v>0</v>
      </c>
      <c r="N72" s="64">
        <f ca="1">IFERROR(__xludf.DUMMYFUNCTION("IMPORTRANGE(""https://docs.google.com/spreadsheets/d/132g-zJpz2uMKimp17uOIx8A7o3w1Z25zwJyXnwsB56c/edit?usp=sharing"",""สุพรรณบุรี!N530"")"),0)</f>
        <v>0</v>
      </c>
      <c r="O72" s="64">
        <f ca="1">IFERROR(__xludf.DUMMYFUNCTION("IMPORTRANGE(""https://docs.google.com/spreadsheets/d/132g-zJpz2uMKimp17uOIx8A7o3w1Z25zwJyXnwsB56c/edit?usp=sharing"",""สุพรรณบุรี!N531"")"),0)</f>
        <v>0</v>
      </c>
      <c r="P72" s="64">
        <f ca="1">IFERROR(__xludf.DUMMYFUNCTION("IMPORTRANGE(""https://docs.google.com/spreadsheets/d/132g-zJpz2uMKimp17uOIx8A7o3w1Z25zwJyXnwsB56c/edit?usp=sharing"",""สุพรรณบุรี!N532"")"),0)</f>
        <v>0</v>
      </c>
      <c r="Q72" s="62">
        <f ca="1">IFERROR(__xludf.DUMMYFUNCTION("IMPORTRANGE(""https://docs.google.com/spreadsheets/d/132g-zJpz2uMKimp17uOIx8A7o3w1Z25zwJyXnwsB56c/edit?usp=sharing"",""สุพรรณบุรี!N535"")"),0)</f>
        <v>0</v>
      </c>
      <c r="R72" s="62">
        <f t="shared" ca="1" si="37"/>
        <v>0</v>
      </c>
      <c r="S72" s="57">
        <f ca="1">IFERROR(__xludf.DUMMYFUNCTION("IMPORTRANGE(""https://docs.google.com/spreadsheets/d/132g-zJpz2uMKimp17uOIx8A7o3w1Z25zwJyXnwsB56c/edit?usp=sharing"",""สุพรรณบุรี!I537"")"),0)</f>
        <v>0</v>
      </c>
      <c r="T72" s="57">
        <f ca="1">IFERROR(__xludf.DUMMYFUNCTION("IMPORTRANGE(""https://docs.google.com/spreadsheets/d/132g-zJpz2uMKimp17uOIx8A7o3w1Z25zwJyXnwsB56c/edit?usp=sharing"",""สุพรรณบุรี!J537"")"),0)</f>
        <v>0</v>
      </c>
      <c r="U72" s="63">
        <f t="shared" ca="1" si="6"/>
        <v>0</v>
      </c>
      <c r="V72" s="57">
        <f ca="1">IFERROR(__xludf.DUMMYFUNCTION("IMPORTRANGE(""https://docs.google.com/spreadsheets/d/132g-zJpz2uMKimp17uOIx8A7o3w1Z25zwJyXnwsB56c/edit?usp=sharing"",""สุพรรณบุรี!I538"")"),0)</f>
        <v>0</v>
      </c>
      <c r="W72" s="57">
        <f ca="1">IFERROR(__xludf.DUMMYFUNCTION("IMPORTRANGE(""https://docs.google.com/spreadsheets/d/132g-zJpz2uMKimp17uOIx8A7o3w1Z25zwJyXnwsB56c/edit?usp=sharing"",""สุพรรณบุรี!J538"")"),0)</f>
        <v>0</v>
      </c>
      <c r="X72" s="63">
        <f t="shared" ca="1" si="8"/>
        <v>0</v>
      </c>
      <c r="Y72" s="57">
        <f ca="1">IFERROR(__xludf.DUMMYFUNCTION("IMPORTRANGE(""https://docs.google.com/spreadsheets/d/132g-zJpz2uMKimp17uOIx8A7o3w1Z25zwJyXnwsB56c/edit?usp=sharing"",""สุพรรณบุรี!I539"")"),0)</f>
        <v>0</v>
      </c>
      <c r="Z72" s="57">
        <f ca="1">IFERROR(__xludf.DUMMYFUNCTION("IMPORTRANGE(""https://docs.google.com/spreadsheets/d/132g-zJpz2uMKimp17uOIx8A7o3w1Z25zwJyXnwsB56c/edit?usp=sharing"",""สุพรรณบุรี!J539"")"),0)</f>
        <v>0</v>
      </c>
      <c r="AA72" s="63">
        <f t="shared" ca="1" si="10"/>
        <v>0</v>
      </c>
      <c r="AB72" s="57">
        <f ca="1">IFERROR(__xludf.DUMMYFUNCTION("IMPORTRANGE(""https://docs.google.com/spreadsheets/d/132g-zJpz2uMKimp17uOIx8A7o3w1Z25zwJyXnwsB56c/edit?usp=sharing"",""สุพรรณบุรี!I540"")"),0)</f>
        <v>0</v>
      </c>
      <c r="AC72" s="57">
        <f ca="1">IFERROR(__xludf.DUMMYFUNCTION("IMPORTRANGE(""https://docs.google.com/spreadsheets/d/132g-zJpz2uMKimp17uOIx8A7o3w1Z25zwJyXnwsB56c/edit?usp=sharing"",""สุพรรณบุรี!J540"")"),0)</f>
        <v>0</v>
      </c>
      <c r="AD72" s="63">
        <f t="shared" ca="1" si="12"/>
        <v>0</v>
      </c>
      <c r="AE72" s="140">
        <f ca="1">IFERROR(__xludf.DUMMYFUNCTION("IMPORTRANGE(""https://docs.google.com/spreadsheets/d/132g-zJpz2uMKimp17uOIx8A7o3w1Z25zwJyXnwsB56c/edit?usp=sharing"",""สุพรรณบุรี!I541"")"),0)</f>
        <v>0</v>
      </c>
      <c r="AF72" s="140">
        <f ca="1">IFERROR(__xludf.DUMMYFUNCTION("IMPORTRANGE(""https://docs.google.com/spreadsheets/d/132g-zJpz2uMKimp17uOIx8A7o3w1Z25zwJyXnwsB56c/edit?usp=sharing"",""สุพรรณบุรี!J541"")"),0)</f>
        <v>0</v>
      </c>
      <c r="AG72" s="141">
        <f t="shared" ca="1" si="14"/>
        <v>0</v>
      </c>
      <c r="AH72" s="140">
        <f ca="1">IFERROR(__xludf.DUMMYFUNCTION("IMPORTRANGE(""https://docs.google.com/spreadsheets/d/132g-zJpz2uMKimp17uOIx8A7o3w1Z25zwJyXnwsB56c/edit?usp=sharing"",""สุพรรณบุรี!I542"")"),0)</f>
        <v>0</v>
      </c>
      <c r="AI72" s="140">
        <f ca="1">IFERROR(__xludf.DUMMYFUNCTION("IMPORTRANGE(""https://docs.google.com/spreadsheets/d/132g-zJpz2uMKimp17uOIx8A7o3w1Z25zwJyXnwsB56c/edit?usp=sharing"",""สุพรรณบุรี!J542"")"),0)</f>
        <v>0</v>
      </c>
      <c r="AJ72" s="141">
        <f t="shared" ca="1" si="16"/>
        <v>0</v>
      </c>
    </row>
    <row r="73" spans="1:36" ht="21" customHeight="1" x14ac:dyDescent="0.3">
      <c r="A73" s="65">
        <v>21</v>
      </c>
      <c r="B73" s="66" t="s">
        <v>94</v>
      </c>
      <c r="C73" s="67">
        <f t="shared" ca="1" si="64"/>
        <v>0</v>
      </c>
      <c r="D73" s="68">
        <f ca="1">IFERROR(__xludf.DUMMYFUNCTION("IMPORTRANGE(""https://docs.google.com/spreadsheets/d/12Q_U0nVnFdxDFwa0pej9xvx8ZvLC9Dpi_vRro_aiG5g/edit?usp=sharing"",""อ่างทอง!L528"")"),0)</f>
        <v>0</v>
      </c>
      <c r="E73" s="69">
        <f ca="1">IFERROR(__xludf.DUMMYFUNCTION("IMPORTRANGE(""https://docs.google.com/spreadsheets/d/12Q_U0nVnFdxDFwa0pej9xvx8ZvLC9Dpi_vRro_aiG5g/edit?usp=sharing"",""อ่างทอง!L535"")"),0)</f>
        <v>0</v>
      </c>
      <c r="F73" s="69">
        <f ca="1">IFERROR(__xludf.DUMMYFUNCTION("IMPORTRANGE(""https://docs.google.com/spreadsheets/d/12Q_U0nVnFdxDFwa0pej9xvx8ZvLC9Dpi_vRro_aiG5g/edit?usp=sharing"",""อ่างทอง!M528"")"),0)</f>
        <v>0</v>
      </c>
      <c r="G73" s="69">
        <f ca="1">IFERROR(__xludf.DUMMYFUNCTION("IMPORTRANGE(""https://docs.google.com/spreadsheets/d/12Q_U0nVnFdxDFwa0pej9xvx8ZvLC9Dpi_vRro_aiG5g/edit?usp=sharing"",""อ่างทอง!M535"")"),0)</f>
        <v>0</v>
      </c>
      <c r="H73" s="70">
        <f t="shared" ca="1" si="32"/>
        <v>0</v>
      </c>
      <c r="I73" s="71">
        <f t="shared" ca="1" si="1"/>
        <v>0</v>
      </c>
      <c r="J73" s="72">
        <f t="shared" ca="1" si="65"/>
        <v>0</v>
      </c>
      <c r="K73" s="73">
        <f t="shared" ca="1" si="34"/>
        <v>0</v>
      </c>
      <c r="L73" s="73">
        <f t="shared" ca="1" si="35"/>
        <v>0</v>
      </c>
      <c r="M73" s="69">
        <f ca="1">IFERROR(__xludf.DUMMYFUNCTION("IMPORTRANGE(""https://docs.google.com/spreadsheets/d/12Q_U0nVnFdxDFwa0pej9xvx8ZvLC9Dpi_vRro_aiG5g/edit?usp=sharing"",""อ่างทอง!N529"")"),0)</f>
        <v>0</v>
      </c>
      <c r="N73" s="69">
        <f ca="1">IFERROR(__xludf.DUMMYFUNCTION("IMPORTRANGE(""https://docs.google.com/spreadsheets/d/12Q_U0nVnFdxDFwa0pej9xvx8ZvLC9Dpi_vRro_aiG5g/edit?usp=sharing"",""อ่างทอง!N530"")"),0)</f>
        <v>0</v>
      </c>
      <c r="O73" s="69">
        <f ca="1">IFERROR(__xludf.DUMMYFUNCTION("IMPORTRANGE(""https://docs.google.com/spreadsheets/d/12Q_U0nVnFdxDFwa0pej9xvx8ZvLC9Dpi_vRro_aiG5g/edit?usp=sharing"",""อ่างทอง!N531"")"),0)</f>
        <v>0</v>
      </c>
      <c r="P73" s="69">
        <f ca="1">IFERROR(__xludf.DUMMYFUNCTION("IMPORTRANGE(""https://docs.google.com/spreadsheets/d/12Q_U0nVnFdxDFwa0pej9xvx8ZvLC9Dpi_vRro_aiG5g/edit?usp=sharing"",""อ่างทอง!N532"")"),0)</f>
        <v>0</v>
      </c>
      <c r="Q73" s="74">
        <f ca="1">IFERROR(__xludf.DUMMYFUNCTION("IMPORTRANGE(""https://docs.google.com/spreadsheets/d/12Q_U0nVnFdxDFwa0pej9xvx8ZvLC9Dpi_vRro_aiG5g/edit?usp=sharing"",""อ่างทอง!N535"")"),0)</f>
        <v>0</v>
      </c>
      <c r="R73" s="74">
        <f t="shared" ca="1" si="37"/>
        <v>0</v>
      </c>
      <c r="S73" s="68">
        <f ca="1">IFERROR(__xludf.DUMMYFUNCTION("IMPORTRANGE(""https://docs.google.com/spreadsheets/d/12Q_U0nVnFdxDFwa0pej9xvx8ZvLC9Dpi_vRro_aiG5g/edit?usp=sharing"",""อ่างทอง!I537"")"),0)</f>
        <v>0</v>
      </c>
      <c r="T73" s="68">
        <f ca="1">IFERROR(__xludf.DUMMYFUNCTION("IMPORTRANGE(""https://docs.google.com/spreadsheets/d/12Q_U0nVnFdxDFwa0pej9xvx8ZvLC9Dpi_vRro_aiG5g/edit?usp=sharing"",""อ่างทอง!J537"")"),0)</f>
        <v>0</v>
      </c>
      <c r="U73" s="75">
        <f t="shared" ca="1" si="6"/>
        <v>0</v>
      </c>
      <c r="V73" s="68">
        <f ca="1">IFERROR(__xludf.DUMMYFUNCTION("IMPORTRANGE(""https://docs.google.com/spreadsheets/d/12Q_U0nVnFdxDFwa0pej9xvx8ZvLC9Dpi_vRro_aiG5g/edit?usp=sharing"",""อ่างทอง!I538"")"),0)</f>
        <v>0</v>
      </c>
      <c r="W73" s="68">
        <f ca="1">IFERROR(__xludf.DUMMYFUNCTION("IMPORTRANGE(""https://docs.google.com/spreadsheets/d/12Q_U0nVnFdxDFwa0pej9xvx8ZvLC9Dpi_vRro_aiG5g/edit?usp=sharing"",""อ่างทอง!J538"")"),0)</f>
        <v>0</v>
      </c>
      <c r="X73" s="75">
        <f t="shared" ca="1" si="8"/>
        <v>0</v>
      </c>
      <c r="Y73" s="68">
        <f ca="1">IFERROR(__xludf.DUMMYFUNCTION("IMPORTRANGE(""https://docs.google.com/spreadsheets/d/12Q_U0nVnFdxDFwa0pej9xvx8ZvLC9Dpi_vRro_aiG5g/edit?usp=sharing"",""อ่างทอง!I539"")"),0)</f>
        <v>0</v>
      </c>
      <c r="Z73" s="68">
        <f ca="1">IFERROR(__xludf.DUMMYFUNCTION("IMPORTRANGE(""https://docs.google.com/spreadsheets/d/12Q_U0nVnFdxDFwa0pej9xvx8ZvLC9Dpi_vRro_aiG5g/edit?usp=sharing"",""อ่างทอง!J539"")"),0)</f>
        <v>0</v>
      </c>
      <c r="AA73" s="75">
        <f t="shared" ca="1" si="10"/>
        <v>0</v>
      </c>
      <c r="AB73" s="68">
        <f ca="1">IFERROR(__xludf.DUMMYFUNCTION("IMPORTRANGE(""https://docs.google.com/spreadsheets/d/12Q_U0nVnFdxDFwa0pej9xvx8ZvLC9Dpi_vRro_aiG5g/edit?usp=sharing"",""อ่างทอง!I540"")"),0)</f>
        <v>0</v>
      </c>
      <c r="AC73" s="68">
        <f ca="1">IFERROR(__xludf.DUMMYFUNCTION("IMPORTRANGE(""https://docs.google.com/spreadsheets/d/12Q_U0nVnFdxDFwa0pej9xvx8ZvLC9Dpi_vRro_aiG5g/edit?usp=sharing"",""อ่างทอง!J540"")"),0)</f>
        <v>0</v>
      </c>
      <c r="AD73" s="75">
        <f t="shared" ca="1" si="12"/>
        <v>0</v>
      </c>
      <c r="AE73" s="142">
        <f ca="1">IFERROR(__xludf.DUMMYFUNCTION("IMPORTRANGE(""https://docs.google.com/spreadsheets/d/12Q_U0nVnFdxDFwa0pej9xvx8ZvLC9Dpi_vRro_aiG5g/edit?usp=sharing"",""อ่างทอง!I541"")"),0)</f>
        <v>0</v>
      </c>
      <c r="AF73" s="142">
        <f ca="1">IFERROR(__xludf.DUMMYFUNCTION("IMPORTRANGE(""https://docs.google.com/spreadsheets/d/12Q_U0nVnFdxDFwa0pej9xvx8ZvLC9Dpi_vRro_aiG5g/edit?usp=sharing"",""อ่างทอง!J541"")"),0)</f>
        <v>0</v>
      </c>
      <c r="AG73" s="143">
        <f t="shared" ca="1" si="14"/>
        <v>0</v>
      </c>
      <c r="AH73" s="142">
        <f ca="1">IFERROR(__xludf.DUMMYFUNCTION("IMPORTRANGE(""https://docs.google.com/spreadsheets/d/12Q_U0nVnFdxDFwa0pej9xvx8ZvLC9Dpi_vRro_aiG5g/edit?usp=sharing"",""อ่างทอง!I542"")"),0)</f>
        <v>0</v>
      </c>
      <c r="AI73" s="142">
        <f ca="1">IFERROR(__xludf.DUMMYFUNCTION("IMPORTRANGE(""https://docs.google.com/spreadsheets/d/12Q_U0nVnFdxDFwa0pej9xvx8ZvLC9Dpi_vRro_aiG5g/edit?usp=sharing"",""อ่างทอง!J542"")"),0)</f>
        <v>0</v>
      </c>
      <c r="AJ73" s="143">
        <f t="shared" ca="1" si="16"/>
        <v>0</v>
      </c>
    </row>
    <row r="74" spans="1:36" ht="21" customHeight="1" x14ac:dyDescent="0.3">
      <c r="A74" s="177" t="s">
        <v>95</v>
      </c>
      <c r="B74" s="178"/>
      <c r="C74" s="76">
        <f t="shared" ref="C74:G74" ca="1" si="66">SUM(C75:C88)</f>
        <v>1674740</v>
      </c>
      <c r="D74" s="34">
        <f t="shared" ca="1" si="66"/>
        <v>1674740</v>
      </c>
      <c r="E74" s="34">
        <f t="shared" ca="1" si="66"/>
        <v>0</v>
      </c>
      <c r="F74" s="34">
        <f t="shared" ca="1" si="66"/>
        <v>1674740</v>
      </c>
      <c r="G74" s="34">
        <f t="shared" ca="1" si="66"/>
        <v>0</v>
      </c>
      <c r="H74" s="34">
        <f t="shared" ca="1" si="32"/>
        <v>923140</v>
      </c>
      <c r="I74" s="35">
        <f t="shared" ca="1" si="1"/>
        <v>55.121391977262142</v>
      </c>
      <c r="J74" s="34">
        <f ca="1">SUM(J75:J88)</f>
        <v>923140</v>
      </c>
      <c r="K74" s="35">
        <f t="shared" ca="1" si="34"/>
        <v>55.121391977262142</v>
      </c>
      <c r="L74" s="35">
        <f t="shared" ca="1" si="35"/>
        <v>55.121391977262142</v>
      </c>
      <c r="M74" s="34">
        <f t="shared" ref="M74:Q74" ca="1" si="67">SUM(M75:M88)</f>
        <v>428180</v>
      </c>
      <c r="N74" s="34">
        <f t="shared" ca="1" si="67"/>
        <v>400000</v>
      </c>
      <c r="O74" s="34">
        <f t="shared" ca="1" si="67"/>
        <v>0</v>
      </c>
      <c r="P74" s="34">
        <f t="shared" ca="1" si="67"/>
        <v>94960</v>
      </c>
      <c r="Q74" s="36">
        <f t="shared" ca="1" si="67"/>
        <v>0</v>
      </c>
      <c r="R74" s="36">
        <f t="shared" ca="1" si="37"/>
        <v>0</v>
      </c>
      <c r="S74" s="34">
        <f t="shared" ref="S74:T74" ca="1" si="68">SUM(S75:S88)</f>
        <v>190</v>
      </c>
      <c r="T74" s="34">
        <f t="shared" ca="1" si="68"/>
        <v>190</v>
      </c>
      <c r="U74" s="37">
        <f t="shared" ca="1" si="6"/>
        <v>100</v>
      </c>
      <c r="V74" s="34">
        <f t="shared" ref="V74:W74" ca="1" si="69">SUM(V75:V88)</f>
        <v>190</v>
      </c>
      <c r="W74" s="34">
        <f t="shared" ca="1" si="69"/>
        <v>190</v>
      </c>
      <c r="X74" s="37">
        <f t="shared" ca="1" si="8"/>
        <v>100</v>
      </c>
      <c r="Y74" s="34">
        <f t="shared" ref="Y74:Z74" ca="1" si="70">SUM(Y75:Y88)</f>
        <v>160</v>
      </c>
      <c r="Z74" s="34">
        <f t="shared" ca="1" si="70"/>
        <v>160</v>
      </c>
      <c r="AA74" s="37">
        <f t="shared" ca="1" si="10"/>
        <v>100</v>
      </c>
      <c r="AB74" s="34">
        <f t="shared" ref="AB74:AC74" ca="1" si="71">SUM(AB75:AB88)</f>
        <v>160</v>
      </c>
      <c r="AC74" s="34">
        <f t="shared" ca="1" si="71"/>
        <v>160</v>
      </c>
      <c r="AD74" s="37">
        <f t="shared" ca="1" si="12"/>
        <v>100</v>
      </c>
      <c r="AE74" s="113">
        <f t="shared" ref="AE74:AF74" ca="1" si="72">SUM(AE75:AE88)</f>
        <v>30</v>
      </c>
      <c r="AF74" s="113">
        <f t="shared" ca="1" si="72"/>
        <v>30</v>
      </c>
      <c r="AG74" s="135">
        <f t="shared" ca="1" si="14"/>
        <v>100</v>
      </c>
      <c r="AH74" s="113">
        <f t="shared" ref="AH74:AI74" ca="1" si="73">SUM(AH75:AH88)</f>
        <v>190</v>
      </c>
      <c r="AI74" s="113">
        <f t="shared" ca="1" si="73"/>
        <v>80</v>
      </c>
      <c r="AJ74" s="135">
        <f t="shared" ca="1" si="16"/>
        <v>42.10526315789474</v>
      </c>
    </row>
    <row r="75" spans="1:36" ht="21" customHeight="1" x14ac:dyDescent="0.3">
      <c r="A75" s="54">
        <v>1</v>
      </c>
      <c r="B75" s="55" t="s">
        <v>96</v>
      </c>
      <c r="C75" s="56">
        <f t="shared" ref="C75:C88" ca="1" si="74">D75+E75</f>
        <v>667960</v>
      </c>
      <c r="D75" s="57">
        <f ca="1">IFERROR(__xludf.DUMMYFUNCTION("IMPORTRANGE(""https://docs.google.com/spreadsheets/d/1kC41EOXpGBFOW658Fs3oD8beYlym0-zO54WY-2Qnp9I/edit?usp=sharing"",""กระบี่!L528"")"),667960)</f>
        <v>667960</v>
      </c>
      <c r="E75" s="64">
        <f ca="1">IFERROR(__xludf.DUMMYFUNCTION("IMPORTRANGE(""https://docs.google.com/spreadsheets/d/1kC41EOXpGBFOW658Fs3oD8beYlym0-zO54WY-2Qnp9I/edit?usp=sharing"",""กระบี่!L535"")"),0)</f>
        <v>0</v>
      </c>
      <c r="F75" s="64">
        <f ca="1">IFERROR(__xludf.DUMMYFUNCTION("IMPORTRANGE(""https://docs.google.com/spreadsheets/d/1kC41EOXpGBFOW658Fs3oD8beYlym0-zO54WY-2Qnp9I/edit?usp=sharing"",""กระบี่!M528"")"),667960)</f>
        <v>667960</v>
      </c>
      <c r="G75" s="64">
        <f ca="1">IFERROR(__xludf.DUMMYFUNCTION("IMPORTRANGE(""https://docs.google.com/spreadsheets/d/1kC41EOXpGBFOW658Fs3oD8beYlym0-zO54WY-2Qnp9I/edit?usp=sharing"",""กระบี่!M535"")"),0)</f>
        <v>0</v>
      </c>
      <c r="H75" s="58">
        <f t="shared" ca="1" si="32"/>
        <v>130420</v>
      </c>
      <c r="I75" s="59">
        <f t="shared" ca="1" si="1"/>
        <v>19.525121264746392</v>
      </c>
      <c r="J75" s="60">
        <f t="shared" ref="J75:J88" ca="1" si="75">M75+N75+O75+P75</f>
        <v>130420</v>
      </c>
      <c r="K75" s="61">
        <f t="shared" ca="1" si="34"/>
        <v>19.525121264746392</v>
      </c>
      <c r="L75" s="61">
        <f t="shared" ca="1" si="35"/>
        <v>19.525121264746392</v>
      </c>
      <c r="M75" s="64">
        <f ca="1">IFERROR(__xludf.DUMMYFUNCTION("IMPORTRANGE(""https://docs.google.com/spreadsheets/d/1kC41EOXpGBFOW658Fs3oD8beYlym0-zO54WY-2Qnp9I/edit?usp=sharing"",""กระบี่!N529"")"),102060)</f>
        <v>102060</v>
      </c>
      <c r="N75" s="64">
        <f ca="1">IFERROR(__xludf.DUMMYFUNCTION("IMPORTRANGE(""https://docs.google.com/spreadsheets/d/1kC41EOXpGBFOW658Fs3oD8beYlym0-zO54WY-2Qnp9I/edit?usp=sharing"",""กระบี่!N530"")"),0)</f>
        <v>0</v>
      </c>
      <c r="O75" s="64">
        <f ca="1">IFERROR(__xludf.DUMMYFUNCTION("IMPORTRANGE(""https://docs.google.com/spreadsheets/d/1kC41EOXpGBFOW658Fs3oD8beYlym0-zO54WY-2Qnp9I/edit?usp=sharing"",""กระบี่!N531"")"),0)</f>
        <v>0</v>
      </c>
      <c r="P75" s="64">
        <f ca="1">IFERROR(__xludf.DUMMYFUNCTION("IMPORTRANGE(""https://docs.google.com/spreadsheets/d/1kC41EOXpGBFOW658Fs3oD8beYlym0-zO54WY-2Qnp9I/edit?usp=sharing"",""กระบี่!N532"")"),28360)</f>
        <v>28360</v>
      </c>
      <c r="Q75" s="62">
        <f ca="1">IFERROR(__xludf.DUMMYFUNCTION("IMPORTRANGE(""https://docs.google.com/spreadsheets/d/1kC41EOXpGBFOW658Fs3oD8beYlym0-zO54WY-2Qnp9I/edit?usp=sharing"",""กระบี่!N535"")"),0)</f>
        <v>0</v>
      </c>
      <c r="R75" s="62">
        <f t="shared" ca="1" si="37"/>
        <v>0</v>
      </c>
      <c r="S75" s="57">
        <f ca="1">IFERROR(__xludf.DUMMYFUNCTION("IMPORTRANGE(""https://docs.google.com/spreadsheets/d/1kC41EOXpGBFOW658Fs3oD8beYlym0-zO54WY-2Qnp9I/edit?usp=sharing"",""กระบี่!I537"")"),80)</f>
        <v>80</v>
      </c>
      <c r="T75" s="57">
        <f ca="1">IFERROR(__xludf.DUMMYFUNCTION("IMPORTRANGE(""https://docs.google.com/spreadsheets/d/1kC41EOXpGBFOW658Fs3oD8beYlym0-zO54WY-2Qnp9I/edit?usp=sharing"",""กระบี่!J537"")"),80)</f>
        <v>80</v>
      </c>
      <c r="U75" s="63">
        <f t="shared" ca="1" si="6"/>
        <v>100</v>
      </c>
      <c r="V75" s="57">
        <f ca="1">IFERROR(__xludf.DUMMYFUNCTION("IMPORTRANGE(""https://docs.google.com/spreadsheets/d/1kC41EOXpGBFOW658Fs3oD8beYlym0-zO54WY-2Qnp9I/edit?usp=sharing"",""กระบี่!I538"")"),80)</f>
        <v>80</v>
      </c>
      <c r="W75" s="57">
        <f ca="1">IFERROR(__xludf.DUMMYFUNCTION("IMPORTRANGE(""https://docs.google.com/spreadsheets/d/1kC41EOXpGBFOW658Fs3oD8beYlym0-zO54WY-2Qnp9I/edit?usp=sharing"",""กระบี่!J538"")"),80)</f>
        <v>80</v>
      </c>
      <c r="X75" s="63">
        <f t="shared" ca="1" si="8"/>
        <v>100</v>
      </c>
      <c r="Y75" s="57">
        <f ca="1">IFERROR(__xludf.DUMMYFUNCTION("IMPORTRANGE(""https://docs.google.com/spreadsheets/d/1kC41EOXpGBFOW658Fs3oD8beYlym0-zO54WY-2Qnp9I/edit?usp=sharing"",""กระบี่!I539"")"),80)</f>
        <v>80</v>
      </c>
      <c r="Z75" s="57">
        <f ca="1">IFERROR(__xludf.DUMMYFUNCTION("IMPORTRANGE(""https://docs.google.com/spreadsheets/d/1kC41EOXpGBFOW658Fs3oD8beYlym0-zO54WY-2Qnp9I/edit?usp=sharing"",""กระบี่!J539"")"),80)</f>
        <v>80</v>
      </c>
      <c r="AA75" s="63">
        <f t="shared" ca="1" si="10"/>
        <v>100</v>
      </c>
      <c r="AB75" s="57">
        <f ca="1">IFERROR(__xludf.DUMMYFUNCTION("IMPORTRANGE(""https://docs.google.com/spreadsheets/d/1kC41EOXpGBFOW658Fs3oD8beYlym0-zO54WY-2Qnp9I/edit?usp=sharing"",""กระบี่!I540"")"),80)</f>
        <v>80</v>
      </c>
      <c r="AC75" s="57">
        <f ca="1">IFERROR(__xludf.DUMMYFUNCTION("IMPORTRANGE(""https://docs.google.com/spreadsheets/d/1kC41EOXpGBFOW658Fs3oD8beYlym0-zO54WY-2Qnp9I/edit?usp=sharing"",""กระบี่!J540"")"),80)</f>
        <v>80</v>
      </c>
      <c r="AD75" s="63">
        <f t="shared" ca="1" si="12"/>
        <v>100</v>
      </c>
      <c r="AE75" s="140">
        <f ca="1">IFERROR(__xludf.DUMMYFUNCTION("IMPORTRANGE(""https://docs.google.com/spreadsheets/d/1kC41EOXpGBFOW658Fs3oD8beYlym0-zO54WY-2Qnp9I/edit?usp=sharing"",""กระบี่!I541"")"),0)</f>
        <v>0</v>
      </c>
      <c r="AF75" s="140">
        <f ca="1">IFERROR(__xludf.DUMMYFUNCTION("IMPORTRANGE(""https://docs.google.com/spreadsheets/d/1kC41EOXpGBFOW658Fs3oD8beYlym0-zO54WY-2Qnp9I/edit?usp=sharing"",""กระบี่!J541"")"),0)</f>
        <v>0</v>
      </c>
      <c r="AG75" s="141">
        <f t="shared" ca="1" si="14"/>
        <v>0</v>
      </c>
      <c r="AH75" s="140">
        <f ca="1">IFERROR(__xludf.DUMMYFUNCTION("IMPORTRANGE(""https://docs.google.com/spreadsheets/d/1kC41EOXpGBFOW658Fs3oD8beYlym0-zO54WY-2Qnp9I/edit?usp=sharing"",""กระบี่!I542"")"),80)</f>
        <v>80</v>
      </c>
      <c r="AI75" s="140">
        <f ca="1">IFERROR(__xludf.DUMMYFUNCTION("IMPORTRANGE(""https://docs.google.com/spreadsheets/d/1kC41EOXpGBFOW658Fs3oD8beYlym0-zO54WY-2Qnp9I/edit?usp=sharing"",""กระบี่!J542"")"),0)</f>
        <v>0</v>
      </c>
      <c r="AJ75" s="141">
        <f t="shared" ca="1" si="16"/>
        <v>0</v>
      </c>
    </row>
    <row r="76" spans="1:36" ht="21" customHeight="1" x14ac:dyDescent="0.3">
      <c r="A76" s="54">
        <v>2</v>
      </c>
      <c r="B76" s="55" t="s">
        <v>97</v>
      </c>
      <c r="C76" s="56">
        <f t="shared" ca="1" si="74"/>
        <v>440560</v>
      </c>
      <c r="D76" s="57">
        <f ca="1">IFERROR(__xludf.DUMMYFUNCTION("IMPORTRANGE(""https://docs.google.com/spreadsheets/d/1FbzMZY_f3MDiEuK7RpCQKrilJ_kpX0Wm7QBZ1L7EjIU/edit?usp=sharing"",""ชุมพร!L528"")"),440560)</f>
        <v>440560</v>
      </c>
      <c r="E76" s="64">
        <f ca="1">IFERROR(__xludf.DUMMYFUNCTION("IMPORTRANGE(""https://docs.google.com/spreadsheets/d/1FbzMZY_f3MDiEuK7RpCQKrilJ_kpX0Wm7QBZ1L7EjIU/edit?usp=sharing"",""ชุมพร!L535"")"),0)</f>
        <v>0</v>
      </c>
      <c r="F76" s="64">
        <f ca="1">IFERROR(__xludf.DUMMYFUNCTION("IMPORTRANGE(""https://docs.google.com/spreadsheets/d/1FbzMZY_f3MDiEuK7RpCQKrilJ_kpX0Wm7QBZ1L7EjIU/edit?usp=sharing"",""ชุมพร!M528"")"),440560)</f>
        <v>440560</v>
      </c>
      <c r="G76" s="64">
        <f ca="1">IFERROR(__xludf.DUMMYFUNCTION("IMPORTRANGE(""https://docs.google.com/spreadsheets/d/1FbzMZY_f3MDiEuK7RpCQKrilJ_kpX0Wm7QBZ1L7EjIU/edit?usp=sharing"",""ชุมพร!M535"")"),0)</f>
        <v>0</v>
      </c>
      <c r="H76" s="58">
        <f t="shared" ca="1" si="32"/>
        <v>412540</v>
      </c>
      <c r="I76" s="59">
        <f t="shared" ca="1" si="1"/>
        <v>93.639912838205916</v>
      </c>
      <c r="J76" s="60">
        <f t="shared" ca="1" si="75"/>
        <v>412540</v>
      </c>
      <c r="K76" s="61">
        <f t="shared" ca="1" si="34"/>
        <v>93.639912838205916</v>
      </c>
      <c r="L76" s="61">
        <f t="shared" ca="1" si="35"/>
        <v>93.639912838205916</v>
      </c>
      <c r="M76" s="64">
        <f ca="1">IFERROR(__xludf.DUMMYFUNCTION("IMPORTRANGE(""https://docs.google.com/spreadsheets/d/1FbzMZY_f3MDiEuK7RpCQKrilJ_kpX0Wm7QBZ1L7EjIU/edit?usp=sharing"",""ชุมพร!N529"")"),148220)</f>
        <v>148220</v>
      </c>
      <c r="N76" s="64">
        <f ca="1">IFERROR(__xludf.DUMMYFUNCTION("IMPORTRANGE(""https://docs.google.com/spreadsheets/d/1FbzMZY_f3MDiEuK7RpCQKrilJ_kpX0Wm7QBZ1L7EjIU/edit?usp=sharing"",""ชุมพร!N530"")"),250000)</f>
        <v>250000</v>
      </c>
      <c r="O76" s="64">
        <f ca="1">IFERROR(__xludf.DUMMYFUNCTION("IMPORTRANGE(""https://docs.google.com/spreadsheets/d/1FbzMZY_f3MDiEuK7RpCQKrilJ_kpX0Wm7QBZ1L7EjIU/edit?usp=sharing"",""ชุมพร!N531"")"),0)</f>
        <v>0</v>
      </c>
      <c r="P76" s="64">
        <f ca="1">IFERROR(__xludf.DUMMYFUNCTION("IMPORTRANGE(""https://docs.google.com/spreadsheets/d/1FbzMZY_f3MDiEuK7RpCQKrilJ_kpX0Wm7QBZ1L7EjIU/edit?usp=sharing"",""ชุมพร!N532"")"),14320)</f>
        <v>14320</v>
      </c>
      <c r="Q76" s="62">
        <f ca="1">IFERROR(__xludf.DUMMYFUNCTION("IMPORTRANGE(""https://docs.google.com/spreadsheets/d/1FbzMZY_f3MDiEuK7RpCQKrilJ_kpX0Wm7QBZ1L7EjIU/edit?usp=sharing"",""ชุมพร!N535"")"),0)</f>
        <v>0</v>
      </c>
      <c r="R76" s="62">
        <f t="shared" ca="1" si="37"/>
        <v>0</v>
      </c>
      <c r="S76" s="57">
        <f ca="1">IFERROR(__xludf.DUMMYFUNCTION("IMPORTRANGE(""https://docs.google.com/spreadsheets/d/1FbzMZY_f3MDiEuK7RpCQKrilJ_kpX0Wm7QBZ1L7EjIU/edit?usp=sharing"",""ชุมพร!I537"")"),50)</f>
        <v>50</v>
      </c>
      <c r="T76" s="57">
        <f ca="1">IFERROR(__xludf.DUMMYFUNCTION("IMPORTRANGE(""https://docs.google.com/spreadsheets/d/1FbzMZY_f3MDiEuK7RpCQKrilJ_kpX0Wm7QBZ1L7EjIU/edit?usp=sharing"",""ชุมพร!J537"")"),50)</f>
        <v>50</v>
      </c>
      <c r="U76" s="63">
        <f t="shared" ca="1" si="6"/>
        <v>100</v>
      </c>
      <c r="V76" s="57">
        <f ca="1">IFERROR(__xludf.DUMMYFUNCTION("IMPORTRANGE(""https://docs.google.com/spreadsheets/d/1FbzMZY_f3MDiEuK7RpCQKrilJ_kpX0Wm7QBZ1L7EjIU/edit?usp=sharing"",""ชุมพร!I538"")"),50)</f>
        <v>50</v>
      </c>
      <c r="W76" s="57">
        <f ca="1">IFERROR(__xludf.DUMMYFUNCTION("IMPORTRANGE(""https://docs.google.com/spreadsheets/d/1FbzMZY_f3MDiEuK7RpCQKrilJ_kpX0Wm7QBZ1L7EjIU/edit?usp=sharing"",""ชุมพร!J538"")"),50)</f>
        <v>50</v>
      </c>
      <c r="X76" s="63">
        <f t="shared" ca="1" si="8"/>
        <v>100</v>
      </c>
      <c r="Y76" s="57">
        <f ca="1">IFERROR(__xludf.DUMMYFUNCTION("IMPORTRANGE(""https://docs.google.com/spreadsheets/d/1FbzMZY_f3MDiEuK7RpCQKrilJ_kpX0Wm7QBZ1L7EjIU/edit?usp=sharing"",""ชุมพร!I539"")"),50)</f>
        <v>50</v>
      </c>
      <c r="Z76" s="57">
        <f ca="1">IFERROR(__xludf.DUMMYFUNCTION("IMPORTRANGE(""https://docs.google.com/spreadsheets/d/1FbzMZY_f3MDiEuK7RpCQKrilJ_kpX0Wm7QBZ1L7EjIU/edit?usp=sharing"",""ชุมพร!J539"")"),50)</f>
        <v>50</v>
      </c>
      <c r="AA76" s="63">
        <f t="shared" ca="1" si="10"/>
        <v>100</v>
      </c>
      <c r="AB76" s="57">
        <f ca="1">IFERROR(__xludf.DUMMYFUNCTION("IMPORTRANGE(""https://docs.google.com/spreadsheets/d/1FbzMZY_f3MDiEuK7RpCQKrilJ_kpX0Wm7QBZ1L7EjIU/edit?usp=sharing"",""ชุมพร!I540"")"),50)</f>
        <v>50</v>
      </c>
      <c r="AC76" s="57">
        <f ca="1">IFERROR(__xludf.DUMMYFUNCTION("IMPORTRANGE(""https://docs.google.com/spreadsheets/d/1FbzMZY_f3MDiEuK7RpCQKrilJ_kpX0Wm7QBZ1L7EjIU/edit?usp=sharing"",""ชุมพร!J540"")"),50)</f>
        <v>50</v>
      </c>
      <c r="AD76" s="63">
        <f t="shared" ca="1" si="12"/>
        <v>100</v>
      </c>
      <c r="AE76" s="140">
        <f ca="1">IFERROR(__xludf.DUMMYFUNCTION("IMPORTRANGE(""https://docs.google.com/spreadsheets/d/1FbzMZY_f3MDiEuK7RpCQKrilJ_kpX0Wm7QBZ1L7EjIU/edit?usp=sharing"",""ชุมพร!I541"")"),0)</f>
        <v>0</v>
      </c>
      <c r="AF76" s="140">
        <f ca="1">IFERROR(__xludf.DUMMYFUNCTION("IMPORTRANGE(""https://docs.google.com/spreadsheets/d/1FbzMZY_f3MDiEuK7RpCQKrilJ_kpX0Wm7QBZ1L7EjIU/edit?usp=sharing"",""ชุมพร!J541"")"),0)</f>
        <v>0</v>
      </c>
      <c r="AG76" s="141">
        <f t="shared" ca="1" si="14"/>
        <v>0</v>
      </c>
      <c r="AH76" s="140">
        <f ca="1">IFERROR(__xludf.DUMMYFUNCTION("IMPORTRANGE(""https://docs.google.com/spreadsheets/d/1FbzMZY_f3MDiEuK7RpCQKrilJ_kpX0Wm7QBZ1L7EjIU/edit?usp=sharing"",""ชุมพร!I542"")"),50)</f>
        <v>50</v>
      </c>
      <c r="AI76" s="140">
        <f ca="1">IFERROR(__xludf.DUMMYFUNCTION("IMPORTRANGE(""https://docs.google.com/spreadsheets/d/1FbzMZY_f3MDiEuK7RpCQKrilJ_kpX0Wm7QBZ1L7EjIU/edit?usp=sharing"",""ชุมพร!J542"")"),50)</f>
        <v>50</v>
      </c>
      <c r="AJ76" s="141">
        <f t="shared" ca="1" si="16"/>
        <v>100</v>
      </c>
    </row>
    <row r="77" spans="1:36" ht="21" customHeight="1" x14ac:dyDescent="0.3">
      <c r="A77" s="54">
        <v>3</v>
      </c>
      <c r="B77" s="55" t="s">
        <v>98</v>
      </c>
      <c r="C77" s="56">
        <f t="shared" ca="1" si="74"/>
        <v>0</v>
      </c>
      <c r="D77" s="57">
        <f ca="1">IFERROR(__xludf.DUMMYFUNCTION("IMPORTRANGE(""https://docs.google.com/spreadsheets/d/1v5sN-00LrXuhBxw4dkh2GrG_z4l5oAqOdJRBCsUyMaM/edit?usp=sharing"",""ตรัง!L528"")"),0)</f>
        <v>0</v>
      </c>
      <c r="E77" s="64">
        <f ca="1">IFERROR(__xludf.DUMMYFUNCTION("IMPORTRANGE(""https://docs.google.com/spreadsheets/d/1v5sN-00LrXuhBxw4dkh2GrG_z4l5oAqOdJRBCsUyMaM/edit?usp=sharing"",""ตรัง!L535"")"),0)</f>
        <v>0</v>
      </c>
      <c r="F77" s="64">
        <f ca="1">IFERROR(__xludf.DUMMYFUNCTION("IMPORTRANGE(""https://docs.google.com/spreadsheets/d/1v5sN-00LrXuhBxw4dkh2GrG_z4l5oAqOdJRBCsUyMaM/edit?usp=sharing"",""ตรัง!M528"")"),0)</f>
        <v>0</v>
      </c>
      <c r="G77" s="64">
        <f ca="1">IFERROR(__xludf.DUMMYFUNCTION("IMPORTRANGE(""https://docs.google.com/spreadsheets/d/1v5sN-00LrXuhBxw4dkh2GrG_z4l5oAqOdJRBCsUyMaM/edit?usp=sharing"",""ตรัง!M535"")"),0)</f>
        <v>0</v>
      </c>
      <c r="H77" s="58">
        <f t="shared" ca="1" si="32"/>
        <v>0</v>
      </c>
      <c r="I77" s="59">
        <f t="shared" ca="1" si="1"/>
        <v>0</v>
      </c>
      <c r="J77" s="60">
        <f t="shared" ca="1" si="75"/>
        <v>0</v>
      </c>
      <c r="K77" s="61">
        <f t="shared" ca="1" si="34"/>
        <v>0</v>
      </c>
      <c r="L77" s="61">
        <f t="shared" ca="1" si="35"/>
        <v>0</v>
      </c>
      <c r="M77" s="64">
        <f ca="1">IFERROR(__xludf.DUMMYFUNCTION("IMPORTRANGE(""https://docs.google.com/spreadsheets/d/1v5sN-00LrXuhBxw4dkh2GrG_z4l5oAqOdJRBCsUyMaM/edit?usp=sharing"",""ตรัง!N529"")"),0)</f>
        <v>0</v>
      </c>
      <c r="N77" s="64">
        <f ca="1">IFERROR(__xludf.DUMMYFUNCTION("IMPORTRANGE(""https://docs.google.com/spreadsheets/d/1v5sN-00LrXuhBxw4dkh2GrG_z4l5oAqOdJRBCsUyMaM/edit?usp=sharing"",""ตรัง!N530"")"),0)</f>
        <v>0</v>
      </c>
      <c r="O77" s="64">
        <f ca="1">IFERROR(__xludf.DUMMYFUNCTION("IMPORTRANGE(""https://docs.google.com/spreadsheets/d/1v5sN-00LrXuhBxw4dkh2GrG_z4l5oAqOdJRBCsUyMaM/edit?usp=sharing"",""ตรัง!N531"")"),0)</f>
        <v>0</v>
      </c>
      <c r="P77" s="64">
        <f ca="1">IFERROR(__xludf.DUMMYFUNCTION("IMPORTRANGE(""https://docs.google.com/spreadsheets/d/1v5sN-00LrXuhBxw4dkh2GrG_z4l5oAqOdJRBCsUyMaM/edit?usp=sharing"",""ตรัง!N532"")"),0)</f>
        <v>0</v>
      </c>
      <c r="Q77" s="62">
        <f ca="1">IFERROR(__xludf.DUMMYFUNCTION("IMPORTRANGE(""https://docs.google.com/spreadsheets/d/1v5sN-00LrXuhBxw4dkh2GrG_z4l5oAqOdJRBCsUyMaM/edit?usp=sharing"",""ตรัง!N535"")"),0)</f>
        <v>0</v>
      </c>
      <c r="R77" s="62">
        <f t="shared" ca="1" si="37"/>
        <v>0</v>
      </c>
      <c r="S77" s="57">
        <f ca="1">IFERROR(__xludf.DUMMYFUNCTION("IMPORTRANGE(""https://docs.google.com/spreadsheets/d/1v5sN-00LrXuhBxw4dkh2GrG_z4l5oAqOdJRBCsUyMaM/edit?usp=sharing"",""ตรัง!I537"")"),0)</f>
        <v>0</v>
      </c>
      <c r="T77" s="57">
        <f ca="1">IFERROR(__xludf.DUMMYFUNCTION("IMPORTRANGE(""https://docs.google.com/spreadsheets/d/1v5sN-00LrXuhBxw4dkh2GrG_z4l5oAqOdJRBCsUyMaM/edit?usp=sharing"",""ตรัง!J537"")"),0)</f>
        <v>0</v>
      </c>
      <c r="U77" s="63">
        <f t="shared" ca="1" si="6"/>
        <v>0</v>
      </c>
      <c r="V77" s="57">
        <f ca="1">IFERROR(__xludf.DUMMYFUNCTION("IMPORTRANGE(""https://docs.google.com/spreadsheets/d/1v5sN-00LrXuhBxw4dkh2GrG_z4l5oAqOdJRBCsUyMaM/edit?usp=sharing"",""ตรัง!I538"")"),0)</f>
        <v>0</v>
      </c>
      <c r="W77" s="57">
        <f ca="1">IFERROR(__xludf.DUMMYFUNCTION("IMPORTRANGE(""https://docs.google.com/spreadsheets/d/1v5sN-00LrXuhBxw4dkh2GrG_z4l5oAqOdJRBCsUyMaM/edit?usp=sharing"",""ตรัง!J538"")"),0)</f>
        <v>0</v>
      </c>
      <c r="X77" s="63">
        <f t="shared" ca="1" si="8"/>
        <v>0</v>
      </c>
      <c r="Y77" s="57">
        <f ca="1">IFERROR(__xludf.DUMMYFUNCTION("IMPORTRANGE(""https://docs.google.com/spreadsheets/d/1v5sN-00LrXuhBxw4dkh2GrG_z4l5oAqOdJRBCsUyMaM/edit?usp=sharing"",""ตรัง!I539"")"),0)</f>
        <v>0</v>
      </c>
      <c r="Z77" s="57">
        <f ca="1">IFERROR(__xludf.DUMMYFUNCTION("IMPORTRANGE(""https://docs.google.com/spreadsheets/d/1v5sN-00LrXuhBxw4dkh2GrG_z4l5oAqOdJRBCsUyMaM/edit?usp=sharing"",""ตรัง!J539"")"),0)</f>
        <v>0</v>
      </c>
      <c r="AA77" s="63">
        <f t="shared" ca="1" si="10"/>
        <v>0</v>
      </c>
      <c r="AB77" s="57">
        <f ca="1">IFERROR(__xludf.DUMMYFUNCTION("IMPORTRANGE(""https://docs.google.com/spreadsheets/d/1v5sN-00LrXuhBxw4dkh2GrG_z4l5oAqOdJRBCsUyMaM/edit?usp=sharing"",""ตรัง!I540"")"),0)</f>
        <v>0</v>
      </c>
      <c r="AC77" s="57">
        <f ca="1">IFERROR(__xludf.DUMMYFUNCTION("IMPORTRANGE(""https://docs.google.com/spreadsheets/d/1v5sN-00LrXuhBxw4dkh2GrG_z4l5oAqOdJRBCsUyMaM/edit?usp=sharing"",""ตรัง!J540"")"),0)</f>
        <v>0</v>
      </c>
      <c r="AD77" s="63">
        <f t="shared" ca="1" si="12"/>
        <v>0</v>
      </c>
      <c r="AE77" s="140">
        <f ca="1">IFERROR(__xludf.DUMMYFUNCTION("IMPORTRANGE(""https://docs.google.com/spreadsheets/d/1v5sN-00LrXuhBxw4dkh2GrG_z4l5oAqOdJRBCsUyMaM/edit?usp=sharing"",""ตรัง!I541"")"),0)</f>
        <v>0</v>
      </c>
      <c r="AF77" s="140">
        <f ca="1">IFERROR(__xludf.DUMMYFUNCTION("IMPORTRANGE(""https://docs.google.com/spreadsheets/d/1v5sN-00LrXuhBxw4dkh2GrG_z4l5oAqOdJRBCsUyMaM/edit?usp=sharing"",""ตรัง!J541"")"),0)</f>
        <v>0</v>
      </c>
      <c r="AG77" s="141">
        <f t="shared" ca="1" si="14"/>
        <v>0</v>
      </c>
      <c r="AH77" s="140">
        <f ca="1">IFERROR(__xludf.DUMMYFUNCTION("IMPORTRANGE(""https://docs.google.com/spreadsheets/d/1v5sN-00LrXuhBxw4dkh2GrG_z4l5oAqOdJRBCsUyMaM/edit?usp=sharing"",""ตรัง!I542"")"),0)</f>
        <v>0</v>
      </c>
      <c r="AI77" s="140">
        <f ca="1">IFERROR(__xludf.DUMMYFUNCTION("IMPORTRANGE(""https://docs.google.com/spreadsheets/d/1v5sN-00LrXuhBxw4dkh2GrG_z4l5oAqOdJRBCsUyMaM/edit?usp=sharing"",""ตรัง!J542"")"),0)</f>
        <v>0</v>
      </c>
      <c r="AJ77" s="141">
        <f t="shared" ca="1" si="16"/>
        <v>0</v>
      </c>
    </row>
    <row r="78" spans="1:36" ht="21" customHeight="1" x14ac:dyDescent="0.3">
      <c r="A78" s="54">
        <v>4</v>
      </c>
      <c r="B78" s="55" t="s">
        <v>99</v>
      </c>
      <c r="C78" s="56">
        <f t="shared" ca="1" si="74"/>
        <v>0</v>
      </c>
      <c r="D78" s="57">
        <f ca="1">IFERROR(__xludf.DUMMYFUNCTION("IMPORTRANGE(""https://docs.google.com/spreadsheets/d/1T5rRTzFc79aSIvqnzkZNvwPstq829QYz_xALlO1Z0s8/edit?usp=sharing"",""นครศรีธรรมราช!L528"")"),0)</f>
        <v>0</v>
      </c>
      <c r="E78" s="64">
        <f ca="1">IFERROR(__xludf.DUMMYFUNCTION("IMPORTRANGE(""https://docs.google.com/spreadsheets/d/1T5rRTzFc79aSIvqnzkZNvwPstq829QYz_xALlO1Z0s8/edit?usp=sharing"",""นครศรีธรรมราช!L535"")"),0)</f>
        <v>0</v>
      </c>
      <c r="F78" s="64">
        <f ca="1">IFERROR(__xludf.DUMMYFUNCTION("IMPORTRANGE(""https://docs.google.com/spreadsheets/d/1T5rRTzFc79aSIvqnzkZNvwPstq829QYz_xALlO1Z0s8/edit?usp=sharing"",""นครศรีธรรมราช!M528"")"),0)</f>
        <v>0</v>
      </c>
      <c r="G78" s="64">
        <f ca="1">IFERROR(__xludf.DUMMYFUNCTION("IMPORTRANGE(""https://docs.google.com/spreadsheets/d/1T5rRTzFc79aSIvqnzkZNvwPstq829QYz_xALlO1Z0s8/edit?usp=sharing"",""นครศรีธรรมราช!M535"")"),0)</f>
        <v>0</v>
      </c>
      <c r="H78" s="58">
        <f t="shared" ca="1" si="32"/>
        <v>0</v>
      </c>
      <c r="I78" s="59">
        <f t="shared" ca="1" si="1"/>
        <v>0</v>
      </c>
      <c r="J78" s="60">
        <f t="shared" ca="1" si="75"/>
        <v>0</v>
      </c>
      <c r="K78" s="61">
        <f t="shared" ca="1" si="34"/>
        <v>0</v>
      </c>
      <c r="L78" s="61">
        <f t="shared" ca="1" si="35"/>
        <v>0</v>
      </c>
      <c r="M78" s="64">
        <f ca="1">IFERROR(__xludf.DUMMYFUNCTION("IMPORTRANGE(""https://docs.google.com/spreadsheets/d/1T5rRTzFc79aSIvqnzkZNvwPstq829QYz_xALlO1Z0s8/edit?usp=sharing"",""นครศรีธรรมราช!N529"")"),0)</f>
        <v>0</v>
      </c>
      <c r="N78" s="64">
        <f ca="1">IFERROR(__xludf.DUMMYFUNCTION("IMPORTRANGE(""https://docs.google.com/spreadsheets/d/1T5rRTzFc79aSIvqnzkZNvwPstq829QYz_xALlO1Z0s8/edit?usp=sharing"",""นครศรีธรรมราช!N530"")"),0)</f>
        <v>0</v>
      </c>
      <c r="O78" s="64">
        <f ca="1">IFERROR(__xludf.DUMMYFUNCTION("IMPORTRANGE(""https://docs.google.com/spreadsheets/d/1T5rRTzFc79aSIvqnzkZNvwPstq829QYz_xALlO1Z0s8/edit?usp=sharing"",""นครศรีธรรมราช!N531"")"),0)</f>
        <v>0</v>
      </c>
      <c r="P78" s="64">
        <f ca="1">IFERROR(__xludf.DUMMYFUNCTION("IMPORTRANGE(""https://docs.google.com/spreadsheets/d/1T5rRTzFc79aSIvqnzkZNvwPstq829QYz_xALlO1Z0s8/edit?usp=sharing"",""นครศรีธรรมราช!N532"")"),0)</f>
        <v>0</v>
      </c>
      <c r="Q78" s="62">
        <f ca="1">IFERROR(__xludf.DUMMYFUNCTION("IMPORTRANGE(""https://docs.google.com/spreadsheets/d/1T5rRTzFc79aSIvqnzkZNvwPstq829QYz_xALlO1Z0s8/edit?usp=sharing"",""นครศรีธรรมราช!N535"")"),0)</f>
        <v>0</v>
      </c>
      <c r="R78" s="62">
        <f t="shared" ca="1" si="37"/>
        <v>0</v>
      </c>
      <c r="S78" s="57">
        <f ca="1">IFERROR(__xludf.DUMMYFUNCTION("IMPORTRANGE(""https://docs.google.com/spreadsheets/d/1T5rRTzFc79aSIvqnzkZNvwPstq829QYz_xALlO1Z0s8/edit?usp=sharing"",""นครศรีธรรมราช!I537"")"),0)</f>
        <v>0</v>
      </c>
      <c r="T78" s="57">
        <f ca="1">IFERROR(__xludf.DUMMYFUNCTION("IMPORTRANGE(""https://docs.google.com/spreadsheets/d/1T5rRTzFc79aSIvqnzkZNvwPstq829QYz_xALlO1Z0s8/edit?usp=sharing"",""นครศรีธรรมราช!J537"")"),0)</f>
        <v>0</v>
      </c>
      <c r="U78" s="63">
        <f t="shared" ca="1" si="6"/>
        <v>0</v>
      </c>
      <c r="V78" s="57">
        <f ca="1">IFERROR(__xludf.DUMMYFUNCTION("IMPORTRANGE(""https://docs.google.com/spreadsheets/d/1T5rRTzFc79aSIvqnzkZNvwPstq829QYz_xALlO1Z0s8/edit?usp=sharing"",""นครศรีธรรมราช!I538"")"),0)</f>
        <v>0</v>
      </c>
      <c r="W78" s="57">
        <f ca="1">IFERROR(__xludf.DUMMYFUNCTION("IMPORTRANGE(""https://docs.google.com/spreadsheets/d/1T5rRTzFc79aSIvqnzkZNvwPstq829QYz_xALlO1Z0s8/edit?usp=sharing"",""นครศรีธรรมราช!J538"")"),0)</f>
        <v>0</v>
      </c>
      <c r="X78" s="63">
        <f t="shared" ca="1" si="8"/>
        <v>0</v>
      </c>
      <c r="Y78" s="57">
        <f ca="1">IFERROR(__xludf.DUMMYFUNCTION("IMPORTRANGE(""https://docs.google.com/spreadsheets/d/1T5rRTzFc79aSIvqnzkZNvwPstq829QYz_xALlO1Z0s8/edit?usp=sharing"",""นครศรีธรรมราช!I539"")"),0)</f>
        <v>0</v>
      </c>
      <c r="Z78" s="57">
        <f ca="1">IFERROR(__xludf.DUMMYFUNCTION("IMPORTRANGE(""https://docs.google.com/spreadsheets/d/1T5rRTzFc79aSIvqnzkZNvwPstq829QYz_xALlO1Z0s8/edit?usp=sharing"",""นครศรีธรรมราช!J539"")"),0)</f>
        <v>0</v>
      </c>
      <c r="AA78" s="63">
        <f t="shared" ca="1" si="10"/>
        <v>0</v>
      </c>
      <c r="AB78" s="57">
        <f ca="1">IFERROR(__xludf.DUMMYFUNCTION("IMPORTRANGE(""https://docs.google.com/spreadsheets/d/1T5rRTzFc79aSIvqnzkZNvwPstq829QYz_xALlO1Z0s8/edit?usp=sharing"",""นครศรีธรรมราช!I540"")"),0)</f>
        <v>0</v>
      </c>
      <c r="AC78" s="57">
        <f ca="1">IFERROR(__xludf.DUMMYFUNCTION("IMPORTRANGE(""https://docs.google.com/spreadsheets/d/1T5rRTzFc79aSIvqnzkZNvwPstq829QYz_xALlO1Z0s8/edit?usp=sharing"",""นครศรีธรรมราช!J540"")"),0)</f>
        <v>0</v>
      </c>
      <c r="AD78" s="63">
        <f t="shared" ca="1" si="12"/>
        <v>0</v>
      </c>
      <c r="AE78" s="140">
        <f ca="1">IFERROR(__xludf.DUMMYFUNCTION("IMPORTRANGE(""https://docs.google.com/spreadsheets/d/1T5rRTzFc79aSIvqnzkZNvwPstq829QYz_xALlO1Z0s8/edit?usp=sharing"",""นครศรีธรรมราช!I541"")"),0)</f>
        <v>0</v>
      </c>
      <c r="AF78" s="140">
        <f ca="1">IFERROR(__xludf.DUMMYFUNCTION("IMPORTRANGE(""https://docs.google.com/spreadsheets/d/1T5rRTzFc79aSIvqnzkZNvwPstq829QYz_xALlO1Z0s8/edit?usp=sharing"",""นครศรีธรรมราช!J541"")"),0)</f>
        <v>0</v>
      </c>
      <c r="AG78" s="141">
        <f t="shared" ca="1" si="14"/>
        <v>0</v>
      </c>
      <c r="AH78" s="140">
        <f ca="1">IFERROR(__xludf.DUMMYFUNCTION("IMPORTRANGE(""https://docs.google.com/spreadsheets/d/1T5rRTzFc79aSIvqnzkZNvwPstq829QYz_xALlO1Z0s8/edit?usp=sharing"",""นครศรีธรรมราช!I542"")"),0)</f>
        <v>0</v>
      </c>
      <c r="AI78" s="140">
        <f ca="1">IFERROR(__xludf.DUMMYFUNCTION("IMPORTRANGE(""https://docs.google.com/spreadsheets/d/1T5rRTzFc79aSIvqnzkZNvwPstq829QYz_xALlO1Z0s8/edit?usp=sharing"",""นครศรีธรรมราช!J542"")"),0)</f>
        <v>0</v>
      </c>
      <c r="AJ78" s="141">
        <f t="shared" ca="1" si="16"/>
        <v>0</v>
      </c>
    </row>
    <row r="79" spans="1:36" ht="21" customHeight="1" x14ac:dyDescent="0.3">
      <c r="A79" s="54">
        <v>5</v>
      </c>
      <c r="B79" s="55" t="s">
        <v>100</v>
      </c>
      <c r="C79" s="56">
        <f t="shared" ca="1" si="74"/>
        <v>0</v>
      </c>
      <c r="D79" s="57">
        <f ca="1">IFERROR(__xludf.DUMMYFUNCTION("IMPORTRANGE(""https://docs.google.com/spreadsheets/d/1BeghqumK0IvCmRd2QOy6_afsZq7ZtAGrSnVJy2u7WmY/edit?usp=sharing"",""นราธิวาส!L528"")"),0)</f>
        <v>0</v>
      </c>
      <c r="E79" s="64">
        <f ca="1">IFERROR(__xludf.DUMMYFUNCTION("IMPORTRANGE(""https://docs.google.com/spreadsheets/d/1BeghqumK0IvCmRd2QOy6_afsZq7ZtAGrSnVJy2u7WmY/edit?usp=sharing"",""นราธิวาส!L535"")"),0)</f>
        <v>0</v>
      </c>
      <c r="F79" s="64">
        <f ca="1">IFERROR(__xludf.DUMMYFUNCTION("IMPORTRANGE(""https://docs.google.com/spreadsheets/d/1BeghqumK0IvCmRd2QOy6_afsZq7ZtAGrSnVJy2u7WmY/edit?usp=sharing"",""นราธิวาส!M528"")"),0)</f>
        <v>0</v>
      </c>
      <c r="G79" s="64">
        <f ca="1">IFERROR(__xludf.DUMMYFUNCTION("IMPORTRANGE(""https://docs.google.com/spreadsheets/d/1BeghqumK0IvCmRd2QOy6_afsZq7ZtAGrSnVJy2u7WmY/edit?usp=sharing"",""นราธิวาส!M535"")"),0)</f>
        <v>0</v>
      </c>
      <c r="H79" s="58">
        <f t="shared" ca="1" si="32"/>
        <v>0</v>
      </c>
      <c r="I79" s="59">
        <f t="shared" ca="1" si="1"/>
        <v>0</v>
      </c>
      <c r="J79" s="60">
        <f t="shared" ca="1" si="75"/>
        <v>0</v>
      </c>
      <c r="K79" s="61">
        <f t="shared" ca="1" si="34"/>
        <v>0</v>
      </c>
      <c r="L79" s="61">
        <f t="shared" ca="1" si="35"/>
        <v>0</v>
      </c>
      <c r="M79" s="64">
        <f ca="1">IFERROR(__xludf.DUMMYFUNCTION("IMPORTRANGE(""https://docs.google.com/spreadsheets/d/1BeghqumK0IvCmRd2QOy6_afsZq7ZtAGrSnVJy2u7WmY/edit?usp=sharing"",""นราธิวาส!N529"")"),0)</f>
        <v>0</v>
      </c>
      <c r="N79" s="64">
        <f ca="1">IFERROR(__xludf.DUMMYFUNCTION("IMPORTRANGE(""https://docs.google.com/spreadsheets/d/1BeghqumK0IvCmRd2QOy6_afsZq7ZtAGrSnVJy2u7WmY/edit?usp=sharing"",""นราธิวาส!N530"")"),0)</f>
        <v>0</v>
      </c>
      <c r="O79" s="64">
        <f ca="1">IFERROR(__xludf.DUMMYFUNCTION("IMPORTRANGE(""https://docs.google.com/spreadsheets/d/1BeghqumK0IvCmRd2QOy6_afsZq7ZtAGrSnVJy2u7WmY/edit?usp=sharing"",""นราธิวาส!N531"")"),0)</f>
        <v>0</v>
      </c>
      <c r="P79" s="64">
        <f ca="1">IFERROR(__xludf.DUMMYFUNCTION("IMPORTRANGE(""https://docs.google.com/spreadsheets/d/1BeghqumK0IvCmRd2QOy6_afsZq7ZtAGrSnVJy2u7WmY/edit?usp=sharing"",""นราธิวาส!N532"")"),0)</f>
        <v>0</v>
      </c>
      <c r="Q79" s="62">
        <f ca="1">IFERROR(__xludf.DUMMYFUNCTION("IMPORTRANGE(""https://docs.google.com/spreadsheets/d/1BeghqumK0IvCmRd2QOy6_afsZq7ZtAGrSnVJy2u7WmY/edit?usp=sharing"",""นราธิวาส!N535"")"),0)</f>
        <v>0</v>
      </c>
      <c r="R79" s="62">
        <f t="shared" ca="1" si="37"/>
        <v>0</v>
      </c>
      <c r="S79" s="57">
        <f ca="1">IFERROR(__xludf.DUMMYFUNCTION("IMPORTRANGE(""https://docs.google.com/spreadsheets/d/1BeghqumK0IvCmRd2QOy6_afsZq7ZtAGrSnVJy2u7WmY/edit?usp=sharing"",""นราธิวาส!I537"")"),0)</f>
        <v>0</v>
      </c>
      <c r="T79" s="57">
        <f ca="1">IFERROR(__xludf.DUMMYFUNCTION("IMPORTRANGE(""https://docs.google.com/spreadsheets/d/1BeghqumK0IvCmRd2QOy6_afsZq7ZtAGrSnVJy2u7WmY/edit?usp=sharing"",""นราธิวาส!J537"")"),0)</f>
        <v>0</v>
      </c>
      <c r="U79" s="63">
        <f t="shared" ca="1" si="6"/>
        <v>0</v>
      </c>
      <c r="V79" s="57">
        <f ca="1">IFERROR(__xludf.DUMMYFUNCTION("IMPORTRANGE(""https://docs.google.com/spreadsheets/d/1BeghqumK0IvCmRd2QOy6_afsZq7ZtAGrSnVJy2u7WmY/edit?usp=sharing"",""นราธิวาส!I538"")"),0)</f>
        <v>0</v>
      </c>
      <c r="W79" s="57">
        <f ca="1">IFERROR(__xludf.DUMMYFUNCTION("IMPORTRANGE(""https://docs.google.com/spreadsheets/d/1BeghqumK0IvCmRd2QOy6_afsZq7ZtAGrSnVJy2u7WmY/edit?usp=sharing"",""นราธิวาส!J538"")"),0)</f>
        <v>0</v>
      </c>
      <c r="X79" s="63">
        <f t="shared" ca="1" si="8"/>
        <v>0</v>
      </c>
      <c r="Y79" s="57">
        <f ca="1">IFERROR(__xludf.DUMMYFUNCTION("IMPORTRANGE(""https://docs.google.com/spreadsheets/d/1BeghqumK0IvCmRd2QOy6_afsZq7ZtAGrSnVJy2u7WmY/edit?usp=sharing"",""นราธิวาส!I539"")"),0)</f>
        <v>0</v>
      </c>
      <c r="Z79" s="57">
        <f ca="1">IFERROR(__xludf.DUMMYFUNCTION("IMPORTRANGE(""https://docs.google.com/spreadsheets/d/1BeghqumK0IvCmRd2QOy6_afsZq7ZtAGrSnVJy2u7WmY/edit?usp=sharing"",""นราธิวาส!J539"")"),0)</f>
        <v>0</v>
      </c>
      <c r="AA79" s="63">
        <f t="shared" ca="1" si="10"/>
        <v>0</v>
      </c>
      <c r="AB79" s="57">
        <f ca="1">IFERROR(__xludf.DUMMYFUNCTION("IMPORTRANGE(""https://docs.google.com/spreadsheets/d/1BeghqumK0IvCmRd2QOy6_afsZq7ZtAGrSnVJy2u7WmY/edit?usp=sharing"",""นราธิวาส!I540"")"),0)</f>
        <v>0</v>
      </c>
      <c r="AC79" s="57">
        <f ca="1">IFERROR(__xludf.DUMMYFUNCTION("IMPORTRANGE(""https://docs.google.com/spreadsheets/d/1BeghqumK0IvCmRd2QOy6_afsZq7ZtAGrSnVJy2u7WmY/edit?usp=sharing"",""นราธิวาส!J540"")"),0)</f>
        <v>0</v>
      </c>
      <c r="AD79" s="63">
        <f t="shared" ca="1" si="12"/>
        <v>0</v>
      </c>
      <c r="AE79" s="140">
        <f ca="1">IFERROR(__xludf.DUMMYFUNCTION("IMPORTRANGE(""https://docs.google.com/spreadsheets/d/1BeghqumK0IvCmRd2QOy6_afsZq7ZtAGrSnVJy2u7WmY/edit?usp=sharing"",""นราธิวาส!I541"")"),0)</f>
        <v>0</v>
      </c>
      <c r="AF79" s="140">
        <f ca="1">IFERROR(__xludf.DUMMYFUNCTION("IMPORTRANGE(""https://docs.google.com/spreadsheets/d/1BeghqumK0IvCmRd2QOy6_afsZq7ZtAGrSnVJy2u7WmY/edit?usp=sharing"",""นราธิวาส!J541"")"),0)</f>
        <v>0</v>
      </c>
      <c r="AG79" s="141">
        <f t="shared" ca="1" si="14"/>
        <v>0</v>
      </c>
      <c r="AH79" s="140">
        <f ca="1">IFERROR(__xludf.DUMMYFUNCTION("IMPORTRANGE(""https://docs.google.com/spreadsheets/d/1BeghqumK0IvCmRd2QOy6_afsZq7ZtAGrSnVJy2u7WmY/edit?usp=sharing"",""นราธิวาส!I542"")"),0)</f>
        <v>0</v>
      </c>
      <c r="AI79" s="140">
        <f ca="1">IFERROR(__xludf.DUMMYFUNCTION("IMPORTRANGE(""https://docs.google.com/spreadsheets/d/1BeghqumK0IvCmRd2QOy6_afsZq7ZtAGrSnVJy2u7WmY/edit?usp=sharing"",""นราธิวาส!J542"")"),0)</f>
        <v>0</v>
      </c>
      <c r="AJ79" s="141">
        <f t="shared" ca="1" si="16"/>
        <v>0</v>
      </c>
    </row>
    <row r="80" spans="1:36" ht="21" customHeight="1" x14ac:dyDescent="0.3">
      <c r="A80" s="54">
        <v>6</v>
      </c>
      <c r="B80" s="55" t="s">
        <v>101</v>
      </c>
      <c r="C80" s="56">
        <f t="shared" ca="1" si="74"/>
        <v>0</v>
      </c>
      <c r="D80" s="57">
        <f ca="1">IFERROR(__xludf.DUMMYFUNCTION("IMPORTRANGE(""https://docs.google.com/spreadsheets/d/1IwnW3-jjRf74MCLW-6PiFwMUffRQXZwZA7YM609NmRc/edit?usp=sharing"",""ปัตตานี!L528"")"),0)</f>
        <v>0</v>
      </c>
      <c r="E80" s="64">
        <f ca="1">IFERROR(__xludf.DUMMYFUNCTION("IMPORTRANGE(""https://docs.google.com/spreadsheets/d/1IwnW3-jjRf74MCLW-6PiFwMUffRQXZwZA7YM609NmRc/edit?usp=sharing"",""ปัตตานี!L535"")"),0)</f>
        <v>0</v>
      </c>
      <c r="F80" s="64">
        <f ca="1">IFERROR(__xludf.DUMMYFUNCTION("IMPORTRANGE(""https://docs.google.com/spreadsheets/d/1IwnW3-jjRf74MCLW-6PiFwMUffRQXZwZA7YM609NmRc/edit?usp=sharing"",""ปัตตานี!M528"")"),0)</f>
        <v>0</v>
      </c>
      <c r="G80" s="64">
        <f ca="1">IFERROR(__xludf.DUMMYFUNCTION("IMPORTRANGE(""https://docs.google.com/spreadsheets/d/1IwnW3-jjRf74MCLW-6PiFwMUffRQXZwZA7YM609NmRc/edit?usp=sharing"",""ปัตตานี!M535"")"),0)</f>
        <v>0</v>
      </c>
      <c r="H80" s="58">
        <f t="shared" ca="1" si="32"/>
        <v>0</v>
      </c>
      <c r="I80" s="59">
        <f t="shared" ca="1" si="1"/>
        <v>0</v>
      </c>
      <c r="J80" s="60">
        <f t="shared" ca="1" si="75"/>
        <v>0</v>
      </c>
      <c r="K80" s="61">
        <f t="shared" ca="1" si="34"/>
        <v>0</v>
      </c>
      <c r="L80" s="61">
        <f t="shared" ca="1" si="35"/>
        <v>0</v>
      </c>
      <c r="M80" s="64">
        <f ca="1">IFERROR(__xludf.DUMMYFUNCTION("IMPORTRANGE(""https://docs.google.com/spreadsheets/d/1IwnW3-jjRf74MCLW-6PiFwMUffRQXZwZA7YM609NmRc/edit?usp=sharing"",""ปัตตานี!N529"")"),0)</f>
        <v>0</v>
      </c>
      <c r="N80" s="64">
        <f ca="1">IFERROR(__xludf.DUMMYFUNCTION("IMPORTRANGE(""https://docs.google.com/spreadsheets/d/1IwnW3-jjRf74MCLW-6PiFwMUffRQXZwZA7YM609NmRc/edit?usp=sharing"",""ปัตตานี!N530"")"),0)</f>
        <v>0</v>
      </c>
      <c r="O80" s="64">
        <f ca="1">IFERROR(__xludf.DUMMYFUNCTION("IMPORTRANGE(""https://docs.google.com/spreadsheets/d/1IwnW3-jjRf74MCLW-6PiFwMUffRQXZwZA7YM609NmRc/edit?usp=sharing"",""ปัตตานี!N531"")"),0)</f>
        <v>0</v>
      </c>
      <c r="P80" s="64">
        <f ca="1">IFERROR(__xludf.DUMMYFUNCTION("IMPORTRANGE(""https://docs.google.com/spreadsheets/d/1IwnW3-jjRf74MCLW-6PiFwMUffRQXZwZA7YM609NmRc/edit?usp=sharing"",""ปัตตานี!N532"")"),0)</f>
        <v>0</v>
      </c>
      <c r="Q80" s="62">
        <f ca="1">IFERROR(__xludf.DUMMYFUNCTION("IMPORTRANGE(""https://docs.google.com/spreadsheets/d/1IwnW3-jjRf74MCLW-6PiFwMUffRQXZwZA7YM609NmRc/edit?usp=sharing"",""ปัตตานี!N535"")"),0)</f>
        <v>0</v>
      </c>
      <c r="R80" s="62">
        <f t="shared" ca="1" si="37"/>
        <v>0</v>
      </c>
      <c r="S80" s="57">
        <f ca="1">IFERROR(__xludf.DUMMYFUNCTION("IMPORTRANGE(""https://docs.google.com/spreadsheets/d/1IwnW3-jjRf74MCLW-6PiFwMUffRQXZwZA7YM609NmRc/edit?usp=sharing"",""ปัตตานี!I537"")"),0)</f>
        <v>0</v>
      </c>
      <c r="T80" s="57">
        <f ca="1">IFERROR(__xludf.DUMMYFUNCTION("IMPORTRANGE(""https://docs.google.com/spreadsheets/d/1IwnW3-jjRf74MCLW-6PiFwMUffRQXZwZA7YM609NmRc/edit?usp=sharing"",""ปัตตานี!J537"")"),0)</f>
        <v>0</v>
      </c>
      <c r="U80" s="63">
        <f t="shared" ca="1" si="6"/>
        <v>0</v>
      </c>
      <c r="V80" s="57">
        <f ca="1">IFERROR(__xludf.DUMMYFUNCTION("IMPORTRANGE(""https://docs.google.com/spreadsheets/d/1IwnW3-jjRf74MCLW-6PiFwMUffRQXZwZA7YM609NmRc/edit?usp=sharing"",""ปัตตานี!I538"")"),0)</f>
        <v>0</v>
      </c>
      <c r="W80" s="57">
        <f ca="1">IFERROR(__xludf.DUMMYFUNCTION("IMPORTRANGE(""https://docs.google.com/spreadsheets/d/1IwnW3-jjRf74MCLW-6PiFwMUffRQXZwZA7YM609NmRc/edit?usp=sharing"",""ปัตตานี!J538"")"),0)</f>
        <v>0</v>
      </c>
      <c r="X80" s="63">
        <f t="shared" ca="1" si="8"/>
        <v>0</v>
      </c>
      <c r="Y80" s="57">
        <f ca="1">IFERROR(__xludf.DUMMYFUNCTION("IMPORTRANGE(""https://docs.google.com/spreadsheets/d/1IwnW3-jjRf74MCLW-6PiFwMUffRQXZwZA7YM609NmRc/edit?usp=sharing"",""ปัตตานี!I539"")"),0)</f>
        <v>0</v>
      </c>
      <c r="Z80" s="57">
        <f ca="1">IFERROR(__xludf.DUMMYFUNCTION("IMPORTRANGE(""https://docs.google.com/spreadsheets/d/1IwnW3-jjRf74MCLW-6PiFwMUffRQXZwZA7YM609NmRc/edit?usp=sharing"",""ปัตตานี!J539"")"),0)</f>
        <v>0</v>
      </c>
      <c r="AA80" s="63">
        <f t="shared" ca="1" si="10"/>
        <v>0</v>
      </c>
      <c r="AB80" s="57">
        <f ca="1">IFERROR(__xludf.DUMMYFUNCTION("IMPORTRANGE(""https://docs.google.com/spreadsheets/d/1IwnW3-jjRf74MCLW-6PiFwMUffRQXZwZA7YM609NmRc/edit?usp=sharing"",""ปัตตานี!I540"")"),0)</f>
        <v>0</v>
      </c>
      <c r="AC80" s="57">
        <f ca="1">IFERROR(__xludf.DUMMYFUNCTION("IMPORTRANGE(""https://docs.google.com/spreadsheets/d/1IwnW3-jjRf74MCLW-6PiFwMUffRQXZwZA7YM609NmRc/edit?usp=sharing"",""ปัตตานี!J540"")"),0)</f>
        <v>0</v>
      </c>
      <c r="AD80" s="63">
        <f t="shared" ca="1" si="12"/>
        <v>0</v>
      </c>
      <c r="AE80" s="140">
        <f ca="1">IFERROR(__xludf.DUMMYFUNCTION("IMPORTRANGE(""https://docs.google.com/spreadsheets/d/1IwnW3-jjRf74MCLW-6PiFwMUffRQXZwZA7YM609NmRc/edit?usp=sharing"",""ปัตตานี!I541"")"),0)</f>
        <v>0</v>
      </c>
      <c r="AF80" s="140">
        <f ca="1">IFERROR(__xludf.DUMMYFUNCTION("IMPORTRANGE(""https://docs.google.com/spreadsheets/d/1IwnW3-jjRf74MCLW-6PiFwMUffRQXZwZA7YM609NmRc/edit?usp=sharing"",""ปัตตานี!J541"")"),0)</f>
        <v>0</v>
      </c>
      <c r="AG80" s="141">
        <f t="shared" ca="1" si="14"/>
        <v>0</v>
      </c>
      <c r="AH80" s="140">
        <f ca="1">IFERROR(__xludf.DUMMYFUNCTION("IMPORTRANGE(""https://docs.google.com/spreadsheets/d/1IwnW3-jjRf74MCLW-6PiFwMUffRQXZwZA7YM609NmRc/edit?usp=sharing"",""ปัตตานี!I542"")"),0)</f>
        <v>0</v>
      </c>
      <c r="AI80" s="140">
        <f ca="1">IFERROR(__xludf.DUMMYFUNCTION("IMPORTRANGE(""https://docs.google.com/spreadsheets/d/1IwnW3-jjRf74MCLW-6PiFwMUffRQXZwZA7YM609NmRc/edit?usp=sharing"",""ปัตตานี!J542"")"),0)</f>
        <v>0</v>
      </c>
      <c r="AJ80" s="141">
        <f t="shared" ca="1" si="16"/>
        <v>0</v>
      </c>
    </row>
    <row r="81" spans="1:36" ht="21" customHeight="1" x14ac:dyDescent="0.3">
      <c r="A81" s="54">
        <v>7</v>
      </c>
      <c r="B81" s="55" t="s">
        <v>102</v>
      </c>
      <c r="C81" s="56">
        <f t="shared" ca="1" si="74"/>
        <v>0</v>
      </c>
      <c r="D81" s="57">
        <f ca="1">IFERROR(__xludf.DUMMYFUNCTION("IMPORTRANGE(""https://docs.google.com/spreadsheets/d/1vl4QWbWdFruual5o_wdo6ZSqXZ_it806oja4CctTLKs/edit?usp=sharing"",""พังงา!L528"")"),0)</f>
        <v>0</v>
      </c>
      <c r="E81" s="64">
        <f ca="1">IFERROR(__xludf.DUMMYFUNCTION("IMPORTRANGE(""https://docs.google.com/spreadsheets/d/1vl4QWbWdFruual5o_wdo6ZSqXZ_it806oja4CctTLKs/edit?usp=sharing"",""พังงา!L535"")"),0)</f>
        <v>0</v>
      </c>
      <c r="F81" s="64">
        <f ca="1">IFERROR(__xludf.DUMMYFUNCTION("IMPORTRANGE(""https://docs.google.com/spreadsheets/d/1vl4QWbWdFruual5o_wdo6ZSqXZ_it806oja4CctTLKs/edit?usp=sharing"",""พังงา!M528"")"),0)</f>
        <v>0</v>
      </c>
      <c r="G81" s="64">
        <f ca="1">IFERROR(__xludf.DUMMYFUNCTION("IMPORTRANGE(""https://docs.google.com/spreadsheets/d/1vl4QWbWdFruual5o_wdo6ZSqXZ_it806oja4CctTLKs/edit?usp=sharing"",""พังงา!M535"")"),0)</f>
        <v>0</v>
      </c>
      <c r="H81" s="58">
        <f t="shared" ca="1" si="32"/>
        <v>0</v>
      </c>
      <c r="I81" s="59">
        <f t="shared" ca="1" si="1"/>
        <v>0</v>
      </c>
      <c r="J81" s="60">
        <f t="shared" ca="1" si="75"/>
        <v>0</v>
      </c>
      <c r="K81" s="61">
        <f t="shared" ca="1" si="34"/>
        <v>0</v>
      </c>
      <c r="L81" s="61">
        <f t="shared" ca="1" si="35"/>
        <v>0</v>
      </c>
      <c r="M81" s="64">
        <f ca="1">IFERROR(__xludf.DUMMYFUNCTION("IMPORTRANGE(""https://docs.google.com/spreadsheets/d/1vl4QWbWdFruual5o_wdo6ZSqXZ_it806oja4CctTLKs/edit?usp=sharing"",""พังงา!N529"")"),0)</f>
        <v>0</v>
      </c>
      <c r="N81" s="64">
        <f ca="1">IFERROR(__xludf.DUMMYFUNCTION("IMPORTRANGE(""https://docs.google.com/spreadsheets/d/1vl4QWbWdFruual5o_wdo6ZSqXZ_it806oja4CctTLKs/edit?usp=sharing"",""พังงา!N530"")"),0)</f>
        <v>0</v>
      </c>
      <c r="O81" s="64">
        <f ca="1">IFERROR(__xludf.DUMMYFUNCTION("IMPORTRANGE(""https://docs.google.com/spreadsheets/d/1vl4QWbWdFruual5o_wdo6ZSqXZ_it806oja4CctTLKs/edit?usp=sharing"",""พังงา!N531"")"),0)</f>
        <v>0</v>
      </c>
      <c r="P81" s="64">
        <f ca="1">IFERROR(__xludf.DUMMYFUNCTION("IMPORTRANGE(""https://docs.google.com/spreadsheets/d/1vl4QWbWdFruual5o_wdo6ZSqXZ_it806oja4CctTLKs/edit?usp=sharing"",""พังงา!N532"")"),0)</f>
        <v>0</v>
      </c>
      <c r="Q81" s="62">
        <f ca="1">IFERROR(__xludf.DUMMYFUNCTION("IMPORTRANGE(""https://docs.google.com/spreadsheets/d/1vl4QWbWdFruual5o_wdo6ZSqXZ_it806oja4CctTLKs/edit?usp=sharing"",""พังงา!N535"")"),0)</f>
        <v>0</v>
      </c>
      <c r="R81" s="62">
        <f t="shared" ca="1" si="37"/>
        <v>0</v>
      </c>
      <c r="S81" s="57">
        <f ca="1">IFERROR(__xludf.DUMMYFUNCTION("IMPORTRANGE(""https://docs.google.com/spreadsheets/d/1vl4QWbWdFruual5o_wdo6ZSqXZ_it806oja4CctTLKs/edit?usp=sharing"",""พังงา!I537"")"),0)</f>
        <v>0</v>
      </c>
      <c r="T81" s="57">
        <f ca="1">IFERROR(__xludf.DUMMYFUNCTION("IMPORTRANGE(""https://docs.google.com/spreadsheets/d/1vl4QWbWdFruual5o_wdo6ZSqXZ_it806oja4CctTLKs/edit?usp=sharing"",""พังงา!J537"")"),0)</f>
        <v>0</v>
      </c>
      <c r="U81" s="63">
        <f t="shared" ca="1" si="6"/>
        <v>0</v>
      </c>
      <c r="V81" s="57">
        <f ca="1">IFERROR(__xludf.DUMMYFUNCTION("IMPORTRANGE(""https://docs.google.com/spreadsheets/d/1vl4QWbWdFruual5o_wdo6ZSqXZ_it806oja4CctTLKs/edit?usp=sharing"",""พังงา!I538"")"),0)</f>
        <v>0</v>
      </c>
      <c r="W81" s="57">
        <f ca="1">IFERROR(__xludf.DUMMYFUNCTION("IMPORTRANGE(""https://docs.google.com/spreadsheets/d/1vl4QWbWdFruual5o_wdo6ZSqXZ_it806oja4CctTLKs/edit?usp=sharing"",""พังงา!J538"")"),0)</f>
        <v>0</v>
      </c>
      <c r="X81" s="63">
        <f t="shared" ca="1" si="8"/>
        <v>0</v>
      </c>
      <c r="Y81" s="57">
        <f ca="1">IFERROR(__xludf.DUMMYFUNCTION("IMPORTRANGE(""https://docs.google.com/spreadsheets/d/1vl4QWbWdFruual5o_wdo6ZSqXZ_it806oja4CctTLKs/edit?usp=sharing"",""พังงา!I539"")"),0)</f>
        <v>0</v>
      </c>
      <c r="Z81" s="57">
        <f ca="1">IFERROR(__xludf.DUMMYFUNCTION("IMPORTRANGE(""https://docs.google.com/spreadsheets/d/1vl4QWbWdFruual5o_wdo6ZSqXZ_it806oja4CctTLKs/edit?usp=sharing"",""พังงา!J539"")"),0)</f>
        <v>0</v>
      </c>
      <c r="AA81" s="63">
        <f t="shared" ca="1" si="10"/>
        <v>0</v>
      </c>
      <c r="AB81" s="57">
        <f ca="1">IFERROR(__xludf.DUMMYFUNCTION("IMPORTRANGE(""https://docs.google.com/spreadsheets/d/1vl4QWbWdFruual5o_wdo6ZSqXZ_it806oja4CctTLKs/edit?usp=sharing"",""พังงา!I540"")"),0)</f>
        <v>0</v>
      </c>
      <c r="AC81" s="57">
        <f ca="1">IFERROR(__xludf.DUMMYFUNCTION("IMPORTRANGE(""https://docs.google.com/spreadsheets/d/1vl4QWbWdFruual5o_wdo6ZSqXZ_it806oja4CctTLKs/edit?usp=sharing"",""พังงา!J540"")"),0)</f>
        <v>0</v>
      </c>
      <c r="AD81" s="63">
        <f t="shared" ca="1" si="12"/>
        <v>0</v>
      </c>
      <c r="AE81" s="140">
        <f ca="1">IFERROR(__xludf.DUMMYFUNCTION("IMPORTRANGE(""https://docs.google.com/spreadsheets/d/1vl4QWbWdFruual5o_wdo6ZSqXZ_it806oja4CctTLKs/edit?usp=sharing"",""พังงา!I541"")"),0)</f>
        <v>0</v>
      </c>
      <c r="AF81" s="140">
        <f ca="1">IFERROR(__xludf.DUMMYFUNCTION("IMPORTRANGE(""https://docs.google.com/spreadsheets/d/1vl4QWbWdFruual5o_wdo6ZSqXZ_it806oja4CctTLKs/edit?usp=sharing"",""พังงา!J541"")"),0)</f>
        <v>0</v>
      </c>
      <c r="AG81" s="141">
        <f t="shared" ca="1" si="14"/>
        <v>0</v>
      </c>
      <c r="AH81" s="140">
        <f ca="1">IFERROR(__xludf.DUMMYFUNCTION("IMPORTRANGE(""https://docs.google.com/spreadsheets/d/1vl4QWbWdFruual5o_wdo6ZSqXZ_it806oja4CctTLKs/edit?usp=sharing"",""พังงา!I542"")"),0)</f>
        <v>0</v>
      </c>
      <c r="AI81" s="140">
        <f ca="1">IFERROR(__xludf.DUMMYFUNCTION("IMPORTRANGE(""https://docs.google.com/spreadsheets/d/1vl4QWbWdFruual5o_wdo6ZSqXZ_it806oja4CctTLKs/edit?usp=sharing"",""พังงา!J542"")"),0)</f>
        <v>0</v>
      </c>
      <c r="AJ81" s="141">
        <f t="shared" ca="1" si="16"/>
        <v>0</v>
      </c>
    </row>
    <row r="82" spans="1:36" ht="21" customHeight="1" x14ac:dyDescent="0.3">
      <c r="A82" s="54">
        <v>8</v>
      </c>
      <c r="B82" s="55" t="s">
        <v>103</v>
      </c>
      <c r="C82" s="56">
        <f t="shared" ca="1" si="74"/>
        <v>0</v>
      </c>
      <c r="D82" s="57">
        <f ca="1">IFERROR(__xludf.DUMMYFUNCTION("IMPORTRANGE(""https://docs.google.com/spreadsheets/d/1b6QssHQp2FoAPSMKHOy273KNzAomaIKhtdlvuZ_zDNE/edit?usp=sharing"",""พัทลุง!L528"")"),0)</f>
        <v>0</v>
      </c>
      <c r="E82" s="64">
        <f ca="1">IFERROR(__xludf.DUMMYFUNCTION("IMPORTRANGE(""https://docs.google.com/spreadsheets/d/1b6QssHQp2FoAPSMKHOy273KNzAomaIKhtdlvuZ_zDNE/edit?usp=sharing"",""พัทลุง!L535"")"),0)</f>
        <v>0</v>
      </c>
      <c r="F82" s="64">
        <f ca="1">IFERROR(__xludf.DUMMYFUNCTION("IMPORTRANGE(""https://docs.google.com/spreadsheets/d/1b6QssHQp2FoAPSMKHOy273KNzAomaIKhtdlvuZ_zDNE/edit?usp=sharing"",""พัทลุง!M528"")"),0)</f>
        <v>0</v>
      </c>
      <c r="G82" s="64">
        <f ca="1">IFERROR(__xludf.DUMMYFUNCTION("IMPORTRANGE(""https://docs.google.com/spreadsheets/d/1b6QssHQp2FoAPSMKHOy273KNzAomaIKhtdlvuZ_zDNE/edit?usp=sharing"",""พัทลุง!M535"")"),0)</f>
        <v>0</v>
      </c>
      <c r="H82" s="58">
        <f t="shared" ca="1" si="32"/>
        <v>0</v>
      </c>
      <c r="I82" s="59">
        <f t="shared" ca="1" si="1"/>
        <v>0</v>
      </c>
      <c r="J82" s="60">
        <f t="shared" ca="1" si="75"/>
        <v>0</v>
      </c>
      <c r="K82" s="61">
        <f t="shared" ca="1" si="34"/>
        <v>0</v>
      </c>
      <c r="L82" s="61">
        <f t="shared" ca="1" si="35"/>
        <v>0</v>
      </c>
      <c r="M82" s="64">
        <f ca="1">IFERROR(__xludf.DUMMYFUNCTION("IMPORTRANGE(""https://docs.google.com/spreadsheets/d/1b6QssHQp2FoAPSMKHOy273KNzAomaIKhtdlvuZ_zDNE/edit?usp=sharing"",""พัทลุง!N529"")"),0)</f>
        <v>0</v>
      </c>
      <c r="N82" s="64">
        <f ca="1">IFERROR(__xludf.DUMMYFUNCTION("IMPORTRANGE(""https://docs.google.com/spreadsheets/d/1b6QssHQp2FoAPSMKHOy273KNzAomaIKhtdlvuZ_zDNE/edit?usp=sharing"",""พัทลุง!N530"")"),0)</f>
        <v>0</v>
      </c>
      <c r="O82" s="64">
        <f ca="1">IFERROR(__xludf.DUMMYFUNCTION("IMPORTRANGE(""https://docs.google.com/spreadsheets/d/1b6QssHQp2FoAPSMKHOy273KNzAomaIKhtdlvuZ_zDNE/edit?usp=sharing"",""พัทลุง!N531"")"),0)</f>
        <v>0</v>
      </c>
      <c r="P82" s="64">
        <f ca="1">IFERROR(__xludf.DUMMYFUNCTION("IMPORTRANGE(""https://docs.google.com/spreadsheets/d/1b6QssHQp2FoAPSMKHOy273KNzAomaIKhtdlvuZ_zDNE/edit?usp=sharing"",""พัทลุง!N532"")"),0)</f>
        <v>0</v>
      </c>
      <c r="Q82" s="62">
        <f ca="1">IFERROR(__xludf.DUMMYFUNCTION("IMPORTRANGE(""https://docs.google.com/spreadsheets/d/1b6QssHQp2FoAPSMKHOy273KNzAomaIKhtdlvuZ_zDNE/edit?usp=sharing"",""พัทลุง!N535"")"),0)</f>
        <v>0</v>
      </c>
      <c r="R82" s="62">
        <f t="shared" ca="1" si="37"/>
        <v>0</v>
      </c>
      <c r="S82" s="57">
        <f ca="1">IFERROR(__xludf.DUMMYFUNCTION("IMPORTRANGE(""https://docs.google.com/spreadsheets/d/1b6QssHQp2FoAPSMKHOy273KNzAomaIKhtdlvuZ_zDNE/edit?usp=sharing"",""พัทลุง!I537"")"),0)</f>
        <v>0</v>
      </c>
      <c r="T82" s="57">
        <f ca="1">IFERROR(__xludf.DUMMYFUNCTION("IMPORTRANGE(""https://docs.google.com/spreadsheets/d/1b6QssHQp2FoAPSMKHOy273KNzAomaIKhtdlvuZ_zDNE/edit?usp=sharing"",""พัทลุง!J537"")"),0)</f>
        <v>0</v>
      </c>
      <c r="U82" s="63">
        <f t="shared" ca="1" si="6"/>
        <v>0</v>
      </c>
      <c r="V82" s="57">
        <f ca="1">IFERROR(__xludf.DUMMYFUNCTION("IMPORTRANGE(""https://docs.google.com/spreadsheets/d/1b6QssHQp2FoAPSMKHOy273KNzAomaIKhtdlvuZ_zDNE/edit?usp=sharing"",""พัทลุง!I538"")"),0)</f>
        <v>0</v>
      </c>
      <c r="W82" s="57">
        <f ca="1">IFERROR(__xludf.DUMMYFUNCTION("IMPORTRANGE(""https://docs.google.com/spreadsheets/d/1b6QssHQp2FoAPSMKHOy273KNzAomaIKhtdlvuZ_zDNE/edit?usp=sharing"",""พัทลุง!J538"")"),0)</f>
        <v>0</v>
      </c>
      <c r="X82" s="63">
        <f t="shared" ca="1" si="8"/>
        <v>0</v>
      </c>
      <c r="Y82" s="57">
        <f ca="1">IFERROR(__xludf.DUMMYFUNCTION("IMPORTRANGE(""https://docs.google.com/spreadsheets/d/1b6QssHQp2FoAPSMKHOy273KNzAomaIKhtdlvuZ_zDNE/edit?usp=sharing"",""พัทลุง!I539"")"),0)</f>
        <v>0</v>
      </c>
      <c r="Z82" s="57">
        <f ca="1">IFERROR(__xludf.DUMMYFUNCTION("IMPORTRANGE(""https://docs.google.com/spreadsheets/d/1b6QssHQp2FoAPSMKHOy273KNzAomaIKhtdlvuZ_zDNE/edit?usp=sharing"",""พัทลุง!J539"")"),0)</f>
        <v>0</v>
      </c>
      <c r="AA82" s="63">
        <f t="shared" ca="1" si="10"/>
        <v>0</v>
      </c>
      <c r="AB82" s="57">
        <f ca="1">IFERROR(__xludf.DUMMYFUNCTION("IMPORTRANGE(""https://docs.google.com/spreadsheets/d/1b6QssHQp2FoAPSMKHOy273KNzAomaIKhtdlvuZ_zDNE/edit?usp=sharing"",""พัทลุง!I540"")"),0)</f>
        <v>0</v>
      </c>
      <c r="AC82" s="57">
        <f ca="1">IFERROR(__xludf.DUMMYFUNCTION("IMPORTRANGE(""https://docs.google.com/spreadsheets/d/1b6QssHQp2FoAPSMKHOy273KNzAomaIKhtdlvuZ_zDNE/edit?usp=sharing"",""พัทลุง!J540"")"),0)</f>
        <v>0</v>
      </c>
      <c r="AD82" s="63">
        <f t="shared" ca="1" si="12"/>
        <v>0</v>
      </c>
      <c r="AE82" s="140">
        <f ca="1">IFERROR(__xludf.DUMMYFUNCTION("IMPORTRANGE(""https://docs.google.com/spreadsheets/d/1b6QssHQp2FoAPSMKHOy273KNzAomaIKhtdlvuZ_zDNE/edit?usp=sharing"",""พัทลุง!I541"")"),0)</f>
        <v>0</v>
      </c>
      <c r="AF82" s="140">
        <f ca="1">IFERROR(__xludf.DUMMYFUNCTION("IMPORTRANGE(""https://docs.google.com/spreadsheets/d/1b6QssHQp2FoAPSMKHOy273KNzAomaIKhtdlvuZ_zDNE/edit?usp=sharing"",""พัทลุง!J541"")"),0)</f>
        <v>0</v>
      </c>
      <c r="AG82" s="141">
        <f t="shared" ca="1" si="14"/>
        <v>0</v>
      </c>
      <c r="AH82" s="140">
        <f ca="1">IFERROR(__xludf.DUMMYFUNCTION("IMPORTRANGE(""https://docs.google.com/spreadsheets/d/1b6QssHQp2FoAPSMKHOy273KNzAomaIKhtdlvuZ_zDNE/edit?usp=sharing"",""พัทลุง!I542"")"),0)</f>
        <v>0</v>
      </c>
      <c r="AI82" s="140">
        <f ca="1">IFERROR(__xludf.DUMMYFUNCTION("IMPORTRANGE(""https://docs.google.com/spreadsheets/d/1b6QssHQp2FoAPSMKHOy273KNzAomaIKhtdlvuZ_zDNE/edit?usp=sharing"",""พัทลุง!J542"")"),0)</f>
        <v>0</v>
      </c>
      <c r="AJ82" s="141">
        <f t="shared" ca="1" si="16"/>
        <v>0</v>
      </c>
    </row>
    <row r="83" spans="1:36" ht="21" customHeight="1" x14ac:dyDescent="0.3">
      <c r="A83" s="54">
        <v>9</v>
      </c>
      <c r="B83" s="55" t="s">
        <v>104</v>
      </c>
      <c r="C83" s="56">
        <f t="shared" ca="1" si="74"/>
        <v>0</v>
      </c>
      <c r="D83" s="57">
        <f ca="1">IFERROR(__xludf.DUMMYFUNCTION("IMPORTRANGE(""https://docs.google.com/spreadsheets/d/1o7UZe4_OqlqtLDHrj01Z2YFRSZDf1DMy1n3XViHaxRc/edit?usp=sharing"",""ภูเก็ต!L528"")"),0)</f>
        <v>0</v>
      </c>
      <c r="E83" s="64">
        <f ca="1">IFERROR(__xludf.DUMMYFUNCTION("IMPORTRANGE(""https://docs.google.com/spreadsheets/d/1o7UZe4_OqlqtLDHrj01Z2YFRSZDf1DMy1n3XViHaxRc/edit?usp=sharing"",""ภูเก็ต!L535"")"),0)</f>
        <v>0</v>
      </c>
      <c r="F83" s="64">
        <f ca="1">IFERROR(__xludf.DUMMYFUNCTION("IMPORTRANGE(""https://docs.google.com/spreadsheets/d/1o7UZe4_OqlqtLDHrj01Z2YFRSZDf1DMy1n3XViHaxRc/edit?usp=sharing"",""ภูเก็ต!M528"")"),0)</f>
        <v>0</v>
      </c>
      <c r="G83" s="64">
        <f ca="1">IFERROR(__xludf.DUMMYFUNCTION("IMPORTRANGE(""https://docs.google.com/spreadsheets/d/1o7UZe4_OqlqtLDHrj01Z2YFRSZDf1DMy1n3XViHaxRc/edit?usp=sharing"",""ภูเก็ต!M535"")"),0)</f>
        <v>0</v>
      </c>
      <c r="H83" s="58">
        <f t="shared" ca="1" si="32"/>
        <v>0</v>
      </c>
      <c r="I83" s="59">
        <f t="shared" ca="1" si="1"/>
        <v>0</v>
      </c>
      <c r="J83" s="60">
        <f t="shared" ca="1" si="75"/>
        <v>0</v>
      </c>
      <c r="K83" s="61">
        <f t="shared" ca="1" si="34"/>
        <v>0</v>
      </c>
      <c r="L83" s="61">
        <f t="shared" ca="1" si="35"/>
        <v>0</v>
      </c>
      <c r="M83" s="64">
        <f ca="1">IFERROR(__xludf.DUMMYFUNCTION("IMPORTRANGE(""https://docs.google.com/spreadsheets/d/1o7UZe4_OqlqtLDHrj01Z2YFRSZDf1DMy1n3XViHaxRc/edit?usp=sharing"",""ภูเก็ต!N529"")"),0)</f>
        <v>0</v>
      </c>
      <c r="N83" s="64">
        <f ca="1">IFERROR(__xludf.DUMMYFUNCTION("IMPORTRANGE(""https://docs.google.com/spreadsheets/d/1o7UZe4_OqlqtLDHrj01Z2YFRSZDf1DMy1n3XViHaxRc/edit?usp=sharing"",""ภูเก็ต!N530"")"),0)</f>
        <v>0</v>
      </c>
      <c r="O83" s="64">
        <f ca="1">IFERROR(__xludf.DUMMYFUNCTION("IMPORTRANGE(""https://docs.google.com/spreadsheets/d/1o7UZe4_OqlqtLDHrj01Z2YFRSZDf1DMy1n3XViHaxRc/edit?usp=sharing"",""ภูเก็ต!N531"")"),0)</f>
        <v>0</v>
      </c>
      <c r="P83" s="64">
        <f ca="1">IFERROR(__xludf.DUMMYFUNCTION("IMPORTRANGE(""https://docs.google.com/spreadsheets/d/1o7UZe4_OqlqtLDHrj01Z2YFRSZDf1DMy1n3XViHaxRc/edit?usp=sharing"",""ภูเก็ต!N532"")"),0)</f>
        <v>0</v>
      </c>
      <c r="Q83" s="62">
        <f ca="1">IFERROR(__xludf.DUMMYFUNCTION("IMPORTRANGE(""https://docs.google.com/spreadsheets/d/1o7UZe4_OqlqtLDHrj01Z2YFRSZDf1DMy1n3XViHaxRc/edit?usp=sharing"",""ภูเก็ต!N535"")"),0)</f>
        <v>0</v>
      </c>
      <c r="R83" s="62">
        <f t="shared" ca="1" si="37"/>
        <v>0</v>
      </c>
      <c r="S83" s="57">
        <f ca="1">IFERROR(__xludf.DUMMYFUNCTION("IMPORTRANGE(""https://docs.google.com/spreadsheets/d/1o7UZe4_OqlqtLDHrj01Z2YFRSZDf1DMy1n3XViHaxRc/edit?usp=sharing"",""ภูเก็ต!I537"")"),0)</f>
        <v>0</v>
      </c>
      <c r="T83" s="57">
        <f ca="1">IFERROR(__xludf.DUMMYFUNCTION("IMPORTRANGE(""https://docs.google.com/spreadsheets/d/1o7UZe4_OqlqtLDHrj01Z2YFRSZDf1DMy1n3XViHaxRc/edit?usp=sharing"",""ภูเก็ต!J537"")"),0)</f>
        <v>0</v>
      </c>
      <c r="U83" s="63">
        <f t="shared" ca="1" si="6"/>
        <v>0</v>
      </c>
      <c r="V83" s="57">
        <f ca="1">IFERROR(__xludf.DUMMYFUNCTION("IMPORTRANGE(""https://docs.google.com/spreadsheets/d/1o7UZe4_OqlqtLDHrj01Z2YFRSZDf1DMy1n3XViHaxRc/edit?usp=sharing"",""ภูเก็ต!I538"")"),0)</f>
        <v>0</v>
      </c>
      <c r="W83" s="57">
        <f ca="1">IFERROR(__xludf.DUMMYFUNCTION("IMPORTRANGE(""https://docs.google.com/spreadsheets/d/1o7UZe4_OqlqtLDHrj01Z2YFRSZDf1DMy1n3XViHaxRc/edit?usp=sharing"",""ภูเก็ต!J538"")"),0)</f>
        <v>0</v>
      </c>
      <c r="X83" s="63">
        <f t="shared" ca="1" si="8"/>
        <v>0</v>
      </c>
      <c r="Y83" s="57">
        <f ca="1">IFERROR(__xludf.DUMMYFUNCTION("IMPORTRANGE(""https://docs.google.com/spreadsheets/d/1o7UZe4_OqlqtLDHrj01Z2YFRSZDf1DMy1n3XViHaxRc/edit?usp=sharing"",""ภูเก็ต!I539"")"),0)</f>
        <v>0</v>
      </c>
      <c r="Z83" s="57">
        <f ca="1">IFERROR(__xludf.DUMMYFUNCTION("IMPORTRANGE(""https://docs.google.com/spreadsheets/d/1o7UZe4_OqlqtLDHrj01Z2YFRSZDf1DMy1n3XViHaxRc/edit?usp=sharing"",""ภูเก็ต!J539"")"),0)</f>
        <v>0</v>
      </c>
      <c r="AA83" s="63">
        <f t="shared" ca="1" si="10"/>
        <v>0</v>
      </c>
      <c r="AB83" s="57">
        <f ca="1">IFERROR(__xludf.DUMMYFUNCTION("IMPORTRANGE(""https://docs.google.com/spreadsheets/d/1o7UZe4_OqlqtLDHrj01Z2YFRSZDf1DMy1n3XViHaxRc/edit?usp=sharing"",""ภูเก็ต!I540"")"),0)</f>
        <v>0</v>
      </c>
      <c r="AC83" s="57">
        <f ca="1">IFERROR(__xludf.DUMMYFUNCTION("IMPORTRANGE(""https://docs.google.com/spreadsheets/d/1o7UZe4_OqlqtLDHrj01Z2YFRSZDf1DMy1n3XViHaxRc/edit?usp=sharing"",""ภูเก็ต!J540"")"),0)</f>
        <v>0</v>
      </c>
      <c r="AD83" s="63">
        <f t="shared" ca="1" si="12"/>
        <v>0</v>
      </c>
      <c r="AE83" s="140">
        <f ca="1">IFERROR(__xludf.DUMMYFUNCTION("IMPORTRANGE(""https://docs.google.com/spreadsheets/d/1o7UZe4_OqlqtLDHrj01Z2YFRSZDf1DMy1n3XViHaxRc/edit?usp=sharing"",""ภูเก็ต!I541"")"),0)</f>
        <v>0</v>
      </c>
      <c r="AF83" s="140">
        <f ca="1">IFERROR(__xludf.DUMMYFUNCTION("IMPORTRANGE(""https://docs.google.com/spreadsheets/d/1o7UZe4_OqlqtLDHrj01Z2YFRSZDf1DMy1n3XViHaxRc/edit?usp=sharing"",""ภูเก็ต!J541"")"),0)</f>
        <v>0</v>
      </c>
      <c r="AG83" s="141">
        <f t="shared" ca="1" si="14"/>
        <v>0</v>
      </c>
      <c r="AH83" s="140">
        <f ca="1">IFERROR(__xludf.DUMMYFUNCTION("IMPORTRANGE(""https://docs.google.com/spreadsheets/d/1o7UZe4_OqlqtLDHrj01Z2YFRSZDf1DMy1n3XViHaxRc/edit?usp=sharing"",""ภูเก็ต!I542"")"),0)</f>
        <v>0</v>
      </c>
      <c r="AI83" s="140">
        <f ca="1">IFERROR(__xludf.DUMMYFUNCTION("IMPORTRANGE(""https://docs.google.com/spreadsheets/d/1o7UZe4_OqlqtLDHrj01Z2YFRSZDf1DMy1n3XViHaxRc/edit?usp=sharing"",""ภูเก็ต!J542"")"),0)</f>
        <v>0</v>
      </c>
      <c r="AJ83" s="141">
        <f t="shared" ca="1" si="16"/>
        <v>0</v>
      </c>
    </row>
    <row r="84" spans="1:36" ht="21" customHeight="1" x14ac:dyDescent="0.3">
      <c r="A84" s="54">
        <v>10</v>
      </c>
      <c r="B84" s="55" t="s">
        <v>105</v>
      </c>
      <c r="C84" s="56">
        <f t="shared" ca="1" si="74"/>
        <v>0</v>
      </c>
      <c r="D84" s="57">
        <f ca="1">IFERROR(__xludf.DUMMYFUNCTION("IMPORTRANGE(""https://docs.google.com/spreadsheets/d/1ctPm1vUzcUCPuOj9-eoHUD85PqINFqUB0TjdSWmR5-c/edit?usp=sharing"",""ยะลา!L528"")"),0)</f>
        <v>0</v>
      </c>
      <c r="E84" s="64">
        <f ca="1">IFERROR(__xludf.DUMMYFUNCTION("IMPORTRANGE(""https://docs.google.com/spreadsheets/d/1ctPm1vUzcUCPuOj9-eoHUD85PqINFqUB0TjdSWmR5-c/edit?usp=sharing"",""ยะลา!L535"")"),0)</f>
        <v>0</v>
      </c>
      <c r="F84" s="64">
        <f ca="1">IFERROR(__xludf.DUMMYFUNCTION("IMPORTRANGE(""https://docs.google.com/spreadsheets/d/1ctPm1vUzcUCPuOj9-eoHUD85PqINFqUB0TjdSWmR5-c/edit?usp=sharing"",""ยะลา!M528"")"),0)</f>
        <v>0</v>
      </c>
      <c r="G84" s="64">
        <f ca="1">IFERROR(__xludf.DUMMYFUNCTION("IMPORTRANGE(""https://docs.google.com/spreadsheets/d/1ctPm1vUzcUCPuOj9-eoHUD85PqINFqUB0TjdSWmR5-c/edit?usp=sharing"",""ยะลา!M535"")"),0)</f>
        <v>0</v>
      </c>
      <c r="H84" s="58">
        <f t="shared" ca="1" si="32"/>
        <v>0</v>
      </c>
      <c r="I84" s="59">
        <f t="shared" ca="1" si="1"/>
        <v>0</v>
      </c>
      <c r="J84" s="60">
        <f t="shared" ca="1" si="75"/>
        <v>0</v>
      </c>
      <c r="K84" s="61">
        <f t="shared" ca="1" si="34"/>
        <v>0</v>
      </c>
      <c r="L84" s="61">
        <f t="shared" ca="1" si="35"/>
        <v>0</v>
      </c>
      <c r="M84" s="64">
        <f ca="1">IFERROR(__xludf.DUMMYFUNCTION("IMPORTRANGE(""https://docs.google.com/spreadsheets/d/1ctPm1vUzcUCPuOj9-eoHUD85PqINFqUB0TjdSWmR5-c/edit?usp=sharing"",""ยะลา!N529"")"),0)</f>
        <v>0</v>
      </c>
      <c r="N84" s="64">
        <f ca="1">IFERROR(__xludf.DUMMYFUNCTION("IMPORTRANGE(""https://docs.google.com/spreadsheets/d/1ctPm1vUzcUCPuOj9-eoHUD85PqINFqUB0TjdSWmR5-c/edit?usp=sharing"",""ยะลา!N530"")"),0)</f>
        <v>0</v>
      </c>
      <c r="O84" s="64">
        <f ca="1">IFERROR(__xludf.DUMMYFUNCTION("IMPORTRANGE(""https://docs.google.com/spreadsheets/d/1ctPm1vUzcUCPuOj9-eoHUD85PqINFqUB0TjdSWmR5-c/edit?usp=sharing"",""ยะลา!N531"")"),0)</f>
        <v>0</v>
      </c>
      <c r="P84" s="64">
        <f ca="1">IFERROR(__xludf.DUMMYFUNCTION("IMPORTRANGE(""https://docs.google.com/spreadsheets/d/1ctPm1vUzcUCPuOj9-eoHUD85PqINFqUB0TjdSWmR5-c/edit?usp=sharing"",""ยะลา!N532"")"),0)</f>
        <v>0</v>
      </c>
      <c r="Q84" s="62">
        <f ca="1">IFERROR(__xludf.DUMMYFUNCTION("IMPORTRANGE(""https://docs.google.com/spreadsheets/d/1ctPm1vUzcUCPuOj9-eoHUD85PqINFqUB0TjdSWmR5-c/edit?usp=sharing"",""ยะลา!N535"")"),0)</f>
        <v>0</v>
      </c>
      <c r="R84" s="62">
        <f t="shared" ca="1" si="37"/>
        <v>0</v>
      </c>
      <c r="S84" s="57">
        <f ca="1">IFERROR(__xludf.DUMMYFUNCTION("IMPORTRANGE(""https://docs.google.com/spreadsheets/d/1ctPm1vUzcUCPuOj9-eoHUD85PqINFqUB0TjdSWmR5-c/edit?usp=sharing"",""ยะลา!I537"")"),0)</f>
        <v>0</v>
      </c>
      <c r="T84" s="57">
        <f ca="1">IFERROR(__xludf.DUMMYFUNCTION("IMPORTRANGE(""https://docs.google.com/spreadsheets/d/1ctPm1vUzcUCPuOj9-eoHUD85PqINFqUB0TjdSWmR5-c/edit?usp=sharing"",""ยะลา!J537"")"),0)</f>
        <v>0</v>
      </c>
      <c r="U84" s="63">
        <f t="shared" ca="1" si="6"/>
        <v>0</v>
      </c>
      <c r="V84" s="57">
        <f ca="1">IFERROR(__xludf.DUMMYFUNCTION("IMPORTRANGE(""https://docs.google.com/spreadsheets/d/1ctPm1vUzcUCPuOj9-eoHUD85PqINFqUB0TjdSWmR5-c/edit?usp=sharing"",""ยะลา!I538"")"),0)</f>
        <v>0</v>
      </c>
      <c r="W84" s="57">
        <f ca="1">IFERROR(__xludf.DUMMYFUNCTION("IMPORTRANGE(""https://docs.google.com/spreadsheets/d/1ctPm1vUzcUCPuOj9-eoHUD85PqINFqUB0TjdSWmR5-c/edit?usp=sharing"",""ยะลา!J538"")"),0)</f>
        <v>0</v>
      </c>
      <c r="X84" s="63">
        <f t="shared" ca="1" si="8"/>
        <v>0</v>
      </c>
      <c r="Y84" s="57">
        <f ca="1">IFERROR(__xludf.DUMMYFUNCTION("IMPORTRANGE(""https://docs.google.com/spreadsheets/d/1ctPm1vUzcUCPuOj9-eoHUD85PqINFqUB0TjdSWmR5-c/edit?usp=sharing"",""ยะลา!I539"")"),0)</f>
        <v>0</v>
      </c>
      <c r="Z84" s="57">
        <f ca="1">IFERROR(__xludf.DUMMYFUNCTION("IMPORTRANGE(""https://docs.google.com/spreadsheets/d/1ctPm1vUzcUCPuOj9-eoHUD85PqINFqUB0TjdSWmR5-c/edit?usp=sharing"",""ยะลา!J539"")"),0)</f>
        <v>0</v>
      </c>
      <c r="AA84" s="63">
        <f t="shared" ca="1" si="10"/>
        <v>0</v>
      </c>
      <c r="AB84" s="57">
        <f ca="1">IFERROR(__xludf.DUMMYFUNCTION("IMPORTRANGE(""https://docs.google.com/spreadsheets/d/1ctPm1vUzcUCPuOj9-eoHUD85PqINFqUB0TjdSWmR5-c/edit?usp=sharing"",""ยะลา!I540"")"),0)</f>
        <v>0</v>
      </c>
      <c r="AC84" s="57">
        <f ca="1">IFERROR(__xludf.DUMMYFUNCTION("IMPORTRANGE(""https://docs.google.com/spreadsheets/d/1ctPm1vUzcUCPuOj9-eoHUD85PqINFqUB0TjdSWmR5-c/edit?usp=sharing"",""ยะลา!J540"")"),0)</f>
        <v>0</v>
      </c>
      <c r="AD84" s="63">
        <f t="shared" ca="1" si="12"/>
        <v>0</v>
      </c>
      <c r="AE84" s="140">
        <f ca="1">IFERROR(__xludf.DUMMYFUNCTION("IMPORTRANGE(""https://docs.google.com/spreadsheets/d/1ctPm1vUzcUCPuOj9-eoHUD85PqINFqUB0TjdSWmR5-c/edit?usp=sharing"",""ยะลา!I541"")"),0)</f>
        <v>0</v>
      </c>
      <c r="AF84" s="140">
        <f ca="1">IFERROR(__xludf.DUMMYFUNCTION("IMPORTRANGE(""https://docs.google.com/spreadsheets/d/1ctPm1vUzcUCPuOj9-eoHUD85PqINFqUB0TjdSWmR5-c/edit?usp=sharing"",""ยะลา!J541"")"),0)</f>
        <v>0</v>
      </c>
      <c r="AG84" s="141">
        <f t="shared" ca="1" si="14"/>
        <v>0</v>
      </c>
      <c r="AH84" s="140">
        <f ca="1">IFERROR(__xludf.DUMMYFUNCTION("IMPORTRANGE(""https://docs.google.com/spreadsheets/d/1ctPm1vUzcUCPuOj9-eoHUD85PqINFqUB0TjdSWmR5-c/edit?usp=sharing"",""ยะลา!I542"")"),0)</f>
        <v>0</v>
      </c>
      <c r="AI84" s="140">
        <f ca="1">IFERROR(__xludf.DUMMYFUNCTION("IMPORTRANGE(""https://docs.google.com/spreadsheets/d/1ctPm1vUzcUCPuOj9-eoHUD85PqINFqUB0TjdSWmR5-c/edit?usp=sharing"",""ยะลา!J542"")"),0)</f>
        <v>0</v>
      </c>
      <c r="AJ84" s="141">
        <f t="shared" ca="1" si="16"/>
        <v>0</v>
      </c>
    </row>
    <row r="85" spans="1:36" ht="21" customHeight="1" x14ac:dyDescent="0.3">
      <c r="A85" s="54">
        <v>11</v>
      </c>
      <c r="B85" s="55" t="s">
        <v>106</v>
      </c>
      <c r="C85" s="56">
        <f t="shared" ca="1" si="74"/>
        <v>0</v>
      </c>
      <c r="D85" s="57">
        <f ca="1">IFERROR(__xludf.DUMMYFUNCTION("IMPORTRANGE(""https://docs.google.com/spreadsheets/d/1YiDIE7Klmt8osgdapRqYWNr7iPGFSsiJqq46S7PYRE0/edit?usp=sharing"",""ระนอง!L528"")"),0)</f>
        <v>0</v>
      </c>
      <c r="E85" s="64">
        <f ca="1">IFERROR(__xludf.DUMMYFUNCTION("IMPORTRANGE(""https://docs.google.com/spreadsheets/d/1YiDIE7Klmt8osgdapRqYWNr7iPGFSsiJqq46S7PYRE0/edit?usp=sharing"",""ระนอง!L535"")"),0)</f>
        <v>0</v>
      </c>
      <c r="F85" s="64">
        <f ca="1">IFERROR(__xludf.DUMMYFUNCTION("IMPORTRANGE(""https://docs.google.com/spreadsheets/d/1YiDIE7Klmt8osgdapRqYWNr7iPGFSsiJqq46S7PYRE0/edit?usp=sharing"",""ระนอง!M528"")"),0)</f>
        <v>0</v>
      </c>
      <c r="G85" s="64">
        <f ca="1">IFERROR(__xludf.DUMMYFUNCTION("IMPORTRANGE(""https://docs.google.com/spreadsheets/d/1YiDIE7Klmt8osgdapRqYWNr7iPGFSsiJqq46S7PYRE0/edit?usp=sharing"",""ระนอง!M535"")"),0)</f>
        <v>0</v>
      </c>
      <c r="H85" s="58">
        <f t="shared" ca="1" si="32"/>
        <v>0</v>
      </c>
      <c r="I85" s="59">
        <f t="shared" ca="1" si="1"/>
        <v>0</v>
      </c>
      <c r="J85" s="60">
        <f t="shared" ca="1" si="75"/>
        <v>0</v>
      </c>
      <c r="K85" s="61">
        <f t="shared" ca="1" si="34"/>
        <v>0</v>
      </c>
      <c r="L85" s="61">
        <f t="shared" ca="1" si="35"/>
        <v>0</v>
      </c>
      <c r="M85" s="64">
        <f ca="1">IFERROR(__xludf.DUMMYFUNCTION("IMPORTRANGE(""https://docs.google.com/spreadsheets/d/1YiDIE7Klmt8osgdapRqYWNr7iPGFSsiJqq46S7PYRE0/edit?usp=sharing"",""ระนอง!N529"")"),0)</f>
        <v>0</v>
      </c>
      <c r="N85" s="64">
        <f ca="1">IFERROR(__xludf.DUMMYFUNCTION("IMPORTRANGE(""https://docs.google.com/spreadsheets/d/1YiDIE7Klmt8osgdapRqYWNr7iPGFSsiJqq46S7PYRE0/edit?usp=sharing"",""ระนอง!N530"")"),0)</f>
        <v>0</v>
      </c>
      <c r="O85" s="64">
        <f ca="1">IFERROR(__xludf.DUMMYFUNCTION("IMPORTRANGE(""https://docs.google.com/spreadsheets/d/1YiDIE7Klmt8osgdapRqYWNr7iPGFSsiJqq46S7PYRE0/edit?usp=sharing"",""ระนอง!N531"")"),0)</f>
        <v>0</v>
      </c>
      <c r="P85" s="64">
        <f ca="1">IFERROR(__xludf.DUMMYFUNCTION("IMPORTRANGE(""https://docs.google.com/spreadsheets/d/1YiDIE7Klmt8osgdapRqYWNr7iPGFSsiJqq46S7PYRE0/edit?usp=sharing"",""ระนอง!N532"")"),0)</f>
        <v>0</v>
      </c>
      <c r="Q85" s="62">
        <f ca="1">IFERROR(__xludf.DUMMYFUNCTION("IMPORTRANGE(""https://docs.google.com/spreadsheets/d/1YiDIE7Klmt8osgdapRqYWNr7iPGFSsiJqq46S7PYRE0/edit?usp=sharing"",""ระนอง!N535"")"),0)</f>
        <v>0</v>
      </c>
      <c r="R85" s="62">
        <f t="shared" ca="1" si="37"/>
        <v>0</v>
      </c>
      <c r="S85" s="57">
        <f ca="1">IFERROR(__xludf.DUMMYFUNCTION("IMPORTRANGE(""https://docs.google.com/spreadsheets/d/1YiDIE7Klmt8osgdapRqYWNr7iPGFSsiJqq46S7PYRE0/edit?usp=sharing"",""ระนอง!I537"")"),0)</f>
        <v>0</v>
      </c>
      <c r="T85" s="57">
        <f ca="1">IFERROR(__xludf.DUMMYFUNCTION("IMPORTRANGE(""https://docs.google.com/spreadsheets/d/1YiDIE7Klmt8osgdapRqYWNr7iPGFSsiJqq46S7PYRE0/edit?usp=sharing"",""ระนอง!J537"")"),0)</f>
        <v>0</v>
      </c>
      <c r="U85" s="63">
        <f t="shared" ca="1" si="6"/>
        <v>0</v>
      </c>
      <c r="V85" s="57">
        <f ca="1">IFERROR(__xludf.DUMMYFUNCTION("IMPORTRANGE(""https://docs.google.com/spreadsheets/d/1YiDIE7Klmt8osgdapRqYWNr7iPGFSsiJqq46S7PYRE0/edit?usp=sharing"",""ระนอง!I538"")"),0)</f>
        <v>0</v>
      </c>
      <c r="W85" s="57">
        <f ca="1">IFERROR(__xludf.DUMMYFUNCTION("IMPORTRANGE(""https://docs.google.com/spreadsheets/d/1YiDIE7Klmt8osgdapRqYWNr7iPGFSsiJqq46S7PYRE0/edit?usp=sharing"",""ระนอง!J538"")"),0)</f>
        <v>0</v>
      </c>
      <c r="X85" s="63">
        <f t="shared" ca="1" si="8"/>
        <v>0</v>
      </c>
      <c r="Y85" s="57">
        <f ca="1">IFERROR(__xludf.DUMMYFUNCTION("IMPORTRANGE(""https://docs.google.com/spreadsheets/d/1YiDIE7Klmt8osgdapRqYWNr7iPGFSsiJqq46S7PYRE0/edit?usp=sharing"",""ระนอง!I539"")"),0)</f>
        <v>0</v>
      </c>
      <c r="Z85" s="57">
        <f ca="1">IFERROR(__xludf.DUMMYFUNCTION("IMPORTRANGE(""https://docs.google.com/spreadsheets/d/1YiDIE7Klmt8osgdapRqYWNr7iPGFSsiJqq46S7PYRE0/edit?usp=sharing"",""ระนอง!J539"")"),0)</f>
        <v>0</v>
      </c>
      <c r="AA85" s="63">
        <f t="shared" ca="1" si="10"/>
        <v>0</v>
      </c>
      <c r="AB85" s="57">
        <f ca="1">IFERROR(__xludf.DUMMYFUNCTION("IMPORTRANGE(""https://docs.google.com/spreadsheets/d/1YiDIE7Klmt8osgdapRqYWNr7iPGFSsiJqq46S7PYRE0/edit?usp=sharing"",""ระนอง!I540"")"),0)</f>
        <v>0</v>
      </c>
      <c r="AC85" s="57">
        <f ca="1">IFERROR(__xludf.DUMMYFUNCTION("IMPORTRANGE(""https://docs.google.com/spreadsheets/d/1YiDIE7Klmt8osgdapRqYWNr7iPGFSsiJqq46S7PYRE0/edit?usp=sharing"",""ระนอง!J540"")"),0)</f>
        <v>0</v>
      </c>
      <c r="AD85" s="63">
        <f t="shared" ca="1" si="12"/>
        <v>0</v>
      </c>
      <c r="AE85" s="140">
        <f ca="1">IFERROR(__xludf.DUMMYFUNCTION("IMPORTRANGE(""https://docs.google.com/spreadsheets/d/1YiDIE7Klmt8osgdapRqYWNr7iPGFSsiJqq46S7PYRE0/edit?usp=sharing"",""ระนอง!I541"")"),0)</f>
        <v>0</v>
      </c>
      <c r="AF85" s="140">
        <f ca="1">IFERROR(__xludf.DUMMYFUNCTION("IMPORTRANGE(""https://docs.google.com/spreadsheets/d/1YiDIE7Klmt8osgdapRqYWNr7iPGFSsiJqq46S7PYRE0/edit?usp=sharing"",""ระนอง!J541"")"),0)</f>
        <v>0</v>
      </c>
      <c r="AG85" s="141">
        <f t="shared" ca="1" si="14"/>
        <v>0</v>
      </c>
      <c r="AH85" s="140">
        <f ca="1">IFERROR(__xludf.DUMMYFUNCTION("IMPORTRANGE(""https://docs.google.com/spreadsheets/d/1YiDIE7Klmt8osgdapRqYWNr7iPGFSsiJqq46S7PYRE0/edit?usp=sharing"",""ระนอง!I542"")"),0)</f>
        <v>0</v>
      </c>
      <c r="AI85" s="140">
        <f ca="1">IFERROR(__xludf.DUMMYFUNCTION("IMPORTRANGE(""https://docs.google.com/spreadsheets/d/1YiDIE7Klmt8osgdapRqYWNr7iPGFSsiJqq46S7PYRE0/edit?usp=sharing"",""ระนอง!J542"")"),0)</f>
        <v>0</v>
      </c>
      <c r="AJ85" s="141">
        <f t="shared" ca="1" si="16"/>
        <v>0</v>
      </c>
    </row>
    <row r="86" spans="1:36" ht="24" customHeight="1" x14ac:dyDescent="0.3">
      <c r="A86" s="54">
        <v>12</v>
      </c>
      <c r="B86" s="55" t="s">
        <v>107</v>
      </c>
      <c r="C86" s="56">
        <f t="shared" ca="1" si="74"/>
        <v>288960</v>
      </c>
      <c r="D86" s="57">
        <f ca="1">IFERROR(__xludf.DUMMYFUNCTION("IMPORTRANGE(""https://docs.google.com/spreadsheets/d/16o_4B-V7AWw_6E93bSpXj_XxVv1oVQctk-B6z1dNEWU/edit?usp=sharing"",""สงขลา!L528"")"),288960)</f>
        <v>288960</v>
      </c>
      <c r="E86" s="64">
        <f ca="1">IFERROR(__xludf.DUMMYFUNCTION("IMPORTRANGE(""https://docs.google.com/spreadsheets/d/16o_4B-V7AWw_6E93bSpXj_XxVv1oVQctk-B6z1dNEWU/edit?usp=sharing"",""สงขลา!L535"")"),0)</f>
        <v>0</v>
      </c>
      <c r="F86" s="64">
        <f ca="1">IFERROR(__xludf.DUMMYFUNCTION("IMPORTRANGE(""https://docs.google.com/spreadsheets/d/16o_4B-V7AWw_6E93bSpXj_XxVv1oVQctk-B6z1dNEWU/edit?usp=sharing"",""สงขลา!M528"")"),288960)</f>
        <v>288960</v>
      </c>
      <c r="G86" s="64">
        <f ca="1">IFERROR(__xludf.DUMMYFUNCTION("IMPORTRANGE(""https://docs.google.com/spreadsheets/d/16o_4B-V7AWw_6E93bSpXj_XxVv1oVQctk-B6z1dNEWU/edit?usp=sharing"",""สงขลา!M535"")"),0)</f>
        <v>0</v>
      </c>
      <c r="H86" s="58">
        <f t="shared" ca="1" si="32"/>
        <v>121080</v>
      </c>
      <c r="I86" s="59">
        <f t="shared" ca="1" si="1"/>
        <v>41.901993355481729</v>
      </c>
      <c r="J86" s="60">
        <f t="shared" ca="1" si="75"/>
        <v>121080</v>
      </c>
      <c r="K86" s="61">
        <f t="shared" ca="1" si="34"/>
        <v>41.901993355481729</v>
      </c>
      <c r="L86" s="61">
        <f t="shared" ca="1" si="35"/>
        <v>41.901993355481729</v>
      </c>
      <c r="M86" s="64">
        <f ca="1">IFERROR(__xludf.DUMMYFUNCTION("IMPORTRANGE(""https://docs.google.com/spreadsheets/d/16o_4B-V7AWw_6E93bSpXj_XxVv1oVQctk-B6z1dNEWU/edit?usp=sharing"",""สงขลา!N529"")"),106200)</f>
        <v>106200</v>
      </c>
      <c r="N86" s="64">
        <f ca="1">IFERROR(__xludf.DUMMYFUNCTION("IMPORTRANGE(""https://docs.google.com/spreadsheets/d/16o_4B-V7AWw_6E93bSpXj_XxVv1oVQctk-B6z1dNEWU/edit?usp=sharing"",""สงขลา!N530"")"),0)</f>
        <v>0</v>
      </c>
      <c r="O86" s="64">
        <f ca="1">IFERROR(__xludf.DUMMYFUNCTION("IMPORTRANGE(""https://docs.google.com/spreadsheets/d/16o_4B-V7AWw_6E93bSpXj_XxVv1oVQctk-B6z1dNEWU/edit?usp=sharing"",""สงขลา!N531"")"),0)</f>
        <v>0</v>
      </c>
      <c r="P86" s="64">
        <f ca="1">IFERROR(__xludf.DUMMYFUNCTION("IMPORTRANGE(""https://docs.google.com/spreadsheets/d/16o_4B-V7AWw_6E93bSpXj_XxVv1oVQctk-B6z1dNEWU/edit?usp=sharing"",""สงขลา!N532"")"),14880)</f>
        <v>14880</v>
      </c>
      <c r="Q86" s="62">
        <f ca="1">IFERROR(__xludf.DUMMYFUNCTION("IMPORTRANGE(""https://docs.google.com/spreadsheets/d/16o_4B-V7AWw_6E93bSpXj_XxVv1oVQctk-B6z1dNEWU/edit?usp=sharing"",""สงขลา!N535"")"),0)</f>
        <v>0</v>
      </c>
      <c r="R86" s="62">
        <f t="shared" ca="1" si="37"/>
        <v>0</v>
      </c>
      <c r="S86" s="57">
        <f ca="1">IFERROR(__xludf.DUMMYFUNCTION("IMPORTRANGE(""https://docs.google.com/spreadsheets/d/16o_4B-V7AWw_6E93bSpXj_XxVv1oVQctk-B6z1dNEWU/edit?usp=sharing"",""สงขลา!I537"")"),30)</f>
        <v>30</v>
      </c>
      <c r="T86" s="57">
        <f ca="1">IFERROR(__xludf.DUMMYFUNCTION("IMPORTRANGE(""https://docs.google.com/spreadsheets/d/16o_4B-V7AWw_6E93bSpXj_XxVv1oVQctk-B6z1dNEWU/edit?usp=sharing"",""สงขลา!J537"")"),30)</f>
        <v>30</v>
      </c>
      <c r="U86" s="63">
        <f t="shared" ca="1" si="6"/>
        <v>100</v>
      </c>
      <c r="V86" s="57">
        <f ca="1">IFERROR(__xludf.DUMMYFUNCTION("IMPORTRANGE(""https://docs.google.com/spreadsheets/d/16o_4B-V7AWw_6E93bSpXj_XxVv1oVQctk-B6z1dNEWU/edit?usp=sharing"",""สงขลา!I538"")"),30)</f>
        <v>30</v>
      </c>
      <c r="W86" s="57">
        <f ca="1">IFERROR(__xludf.DUMMYFUNCTION("IMPORTRANGE(""https://docs.google.com/spreadsheets/d/16o_4B-V7AWw_6E93bSpXj_XxVv1oVQctk-B6z1dNEWU/edit?usp=sharing"",""สงขลา!J538"")"),30)</f>
        <v>30</v>
      </c>
      <c r="X86" s="63">
        <f t="shared" ca="1" si="8"/>
        <v>100</v>
      </c>
      <c r="Y86" s="57">
        <f ca="1">IFERROR(__xludf.DUMMYFUNCTION("IMPORTRANGE(""https://docs.google.com/spreadsheets/d/16o_4B-V7AWw_6E93bSpXj_XxVv1oVQctk-B6z1dNEWU/edit?usp=sharing"",""สงขลา!I539"")"),30)</f>
        <v>30</v>
      </c>
      <c r="Z86" s="57">
        <f ca="1">IFERROR(__xludf.DUMMYFUNCTION("IMPORTRANGE(""https://docs.google.com/spreadsheets/d/16o_4B-V7AWw_6E93bSpXj_XxVv1oVQctk-B6z1dNEWU/edit?usp=sharing"",""สงขลา!J539"")"),30)</f>
        <v>30</v>
      </c>
      <c r="AA86" s="63">
        <f t="shared" ca="1" si="10"/>
        <v>100</v>
      </c>
      <c r="AB86" s="57">
        <f ca="1">IFERROR(__xludf.DUMMYFUNCTION("IMPORTRANGE(""https://docs.google.com/spreadsheets/d/16o_4B-V7AWw_6E93bSpXj_XxVv1oVQctk-B6z1dNEWU/edit?usp=sharing"",""สงขลา!I540"")"),30)</f>
        <v>30</v>
      </c>
      <c r="AC86" s="57">
        <f ca="1">IFERROR(__xludf.DUMMYFUNCTION("IMPORTRANGE(""https://docs.google.com/spreadsheets/d/16o_4B-V7AWw_6E93bSpXj_XxVv1oVQctk-B6z1dNEWU/edit?usp=sharing"",""สงขลา!J540"")"),30)</f>
        <v>30</v>
      </c>
      <c r="AD86" s="63">
        <f t="shared" ca="1" si="12"/>
        <v>100</v>
      </c>
      <c r="AE86" s="140">
        <f ca="1">IFERROR(__xludf.DUMMYFUNCTION("IMPORTRANGE(""https://docs.google.com/spreadsheets/d/16o_4B-V7AWw_6E93bSpXj_XxVv1oVQctk-B6z1dNEWU/edit?usp=sharing"",""สงขลา!I541"")"),0)</f>
        <v>0</v>
      </c>
      <c r="AF86" s="140">
        <f ca="1">IFERROR(__xludf.DUMMYFUNCTION("IMPORTRANGE(""https://docs.google.com/spreadsheets/d/16o_4B-V7AWw_6E93bSpXj_XxVv1oVQctk-B6z1dNEWU/edit?usp=sharing"",""สงขลา!J541"")"),0)</f>
        <v>0</v>
      </c>
      <c r="AG86" s="141">
        <f t="shared" ca="1" si="14"/>
        <v>0</v>
      </c>
      <c r="AH86" s="140">
        <f ca="1">IFERROR(__xludf.DUMMYFUNCTION("IMPORTRANGE(""https://docs.google.com/spreadsheets/d/16o_4B-V7AWw_6E93bSpXj_XxVv1oVQctk-B6z1dNEWU/edit?usp=sharing"",""สงขลา!I542"")"),30)</f>
        <v>30</v>
      </c>
      <c r="AI86" s="140">
        <f ca="1">IFERROR(__xludf.DUMMYFUNCTION("IMPORTRANGE(""https://docs.google.com/spreadsheets/d/16o_4B-V7AWw_6E93bSpXj_XxVv1oVQctk-B6z1dNEWU/edit?usp=sharing"",""สงขลา!J542"")"),0)</f>
        <v>0</v>
      </c>
      <c r="AJ86" s="141">
        <f t="shared" ca="1" si="16"/>
        <v>0</v>
      </c>
    </row>
    <row r="87" spans="1:36" ht="24" customHeight="1" x14ac:dyDescent="0.3">
      <c r="A87" s="54">
        <v>13</v>
      </c>
      <c r="B87" s="55" t="s">
        <v>108</v>
      </c>
      <c r="C87" s="56">
        <f t="shared" ca="1" si="74"/>
        <v>0</v>
      </c>
      <c r="D87" s="57">
        <f ca="1">IFERROR(__xludf.DUMMYFUNCTION("IMPORTRANGE(""https://docs.google.com/spreadsheets/d/16cywr71Fj4fA5OGRHsZh30ZG2gwJhMAQv69oVBzYHv0/edit?usp=sharing"",""สตูล!L528"")"),0)</f>
        <v>0</v>
      </c>
      <c r="E87" s="64">
        <f ca="1">IFERROR(__xludf.DUMMYFUNCTION("IMPORTRANGE(""https://docs.google.com/spreadsheets/d/16cywr71Fj4fA5OGRHsZh30ZG2gwJhMAQv69oVBzYHv0/edit?usp=sharing"",""สตูล!L535"")"),0)</f>
        <v>0</v>
      </c>
      <c r="F87" s="64">
        <f ca="1">IFERROR(__xludf.DUMMYFUNCTION("IMPORTRANGE(""https://docs.google.com/spreadsheets/d/16cywr71Fj4fA5OGRHsZh30ZG2gwJhMAQv69oVBzYHv0/edit?usp=sharing"",""สตูล!M528"")"),0)</f>
        <v>0</v>
      </c>
      <c r="G87" s="64">
        <f ca="1">IFERROR(__xludf.DUMMYFUNCTION("IMPORTRANGE(""https://docs.google.com/spreadsheets/d/16cywr71Fj4fA5OGRHsZh30ZG2gwJhMAQv69oVBzYHv0/edit?usp=sharing"",""สตูล!M535"")"),0)</f>
        <v>0</v>
      </c>
      <c r="H87" s="58">
        <f t="shared" ca="1" si="32"/>
        <v>0</v>
      </c>
      <c r="I87" s="59">
        <f t="shared" ca="1" si="1"/>
        <v>0</v>
      </c>
      <c r="J87" s="60">
        <f t="shared" ca="1" si="75"/>
        <v>0</v>
      </c>
      <c r="K87" s="61">
        <f t="shared" ca="1" si="34"/>
        <v>0</v>
      </c>
      <c r="L87" s="61">
        <f t="shared" ca="1" si="35"/>
        <v>0</v>
      </c>
      <c r="M87" s="64">
        <f ca="1">IFERROR(__xludf.DUMMYFUNCTION("IMPORTRANGE(""https://docs.google.com/spreadsheets/d/16cywr71Fj4fA5OGRHsZh30ZG2gwJhMAQv69oVBzYHv0/edit?usp=sharing"",""สตูล!N529"")"),0)</f>
        <v>0</v>
      </c>
      <c r="N87" s="64">
        <f ca="1">IFERROR(__xludf.DUMMYFUNCTION("IMPORTRANGE(""https://docs.google.com/spreadsheets/d/16cywr71Fj4fA5OGRHsZh30ZG2gwJhMAQv69oVBzYHv0/edit?usp=sharing"",""สตูล!N530"")"),0)</f>
        <v>0</v>
      </c>
      <c r="O87" s="64">
        <f ca="1">IFERROR(__xludf.DUMMYFUNCTION("IMPORTRANGE(""https://docs.google.com/spreadsheets/d/16cywr71Fj4fA5OGRHsZh30ZG2gwJhMAQv69oVBzYHv0/edit?usp=sharing"",""สตูล!N531"")"),0)</f>
        <v>0</v>
      </c>
      <c r="P87" s="64">
        <f ca="1">IFERROR(__xludf.DUMMYFUNCTION("IMPORTRANGE(""https://docs.google.com/spreadsheets/d/16cywr71Fj4fA5OGRHsZh30ZG2gwJhMAQv69oVBzYHv0/edit?usp=sharing"",""สตูล!N532"")"),0)</f>
        <v>0</v>
      </c>
      <c r="Q87" s="62">
        <f ca="1">IFERROR(__xludf.DUMMYFUNCTION("IMPORTRANGE(""https://docs.google.com/spreadsheets/d/16cywr71Fj4fA5OGRHsZh30ZG2gwJhMAQv69oVBzYHv0/edit?usp=sharing"",""สตูล!N535"")"),0)</f>
        <v>0</v>
      </c>
      <c r="R87" s="62">
        <f t="shared" ca="1" si="37"/>
        <v>0</v>
      </c>
      <c r="S87" s="57">
        <f ca="1">IFERROR(__xludf.DUMMYFUNCTION("IMPORTRANGE(""https://docs.google.com/spreadsheets/d/16cywr71Fj4fA5OGRHsZh30ZG2gwJhMAQv69oVBzYHv0/edit?usp=sharing"",""สตูล!I537"")"),0)</f>
        <v>0</v>
      </c>
      <c r="T87" s="57">
        <f ca="1">IFERROR(__xludf.DUMMYFUNCTION("IMPORTRANGE(""https://docs.google.com/spreadsheets/d/16cywr71Fj4fA5OGRHsZh30ZG2gwJhMAQv69oVBzYHv0/edit?usp=sharing"",""สตูล!J537"")"),0)</f>
        <v>0</v>
      </c>
      <c r="U87" s="63">
        <f t="shared" ca="1" si="6"/>
        <v>0</v>
      </c>
      <c r="V87" s="57">
        <f ca="1">IFERROR(__xludf.DUMMYFUNCTION("IMPORTRANGE(""https://docs.google.com/spreadsheets/d/16cywr71Fj4fA5OGRHsZh30ZG2gwJhMAQv69oVBzYHv0/edit?usp=sharing"",""สตูล!I538"")"),0)</f>
        <v>0</v>
      </c>
      <c r="W87" s="57">
        <f ca="1">IFERROR(__xludf.DUMMYFUNCTION("IMPORTRANGE(""https://docs.google.com/spreadsheets/d/16cywr71Fj4fA5OGRHsZh30ZG2gwJhMAQv69oVBzYHv0/edit?usp=sharing"",""สตูล!J538"")"),0)</f>
        <v>0</v>
      </c>
      <c r="X87" s="63">
        <f t="shared" ca="1" si="8"/>
        <v>0</v>
      </c>
      <c r="Y87" s="57">
        <f ca="1">IFERROR(__xludf.DUMMYFUNCTION("IMPORTRANGE(""https://docs.google.com/spreadsheets/d/16cywr71Fj4fA5OGRHsZh30ZG2gwJhMAQv69oVBzYHv0/edit?usp=sharing"",""สตูล!I539"")"),0)</f>
        <v>0</v>
      </c>
      <c r="Z87" s="57">
        <f ca="1">IFERROR(__xludf.DUMMYFUNCTION("IMPORTRANGE(""https://docs.google.com/spreadsheets/d/16cywr71Fj4fA5OGRHsZh30ZG2gwJhMAQv69oVBzYHv0/edit?usp=sharing"",""สตูล!J539"")"),0)</f>
        <v>0</v>
      </c>
      <c r="AA87" s="63">
        <f t="shared" ca="1" si="10"/>
        <v>0</v>
      </c>
      <c r="AB87" s="57">
        <f ca="1">IFERROR(__xludf.DUMMYFUNCTION("IMPORTRANGE(""https://docs.google.com/spreadsheets/d/16cywr71Fj4fA5OGRHsZh30ZG2gwJhMAQv69oVBzYHv0/edit?usp=sharing"",""สตูล!I540"")"),0)</f>
        <v>0</v>
      </c>
      <c r="AC87" s="57">
        <f ca="1">IFERROR(__xludf.DUMMYFUNCTION("IMPORTRANGE(""https://docs.google.com/spreadsheets/d/16cywr71Fj4fA5OGRHsZh30ZG2gwJhMAQv69oVBzYHv0/edit?usp=sharing"",""สตูล!J540"")"),0)</f>
        <v>0</v>
      </c>
      <c r="AD87" s="63">
        <f t="shared" ca="1" si="12"/>
        <v>0</v>
      </c>
      <c r="AE87" s="140">
        <f ca="1">IFERROR(__xludf.DUMMYFUNCTION("IMPORTRANGE(""https://docs.google.com/spreadsheets/d/16cywr71Fj4fA5OGRHsZh30ZG2gwJhMAQv69oVBzYHv0/edit?usp=sharing"",""สตูล!I541"")"),0)</f>
        <v>0</v>
      </c>
      <c r="AF87" s="140">
        <f ca="1">IFERROR(__xludf.DUMMYFUNCTION("IMPORTRANGE(""https://docs.google.com/spreadsheets/d/16cywr71Fj4fA5OGRHsZh30ZG2gwJhMAQv69oVBzYHv0/edit?usp=sharing"",""สตูล!J541"")"),0)</f>
        <v>0</v>
      </c>
      <c r="AG87" s="141">
        <f t="shared" ca="1" si="14"/>
        <v>0</v>
      </c>
      <c r="AH87" s="140">
        <f ca="1">IFERROR(__xludf.DUMMYFUNCTION("IMPORTRANGE(""https://docs.google.com/spreadsheets/d/16cywr71Fj4fA5OGRHsZh30ZG2gwJhMAQv69oVBzYHv0/edit?usp=sharing"",""สตูล!I542"")"),0)</f>
        <v>0</v>
      </c>
      <c r="AI87" s="140">
        <f ca="1">IFERROR(__xludf.DUMMYFUNCTION("IMPORTRANGE(""https://docs.google.com/spreadsheets/d/16cywr71Fj4fA5OGRHsZh30ZG2gwJhMAQv69oVBzYHv0/edit?usp=sharing"",""สตูล!J542"")"),0)</f>
        <v>0</v>
      </c>
      <c r="AJ87" s="141">
        <f t="shared" ca="1" si="16"/>
        <v>0</v>
      </c>
    </row>
    <row r="88" spans="1:36" ht="24" customHeight="1" x14ac:dyDescent="0.3">
      <c r="A88" s="65">
        <v>14</v>
      </c>
      <c r="B88" s="66" t="s">
        <v>109</v>
      </c>
      <c r="C88" s="67">
        <f t="shared" ca="1" si="74"/>
        <v>277260</v>
      </c>
      <c r="D88" s="68">
        <f ca="1">IFERROR(__xludf.DUMMYFUNCTION("IMPORTRANGE(""https://docs.google.com/spreadsheets/d/1vO9Sws6kMtrVtyvrAJptINXjK8TFBoX9xLYOVK_C8bQ/edit?usp=sharing"",""สุราษฎร์ธานี!L528"")"),277260)</f>
        <v>277260</v>
      </c>
      <c r="E88" s="69">
        <f ca="1">IFERROR(__xludf.DUMMYFUNCTION("IMPORTRANGE(""https://docs.google.com/spreadsheets/d/1vO9Sws6kMtrVtyvrAJptINXjK8TFBoX9xLYOVK_C8bQ/edit?usp=sharing"",""สุราษฎร์ธานี!L535"")"),0)</f>
        <v>0</v>
      </c>
      <c r="F88" s="69">
        <f ca="1">IFERROR(__xludf.DUMMYFUNCTION("IMPORTRANGE(""https://docs.google.com/spreadsheets/d/1vO9Sws6kMtrVtyvrAJptINXjK8TFBoX9xLYOVK_C8bQ/edit?usp=sharing"",""สุราษฎร์ธานี!M528"")"),277260)</f>
        <v>277260</v>
      </c>
      <c r="G88" s="69">
        <f ca="1">IFERROR(__xludf.DUMMYFUNCTION("IMPORTRANGE(""https://docs.google.com/spreadsheets/d/1vO9Sws6kMtrVtyvrAJptINXjK8TFBoX9xLYOVK_C8bQ/edit?usp=sharing"",""สุราษฎร์ธานี!M535"")"),0)</f>
        <v>0</v>
      </c>
      <c r="H88" s="70">
        <f t="shared" ca="1" si="32"/>
        <v>259100</v>
      </c>
      <c r="I88" s="71">
        <f t="shared" ca="1" si="1"/>
        <v>93.45019115631537</v>
      </c>
      <c r="J88" s="72">
        <f t="shared" ca="1" si="75"/>
        <v>259100</v>
      </c>
      <c r="K88" s="73">
        <f t="shared" ca="1" si="34"/>
        <v>93.45019115631537</v>
      </c>
      <c r="L88" s="73">
        <f t="shared" ca="1" si="35"/>
        <v>93.45019115631537</v>
      </c>
      <c r="M88" s="69">
        <f ca="1">IFERROR(__xludf.DUMMYFUNCTION("IMPORTRANGE(""https://docs.google.com/spreadsheets/d/1vO9Sws6kMtrVtyvrAJptINXjK8TFBoX9xLYOVK_C8bQ/edit?usp=sharing"",""สุราษฎร์ธานี!N529"")"),71700)</f>
        <v>71700</v>
      </c>
      <c r="N88" s="69">
        <f ca="1">IFERROR(__xludf.DUMMYFUNCTION("IMPORTRANGE(""https://docs.google.com/spreadsheets/d/1vO9Sws6kMtrVtyvrAJptINXjK8TFBoX9xLYOVK_C8bQ/edit?usp=sharing"",""สุราษฎร์ธานี!N530"")"),150000)</f>
        <v>150000</v>
      </c>
      <c r="O88" s="69">
        <f ca="1">IFERROR(__xludf.DUMMYFUNCTION("IMPORTRANGE(""https://docs.google.com/spreadsheets/d/1vO9Sws6kMtrVtyvrAJptINXjK8TFBoX9xLYOVK_C8bQ/edit?usp=sharing"",""สุราษฎร์ธานี!N531"")"),0)</f>
        <v>0</v>
      </c>
      <c r="P88" s="69">
        <f ca="1">IFERROR(__xludf.DUMMYFUNCTION("IMPORTRANGE(""https://docs.google.com/spreadsheets/d/1vO9Sws6kMtrVtyvrAJptINXjK8TFBoX9xLYOVK_C8bQ/edit?usp=sharing"",""สุราษฎร์ธานี!N532"")"),37400)</f>
        <v>37400</v>
      </c>
      <c r="Q88" s="74">
        <f ca="1">IFERROR(__xludf.DUMMYFUNCTION("IMPORTRANGE(""https://docs.google.com/spreadsheets/d/1vO9Sws6kMtrVtyvrAJptINXjK8TFBoX9xLYOVK_C8bQ/edit?usp=sharing"",""สุราษฎร์ธานี!N535"")"),0)</f>
        <v>0</v>
      </c>
      <c r="R88" s="74">
        <f t="shared" ca="1" si="37"/>
        <v>0</v>
      </c>
      <c r="S88" s="68">
        <f ca="1">IFERROR(__xludf.DUMMYFUNCTION("IMPORTRANGE(""https://docs.google.com/spreadsheets/d/1vO9Sws6kMtrVtyvrAJptINXjK8TFBoX9xLYOVK_C8bQ/edit?usp=sharing"",""สุราษฎร์ธานี!I537"")"),30)</f>
        <v>30</v>
      </c>
      <c r="T88" s="68">
        <f ca="1">IFERROR(__xludf.DUMMYFUNCTION("IMPORTRANGE(""https://docs.google.com/spreadsheets/d/1vO9Sws6kMtrVtyvrAJptINXjK8TFBoX9xLYOVK_C8bQ/edit?usp=sharing"",""สุราษฎร์ธานี!J537"")"),30)</f>
        <v>30</v>
      </c>
      <c r="U88" s="75">
        <f t="shared" ca="1" si="6"/>
        <v>100</v>
      </c>
      <c r="V88" s="68">
        <f ca="1">IFERROR(__xludf.DUMMYFUNCTION("IMPORTRANGE(""https://docs.google.com/spreadsheets/d/1vO9Sws6kMtrVtyvrAJptINXjK8TFBoX9xLYOVK_C8bQ/edit?usp=sharing"",""สุราษฎร์ธานี!I538"")"),30)</f>
        <v>30</v>
      </c>
      <c r="W88" s="68">
        <f ca="1">IFERROR(__xludf.DUMMYFUNCTION("IMPORTRANGE(""https://docs.google.com/spreadsheets/d/1vO9Sws6kMtrVtyvrAJptINXjK8TFBoX9xLYOVK_C8bQ/edit?usp=sharing"",""สุราษฎร์ธานี!J538"")"),30)</f>
        <v>30</v>
      </c>
      <c r="X88" s="75">
        <f t="shared" ca="1" si="8"/>
        <v>100</v>
      </c>
      <c r="Y88" s="68">
        <f ca="1">IFERROR(__xludf.DUMMYFUNCTION("IMPORTRANGE(""https://docs.google.com/spreadsheets/d/1vO9Sws6kMtrVtyvrAJptINXjK8TFBoX9xLYOVK_C8bQ/edit?usp=sharing"",""สุราษฎร์ธานี!I539"")"),0)</f>
        <v>0</v>
      </c>
      <c r="Z88" s="68">
        <f ca="1">IFERROR(__xludf.DUMMYFUNCTION("IMPORTRANGE(""https://docs.google.com/spreadsheets/d/1vO9Sws6kMtrVtyvrAJptINXjK8TFBoX9xLYOVK_C8bQ/edit?usp=sharing"",""สุราษฎร์ธานี!J539"")"),0)</f>
        <v>0</v>
      </c>
      <c r="AA88" s="75">
        <f t="shared" ca="1" si="10"/>
        <v>0</v>
      </c>
      <c r="AB88" s="68">
        <f ca="1">IFERROR(__xludf.DUMMYFUNCTION("IMPORTRANGE(""https://docs.google.com/spreadsheets/d/1vO9Sws6kMtrVtyvrAJptINXjK8TFBoX9xLYOVK_C8bQ/edit?usp=sharing"",""สุราษฎร์ธานี!I540"")"),0)</f>
        <v>0</v>
      </c>
      <c r="AC88" s="68">
        <f ca="1">IFERROR(__xludf.DUMMYFUNCTION("IMPORTRANGE(""https://docs.google.com/spreadsheets/d/1vO9Sws6kMtrVtyvrAJptINXjK8TFBoX9xLYOVK_C8bQ/edit?usp=sharing"",""สุราษฎร์ธานี!J540"")"),0)</f>
        <v>0</v>
      </c>
      <c r="AD88" s="75">
        <f t="shared" ca="1" si="12"/>
        <v>0</v>
      </c>
      <c r="AE88" s="142">
        <f ca="1">IFERROR(__xludf.DUMMYFUNCTION("IMPORTRANGE(""https://docs.google.com/spreadsheets/d/1vO9Sws6kMtrVtyvrAJptINXjK8TFBoX9xLYOVK_C8bQ/edit?usp=sharing"",""สุราษฎร์ธานี!I541"")"),30)</f>
        <v>30</v>
      </c>
      <c r="AF88" s="142">
        <f ca="1">IFERROR(__xludf.DUMMYFUNCTION("IMPORTRANGE(""https://docs.google.com/spreadsheets/d/1vO9Sws6kMtrVtyvrAJptINXjK8TFBoX9xLYOVK_C8bQ/edit?usp=sharing"",""สุราษฎร์ธานี!J541"")"),30)</f>
        <v>30</v>
      </c>
      <c r="AG88" s="143">
        <f t="shared" ca="1" si="14"/>
        <v>100</v>
      </c>
      <c r="AH88" s="142">
        <f ca="1">IFERROR(__xludf.DUMMYFUNCTION("IMPORTRANGE(""https://docs.google.com/spreadsheets/d/1vO9Sws6kMtrVtyvrAJptINXjK8TFBoX9xLYOVK_C8bQ/edit?usp=sharing"",""สุราษฎร์ธานี!I542"")"),30)</f>
        <v>30</v>
      </c>
      <c r="AI88" s="142">
        <f ca="1">IFERROR(__xludf.DUMMYFUNCTION("IMPORTRANGE(""https://docs.google.com/spreadsheets/d/1vO9Sws6kMtrVtyvrAJptINXjK8TFBoX9xLYOVK_C8bQ/edit?usp=sharing"",""สุราษฎร์ธานี!J542"")"),30)</f>
        <v>30</v>
      </c>
      <c r="AJ88" s="143">
        <f t="shared" ca="1" si="16"/>
        <v>100</v>
      </c>
    </row>
    <row r="89" spans="1:36" ht="21" hidden="1" customHeight="1" x14ac:dyDescent="0.3">
      <c r="A89" s="187" t="s">
        <v>110</v>
      </c>
      <c r="B89" s="178"/>
      <c r="C89" s="77">
        <f t="shared" ref="C89:E89" si="76">+C90+C91+C92+C93+C94+C95+C96+C97+C98+C99+C100+C101+C102+C103</f>
        <v>0</v>
      </c>
      <c r="D89" s="40">
        <f t="shared" si="76"/>
        <v>0</v>
      </c>
      <c r="E89" s="40">
        <f t="shared" si="76"/>
        <v>0</v>
      </c>
      <c r="F89" s="43"/>
      <c r="G89" s="43"/>
      <c r="H89" s="40">
        <f t="shared" ca="1" si="32"/>
        <v>0</v>
      </c>
      <c r="I89" s="41">
        <f t="shared" si="1"/>
        <v>0</v>
      </c>
      <c r="J89" s="40">
        <f ca="1">+J90+J91+J92+J93+J94+J95+J96+J97+J98+J99+J100+J101+J102+J103</f>
        <v>0</v>
      </c>
      <c r="K89" s="43"/>
      <c r="L89" s="43"/>
      <c r="M89" s="40">
        <f t="shared" ref="M89:Q89" ca="1" si="77">+M90+M91+M92+M93+M94+M95+M96+M97+M98+M99+M100+M101+M102+M103</f>
        <v>0</v>
      </c>
      <c r="N89" s="40">
        <f t="shared" si="77"/>
        <v>0</v>
      </c>
      <c r="O89" s="40">
        <f t="shared" si="77"/>
        <v>0</v>
      </c>
      <c r="P89" s="40">
        <f t="shared" si="77"/>
        <v>0</v>
      </c>
      <c r="Q89" s="42">
        <f t="shared" si="77"/>
        <v>0</v>
      </c>
      <c r="R89" s="42">
        <f t="shared" si="37"/>
        <v>0</v>
      </c>
      <c r="S89" s="43"/>
      <c r="T89" s="43"/>
      <c r="U89" s="44"/>
      <c r="V89" s="43"/>
      <c r="W89" s="43"/>
      <c r="X89" s="44"/>
      <c r="Y89" s="43"/>
      <c r="Z89" s="43"/>
      <c r="AA89" s="44"/>
      <c r="AB89" s="43"/>
      <c r="AC89" s="43"/>
      <c r="AD89" s="44"/>
      <c r="AE89" s="144"/>
      <c r="AF89" s="144"/>
      <c r="AG89" s="145"/>
      <c r="AH89" s="144"/>
      <c r="AI89" s="144"/>
      <c r="AJ89" s="145"/>
    </row>
    <row r="90" spans="1:36" ht="24" hidden="1" customHeight="1" x14ac:dyDescent="0.3">
      <c r="A90" s="54">
        <v>1</v>
      </c>
      <c r="B90" s="55" t="s">
        <v>111</v>
      </c>
      <c r="C90" s="56">
        <f t="shared" ref="C90:C103" si="78">D90+E90</f>
        <v>0</v>
      </c>
      <c r="D90" s="57">
        <v>0</v>
      </c>
      <c r="E90" s="64">
        <v>0</v>
      </c>
      <c r="F90" s="79"/>
      <c r="G90" s="79"/>
      <c r="H90" s="58">
        <f t="shared" si="32"/>
        <v>0</v>
      </c>
      <c r="I90" s="59">
        <f t="shared" si="1"/>
        <v>0</v>
      </c>
      <c r="J90" s="60">
        <f t="shared" ref="J90:J103" si="79">M90+N90+O90+P90</f>
        <v>0</v>
      </c>
      <c r="K90" s="80"/>
      <c r="L90" s="80"/>
      <c r="M90" s="64">
        <v>0</v>
      </c>
      <c r="N90" s="64">
        <v>0</v>
      </c>
      <c r="O90" s="64">
        <v>0</v>
      </c>
      <c r="P90" s="64">
        <v>0</v>
      </c>
      <c r="Q90" s="62">
        <v>0</v>
      </c>
      <c r="R90" s="62">
        <f t="shared" si="37"/>
        <v>0</v>
      </c>
      <c r="S90" s="79"/>
      <c r="T90" s="79"/>
      <c r="U90" s="81"/>
      <c r="V90" s="79"/>
      <c r="W90" s="79"/>
      <c r="X90" s="81"/>
      <c r="Y90" s="79"/>
      <c r="Z90" s="79"/>
      <c r="AA90" s="81"/>
      <c r="AB90" s="79"/>
      <c r="AC90" s="79"/>
      <c r="AD90" s="81"/>
      <c r="AE90" s="146"/>
      <c r="AF90" s="146"/>
      <c r="AG90" s="147"/>
      <c r="AH90" s="146"/>
      <c r="AI90" s="146"/>
      <c r="AJ90" s="147"/>
    </row>
    <row r="91" spans="1:36" ht="24" hidden="1" customHeight="1" x14ac:dyDescent="0.3">
      <c r="A91" s="54">
        <v>2</v>
      </c>
      <c r="B91" s="55" t="s">
        <v>112</v>
      </c>
      <c r="C91" s="56">
        <f t="shared" si="78"/>
        <v>0</v>
      </c>
      <c r="D91" s="57">
        <v>0</v>
      </c>
      <c r="E91" s="64">
        <v>0</v>
      </c>
      <c r="F91" s="79"/>
      <c r="G91" s="79"/>
      <c r="H91" s="58">
        <f t="shared" si="32"/>
        <v>0</v>
      </c>
      <c r="I91" s="59">
        <f t="shared" si="1"/>
        <v>0</v>
      </c>
      <c r="J91" s="60">
        <f t="shared" si="79"/>
        <v>0</v>
      </c>
      <c r="K91" s="80"/>
      <c r="L91" s="80"/>
      <c r="M91" s="64">
        <v>0</v>
      </c>
      <c r="N91" s="64">
        <v>0</v>
      </c>
      <c r="O91" s="64">
        <v>0</v>
      </c>
      <c r="P91" s="64">
        <v>0</v>
      </c>
      <c r="Q91" s="62">
        <v>0</v>
      </c>
      <c r="R91" s="62">
        <f t="shared" si="37"/>
        <v>0</v>
      </c>
      <c r="S91" s="79"/>
      <c r="T91" s="79"/>
      <c r="U91" s="81"/>
      <c r="V91" s="79"/>
      <c r="W91" s="79"/>
      <c r="X91" s="81"/>
      <c r="Y91" s="79"/>
      <c r="Z91" s="79"/>
      <c r="AA91" s="81"/>
      <c r="AB91" s="79"/>
      <c r="AC91" s="79"/>
      <c r="AD91" s="81"/>
      <c r="AE91" s="146"/>
      <c r="AF91" s="146"/>
      <c r="AG91" s="147"/>
      <c r="AH91" s="146"/>
      <c r="AI91" s="146"/>
      <c r="AJ91" s="147"/>
    </row>
    <row r="92" spans="1:36" ht="24" hidden="1" customHeight="1" x14ac:dyDescent="0.3">
      <c r="A92" s="54">
        <v>3</v>
      </c>
      <c r="B92" s="55" t="s">
        <v>113</v>
      </c>
      <c r="C92" s="56">
        <f t="shared" si="78"/>
        <v>0</v>
      </c>
      <c r="D92" s="57">
        <v>0</v>
      </c>
      <c r="E92" s="64">
        <v>0</v>
      </c>
      <c r="F92" s="79"/>
      <c r="G92" s="79"/>
      <c r="H92" s="58">
        <f t="shared" si="32"/>
        <v>0</v>
      </c>
      <c r="I92" s="59">
        <f t="shared" si="1"/>
        <v>0</v>
      </c>
      <c r="J92" s="60">
        <f t="shared" si="79"/>
        <v>0</v>
      </c>
      <c r="K92" s="80"/>
      <c r="L92" s="80"/>
      <c r="M92" s="64">
        <v>0</v>
      </c>
      <c r="N92" s="64">
        <v>0</v>
      </c>
      <c r="O92" s="64">
        <v>0</v>
      </c>
      <c r="P92" s="64">
        <v>0</v>
      </c>
      <c r="Q92" s="62">
        <v>0</v>
      </c>
      <c r="R92" s="62">
        <f t="shared" si="37"/>
        <v>0</v>
      </c>
      <c r="S92" s="79"/>
      <c r="T92" s="79"/>
      <c r="U92" s="81"/>
      <c r="V92" s="79"/>
      <c r="W92" s="79"/>
      <c r="X92" s="81"/>
      <c r="Y92" s="79"/>
      <c r="Z92" s="79"/>
      <c r="AA92" s="81"/>
      <c r="AB92" s="79"/>
      <c r="AC92" s="79"/>
      <c r="AD92" s="81"/>
      <c r="AE92" s="146"/>
      <c r="AF92" s="146"/>
      <c r="AG92" s="147"/>
      <c r="AH92" s="146"/>
      <c r="AI92" s="146"/>
      <c r="AJ92" s="147"/>
    </row>
    <row r="93" spans="1:36" ht="24" hidden="1" customHeight="1" x14ac:dyDescent="0.3">
      <c r="A93" s="54">
        <f t="shared" ref="A93:A103" si="80">+A92+1</f>
        <v>4</v>
      </c>
      <c r="B93" s="55" t="s">
        <v>114</v>
      </c>
      <c r="C93" s="56">
        <f t="shared" si="78"/>
        <v>0</v>
      </c>
      <c r="D93" s="57">
        <v>0</v>
      </c>
      <c r="E93" s="64">
        <v>0</v>
      </c>
      <c r="F93" s="79"/>
      <c r="G93" s="79"/>
      <c r="H93" s="58">
        <f t="shared" si="32"/>
        <v>0</v>
      </c>
      <c r="I93" s="59">
        <f t="shared" si="1"/>
        <v>0</v>
      </c>
      <c r="J93" s="60">
        <f t="shared" si="79"/>
        <v>0</v>
      </c>
      <c r="K93" s="80"/>
      <c r="L93" s="80"/>
      <c r="M93" s="64">
        <v>0</v>
      </c>
      <c r="N93" s="64">
        <v>0</v>
      </c>
      <c r="O93" s="64">
        <v>0</v>
      </c>
      <c r="P93" s="64">
        <v>0</v>
      </c>
      <c r="Q93" s="62">
        <v>0</v>
      </c>
      <c r="R93" s="62">
        <f t="shared" si="37"/>
        <v>0</v>
      </c>
      <c r="S93" s="79"/>
      <c r="T93" s="79"/>
      <c r="U93" s="81"/>
      <c r="V93" s="79"/>
      <c r="W93" s="79"/>
      <c r="X93" s="81"/>
      <c r="Y93" s="79"/>
      <c r="Z93" s="79"/>
      <c r="AA93" s="81"/>
      <c r="AB93" s="79"/>
      <c r="AC93" s="79"/>
      <c r="AD93" s="81"/>
      <c r="AE93" s="146"/>
      <c r="AF93" s="146"/>
      <c r="AG93" s="147"/>
      <c r="AH93" s="146"/>
      <c r="AI93" s="146"/>
      <c r="AJ93" s="147"/>
    </row>
    <row r="94" spans="1:36" ht="24" hidden="1" customHeight="1" x14ac:dyDescent="0.3">
      <c r="A94" s="54">
        <f t="shared" si="80"/>
        <v>5</v>
      </c>
      <c r="B94" s="55" t="s">
        <v>115</v>
      </c>
      <c r="C94" s="56">
        <f t="shared" si="78"/>
        <v>0</v>
      </c>
      <c r="D94" s="57">
        <v>0</v>
      </c>
      <c r="E94" s="64">
        <v>0</v>
      </c>
      <c r="F94" s="79"/>
      <c r="G94" s="79"/>
      <c r="H94" s="58">
        <f t="shared" si="32"/>
        <v>0</v>
      </c>
      <c r="I94" s="59">
        <f t="shared" si="1"/>
        <v>0</v>
      </c>
      <c r="J94" s="60">
        <f t="shared" si="79"/>
        <v>0</v>
      </c>
      <c r="K94" s="80"/>
      <c r="L94" s="80"/>
      <c r="M94" s="64">
        <v>0</v>
      </c>
      <c r="N94" s="64">
        <v>0</v>
      </c>
      <c r="O94" s="64">
        <v>0</v>
      </c>
      <c r="P94" s="64">
        <v>0</v>
      </c>
      <c r="Q94" s="62">
        <v>0</v>
      </c>
      <c r="R94" s="62">
        <f t="shared" si="37"/>
        <v>0</v>
      </c>
      <c r="S94" s="79"/>
      <c r="T94" s="79"/>
      <c r="U94" s="81"/>
      <c r="V94" s="79"/>
      <c r="W94" s="79"/>
      <c r="X94" s="81"/>
      <c r="Y94" s="79"/>
      <c r="Z94" s="79"/>
      <c r="AA94" s="81"/>
      <c r="AB94" s="79"/>
      <c r="AC94" s="79"/>
      <c r="AD94" s="81"/>
      <c r="AE94" s="146"/>
      <c r="AF94" s="146"/>
      <c r="AG94" s="147"/>
      <c r="AH94" s="146"/>
      <c r="AI94" s="146"/>
      <c r="AJ94" s="147"/>
    </row>
    <row r="95" spans="1:36" ht="24" hidden="1" customHeight="1" x14ac:dyDescent="0.3">
      <c r="A95" s="54">
        <f t="shared" si="80"/>
        <v>6</v>
      </c>
      <c r="B95" s="55" t="s">
        <v>116</v>
      </c>
      <c r="C95" s="56">
        <f t="shared" si="78"/>
        <v>0</v>
      </c>
      <c r="D95" s="57">
        <v>0</v>
      </c>
      <c r="E95" s="64">
        <v>0</v>
      </c>
      <c r="F95" s="79"/>
      <c r="G95" s="79"/>
      <c r="H95" s="58">
        <f t="shared" si="32"/>
        <v>0</v>
      </c>
      <c r="I95" s="59">
        <f t="shared" si="1"/>
        <v>0</v>
      </c>
      <c r="J95" s="60">
        <f t="shared" si="79"/>
        <v>0</v>
      </c>
      <c r="K95" s="80"/>
      <c r="L95" s="80"/>
      <c r="M95" s="64">
        <v>0</v>
      </c>
      <c r="N95" s="64">
        <v>0</v>
      </c>
      <c r="O95" s="64">
        <v>0</v>
      </c>
      <c r="P95" s="64">
        <v>0</v>
      </c>
      <c r="Q95" s="62">
        <v>0</v>
      </c>
      <c r="R95" s="62">
        <f t="shared" si="37"/>
        <v>0</v>
      </c>
      <c r="S95" s="79"/>
      <c r="T95" s="79"/>
      <c r="U95" s="81"/>
      <c r="V95" s="79"/>
      <c r="W95" s="79"/>
      <c r="X95" s="81"/>
      <c r="Y95" s="79"/>
      <c r="Z95" s="79"/>
      <c r="AA95" s="81"/>
      <c r="AB95" s="79"/>
      <c r="AC95" s="79"/>
      <c r="AD95" s="81"/>
      <c r="AE95" s="146"/>
      <c r="AF95" s="146"/>
      <c r="AG95" s="147"/>
      <c r="AH95" s="146"/>
      <c r="AI95" s="146"/>
      <c r="AJ95" s="147"/>
    </row>
    <row r="96" spans="1:36" ht="24" hidden="1" customHeight="1" x14ac:dyDescent="0.3">
      <c r="A96" s="54">
        <f t="shared" si="80"/>
        <v>7</v>
      </c>
      <c r="B96" s="55" t="s">
        <v>117</v>
      </c>
      <c r="C96" s="56">
        <f t="shared" si="78"/>
        <v>0</v>
      </c>
      <c r="D96" s="57">
        <v>0</v>
      </c>
      <c r="E96" s="64">
        <v>0</v>
      </c>
      <c r="F96" s="79"/>
      <c r="G96" s="79"/>
      <c r="H96" s="58">
        <f t="shared" ca="1" si="32"/>
        <v>0</v>
      </c>
      <c r="I96" s="59">
        <f t="shared" si="1"/>
        <v>0</v>
      </c>
      <c r="J96" s="60">
        <f t="shared" ca="1" si="79"/>
        <v>0</v>
      </c>
      <c r="K96" s="80"/>
      <c r="L96" s="80"/>
      <c r="M96" s="64">
        <f ca="1">IFERROR(__xludf.DUMMYFUNCTION("IMPORTRANGE(""https://docs.google.com/spreadsheets/d/1WhzDrMlrZfqSjGYJh0xYjRtGVhp5LiCqlO7EaAHfOOk/edit#gid=0"",""Sheet1!AL13"")"),0)</f>
        <v>0</v>
      </c>
      <c r="N96" s="64">
        <v>0</v>
      </c>
      <c r="O96" s="64">
        <v>0</v>
      </c>
      <c r="P96" s="64">
        <v>0</v>
      </c>
      <c r="Q96" s="62">
        <v>0</v>
      </c>
      <c r="R96" s="62">
        <f t="shared" si="37"/>
        <v>0</v>
      </c>
      <c r="S96" s="79"/>
      <c r="T96" s="79"/>
      <c r="U96" s="81"/>
      <c r="V96" s="79"/>
      <c r="W96" s="79"/>
      <c r="X96" s="81"/>
      <c r="Y96" s="79"/>
      <c r="Z96" s="79"/>
      <c r="AA96" s="81"/>
      <c r="AB96" s="79"/>
      <c r="AC96" s="79"/>
      <c r="AD96" s="81"/>
      <c r="AE96" s="146"/>
      <c r="AF96" s="146"/>
      <c r="AG96" s="147"/>
      <c r="AH96" s="146"/>
      <c r="AI96" s="146"/>
      <c r="AJ96" s="147"/>
    </row>
    <row r="97" spans="1:36" ht="24" hidden="1" customHeight="1" x14ac:dyDescent="0.3">
      <c r="A97" s="54">
        <f t="shared" si="80"/>
        <v>8</v>
      </c>
      <c r="B97" s="55" t="s">
        <v>118</v>
      </c>
      <c r="C97" s="56">
        <f t="shared" si="78"/>
        <v>0</v>
      </c>
      <c r="D97" s="57">
        <v>0</v>
      </c>
      <c r="E97" s="64">
        <v>0</v>
      </c>
      <c r="F97" s="79"/>
      <c r="G97" s="79"/>
      <c r="H97" s="58">
        <f t="shared" si="32"/>
        <v>0</v>
      </c>
      <c r="I97" s="59">
        <f t="shared" si="1"/>
        <v>0</v>
      </c>
      <c r="J97" s="60">
        <f t="shared" si="79"/>
        <v>0</v>
      </c>
      <c r="K97" s="80"/>
      <c r="L97" s="80"/>
      <c r="M97" s="64">
        <v>0</v>
      </c>
      <c r="N97" s="64">
        <v>0</v>
      </c>
      <c r="O97" s="64">
        <v>0</v>
      </c>
      <c r="P97" s="64">
        <v>0</v>
      </c>
      <c r="Q97" s="62">
        <v>0</v>
      </c>
      <c r="R97" s="62">
        <f t="shared" si="37"/>
        <v>0</v>
      </c>
      <c r="S97" s="79"/>
      <c r="T97" s="79"/>
      <c r="U97" s="81"/>
      <c r="V97" s="79"/>
      <c r="W97" s="79"/>
      <c r="X97" s="81"/>
      <c r="Y97" s="79"/>
      <c r="Z97" s="79"/>
      <c r="AA97" s="81"/>
      <c r="AB97" s="79"/>
      <c r="AC97" s="79"/>
      <c r="AD97" s="81"/>
      <c r="AE97" s="146"/>
      <c r="AF97" s="146"/>
      <c r="AG97" s="147"/>
      <c r="AH97" s="146"/>
      <c r="AI97" s="146"/>
      <c r="AJ97" s="147"/>
    </row>
    <row r="98" spans="1:36" ht="24" hidden="1" customHeight="1" x14ac:dyDescent="0.3">
      <c r="A98" s="54">
        <f t="shared" si="80"/>
        <v>9</v>
      </c>
      <c r="B98" s="55" t="s">
        <v>119</v>
      </c>
      <c r="C98" s="56">
        <f t="shared" si="78"/>
        <v>0</v>
      </c>
      <c r="D98" s="57">
        <v>0</v>
      </c>
      <c r="E98" s="64">
        <v>0</v>
      </c>
      <c r="F98" s="79"/>
      <c r="G98" s="79"/>
      <c r="H98" s="58">
        <f t="shared" si="32"/>
        <v>0</v>
      </c>
      <c r="I98" s="59">
        <f t="shared" si="1"/>
        <v>0</v>
      </c>
      <c r="J98" s="60">
        <f t="shared" si="79"/>
        <v>0</v>
      </c>
      <c r="K98" s="80"/>
      <c r="L98" s="80"/>
      <c r="M98" s="64">
        <v>0</v>
      </c>
      <c r="N98" s="64">
        <v>0</v>
      </c>
      <c r="O98" s="64">
        <v>0</v>
      </c>
      <c r="P98" s="64">
        <v>0</v>
      </c>
      <c r="Q98" s="62">
        <v>0</v>
      </c>
      <c r="R98" s="62">
        <f t="shared" si="37"/>
        <v>0</v>
      </c>
      <c r="S98" s="79"/>
      <c r="T98" s="79"/>
      <c r="U98" s="81"/>
      <c r="V98" s="79"/>
      <c r="W98" s="79"/>
      <c r="X98" s="81"/>
      <c r="Y98" s="79"/>
      <c r="Z98" s="79"/>
      <c r="AA98" s="81"/>
      <c r="AB98" s="79"/>
      <c r="AC98" s="79"/>
      <c r="AD98" s="81"/>
      <c r="AE98" s="146"/>
      <c r="AF98" s="146"/>
      <c r="AG98" s="147"/>
      <c r="AH98" s="146"/>
      <c r="AI98" s="146"/>
      <c r="AJ98" s="147"/>
    </row>
    <row r="99" spans="1:36" ht="24" hidden="1" customHeight="1" x14ac:dyDescent="0.3">
      <c r="A99" s="54">
        <f t="shared" si="80"/>
        <v>10</v>
      </c>
      <c r="B99" s="55" t="s">
        <v>120</v>
      </c>
      <c r="C99" s="56">
        <f t="shared" si="78"/>
        <v>0</v>
      </c>
      <c r="D99" s="57">
        <v>0</v>
      </c>
      <c r="E99" s="64">
        <v>0</v>
      </c>
      <c r="F99" s="79"/>
      <c r="G99" s="79"/>
      <c r="H99" s="58">
        <f t="shared" si="32"/>
        <v>0</v>
      </c>
      <c r="I99" s="59">
        <f t="shared" si="1"/>
        <v>0</v>
      </c>
      <c r="J99" s="60">
        <f t="shared" si="79"/>
        <v>0</v>
      </c>
      <c r="K99" s="80"/>
      <c r="L99" s="80"/>
      <c r="M99" s="64">
        <v>0</v>
      </c>
      <c r="N99" s="64">
        <v>0</v>
      </c>
      <c r="O99" s="64">
        <v>0</v>
      </c>
      <c r="P99" s="64">
        <v>0</v>
      </c>
      <c r="Q99" s="62">
        <v>0</v>
      </c>
      <c r="R99" s="62">
        <f t="shared" si="37"/>
        <v>0</v>
      </c>
      <c r="S99" s="79"/>
      <c r="T99" s="79"/>
      <c r="U99" s="81"/>
      <c r="V99" s="79"/>
      <c r="W99" s="79"/>
      <c r="X99" s="81"/>
      <c r="Y99" s="79"/>
      <c r="Z99" s="79"/>
      <c r="AA99" s="81"/>
      <c r="AB99" s="79"/>
      <c r="AC99" s="79"/>
      <c r="AD99" s="81"/>
      <c r="AE99" s="146"/>
      <c r="AF99" s="146"/>
      <c r="AG99" s="147"/>
      <c r="AH99" s="146"/>
      <c r="AI99" s="146"/>
      <c r="AJ99" s="147"/>
    </row>
    <row r="100" spans="1:36" ht="24" hidden="1" customHeight="1" x14ac:dyDescent="0.3">
      <c r="A100" s="54">
        <f t="shared" si="80"/>
        <v>11</v>
      </c>
      <c r="B100" s="55" t="s">
        <v>121</v>
      </c>
      <c r="C100" s="56">
        <f t="shared" si="78"/>
        <v>0</v>
      </c>
      <c r="D100" s="57">
        <v>0</v>
      </c>
      <c r="E100" s="64">
        <v>0</v>
      </c>
      <c r="F100" s="79"/>
      <c r="G100" s="79"/>
      <c r="H100" s="58">
        <f t="shared" si="32"/>
        <v>0</v>
      </c>
      <c r="I100" s="59">
        <f t="shared" si="1"/>
        <v>0</v>
      </c>
      <c r="J100" s="60">
        <f t="shared" si="79"/>
        <v>0</v>
      </c>
      <c r="K100" s="80"/>
      <c r="L100" s="80"/>
      <c r="M100" s="64">
        <v>0</v>
      </c>
      <c r="N100" s="64">
        <v>0</v>
      </c>
      <c r="O100" s="64">
        <v>0</v>
      </c>
      <c r="P100" s="64">
        <v>0</v>
      </c>
      <c r="Q100" s="62">
        <v>0</v>
      </c>
      <c r="R100" s="62">
        <f t="shared" si="37"/>
        <v>0</v>
      </c>
      <c r="S100" s="79"/>
      <c r="T100" s="79"/>
      <c r="U100" s="81"/>
      <c r="V100" s="79"/>
      <c r="W100" s="79"/>
      <c r="X100" s="81"/>
      <c r="Y100" s="79"/>
      <c r="Z100" s="79"/>
      <c r="AA100" s="81"/>
      <c r="AB100" s="79"/>
      <c r="AC100" s="79"/>
      <c r="AD100" s="81"/>
      <c r="AE100" s="146"/>
      <c r="AF100" s="146"/>
      <c r="AG100" s="147"/>
      <c r="AH100" s="146"/>
      <c r="AI100" s="146"/>
      <c r="AJ100" s="147"/>
    </row>
    <row r="101" spans="1:36" ht="24" hidden="1" customHeight="1" x14ac:dyDescent="0.3">
      <c r="A101" s="54">
        <f t="shared" si="80"/>
        <v>12</v>
      </c>
      <c r="B101" s="55" t="s">
        <v>122</v>
      </c>
      <c r="C101" s="56">
        <f t="shared" si="78"/>
        <v>0</v>
      </c>
      <c r="D101" s="57">
        <v>0</v>
      </c>
      <c r="E101" s="64">
        <v>0</v>
      </c>
      <c r="F101" s="79"/>
      <c r="G101" s="79"/>
      <c r="H101" s="58">
        <f t="shared" si="32"/>
        <v>0</v>
      </c>
      <c r="I101" s="59">
        <f t="shared" si="1"/>
        <v>0</v>
      </c>
      <c r="J101" s="60">
        <f t="shared" si="79"/>
        <v>0</v>
      </c>
      <c r="K101" s="80"/>
      <c r="L101" s="80"/>
      <c r="M101" s="64">
        <v>0</v>
      </c>
      <c r="N101" s="64">
        <v>0</v>
      </c>
      <c r="O101" s="64">
        <v>0</v>
      </c>
      <c r="P101" s="64">
        <v>0</v>
      </c>
      <c r="Q101" s="62">
        <v>0</v>
      </c>
      <c r="R101" s="62">
        <f t="shared" si="37"/>
        <v>0</v>
      </c>
      <c r="S101" s="79"/>
      <c r="T101" s="79"/>
      <c r="U101" s="81"/>
      <c r="V101" s="79"/>
      <c r="W101" s="79"/>
      <c r="X101" s="81"/>
      <c r="Y101" s="79"/>
      <c r="Z101" s="79"/>
      <c r="AA101" s="81"/>
      <c r="AB101" s="79"/>
      <c r="AC101" s="79"/>
      <c r="AD101" s="81"/>
      <c r="AE101" s="146"/>
      <c r="AF101" s="146"/>
      <c r="AG101" s="147"/>
      <c r="AH101" s="146"/>
      <c r="AI101" s="146"/>
      <c r="AJ101" s="147"/>
    </row>
    <row r="102" spans="1:36" ht="24" hidden="1" customHeight="1" x14ac:dyDescent="0.3">
      <c r="A102" s="54">
        <f t="shared" si="80"/>
        <v>13</v>
      </c>
      <c r="B102" s="55" t="s">
        <v>123</v>
      </c>
      <c r="C102" s="56">
        <f t="shared" si="78"/>
        <v>0</v>
      </c>
      <c r="D102" s="57">
        <v>0</v>
      </c>
      <c r="E102" s="64">
        <v>0</v>
      </c>
      <c r="F102" s="79"/>
      <c r="G102" s="79"/>
      <c r="H102" s="58">
        <f t="shared" si="32"/>
        <v>0</v>
      </c>
      <c r="I102" s="59">
        <f t="shared" si="1"/>
        <v>0</v>
      </c>
      <c r="J102" s="60">
        <f t="shared" si="79"/>
        <v>0</v>
      </c>
      <c r="K102" s="80"/>
      <c r="L102" s="80"/>
      <c r="M102" s="64">
        <v>0</v>
      </c>
      <c r="N102" s="64">
        <v>0</v>
      </c>
      <c r="O102" s="64">
        <v>0</v>
      </c>
      <c r="P102" s="64">
        <v>0</v>
      </c>
      <c r="Q102" s="62">
        <v>0</v>
      </c>
      <c r="R102" s="62">
        <f t="shared" si="37"/>
        <v>0</v>
      </c>
      <c r="S102" s="79"/>
      <c r="T102" s="79"/>
      <c r="U102" s="81"/>
      <c r="V102" s="79"/>
      <c r="W102" s="79"/>
      <c r="X102" s="81"/>
      <c r="Y102" s="79"/>
      <c r="Z102" s="79"/>
      <c r="AA102" s="81"/>
      <c r="AB102" s="79"/>
      <c r="AC102" s="79"/>
      <c r="AD102" s="81"/>
      <c r="AE102" s="146"/>
      <c r="AF102" s="146"/>
      <c r="AG102" s="147"/>
      <c r="AH102" s="146"/>
      <c r="AI102" s="146"/>
      <c r="AJ102" s="147"/>
    </row>
    <row r="103" spans="1:36" ht="24" hidden="1" customHeight="1" x14ac:dyDescent="0.3">
      <c r="A103" s="65">
        <f t="shared" si="80"/>
        <v>14</v>
      </c>
      <c r="B103" s="66" t="s">
        <v>124</v>
      </c>
      <c r="C103" s="67">
        <f t="shared" si="78"/>
        <v>0</v>
      </c>
      <c r="D103" s="68">
        <v>0</v>
      </c>
      <c r="E103" s="69">
        <v>0</v>
      </c>
      <c r="F103" s="82"/>
      <c r="G103" s="82"/>
      <c r="H103" s="70">
        <f t="shared" si="32"/>
        <v>0</v>
      </c>
      <c r="I103" s="71">
        <f t="shared" si="1"/>
        <v>0</v>
      </c>
      <c r="J103" s="72">
        <f t="shared" si="79"/>
        <v>0</v>
      </c>
      <c r="K103" s="83"/>
      <c r="L103" s="83"/>
      <c r="M103" s="69">
        <v>0</v>
      </c>
      <c r="N103" s="69">
        <v>0</v>
      </c>
      <c r="O103" s="69">
        <v>0</v>
      </c>
      <c r="P103" s="69">
        <v>0</v>
      </c>
      <c r="Q103" s="74">
        <v>0</v>
      </c>
      <c r="R103" s="74">
        <f t="shared" si="37"/>
        <v>0</v>
      </c>
      <c r="S103" s="82"/>
      <c r="T103" s="82"/>
      <c r="U103" s="84"/>
      <c r="V103" s="82"/>
      <c r="W103" s="82"/>
      <c r="X103" s="84"/>
      <c r="Y103" s="82"/>
      <c r="Z103" s="82"/>
      <c r="AA103" s="84"/>
      <c r="AB103" s="82"/>
      <c r="AC103" s="82"/>
      <c r="AD103" s="84"/>
      <c r="AE103" s="148"/>
      <c r="AF103" s="148"/>
      <c r="AG103" s="149"/>
      <c r="AH103" s="148"/>
      <c r="AI103" s="148"/>
      <c r="AJ103" s="149"/>
    </row>
    <row r="104" spans="1:36" ht="21" hidden="1" customHeight="1" x14ac:dyDescent="0.3">
      <c r="A104" s="187" t="s">
        <v>125</v>
      </c>
      <c r="B104" s="178"/>
      <c r="C104" s="77">
        <f>SUM(C105:C116)</f>
        <v>0</v>
      </c>
      <c r="D104" s="43"/>
      <c r="E104" s="43"/>
      <c r="F104" s="43"/>
      <c r="G104" s="43"/>
      <c r="H104" s="40">
        <f t="shared" si="32"/>
        <v>0</v>
      </c>
      <c r="I104" s="41">
        <f t="shared" si="1"/>
        <v>0</v>
      </c>
      <c r="J104" s="40">
        <f>SUM(J105:J116)</f>
        <v>0</v>
      </c>
      <c r="K104" s="43"/>
      <c r="L104" s="43"/>
      <c r="M104" s="43"/>
      <c r="N104" s="43"/>
      <c r="O104" s="43"/>
      <c r="P104" s="43"/>
      <c r="Q104" s="43"/>
      <c r="R104" s="40">
        <f t="shared" si="37"/>
        <v>0</v>
      </c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144"/>
      <c r="AF104" s="144"/>
      <c r="AG104" s="144"/>
      <c r="AH104" s="144"/>
      <c r="AI104" s="144"/>
      <c r="AJ104" s="144"/>
    </row>
    <row r="105" spans="1:36" ht="24" hidden="1" customHeight="1" x14ac:dyDescent="0.3">
      <c r="A105" s="54">
        <v>1</v>
      </c>
      <c r="B105" s="85" t="s">
        <v>126</v>
      </c>
      <c r="C105" s="56">
        <f t="shared" ref="C105:C116" si="81">D105+E105</f>
        <v>0</v>
      </c>
      <c r="D105" s="57">
        <v>0</v>
      </c>
      <c r="E105" s="64">
        <v>0</v>
      </c>
      <c r="F105" s="79"/>
      <c r="G105" s="79"/>
      <c r="H105" s="58">
        <f t="shared" si="32"/>
        <v>0</v>
      </c>
      <c r="I105" s="59">
        <f t="shared" si="1"/>
        <v>0</v>
      </c>
      <c r="J105" s="60">
        <f t="shared" ref="J105:J116" si="82">M105+N105+O105+P105</f>
        <v>0</v>
      </c>
      <c r="K105" s="80"/>
      <c r="L105" s="80"/>
      <c r="M105" s="64">
        <v>0</v>
      </c>
      <c r="N105" s="64">
        <v>0</v>
      </c>
      <c r="O105" s="64">
        <v>0</v>
      </c>
      <c r="P105" s="64">
        <v>0</v>
      </c>
      <c r="Q105" s="62">
        <v>0</v>
      </c>
      <c r="R105" s="62">
        <f t="shared" si="37"/>
        <v>0</v>
      </c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146"/>
      <c r="AF105" s="146"/>
      <c r="AG105" s="146"/>
      <c r="AH105" s="146"/>
      <c r="AI105" s="146"/>
      <c r="AJ105" s="146"/>
    </row>
    <row r="106" spans="1:36" ht="24" hidden="1" customHeight="1" x14ac:dyDescent="0.3">
      <c r="A106" s="54">
        <v>2</v>
      </c>
      <c r="B106" s="85" t="s">
        <v>127</v>
      </c>
      <c r="C106" s="56">
        <f t="shared" si="81"/>
        <v>0</v>
      </c>
      <c r="D106" s="57">
        <v>0</v>
      </c>
      <c r="E106" s="64">
        <v>0</v>
      </c>
      <c r="F106" s="79"/>
      <c r="G106" s="79"/>
      <c r="H106" s="58">
        <f t="shared" si="32"/>
        <v>0</v>
      </c>
      <c r="I106" s="59">
        <f t="shared" si="1"/>
        <v>0</v>
      </c>
      <c r="J106" s="60">
        <f t="shared" si="82"/>
        <v>0</v>
      </c>
      <c r="K106" s="80"/>
      <c r="L106" s="80"/>
      <c r="M106" s="64">
        <v>0</v>
      </c>
      <c r="N106" s="64">
        <v>0</v>
      </c>
      <c r="O106" s="64">
        <v>0</v>
      </c>
      <c r="P106" s="64">
        <v>0</v>
      </c>
      <c r="Q106" s="62">
        <v>0</v>
      </c>
      <c r="R106" s="62">
        <f t="shared" si="37"/>
        <v>0</v>
      </c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146"/>
      <c r="AF106" s="146"/>
      <c r="AG106" s="146"/>
      <c r="AH106" s="146"/>
      <c r="AI106" s="146"/>
      <c r="AJ106" s="146"/>
    </row>
    <row r="107" spans="1:36" ht="24" hidden="1" customHeight="1" x14ac:dyDescent="0.3">
      <c r="A107" s="54">
        <v>3</v>
      </c>
      <c r="B107" s="85" t="s">
        <v>128</v>
      </c>
      <c r="C107" s="56">
        <f t="shared" si="81"/>
        <v>0</v>
      </c>
      <c r="D107" s="57">
        <v>0</v>
      </c>
      <c r="E107" s="64">
        <v>0</v>
      </c>
      <c r="F107" s="79"/>
      <c r="G107" s="79"/>
      <c r="H107" s="58">
        <f t="shared" si="32"/>
        <v>0</v>
      </c>
      <c r="I107" s="59">
        <f t="shared" si="1"/>
        <v>0</v>
      </c>
      <c r="J107" s="60">
        <f t="shared" si="82"/>
        <v>0</v>
      </c>
      <c r="K107" s="80"/>
      <c r="L107" s="80"/>
      <c r="M107" s="64">
        <v>0</v>
      </c>
      <c r="N107" s="64">
        <v>0</v>
      </c>
      <c r="O107" s="64">
        <v>0</v>
      </c>
      <c r="P107" s="64">
        <v>0</v>
      </c>
      <c r="Q107" s="62">
        <v>0</v>
      </c>
      <c r="R107" s="62">
        <f t="shared" si="37"/>
        <v>0</v>
      </c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146"/>
      <c r="AF107" s="146"/>
      <c r="AG107" s="146"/>
      <c r="AH107" s="146"/>
      <c r="AI107" s="146"/>
      <c r="AJ107" s="146"/>
    </row>
    <row r="108" spans="1:36" ht="24" hidden="1" customHeight="1" x14ac:dyDescent="0.3">
      <c r="A108" s="86">
        <v>4</v>
      </c>
      <c r="B108" s="85" t="s">
        <v>129</v>
      </c>
      <c r="C108" s="56">
        <f t="shared" si="81"/>
        <v>0</v>
      </c>
      <c r="D108" s="57">
        <v>0</v>
      </c>
      <c r="E108" s="64">
        <v>0</v>
      </c>
      <c r="F108" s="79"/>
      <c r="G108" s="79"/>
      <c r="H108" s="58">
        <f t="shared" si="32"/>
        <v>0</v>
      </c>
      <c r="I108" s="59">
        <f t="shared" si="1"/>
        <v>0</v>
      </c>
      <c r="J108" s="60">
        <f t="shared" si="82"/>
        <v>0</v>
      </c>
      <c r="K108" s="80"/>
      <c r="L108" s="80"/>
      <c r="M108" s="64">
        <v>0</v>
      </c>
      <c r="N108" s="64">
        <v>0</v>
      </c>
      <c r="O108" s="64">
        <v>0</v>
      </c>
      <c r="P108" s="64">
        <v>0</v>
      </c>
      <c r="Q108" s="62">
        <v>0</v>
      </c>
      <c r="R108" s="62">
        <f t="shared" si="37"/>
        <v>0</v>
      </c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146"/>
      <c r="AF108" s="146"/>
      <c r="AG108" s="146"/>
      <c r="AH108" s="146"/>
      <c r="AI108" s="146"/>
      <c r="AJ108" s="146"/>
    </row>
    <row r="109" spans="1:36" ht="24" hidden="1" customHeight="1" x14ac:dyDescent="0.3">
      <c r="A109" s="86">
        <v>5</v>
      </c>
      <c r="B109" s="85" t="s">
        <v>130</v>
      </c>
      <c r="C109" s="56">
        <f t="shared" si="81"/>
        <v>0</v>
      </c>
      <c r="D109" s="57">
        <v>0</v>
      </c>
      <c r="E109" s="64">
        <v>0</v>
      </c>
      <c r="F109" s="79"/>
      <c r="G109" s="79"/>
      <c r="H109" s="58">
        <f t="shared" si="32"/>
        <v>0</v>
      </c>
      <c r="I109" s="59">
        <f t="shared" si="1"/>
        <v>0</v>
      </c>
      <c r="J109" s="60">
        <f t="shared" si="82"/>
        <v>0</v>
      </c>
      <c r="K109" s="80"/>
      <c r="L109" s="80"/>
      <c r="M109" s="64">
        <v>0</v>
      </c>
      <c r="N109" s="64">
        <v>0</v>
      </c>
      <c r="O109" s="64">
        <v>0</v>
      </c>
      <c r="P109" s="64">
        <v>0</v>
      </c>
      <c r="Q109" s="62">
        <v>0</v>
      </c>
      <c r="R109" s="62">
        <f t="shared" si="37"/>
        <v>0</v>
      </c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146"/>
      <c r="AF109" s="146"/>
      <c r="AG109" s="146"/>
      <c r="AH109" s="146"/>
      <c r="AI109" s="146"/>
      <c r="AJ109" s="146"/>
    </row>
    <row r="110" spans="1:36" ht="24" hidden="1" customHeight="1" x14ac:dyDescent="0.3">
      <c r="A110" s="86">
        <v>6</v>
      </c>
      <c r="B110" s="85" t="s">
        <v>131</v>
      </c>
      <c r="C110" s="56">
        <f t="shared" si="81"/>
        <v>0</v>
      </c>
      <c r="D110" s="57">
        <v>0</v>
      </c>
      <c r="E110" s="64">
        <v>0</v>
      </c>
      <c r="F110" s="79"/>
      <c r="G110" s="79"/>
      <c r="H110" s="58">
        <f t="shared" si="32"/>
        <v>0</v>
      </c>
      <c r="I110" s="59">
        <f t="shared" si="1"/>
        <v>0</v>
      </c>
      <c r="J110" s="60">
        <f t="shared" si="82"/>
        <v>0</v>
      </c>
      <c r="K110" s="80"/>
      <c r="L110" s="80"/>
      <c r="M110" s="64">
        <v>0</v>
      </c>
      <c r="N110" s="64">
        <v>0</v>
      </c>
      <c r="O110" s="64">
        <v>0</v>
      </c>
      <c r="P110" s="64">
        <v>0</v>
      </c>
      <c r="Q110" s="62">
        <v>0</v>
      </c>
      <c r="R110" s="62">
        <f t="shared" si="37"/>
        <v>0</v>
      </c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146"/>
      <c r="AF110" s="146"/>
      <c r="AG110" s="146"/>
      <c r="AH110" s="146"/>
      <c r="AI110" s="146"/>
      <c r="AJ110" s="146"/>
    </row>
    <row r="111" spans="1:36" ht="24" hidden="1" customHeight="1" x14ac:dyDescent="0.3">
      <c r="A111" s="86">
        <v>7</v>
      </c>
      <c r="B111" s="85" t="s">
        <v>132</v>
      </c>
      <c r="C111" s="56">
        <f t="shared" si="81"/>
        <v>0</v>
      </c>
      <c r="D111" s="57">
        <v>0</v>
      </c>
      <c r="E111" s="64">
        <v>0</v>
      </c>
      <c r="F111" s="79"/>
      <c r="G111" s="79"/>
      <c r="H111" s="58">
        <f t="shared" si="32"/>
        <v>0</v>
      </c>
      <c r="I111" s="59">
        <f t="shared" si="1"/>
        <v>0</v>
      </c>
      <c r="J111" s="60">
        <f t="shared" si="82"/>
        <v>0</v>
      </c>
      <c r="K111" s="80"/>
      <c r="L111" s="80"/>
      <c r="M111" s="64">
        <v>0</v>
      </c>
      <c r="N111" s="64">
        <v>0</v>
      </c>
      <c r="O111" s="64">
        <v>0</v>
      </c>
      <c r="P111" s="64">
        <v>0</v>
      </c>
      <c r="Q111" s="62">
        <v>0</v>
      </c>
      <c r="R111" s="62">
        <f t="shared" si="37"/>
        <v>0</v>
      </c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146"/>
      <c r="AF111" s="146"/>
      <c r="AG111" s="146"/>
      <c r="AH111" s="146"/>
      <c r="AI111" s="146"/>
      <c r="AJ111" s="146"/>
    </row>
    <row r="112" spans="1:36" ht="24" hidden="1" customHeight="1" x14ac:dyDescent="0.3">
      <c r="A112" s="86">
        <v>8</v>
      </c>
      <c r="B112" s="85" t="s">
        <v>133</v>
      </c>
      <c r="C112" s="56">
        <f t="shared" si="81"/>
        <v>0</v>
      </c>
      <c r="D112" s="57">
        <v>0</v>
      </c>
      <c r="E112" s="64">
        <v>0</v>
      </c>
      <c r="F112" s="79"/>
      <c r="G112" s="79"/>
      <c r="H112" s="58">
        <f t="shared" si="32"/>
        <v>0</v>
      </c>
      <c r="I112" s="59">
        <f t="shared" si="1"/>
        <v>0</v>
      </c>
      <c r="J112" s="60">
        <f t="shared" si="82"/>
        <v>0</v>
      </c>
      <c r="K112" s="80"/>
      <c r="L112" s="80"/>
      <c r="M112" s="64">
        <v>0</v>
      </c>
      <c r="N112" s="64">
        <v>0</v>
      </c>
      <c r="O112" s="64">
        <v>0</v>
      </c>
      <c r="P112" s="64">
        <v>0</v>
      </c>
      <c r="Q112" s="62">
        <v>0</v>
      </c>
      <c r="R112" s="62">
        <f t="shared" si="37"/>
        <v>0</v>
      </c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146"/>
      <c r="AF112" s="146"/>
      <c r="AG112" s="146"/>
      <c r="AH112" s="146"/>
      <c r="AI112" s="146"/>
      <c r="AJ112" s="146"/>
    </row>
    <row r="113" spans="1:36" ht="24" hidden="1" customHeight="1" x14ac:dyDescent="0.3">
      <c r="A113" s="86">
        <v>9</v>
      </c>
      <c r="B113" s="85" t="s">
        <v>134</v>
      </c>
      <c r="C113" s="56">
        <f t="shared" si="81"/>
        <v>0</v>
      </c>
      <c r="D113" s="57">
        <v>0</v>
      </c>
      <c r="E113" s="64">
        <v>0</v>
      </c>
      <c r="F113" s="79"/>
      <c r="G113" s="79"/>
      <c r="H113" s="58">
        <f t="shared" si="32"/>
        <v>0</v>
      </c>
      <c r="I113" s="59">
        <f t="shared" si="1"/>
        <v>0</v>
      </c>
      <c r="J113" s="60">
        <f t="shared" si="82"/>
        <v>0</v>
      </c>
      <c r="K113" s="80"/>
      <c r="L113" s="80"/>
      <c r="M113" s="64">
        <v>0</v>
      </c>
      <c r="N113" s="64">
        <v>0</v>
      </c>
      <c r="O113" s="64">
        <v>0</v>
      </c>
      <c r="P113" s="64">
        <v>0</v>
      </c>
      <c r="Q113" s="62">
        <v>0</v>
      </c>
      <c r="R113" s="62">
        <f t="shared" si="37"/>
        <v>0</v>
      </c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146"/>
      <c r="AF113" s="146"/>
      <c r="AG113" s="146"/>
      <c r="AH113" s="146"/>
      <c r="AI113" s="146"/>
      <c r="AJ113" s="146"/>
    </row>
    <row r="114" spans="1:36" ht="24" hidden="1" customHeight="1" x14ac:dyDescent="0.3">
      <c r="A114" s="86">
        <v>10</v>
      </c>
      <c r="B114" s="85" t="s">
        <v>135</v>
      </c>
      <c r="C114" s="56">
        <f t="shared" si="81"/>
        <v>0</v>
      </c>
      <c r="D114" s="57">
        <v>0</v>
      </c>
      <c r="E114" s="64">
        <v>0</v>
      </c>
      <c r="F114" s="79"/>
      <c r="G114" s="79"/>
      <c r="H114" s="58">
        <f t="shared" si="32"/>
        <v>0</v>
      </c>
      <c r="I114" s="59">
        <f t="shared" si="1"/>
        <v>0</v>
      </c>
      <c r="J114" s="60">
        <f t="shared" si="82"/>
        <v>0</v>
      </c>
      <c r="K114" s="80"/>
      <c r="L114" s="80"/>
      <c r="M114" s="64">
        <v>0</v>
      </c>
      <c r="N114" s="64">
        <v>0</v>
      </c>
      <c r="O114" s="64">
        <v>0</v>
      </c>
      <c r="P114" s="64">
        <v>0</v>
      </c>
      <c r="Q114" s="62">
        <v>0</v>
      </c>
      <c r="R114" s="62">
        <f t="shared" si="37"/>
        <v>0</v>
      </c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146"/>
      <c r="AF114" s="146"/>
      <c r="AG114" s="146"/>
      <c r="AH114" s="146"/>
      <c r="AI114" s="146"/>
      <c r="AJ114" s="146"/>
    </row>
    <row r="115" spans="1:36" ht="24" hidden="1" customHeight="1" x14ac:dyDescent="0.3">
      <c r="A115" s="86">
        <v>11</v>
      </c>
      <c r="B115" s="85" t="s">
        <v>136</v>
      </c>
      <c r="C115" s="56">
        <f t="shared" si="81"/>
        <v>0</v>
      </c>
      <c r="D115" s="57">
        <v>0</v>
      </c>
      <c r="E115" s="64">
        <v>0</v>
      </c>
      <c r="F115" s="79"/>
      <c r="G115" s="79"/>
      <c r="H115" s="58">
        <f t="shared" si="32"/>
        <v>0</v>
      </c>
      <c r="I115" s="59">
        <f t="shared" si="1"/>
        <v>0</v>
      </c>
      <c r="J115" s="60">
        <f t="shared" si="82"/>
        <v>0</v>
      </c>
      <c r="K115" s="80"/>
      <c r="L115" s="80"/>
      <c r="M115" s="64">
        <v>0</v>
      </c>
      <c r="N115" s="64">
        <v>0</v>
      </c>
      <c r="O115" s="64">
        <v>0</v>
      </c>
      <c r="P115" s="64">
        <v>0</v>
      </c>
      <c r="Q115" s="62">
        <v>0</v>
      </c>
      <c r="R115" s="62">
        <f t="shared" si="37"/>
        <v>0</v>
      </c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146"/>
      <c r="AF115" s="146"/>
      <c r="AG115" s="146"/>
      <c r="AH115" s="146"/>
      <c r="AI115" s="146"/>
      <c r="AJ115" s="146"/>
    </row>
    <row r="116" spans="1:36" ht="24" hidden="1" customHeight="1" x14ac:dyDescent="0.3">
      <c r="A116" s="86">
        <v>12</v>
      </c>
      <c r="B116" s="85" t="s">
        <v>137</v>
      </c>
      <c r="C116" s="56">
        <f t="shared" si="81"/>
        <v>0</v>
      </c>
      <c r="D116" s="57">
        <v>0</v>
      </c>
      <c r="E116" s="64">
        <v>0</v>
      </c>
      <c r="F116" s="79"/>
      <c r="G116" s="79"/>
      <c r="H116" s="58">
        <f t="shared" si="32"/>
        <v>0</v>
      </c>
      <c r="I116" s="59">
        <f t="shared" si="1"/>
        <v>0</v>
      </c>
      <c r="J116" s="60">
        <f t="shared" si="82"/>
        <v>0</v>
      </c>
      <c r="K116" s="80"/>
      <c r="L116" s="80"/>
      <c r="M116" s="64">
        <v>0</v>
      </c>
      <c r="N116" s="64">
        <v>0</v>
      </c>
      <c r="O116" s="64">
        <v>0</v>
      </c>
      <c r="P116" s="64">
        <v>0</v>
      </c>
      <c r="Q116" s="62">
        <v>0</v>
      </c>
      <c r="R116" s="62">
        <f t="shared" si="37"/>
        <v>0</v>
      </c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146"/>
      <c r="AF116" s="146"/>
      <c r="AG116" s="146"/>
      <c r="AH116" s="146"/>
      <c r="AI116" s="146"/>
      <c r="AJ116" s="146"/>
    </row>
    <row r="117" spans="1:36" ht="24" customHeight="1" x14ac:dyDescent="0.2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8"/>
      <c r="N117" s="88"/>
      <c r="O117" s="8"/>
      <c r="P117" s="8"/>
      <c r="Q117" s="89"/>
      <c r="R117" s="89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</row>
    <row r="118" spans="1:36" ht="24" customHeight="1" x14ac:dyDescent="0.2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8"/>
      <c r="N118" s="88"/>
      <c r="O118" s="8"/>
      <c r="P118" s="8"/>
      <c r="Q118" s="89"/>
      <c r="R118" s="89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</row>
    <row r="119" spans="1:36" ht="24" customHeight="1" x14ac:dyDescent="0.2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8"/>
      <c r="N119" s="88"/>
      <c r="O119" s="8"/>
      <c r="P119" s="8"/>
      <c r="Q119" s="89"/>
      <c r="R119" s="89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</row>
    <row r="120" spans="1:36" ht="24" customHeight="1" x14ac:dyDescent="0.2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8"/>
      <c r="N120" s="88"/>
      <c r="O120" s="8"/>
      <c r="P120" s="8"/>
      <c r="Q120" s="89"/>
      <c r="R120" s="89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</row>
    <row r="121" spans="1:36" ht="24" customHeight="1" x14ac:dyDescent="0.2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8"/>
      <c r="N121" s="88"/>
      <c r="O121" s="8"/>
      <c r="P121" s="8"/>
      <c r="Q121" s="89"/>
      <c r="R121" s="89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</row>
    <row r="122" spans="1:36" ht="24" customHeight="1" x14ac:dyDescent="0.2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8"/>
      <c r="N122" s="88"/>
      <c r="O122" s="8"/>
      <c r="P122" s="8"/>
      <c r="Q122" s="89"/>
      <c r="R122" s="89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</row>
    <row r="123" spans="1:36" ht="24" customHeight="1" x14ac:dyDescent="0.2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8"/>
      <c r="N123" s="88"/>
      <c r="O123" s="8"/>
      <c r="P123" s="8"/>
      <c r="Q123" s="89"/>
      <c r="R123" s="89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</row>
    <row r="124" spans="1:36" ht="24" customHeight="1" x14ac:dyDescent="0.2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8"/>
      <c r="N124" s="88"/>
      <c r="O124" s="8"/>
      <c r="P124" s="8"/>
      <c r="Q124" s="89"/>
      <c r="R124" s="89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</row>
    <row r="125" spans="1:36" ht="24" customHeight="1" x14ac:dyDescent="0.2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8"/>
      <c r="N125" s="88"/>
      <c r="O125" s="8"/>
      <c r="P125" s="8"/>
      <c r="Q125" s="89"/>
      <c r="R125" s="89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</row>
    <row r="126" spans="1:36" ht="24" customHeight="1" x14ac:dyDescent="0.2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8"/>
      <c r="N126" s="88"/>
      <c r="O126" s="8"/>
      <c r="P126" s="8"/>
      <c r="Q126" s="89"/>
      <c r="R126" s="89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</row>
    <row r="127" spans="1:36" ht="24" customHeight="1" x14ac:dyDescent="0.2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8"/>
      <c r="N127" s="88"/>
      <c r="O127" s="8"/>
      <c r="P127" s="8"/>
      <c r="Q127" s="89"/>
      <c r="R127" s="89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</row>
    <row r="128" spans="1:36" ht="24" customHeight="1" x14ac:dyDescent="0.2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8"/>
      <c r="N128" s="88"/>
      <c r="O128" s="8"/>
      <c r="P128" s="8"/>
      <c r="Q128" s="89"/>
      <c r="R128" s="89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</row>
    <row r="129" spans="1:36" ht="24" customHeight="1" x14ac:dyDescent="0.2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8"/>
      <c r="N129" s="88"/>
      <c r="O129" s="8"/>
      <c r="P129" s="8"/>
      <c r="Q129" s="89"/>
      <c r="R129" s="89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</row>
    <row r="130" spans="1:36" ht="24" customHeight="1" x14ac:dyDescent="0.2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8"/>
      <c r="N130" s="88"/>
      <c r="O130" s="8"/>
      <c r="P130" s="8"/>
      <c r="Q130" s="89"/>
      <c r="R130" s="89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</row>
    <row r="131" spans="1:36" ht="24" customHeight="1" x14ac:dyDescent="0.2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8"/>
      <c r="N131" s="88"/>
      <c r="O131" s="8"/>
      <c r="P131" s="8"/>
      <c r="Q131" s="89"/>
      <c r="R131" s="89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</row>
    <row r="132" spans="1:36" ht="24" customHeight="1" x14ac:dyDescent="0.2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8"/>
      <c r="N132" s="88"/>
      <c r="O132" s="8"/>
      <c r="P132" s="8"/>
      <c r="Q132" s="89"/>
      <c r="R132" s="89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</row>
    <row r="133" spans="1:36" ht="24" customHeight="1" x14ac:dyDescent="0.2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8"/>
      <c r="N133" s="88"/>
      <c r="O133" s="8"/>
      <c r="P133" s="8"/>
      <c r="Q133" s="89"/>
      <c r="R133" s="89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</row>
    <row r="134" spans="1:36" ht="24" customHeight="1" x14ac:dyDescent="0.2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8"/>
      <c r="N134" s="88"/>
      <c r="O134" s="8"/>
      <c r="P134" s="8"/>
      <c r="Q134" s="89"/>
      <c r="R134" s="89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</row>
    <row r="135" spans="1:36" ht="24" customHeight="1" x14ac:dyDescent="0.2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8"/>
      <c r="N135" s="88"/>
      <c r="O135" s="8"/>
      <c r="P135" s="8"/>
      <c r="Q135" s="89"/>
      <c r="R135" s="89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</row>
    <row r="136" spans="1:36" ht="24" customHeight="1" x14ac:dyDescent="0.2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8"/>
      <c r="N136" s="88"/>
      <c r="O136" s="8"/>
      <c r="P136" s="8"/>
      <c r="Q136" s="89"/>
      <c r="R136" s="89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</row>
    <row r="137" spans="1:36" ht="24" customHeight="1" x14ac:dyDescent="0.2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8"/>
      <c r="N137" s="88"/>
      <c r="O137" s="8"/>
      <c r="P137" s="8"/>
      <c r="Q137" s="89"/>
      <c r="R137" s="89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</row>
    <row r="138" spans="1:36" ht="24" customHeight="1" x14ac:dyDescent="0.2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8"/>
      <c r="N138" s="88"/>
      <c r="O138" s="8"/>
      <c r="P138" s="8"/>
      <c r="Q138" s="89"/>
      <c r="R138" s="89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</row>
    <row r="139" spans="1:36" ht="24" customHeight="1" x14ac:dyDescent="0.2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8"/>
      <c r="N139" s="88"/>
      <c r="O139" s="8"/>
      <c r="P139" s="8"/>
      <c r="Q139" s="89"/>
      <c r="R139" s="89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</row>
    <row r="140" spans="1:36" ht="24" customHeight="1" x14ac:dyDescent="0.2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8"/>
      <c r="N140" s="88"/>
      <c r="O140" s="8"/>
      <c r="P140" s="8"/>
      <c r="Q140" s="89"/>
      <c r="R140" s="89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</row>
    <row r="141" spans="1:36" ht="24" customHeight="1" x14ac:dyDescent="0.2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8"/>
      <c r="N141" s="88"/>
      <c r="O141" s="8"/>
      <c r="P141" s="8"/>
      <c r="Q141" s="89"/>
      <c r="R141" s="89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</row>
    <row r="142" spans="1:36" ht="24" customHeight="1" x14ac:dyDescent="0.2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8"/>
      <c r="N142" s="88"/>
      <c r="O142" s="8"/>
      <c r="P142" s="8"/>
      <c r="Q142" s="89"/>
      <c r="R142" s="89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</row>
    <row r="143" spans="1:36" ht="24" customHeight="1" x14ac:dyDescent="0.2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8"/>
      <c r="N143" s="88"/>
      <c r="O143" s="8"/>
      <c r="P143" s="8"/>
      <c r="Q143" s="89"/>
      <c r="R143" s="89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</row>
    <row r="144" spans="1:36" ht="24" customHeight="1" x14ac:dyDescent="0.2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8"/>
      <c r="N144" s="88"/>
      <c r="O144" s="8"/>
      <c r="P144" s="8"/>
      <c r="Q144" s="89"/>
      <c r="R144" s="89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</row>
    <row r="145" spans="1:36" ht="24" customHeight="1" x14ac:dyDescent="0.2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8"/>
      <c r="N145" s="88"/>
      <c r="O145" s="8"/>
      <c r="P145" s="8"/>
      <c r="Q145" s="89"/>
      <c r="R145" s="89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</row>
    <row r="146" spans="1:36" ht="24" customHeight="1" x14ac:dyDescent="0.2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8"/>
      <c r="N146" s="88"/>
      <c r="O146" s="8"/>
      <c r="P146" s="8"/>
      <c r="Q146" s="89"/>
      <c r="R146" s="89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</row>
    <row r="147" spans="1:36" ht="24" customHeight="1" x14ac:dyDescent="0.2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8"/>
      <c r="N147" s="88"/>
      <c r="O147" s="8"/>
      <c r="P147" s="8"/>
      <c r="Q147" s="89"/>
      <c r="R147" s="89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</row>
    <row r="148" spans="1:36" ht="24" customHeight="1" x14ac:dyDescent="0.2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8"/>
      <c r="N148" s="88"/>
      <c r="O148" s="8"/>
      <c r="P148" s="8"/>
      <c r="Q148" s="89"/>
      <c r="R148" s="89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</row>
    <row r="149" spans="1:36" ht="24" customHeight="1" x14ac:dyDescent="0.2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8"/>
      <c r="N149" s="88"/>
      <c r="O149" s="8"/>
      <c r="P149" s="8"/>
      <c r="Q149" s="89"/>
      <c r="R149" s="89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</row>
    <row r="150" spans="1:36" ht="24" customHeight="1" x14ac:dyDescent="0.2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8"/>
      <c r="N150" s="88"/>
      <c r="O150" s="8"/>
      <c r="P150" s="8"/>
      <c r="Q150" s="89"/>
      <c r="R150" s="89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</row>
    <row r="151" spans="1:36" ht="24" customHeight="1" x14ac:dyDescent="0.2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8"/>
      <c r="N151" s="88"/>
      <c r="O151" s="8"/>
      <c r="P151" s="8"/>
      <c r="Q151" s="89"/>
      <c r="R151" s="89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</row>
    <row r="152" spans="1:36" ht="24" customHeight="1" x14ac:dyDescent="0.2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8"/>
      <c r="N152" s="88"/>
      <c r="O152" s="8"/>
      <c r="P152" s="8"/>
      <c r="Q152" s="89"/>
      <c r="R152" s="89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</row>
    <row r="153" spans="1:36" ht="24" customHeight="1" x14ac:dyDescent="0.2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8"/>
      <c r="N153" s="88"/>
      <c r="O153" s="8"/>
      <c r="P153" s="8"/>
      <c r="Q153" s="89"/>
      <c r="R153" s="89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</row>
    <row r="154" spans="1:36" ht="24" customHeight="1" x14ac:dyDescent="0.2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8"/>
      <c r="N154" s="88"/>
      <c r="O154" s="8"/>
      <c r="P154" s="8"/>
      <c r="Q154" s="89"/>
      <c r="R154" s="89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</row>
    <row r="155" spans="1:36" ht="24" customHeight="1" x14ac:dyDescent="0.2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8"/>
      <c r="N155" s="88"/>
      <c r="O155" s="8"/>
      <c r="P155" s="8"/>
      <c r="Q155" s="89"/>
      <c r="R155" s="89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</row>
    <row r="156" spans="1:36" ht="24" customHeight="1" x14ac:dyDescent="0.2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8"/>
      <c r="N156" s="88"/>
      <c r="O156" s="8"/>
      <c r="P156" s="8"/>
      <c r="Q156" s="89"/>
      <c r="R156" s="89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</row>
    <row r="157" spans="1:36" ht="24" customHeight="1" x14ac:dyDescent="0.2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8"/>
      <c r="N157" s="88"/>
      <c r="O157" s="8"/>
      <c r="P157" s="8"/>
      <c r="Q157" s="89"/>
      <c r="R157" s="89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</row>
    <row r="158" spans="1:36" ht="24" customHeight="1" x14ac:dyDescent="0.2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8"/>
      <c r="N158" s="88"/>
      <c r="O158" s="8"/>
      <c r="P158" s="8"/>
      <c r="Q158" s="89"/>
      <c r="R158" s="89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</row>
    <row r="159" spans="1:36" ht="24" customHeight="1" x14ac:dyDescent="0.2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8"/>
      <c r="N159" s="88"/>
      <c r="O159" s="8"/>
      <c r="P159" s="8"/>
      <c r="Q159" s="89"/>
      <c r="R159" s="89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</row>
    <row r="160" spans="1:36" ht="24" customHeight="1" x14ac:dyDescent="0.2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8"/>
      <c r="N160" s="88"/>
      <c r="O160" s="8"/>
      <c r="P160" s="8"/>
      <c r="Q160" s="89"/>
      <c r="R160" s="89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</row>
    <row r="161" spans="1:36" ht="24" customHeight="1" x14ac:dyDescent="0.2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8"/>
      <c r="N161" s="88"/>
      <c r="O161" s="8"/>
      <c r="P161" s="8"/>
      <c r="Q161" s="89"/>
      <c r="R161" s="89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</row>
    <row r="162" spans="1:36" ht="24" customHeight="1" x14ac:dyDescent="0.2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8"/>
      <c r="N162" s="88"/>
      <c r="O162" s="8"/>
      <c r="P162" s="8"/>
      <c r="Q162" s="89"/>
      <c r="R162" s="89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</row>
    <row r="163" spans="1:36" ht="24" customHeight="1" x14ac:dyDescent="0.2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8"/>
      <c r="N163" s="88"/>
      <c r="O163" s="8"/>
      <c r="P163" s="8"/>
      <c r="Q163" s="89"/>
      <c r="R163" s="89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</row>
    <row r="164" spans="1:36" ht="24" customHeight="1" x14ac:dyDescent="0.2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8"/>
      <c r="N164" s="88"/>
      <c r="O164" s="8"/>
      <c r="P164" s="8"/>
      <c r="Q164" s="89"/>
      <c r="R164" s="89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</row>
    <row r="165" spans="1:36" ht="24" customHeight="1" x14ac:dyDescent="0.2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8"/>
      <c r="N165" s="88"/>
      <c r="O165" s="8"/>
      <c r="P165" s="8"/>
      <c r="Q165" s="89"/>
      <c r="R165" s="89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</row>
    <row r="166" spans="1:36" ht="24" customHeight="1" x14ac:dyDescent="0.2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8"/>
      <c r="N166" s="88"/>
      <c r="O166" s="8"/>
      <c r="P166" s="8"/>
      <c r="Q166" s="89"/>
      <c r="R166" s="89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</row>
    <row r="167" spans="1:36" ht="24" customHeight="1" x14ac:dyDescent="0.2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8"/>
      <c r="N167" s="88"/>
      <c r="O167" s="8"/>
      <c r="P167" s="8"/>
      <c r="Q167" s="89"/>
      <c r="R167" s="89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</row>
    <row r="168" spans="1:36" ht="24" customHeight="1" x14ac:dyDescent="0.2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8"/>
      <c r="N168" s="88"/>
      <c r="O168" s="8"/>
      <c r="P168" s="8"/>
      <c r="Q168" s="89"/>
      <c r="R168" s="89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</row>
    <row r="169" spans="1:36" ht="24" customHeight="1" x14ac:dyDescent="0.2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8"/>
      <c r="N169" s="88"/>
      <c r="O169" s="8"/>
      <c r="P169" s="8"/>
      <c r="Q169" s="89"/>
      <c r="R169" s="89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</row>
    <row r="170" spans="1:36" ht="24" customHeight="1" x14ac:dyDescent="0.2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8"/>
      <c r="N170" s="88"/>
      <c r="O170" s="8"/>
      <c r="P170" s="8"/>
      <c r="Q170" s="89"/>
      <c r="R170" s="89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</row>
    <row r="171" spans="1:36" ht="24" customHeight="1" x14ac:dyDescent="0.2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8"/>
      <c r="N171" s="88"/>
      <c r="O171" s="8"/>
      <c r="P171" s="8"/>
      <c r="Q171" s="89"/>
      <c r="R171" s="89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</row>
    <row r="172" spans="1:36" ht="24" customHeight="1" x14ac:dyDescent="0.2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8"/>
      <c r="N172" s="88"/>
      <c r="O172" s="8"/>
      <c r="P172" s="8"/>
      <c r="Q172" s="89"/>
      <c r="R172" s="89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</row>
    <row r="173" spans="1:36" ht="24" customHeight="1" x14ac:dyDescent="0.2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8"/>
      <c r="N173" s="88"/>
      <c r="O173" s="8"/>
      <c r="P173" s="8"/>
      <c r="Q173" s="89"/>
      <c r="R173" s="89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</row>
    <row r="174" spans="1:36" ht="24" customHeight="1" x14ac:dyDescent="0.2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8"/>
      <c r="N174" s="88"/>
      <c r="O174" s="8"/>
      <c r="P174" s="8"/>
      <c r="Q174" s="89"/>
      <c r="R174" s="89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</row>
    <row r="175" spans="1:36" ht="24" customHeight="1" x14ac:dyDescent="0.2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8"/>
      <c r="N175" s="88"/>
      <c r="O175" s="8"/>
      <c r="P175" s="8"/>
      <c r="Q175" s="89"/>
      <c r="R175" s="89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</row>
    <row r="176" spans="1:36" ht="24" customHeight="1" x14ac:dyDescent="0.2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8"/>
      <c r="N176" s="88"/>
      <c r="O176" s="8"/>
      <c r="P176" s="8"/>
      <c r="Q176" s="89"/>
      <c r="R176" s="89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</row>
    <row r="177" spans="1:36" ht="24" customHeight="1" x14ac:dyDescent="0.2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8"/>
      <c r="N177" s="88"/>
      <c r="O177" s="8"/>
      <c r="P177" s="8"/>
      <c r="Q177" s="89"/>
      <c r="R177" s="89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</row>
    <row r="178" spans="1:36" ht="24" customHeight="1" x14ac:dyDescent="0.2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8"/>
      <c r="N178" s="88"/>
      <c r="O178" s="8"/>
      <c r="P178" s="8"/>
      <c r="Q178" s="89"/>
      <c r="R178" s="89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</row>
    <row r="179" spans="1:36" ht="24" customHeight="1" x14ac:dyDescent="0.2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8"/>
      <c r="N179" s="88"/>
      <c r="O179" s="8"/>
      <c r="P179" s="8"/>
      <c r="Q179" s="89"/>
      <c r="R179" s="89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</row>
    <row r="180" spans="1:36" ht="24" customHeight="1" x14ac:dyDescent="0.2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8"/>
      <c r="N180" s="88"/>
      <c r="O180" s="8"/>
      <c r="P180" s="8"/>
      <c r="Q180" s="89"/>
      <c r="R180" s="89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</row>
    <row r="181" spans="1:36" ht="24" customHeight="1" x14ac:dyDescent="0.2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8"/>
      <c r="N181" s="88"/>
      <c r="O181" s="8"/>
      <c r="P181" s="8"/>
      <c r="Q181" s="89"/>
      <c r="R181" s="89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</row>
    <row r="182" spans="1:36" ht="24" customHeight="1" x14ac:dyDescent="0.2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8"/>
      <c r="N182" s="88"/>
      <c r="O182" s="8"/>
      <c r="P182" s="8"/>
      <c r="Q182" s="89"/>
      <c r="R182" s="89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</row>
    <row r="183" spans="1:36" ht="24" customHeight="1" x14ac:dyDescent="0.2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8"/>
      <c r="N183" s="88"/>
      <c r="O183" s="8"/>
      <c r="P183" s="8"/>
      <c r="Q183" s="89"/>
      <c r="R183" s="89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</row>
    <row r="184" spans="1:36" ht="24" customHeight="1" x14ac:dyDescent="0.2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8"/>
      <c r="N184" s="88"/>
      <c r="O184" s="8"/>
      <c r="P184" s="8"/>
      <c r="Q184" s="89"/>
      <c r="R184" s="89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</row>
    <row r="185" spans="1:36" ht="24" customHeight="1" x14ac:dyDescent="0.2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8"/>
      <c r="N185" s="88"/>
      <c r="O185" s="8"/>
      <c r="P185" s="8"/>
      <c r="Q185" s="89"/>
      <c r="R185" s="89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</row>
    <row r="186" spans="1:36" ht="24" customHeight="1" x14ac:dyDescent="0.2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8"/>
      <c r="N186" s="88"/>
      <c r="O186" s="8"/>
      <c r="P186" s="8"/>
      <c r="Q186" s="89"/>
      <c r="R186" s="89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</row>
    <row r="187" spans="1:36" ht="24" customHeight="1" x14ac:dyDescent="0.2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8"/>
      <c r="N187" s="88"/>
      <c r="O187" s="8"/>
      <c r="P187" s="8"/>
      <c r="Q187" s="89"/>
      <c r="R187" s="89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</row>
    <row r="188" spans="1:36" ht="24" customHeight="1" x14ac:dyDescent="0.2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8"/>
      <c r="N188" s="88"/>
      <c r="O188" s="8"/>
      <c r="P188" s="8"/>
      <c r="Q188" s="89"/>
      <c r="R188" s="89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</row>
    <row r="189" spans="1:36" ht="24" customHeight="1" x14ac:dyDescent="0.2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8"/>
      <c r="N189" s="88"/>
      <c r="O189" s="8"/>
      <c r="P189" s="8"/>
      <c r="Q189" s="89"/>
      <c r="R189" s="89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</row>
    <row r="190" spans="1:36" ht="24" customHeight="1" x14ac:dyDescent="0.2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8"/>
      <c r="N190" s="88"/>
      <c r="O190" s="8"/>
      <c r="P190" s="8"/>
      <c r="Q190" s="89"/>
      <c r="R190" s="89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</row>
    <row r="191" spans="1:36" ht="24" customHeight="1" x14ac:dyDescent="0.2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8"/>
      <c r="N191" s="88"/>
      <c r="O191" s="8"/>
      <c r="P191" s="8"/>
      <c r="Q191" s="89"/>
      <c r="R191" s="89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</row>
    <row r="192" spans="1:36" ht="24" customHeight="1" x14ac:dyDescent="0.2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8"/>
      <c r="N192" s="88"/>
      <c r="O192" s="8"/>
      <c r="P192" s="8"/>
      <c r="Q192" s="89"/>
      <c r="R192" s="89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</row>
    <row r="193" spans="1:36" ht="24" customHeight="1" x14ac:dyDescent="0.2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8"/>
      <c r="N193" s="88"/>
      <c r="O193" s="8"/>
      <c r="P193" s="8"/>
      <c r="Q193" s="89"/>
      <c r="R193" s="89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</row>
    <row r="194" spans="1:36" ht="24" customHeight="1" x14ac:dyDescent="0.2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8"/>
      <c r="N194" s="88"/>
      <c r="O194" s="8"/>
      <c r="P194" s="8"/>
      <c r="Q194" s="89"/>
      <c r="R194" s="89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</row>
    <row r="195" spans="1:36" ht="24" customHeight="1" x14ac:dyDescent="0.2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8"/>
      <c r="N195" s="88"/>
      <c r="O195" s="8"/>
      <c r="P195" s="8"/>
      <c r="Q195" s="89"/>
      <c r="R195" s="89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</row>
    <row r="196" spans="1:36" ht="24" customHeight="1" x14ac:dyDescent="0.2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8"/>
      <c r="N196" s="88"/>
      <c r="O196" s="8"/>
      <c r="P196" s="8"/>
      <c r="Q196" s="89"/>
      <c r="R196" s="89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</row>
    <row r="197" spans="1:36" ht="24" customHeight="1" x14ac:dyDescent="0.2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8"/>
      <c r="N197" s="88"/>
      <c r="O197" s="8"/>
      <c r="P197" s="8"/>
      <c r="Q197" s="89"/>
      <c r="R197" s="89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</row>
    <row r="198" spans="1:36" ht="24" customHeight="1" x14ac:dyDescent="0.2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8"/>
      <c r="N198" s="88"/>
      <c r="O198" s="8"/>
      <c r="P198" s="8"/>
      <c r="Q198" s="89"/>
      <c r="R198" s="89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</row>
    <row r="199" spans="1:36" ht="24" customHeight="1" x14ac:dyDescent="0.2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8"/>
      <c r="N199" s="88"/>
      <c r="O199" s="8"/>
      <c r="P199" s="8"/>
      <c r="Q199" s="89"/>
      <c r="R199" s="89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</row>
    <row r="200" spans="1:36" ht="24" customHeight="1" x14ac:dyDescent="0.2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8"/>
      <c r="N200" s="88"/>
      <c r="O200" s="8"/>
      <c r="P200" s="8"/>
      <c r="Q200" s="89"/>
      <c r="R200" s="89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</row>
    <row r="201" spans="1:36" ht="24" customHeight="1" x14ac:dyDescent="0.2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8"/>
      <c r="N201" s="88"/>
      <c r="O201" s="8"/>
      <c r="P201" s="8"/>
      <c r="Q201" s="89"/>
      <c r="R201" s="89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</row>
    <row r="202" spans="1:36" ht="24" customHeight="1" x14ac:dyDescent="0.2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8"/>
      <c r="N202" s="88"/>
      <c r="O202" s="8"/>
      <c r="P202" s="8"/>
      <c r="Q202" s="89"/>
      <c r="R202" s="89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</row>
    <row r="203" spans="1:36" ht="24" customHeight="1" x14ac:dyDescent="0.2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8"/>
      <c r="N203" s="88"/>
      <c r="O203" s="8"/>
      <c r="P203" s="8"/>
      <c r="Q203" s="89"/>
      <c r="R203" s="89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</row>
    <row r="204" spans="1:36" ht="24" customHeight="1" x14ac:dyDescent="0.2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8"/>
      <c r="N204" s="88"/>
      <c r="O204" s="8"/>
      <c r="P204" s="8"/>
      <c r="Q204" s="89"/>
      <c r="R204" s="89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</row>
    <row r="205" spans="1:36" ht="24" customHeight="1" x14ac:dyDescent="0.2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8"/>
      <c r="N205" s="88"/>
      <c r="O205" s="8"/>
      <c r="P205" s="8"/>
      <c r="Q205" s="89"/>
      <c r="R205" s="89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</row>
    <row r="206" spans="1:36" ht="24" customHeight="1" x14ac:dyDescent="0.2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8"/>
      <c r="N206" s="88"/>
      <c r="O206" s="8"/>
      <c r="P206" s="8"/>
      <c r="Q206" s="89"/>
      <c r="R206" s="89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</row>
    <row r="207" spans="1:36" ht="24" customHeight="1" x14ac:dyDescent="0.2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8"/>
      <c r="N207" s="88"/>
      <c r="O207" s="8"/>
      <c r="P207" s="8"/>
      <c r="Q207" s="89"/>
      <c r="R207" s="89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</row>
    <row r="208" spans="1:36" ht="24" customHeight="1" x14ac:dyDescent="0.2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8"/>
      <c r="N208" s="88"/>
      <c r="O208" s="8"/>
      <c r="P208" s="8"/>
      <c r="Q208" s="89"/>
      <c r="R208" s="89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</row>
    <row r="209" spans="1:36" ht="24" customHeight="1" x14ac:dyDescent="0.2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8"/>
      <c r="N209" s="88"/>
      <c r="O209" s="8"/>
      <c r="P209" s="8"/>
      <c r="Q209" s="89"/>
      <c r="R209" s="89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</row>
    <row r="210" spans="1:36" ht="24" customHeight="1" x14ac:dyDescent="0.2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8"/>
      <c r="N210" s="88"/>
      <c r="O210" s="8"/>
      <c r="P210" s="8"/>
      <c r="Q210" s="89"/>
      <c r="R210" s="89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</row>
    <row r="211" spans="1:36" ht="24" customHeight="1" x14ac:dyDescent="0.2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8"/>
      <c r="N211" s="88"/>
      <c r="O211" s="8"/>
      <c r="P211" s="8"/>
      <c r="Q211" s="89"/>
      <c r="R211" s="89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</row>
    <row r="212" spans="1:36" ht="24" customHeight="1" x14ac:dyDescent="0.2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8"/>
      <c r="N212" s="88"/>
      <c r="O212" s="8"/>
      <c r="P212" s="8"/>
      <c r="Q212" s="89"/>
      <c r="R212" s="89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</row>
    <row r="213" spans="1:36" ht="24" customHeight="1" x14ac:dyDescent="0.2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8"/>
      <c r="N213" s="88"/>
      <c r="O213" s="8"/>
      <c r="P213" s="8"/>
      <c r="Q213" s="89"/>
      <c r="R213" s="89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</row>
    <row r="214" spans="1:36" ht="24" customHeight="1" x14ac:dyDescent="0.2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8"/>
      <c r="N214" s="88"/>
      <c r="O214" s="8"/>
      <c r="P214" s="8"/>
      <c r="Q214" s="89"/>
      <c r="R214" s="89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</row>
    <row r="215" spans="1:36" ht="24" customHeight="1" x14ac:dyDescent="0.2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8"/>
      <c r="N215" s="88"/>
      <c r="O215" s="8"/>
      <c r="P215" s="8"/>
      <c r="Q215" s="89"/>
      <c r="R215" s="89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</row>
    <row r="216" spans="1:36" ht="24" customHeight="1" x14ac:dyDescent="0.2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8"/>
      <c r="N216" s="88"/>
      <c r="O216" s="8"/>
      <c r="P216" s="8"/>
      <c r="Q216" s="89"/>
      <c r="R216" s="89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</row>
    <row r="217" spans="1:36" ht="24" customHeight="1" x14ac:dyDescent="0.2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8"/>
      <c r="N217" s="88"/>
      <c r="O217" s="8"/>
      <c r="P217" s="8"/>
      <c r="Q217" s="89"/>
      <c r="R217" s="89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</row>
    <row r="218" spans="1:36" ht="24" customHeight="1" x14ac:dyDescent="0.2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8"/>
      <c r="N218" s="88"/>
      <c r="O218" s="8"/>
      <c r="P218" s="8"/>
      <c r="Q218" s="89"/>
      <c r="R218" s="89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</row>
    <row r="219" spans="1:36" ht="24" customHeight="1" x14ac:dyDescent="0.2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8"/>
      <c r="N219" s="88"/>
      <c r="O219" s="8"/>
      <c r="P219" s="8"/>
      <c r="Q219" s="89"/>
      <c r="R219" s="89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</row>
    <row r="220" spans="1:36" ht="24" customHeight="1" x14ac:dyDescent="0.2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8"/>
      <c r="N220" s="88"/>
      <c r="O220" s="8"/>
      <c r="P220" s="8"/>
      <c r="Q220" s="89"/>
      <c r="R220" s="89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</row>
    <row r="221" spans="1:36" ht="24" customHeight="1" x14ac:dyDescent="0.2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8"/>
      <c r="N221" s="88"/>
      <c r="O221" s="8"/>
      <c r="P221" s="8"/>
      <c r="Q221" s="89"/>
      <c r="R221" s="89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</row>
    <row r="222" spans="1:36" ht="24" customHeight="1" x14ac:dyDescent="0.2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8"/>
      <c r="N222" s="88"/>
      <c r="O222" s="8"/>
      <c r="P222" s="8"/>
      <c r="Q222" s="89"/>
      <c r="R222" s="89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</row>
    <row r="223" spans="1:36" ht="24" customHeight="1" x14ac:dyDescent="0.2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8"/>
      <c r="N223" s="88"/>
      <c r="O223" s="8"/>
      <c r="P223" s="8"/>
      <c r="Q223" s="89"/>
      <c r="R223" s="89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</row>
    <row r="224" spans="1:36" ht="24" customHeight="1" x14ac:dyDescent="0.2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8"/>
      <c r="N224" s="88"/>
      <c r="O224" s="8"/>
      <c r="P224" s="8"/>
      <c r="Q224" s="89"/>
      <c r="R224" s="89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</row>
    <row r="225" spans="1:36" ht="24" customHeight="1" x14ac:dyDescent="0.2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8"/>
      <c r="N225" s="88"/>
      <c r="O225" s="8"/>
      <c r="P225" s="8"/>
      <c r="Q225" s="89"/>
      <c r="R225" s="89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</row>
    <row r="226" spans="1:36" ht="24" customHeight="1" x14ac:dyDescent="0.2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8"/>
      <c r="N226" s="88"/>
      <c r="O226" s="8"/>
      <c r="P226" s="8"/>
      <c r="Q226" s="89"/>
      <c r="R226" s="89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</row>
    <row r="227" spans="1:36" ht="24" customHeight="1" x14ac:dyDescent="0.2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8"/>
      <c r="N227" s="88"/>
      <c r="O227" s="8"/>
      <c r="P227" s="8"/>
      <c r="Q227" s="89"/>
      <c r="R227" s="89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</row>
    <row r="228" spans="1:36" ht="24" customHeight="1" x14ac:dyDescent="0.2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8"/>
      <c r="N228" s="88"/>
      <c r="O228" s="8"/>
      <c r="P228" s="8"/>
      <c r="Q228" s="89"/>
      <c r="R228" s="89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</row>
    <row r="229" spans="1:36" ht="24" customHeight="1" x14ac:dyDescent="0.2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8"/>
      <c r="N229" s="88"/>
      <c r="O229" s="8"/>
      <c r="P229" s="8"/>
      <c r="Q229" s="89"/>
      <c r="R229" s="89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</row>
    <row r="230" spans="1:36" ht="24" customHeight="1" x14ac:dyDescent="0.2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8"/>
      <c r="N230" s="88"/>
      <c r="O230" s="8"/>
      <c r="P230" s="8"/>
      <c r="Q230" s="89"/>
      <c r="R230" s="89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</row>
    <row r="231" spans="1:36" ht="24" customHeight="1" x14ac:dyDescent="0.2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8"/>
      <c r="N231" s="88"/>
      <c r="O231" s="8"/>
      <c r="P231" s="8"/>
      <c r="Q231" s="89"/>
      <c r="R231" s="89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</row>
    <row r="232" spans="1:36" ht="24" customHeight="1" x14ac:dyDescent="0.2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8"/>
      <c r="N232" s="88"/>
      <c r="O232" s="8"/>
      <c r="P232" s="8"/>
      <c r="Q232" s="89"/>
      <c r="R232" s="89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</row>
    <row r="233" spans="1:36" ht="24" customHeight="1" x14ac:dyDescent="0.2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8"/>
      <c r="N233" s="88"/>
      <c r="O233" s="8"/>
      <c r="P233" s="8"/>
      <c r="Q233" s="89"/>
      <c r="R233" s="89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</row>
    <row r="234" spans="1:36" ht="24" customHeight="1" x14ac:dyDescent="0.2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8"/>
      <c r="N234" s="88"/>
      <c r="O234" s="8"/>
      <c r="P234" s="8"/>
      <c r="Q234" s="89"/>
      <c r="R234" s="89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</row>
    <row r="235" spans="1:36" ht="24" customHeight="1" x14ac:dyDescent="0.2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8"/>
      <c r="N235" s="88"/>
      <c r="O235" s="8"/>
      <c r="P235" s="8"/>
      <c r="Q235" s="89"/>
      <c r="R235" s="89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</row>
    <row r="236" spans="1:36" ht="24" customHeight="1" x14ac:dyDescent="0.2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8"/>
      <c r="N236" s="88"/>
      <c r="O236" s="8"/>
      <c r="P236" s="8"/>
      <c r="Q236" s="89"/>
      <c r="R236" s="89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</row>
    <row r="237" spans="1:36" ht="24" customHeight="1" x14ac:dyDescent="0.2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8"/>
      <c r="N237" s="88"/>
      <c r="O237" s="8"/>
      <c r="P237" s="8"/>
      <c r="Q237" s="89"/>
      <c r="R237" s="89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</row>
    <row r="238" spans="1:36" ht="24" customHeight="1" x14ac:dyDescent="0.2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8"/>
      <c r="N238" s="88"/>
      <c r="O238" s="8"/>
      <c r="P238" s="8"/>
      <c r="Q238" s="89"/>
      <c r="R238" s="89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</row>
    <row r="239" spans="1:36" ht="24" customHeight="1" x14ac:dyDescent="0.2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8"/>
      <c r="N239" s="88"/>
      <c r="O239" s="8"/>
      <c r="P239" s="8"/>
      <c r="Q239" s="89"/>
      <c r="R239" s="89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</row>
    <row r="240" spans="1:36" ht="24" customHeight="1" x14ac:dyDescent="0.2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8"/>
      <c r="N240" s="88"/>
      <c r="O240" s="8"/>
      <c r="P240" s="8"/>
      <c r="Q240" s="89"/>
      <c r="R240" s="89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</row>
    <row r="241" spans="1:36" ht="24" customHeight="1" x14ac:dyDescent="0.2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8"/>
      <c r="N241" s="88"/>
      <c r="O241" s="8"/>
      <c r="P241" s="8"/>
      <c r="Q241" s="89"/>
      <c r="R241" s="89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</row>
    <row r="242" spans="1:36" ht="24" customHeight="1" x14ac:dyDescent="0.2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8"/>
      <c r="N242" s="88"/>
      <c r="O242" s="8"/>
      <c r="P242" s="8"/>
      <c r="Q242" s="89"/>
      <c r="R242" s="89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</row>
    <row r="243" spans="1:36" ht="24" customHeight="1" x14ac:dyDescent="0.2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8"/>
      <c r="N243" s="88"/>
      <c r="O243" s="8"/>
      <c r="P243" s="8"/>
      <c r="Q243" s="89"/>
      <c r="R243" s="89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</row>
    <row r="244" spans="1:36" ht="24" customHeight="1" x14ac:dyDescent="0.2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8"/>
      <c r="N244" s="88"/>
      <c r="O244" s="8"/>
      <c r="P244" s="8"/>
      <c r="Q244" s="89"/>
      <c r="R244" s="89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</row>
    <row r="245" spans="1:36" ht="24" customHeight="1" x14ac:dyDescent="0.2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8"/>
      <c r="N245" s="88"/>
      <c r="O245" s="8"/>
      <c r="P245" s="8"/>
      <c r="Q245" s="89"/>
      <c r="R245" s="89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</row>
    <row r="246" spans="1:36" ht="24" customHeight="1" x14ac:dyDescent="0.2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8"/>
      <c r="N246" s="88"/>
      <c r="O246" s="8"/>
      <c r="P246" s="8"/>
      <c r="Q246" s="89"/>
      <c r="R246" s="89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</row>
    <row r="247" spans="1:36" ht="24" customHeight="1" x14ac:dyDescent="0.2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8"/>
      <c r="N247" s="88"/>
      <c r="O247" s="8"/>
      <c r="P247" s="8"/>
      <c r="Q247" s="89"/>
      <c r="R247" s="89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</row>
    <row r="248" spans="1:36" ht="24" customHeight="1" x14ac:dyDescent="0.2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8"/>
      <c r="N248" s="88"/>
      <c r="O248" s="8"/>
      <c r="P248" s="8"/>
      <c r="Q248" s="89"/>
      <c r="R248" s="89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</row>
    <row r="249" spans="1:36" ht="24" customHeight="1" x14ac:dyDescent="0.2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8"/>
      <c r="N249" s="88"/>
      <c r="O249" s="8"/>
      <c r="P249" s="8"/>
      <c r="Q249" s="89"/>
      <c r="R249" s="89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</row>
    <row r="250" spans="1:36" ht="24" customHeight="1" x14ac:dyDescent="0.2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8"/>
      <c r="N250" s="88"/>
      <c r="O250" s="8"/>
      <c r="P250" s="8"/>
      <c r="Q250" s="89"/>
      <c r="R250" s="89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</row>
    <row r="251" spans="1:36" ht="24" customHeight="1" x14ac:dyDescent="0.2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8"/>
      <c r="N251" s="88"/>
      <c r="O251" s="8"/>
      <c r="P251" s="8"/>
      <c r="Q251" s="89"/>
      <c r="R251" s="89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</row>
    <row r="252" spans="1:36" ht="24" customHeight="1" x14ac:dyDescent="0.2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8"/>
      <c r="N252" s="88"/>
      <c r="O252" s="8"/>
      <c r="P252" s="8"/>
      <c r="Q252" s="89"/>
      <c r="R252" s="89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</row>
    <row r="253" spans="1:36" ht="24" customHeight="1" x14ac:dyDescent="0.2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8"/>
      <c r="N253" s="88"/>
      <c r="O253" s="8"/>
      <c r="P253" s="8"/>
      <c r="Q253" s="89"/>
      <c r="R253" s="89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</row>
    <row r="254" spans="1:36" ht="24" customHeight="1" x14ac:dyDescent="0.2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8"/>
      <c r="N254" s="88"/>
      <c r="O254" s="8"/>
      <c r="P254" s="8"/>
      <c r="Q254" s="89"/>
      <c r="R254" s="89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</row>
    <row r="255" spans="1:36" ht="24" customHeight="1" x14ac:dyDescent="0.2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8"/>
      <c r="N255" s="88"/>
      <c r="O255" s="8"/>
      <c r="P255" s="8"/>
      <c r="Q255" s="89"/>
      <c r="R255" s="89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</row>
    <row r="256" spans="1:36" ht="24" customHeight="1" x14ac:dyDescent="0.2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8"/>
      <c r="N256" s="88"/>
      <c r="O256" s="8"/>
      <c r="P256" s="8"/>
      <c r="Q256" s="89"/>
      <c r="R256" s="89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</row>
    <row r="257" spans="1:36" ht="24" customHeight="1" x14ac:dyDescent="0.2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8"/>
      <c r="N257" s="88"/>
      <c r="O257" s="8"/>
      <c r="P257" s="8"/>
      <c r="Q257" s="89"/>
      <c r="R257" s="89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</row>
    <row r="258" spans="1:36" ht="24" customHeight="1" x14ac:dyDescent="0.2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8"/>
      <c r="N258" s="88"/>
      <c r="O258" s="8"/>
      <c r="P258" s="8"/>
      <c r="Q258" s="89"/>
      <c r="R258" s="89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</row>
    <row r="259" spans="1:36" ht="24" customHeight="1" x14ac:dyDescent="0.2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8"/>
      <c r="N259" s="88"/>
      <c r="O259" s="8"/>
      <c r="P259" s="8"/>
      <c r="Q259" s="89"/>
      <c r="R259" s="89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</row>
    <row r="260" spans="1:36" ht="24" customHeight="1" x14ac:dyDescent="0.2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8"/>
      <c r="N260" s="88"/>
      <c r="O260" s="8"/>
      <c r="P260" s="8"/>
      <c r="Q260" s="89"/>
      <c r="R260" s="89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</row>
    <row r="261" spans="1:36" ht="24" customHeight="1" x14ac:dyDescent="0.2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8"/>
      <c r="N261" s="88"/>
      <c r="O261" s="8"/>
      <c r="P261" s="8"/>
      <c r="Q261" s="89"/>
      <c r="R261" s="89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</row>
    <row r="262" spans="1:36" ht="24" customHeight="1" x14ac:dyDescent="0.2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8"/>
      <c r="N262" s="88"/>
      <c r="O262" s="8"/>
      <c r="P262" s="8"/>
      <c r="Q262" s="89"/>
      <c r="R262" s="89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</row>
    <row r="263" spans="1:36" ht="24" customHeight="1" x14ac:dyDescent="0.2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8"/>
      <c r="N263" s="88"/>
      <c r="O263" s="8"/>
      <c r="P263" s="8"/>
      <c r="Q263" s="89"/>
      <c r="R263" s="89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</row>
    <row r="264" spans="1:36" ht="24" customHeight="1" x14ac:dyDescent="0.2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8"/>
      <c r="N264" s="88"/>
      <c r="O264" s="8"/>
      <c r="P264" s="8"/>
      <c r="Q264" s="89"/>
      <c r="R264" s="89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</row>
    <row r="265" spans="1:36" ht="24" customHeight="1" x14ac:dyDescent="0.2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8"/>
      <c r="N265" s="88"/>
      <c r="O265" s="8"/>
      <c r="P265" s="8"/>
      <c r="Q265" s="89"/>
      <c r="R265" s="89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</row>
    <row r="266" spans="1:36" ht="24" customHeight="1" x14ac:dyDescent="0.2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8"/>
      <c r="N266" s="88"/>
      <c r="O266" s="8"/>
      <c r="P266" s="8"/>
      <c r="Q266" s="89"/>
      <c r="R266" s="89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</row>
    <row r="267" spans="1:36" ht="24" customHeight="1" x14ac:dyDescent="0.2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8"/>
      <c r="N267" s="88"/>
      <c r="O267" s="8"/>
      <c r="P267" s="8"/>
      <c r="Q267" s="89"/>
      <c r="R267" s="89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</row>
    <row r="268" spans="1:36" ht="24" customHeight="1" x14ac:dyDescent="0.2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8"/>
      <c r="N268" s="88"/>
      <c r="O268" s="8"/>
      <c r="P268" s="8"/>
      <c r="Q268" s="89"/>
      <c r="R268" s="89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</row>
    <row r="269" spans="1:36" ht="24" customHeight="1" x14ac:dyDescent="0.2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8"/>
      <c r="N269" s="88"/>
      <c r="O269" s="8"/>
      <c r="P269" s="8"/>
      <c r="Q269" s="89"/>
      <c r="R269" s="89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</row>
    <row r="270" spans="1:36" ht="24" customHeight="1" x14ac:dyDescent="0.2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8"/>
      <c r="N270" s="88"/>
      <c r="O270" s="8"/>
      <c r="P270" s="8"/>
      <c r="Q270" s="89"/>
      <c r="R270" s="89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</row>
    <row r="271" spans="1:36" ht="24" customHeight="1" x14ac:dyDescent="0.2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8"/>
      <c r="N271" s="88"/>
      <c r="O271" s="8"/>
      <c r="P271" s="8"/>
      <c r="Q271" s="89"/>
      <c r="R271" s="89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</row>
    <row r="272" spans="1:36" ht="24" customHeight="1" x14ac:dyDescent="0.2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8"/>
      <c r="N272" s="88"/>
      <c r="O272" s="8"/>
      <c r="P272" s="8"/>
      <c r="Q272" s="89"/>
      <c r="R272" s="89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</row>
    <row r="273" spans="1:36" ht="24" customHeight="1" x14ac:dyDescent="0.2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8"/>
      <c r="N273" s="88"/>
      <c r="O273" s="8"/>
      <c r="P273" s="8"/>
      <c r="Q273" s="89"/>
      <c r="R273" s="89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</row>
    <row r="274" spans="1:36" ht="24" customHeight="1" x14ac:dyDescent="0.2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8"/>
      <c r="N274" s="88"/>
      <c r="O274" s="8"/>
      <c r="P274" s="8"/>
      <c r="Q274" s="89"/>
      <c r="R274" s="89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</row>
    <row r="275" spans="1:36" ht="24" customHeight="1" x14ac:dyDescent="0.2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8"/>
      <c r="N275" s="88"/>
      <c r="O275" s="8"/>
      <c r="P275" s="8"/>
      <c r="Q275" s="89"/>
      <c r="R275" s="89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</row>
    <row r="276" spans="1:36" ht="24" customHeight="1" x14ac:dyDescent="0.2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8"/>
      <c r="N276" s="88"/>
      <c r="O276" s="8"/>
      <c r="P276" s="8"/>
      <c r="Q276" s="89"/>
      <c r="R276" s="89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</row>
    <row r="277" spans="1:36" ht="24" customHeight="1" x14ac:dyDescent="0.2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8"/>
      <c r="N277" s="88"/>
      <c r="O277" s="8"/>
      <c r="P277" s="8"/>
      <c r="Q277" s="89"/>
      <c r="R277" s="89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</row>
    <row r="278" spans="1:36" ht="24" customHeight="1" x14ac:dyDescent="0.2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8"/>
      <c r="N278" s="88"/>
      <c r="O278" s="8"/>
      <c r="P278" s="8"/>
      <c r="Q278" s="89"/>
      <c r="R278" s="89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</row>
    <row r="279" spans="1:36" ht="24" customHeight="1" x14ac:dyDescent="0.2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8"/>
      <c r="N279" s="88"/>
      <c r="O279" s="8"/>
      <c r="P279" s="8"/>
      <c r="Q279" s="89"/>
      <c r="R279" s="89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</row>
    <row r="280" spans="1:36" ht="24" customHeight="1" x14ac:dyDescent="0.2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8"/>
      <c r="N280" s="88"/>
      <c r="O280" s="8"/>
      <c r="P280" s="8"/>
      <c r="Q280" s="89"/>
      <c r="R280" s="89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</row>
    <row r="281" spans="1:36" ht="24" customHeight="1" x14ac:dyDescent="0.2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8"/>
      <c r="N281" s="88"/>
      <c r="O281" s="8"/>
      <c r="P281" s="8"/>
      <c r="Q281" s="89"/>
      <c r="R281" s="89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</row>
    <row r="282" spans="1:36" ht="24" customHeight="1" x14ac:dyDescent="0.2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8"/>
      <c r="N282" s="88"/>
      <c r="O282" s="8"/>
      <c r="P282" s="8"/>
      <c r="Q282" s="89"/>
      <c r="R282" s="89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</row>
    <row r="283" spans="1:36" ht="24" customHeight="1" x14ac:dyDescent="0.2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8"/>
      <c r="N283" s="88"/>
      <c r="O283" s="8"/>
      <c r="P283" s="8"/>
      <c r="Q283" s="89"/>
      <c r="R283" s="89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</row>
    <row r="284" spans="1:36" ht="24" customHeight="1" x14ac:dyDescent="0.2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8"/>
      <c r="N284" s="88"/>
      <c r="O284" s="8"/>
      <c r="P284" s="8"/>
      <c r="Q284" s="89"/>
      <c r="R284" s="89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</row>
    <row r="285" spans="1:36" ht="24" customHeight="1" x14ac:dyDescent="0.2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8"/>
      <c r="N285" s="88"/>
      <c r="O285" s="8"/>
      <c r="P285" s="8"/>
      <c r="Q285" s="89"/>
      <c r="R285" s="89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</row>
    <row r="286" spans="1:36" ht="24" customHeight="1" x14ac:dyDescent="0.2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8"/>
      <c r="N286" s="88"/>
      <c r="O286" s="8"/>
      <c r="P286" s="8"/>
      <c r="Q286" s="89"/>
      <c r="R286" s="89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</row>
    <row r="287" spans="1:36" ht="24" customHeight="1" x14ac:dyDescent="0.2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8"/>
      <c r="N287" s="88"/>
      <c r="O287" s="8"/>
      <c r="P287" s="8"/>
      <c r="Q287" s="89"/>
      <c r="R287" s="89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</row>
    <row r="288" spans="1:36" ht="24" customHeight="1" x14ac:dyDescent="0.2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8"/>
      <c r="N288" s="88"/>
      <c r="O288" s="8"/>
      <c r="P288" s="8"/>
      <c r="Q288" s="89"/>
      <c r="R288" s="89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</row>
    <row r="289" spans="1:36" ht="24" customHeight="1" x14ac:dyDescent="0.2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8"/>
      <c r="N289" s="88"/>
      <c r="O289" s="8"/>
      <c r="P289" s="8"/>
      <c r="Q289" s="89"/>
      <c r="R289" s="89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</row>
    <row r="290" spans="1:36" ht="24" customHeight="1" x14ac:dyDescent="0.2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8"/>
      <c r="N290" s="88"/>
      <c r="O290" s="8"/>
      <c r="P290" s="8"/>
      <c r="Q290" s="89"/>
      <c r="R290" s="89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</row>
    <row r="291" spans="1:36" ht="24" customHeight="1" x14ac:dyDescent="0.2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8"/>
      <c r="N291" s="88"/>
      <c r="O291" s="8"/>
      <c r="P291" s="8"/>
      <c r="Q291" s="89"/>
      <c r="R291" s="89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</row>
    <row r="292" spans="1:36" ht="24" customHeight="1" x14ac:dyDescent="0.2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8"/>
      <c r="N292" s="88"/>
      <c r="O292" s="8"/>
      <c r="P292" s="8"/>
      <c r="Q292" s="89"/>
      <c r="R292" s="89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</row>
    <row r="293" spans="1:36" ht="24" customHeight="1" x14ac:dyDescent="0.2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8"/>
      <c r="N293" s="88"/>
      <c r="O293" s="8"/>
      <c r="P293" s="8"/>
      <c r="Q293" s="89"/>
      <c r="R293" s="89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</row>
    <row r="294" spans="1:36" ht="24" customHeight="1" x14ac:dyDescent="0.2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8"/>
      <c r="N294" s="88"/>
      <c r="O294" s="8"/>
      <c r="P294" s="8"/>
      <c r="Q294" s="89"/>
      <c r="R294" s="89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</row>
    <row r="295" spans="1:36" ht="24" customHeight="1" x14ac:dyDescent="0.2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8"/>
      <c r="N295" s="88"/>
      <c r="O295" s="8"/>
      <c r="P295" s="8"/>
      <c r="Q295" s="89"/>
      <c r="R295" s="89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</row>
    <row r="296" spans="1:36" ht="24" customHeight="1" x14ac:dyDescent="0.2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8"/>
      <c r="N296" s="88"/>
      <c r="O296" s="8"/>
      <c r="P296" s="8"/>
      <c r="Q296" s="89"/>
      <c r="R296" s="89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</row>
    <row r="297" spans="1:36" ht="24" customHeight="1" x14ac:dyDescent="0.2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8"/>
      <c r="N297" s="88"/>
      <c r="O297" s="8"/>
      <c r="P297" s="8"/>
      <c r="Q297" s="89"/>
      <c r="R297" s="89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</row>
    <row r="298" spans="1:36" ht="24" customHeight="1" x14ac:dyDescent="0.2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8"/>
      <c r="N298" s="88"/>
      <c r="O298" s="8"/>
      <c r="P298" s="8"/>
      <c r="Q298" s="89"/>
      <c r="R298" s="89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</row>
    <row r="299" spans="1:36" ht="24" customHeight="1" x14ac:dyDescent="0.2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8"/>
      <c r="N299" s="88"/>
      <c r="O299" s="8"/>
      <c r="P299" s="8"/>
      <c r="Q299" s="89"/>
      <c r="R299" s="89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</row>
    <row r="300" spans="1:36" ht="24" customHeight="1" x14ac:dyDescent="0.2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8"/>
      <c r="N300" s="88"/>
      <c r="O300" s="8"/>
      <c r="P300" s="8"/>
      <c r="Q300" s="89"/>
      <c r="R300" s="89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</row>
    <row r="301" spans="1:36" ht="24" customHeight="1" x14ac:dyDescent="0.2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8"/>
      <c r="N301" s="88"/>
      <c r="O301" s="8"/>
      <c r="P301" s="8"/>
      <c r="Q301" s="89"/>
      <c r="R301" s="89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</row>
    <row r="302" spans="1:36" ht="24" customHeight="1" x14ac:dyDescent="0.2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8"/>
      <c r="N302" s="88"/>
      <c r="O302" s="8"/>
      <c r="P302" s="8"/>
      <c r="Q302" s="89"/>
      <c r="R302" s="89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</row>
    <row r="303" spans="1:36" ht="24" customHeight="1" x14ac:dyDescent="0.2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8"/>
      <c r="N303" s="88"/>
      <c r="O303" s="8"/>
      <c r="P303" s="8"/>
      <c r="Q303" s="89"/>
      <c r="R303" s="89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</row>
    <row r="304" spans="1:36" ht="24" customHeight="1" x14ac:dyDescent="0.2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8"/>
      <c r="N304" s="88"/>
      <c r="O304" s="8"/>
      <c r="P304" s="8"/>
      <c r="Q304" s="89"/>
      <c r="R304" s="89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</row>
    <row r="305" spans="1:36" ht="24" customHeight="1" x14ac:dyDescent="0.2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8"/>
      <c r="N305" s="88"/>
      <c r="O305" s="8"/>
      <c r="P305" s="8"/>
      <c r="Q305" s="89"/>
      <c r="R305" s="89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</row>
    <row r="306" spans="1:36" ht="24" customHeight="1" x14ac:dyDescent="0.2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8"/>
      <c r="N306" s="88"/>
      <c r="O306" s="8"/>
      <c r="P306" s="8"/>
      <c r="Q306" s="89"/>
      <c r="R306" s="89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</row>
    <row r="307" spans="1:36" ht="24" customHeight="1" x14ac:dyDescent="0.2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8"/>
      <c r="N307" s="88"/>
      <c r="O307" s="8"/>
      <c r="P307" s="8"/>
      <c r="Q307" s="89"/>
      <c r="R307" s="89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</row>
    <row r="308" spans="1:36" ht="24" customHeight="1" x14ac:dyDescent="0.2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8"/>
      <c r="N308" s="88"/>
      <c r="O308" s="8"/>
      <c r="P308" s="8"/>
      <c r="Q308" s="89"/>
      <c r="R308" s="89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</row>
    <row r="309" spans="1:36" ht="24" customHeight="1" x14ac:dyDescent="0.2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8"/>
      <c r="N309" s="88"/>
      <c r="O309" s="8"/>
      <c r="P309" s="8"/>
      <c r="Q309" s="89"/>
      <c r="R309" s="89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</row>
    <row r="310" spans="1:36" ht="24" customHeight="1" x14ac:dyDescent="0.2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8"/>
      <c r="N310" s="88"/>
      <c r="O310" s="8"/>
      <c r="P310" s="8"/>
      <c r="Q310" s="89"/>
      <c r="R310" s="89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</row>
    <row r="311" spans="1:36" ht="24" customHeight="1" x14ac:dyDescent="0.2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8"/>
      <c r="N311" s="88"/>
      <c r="O311" s="8"/>
      <c r="P311" s="8"/>
      <c r="Q311" s="89"/>
      <c r="R311" s="89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</row>
    <row r="312" spans="1:36" ht="24" customHeight="1" x14ac:dyDescent="0.2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8"/>
      <c r="N312" s="88"/>
      <c r="O312" s="8"/>
      <c r="P312" s="8"/>
      <c r="Q312" s="89"/>
      <c r="R312" s="89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</row>
    <row r="313" spans="1:36" ht="24" customHeight="1" x14ac:dyDescent="0.2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8"/>
      <c r="N313" s="88"/>
      <c r="O313" s="8"/>
      <c r="P313" s="8"/>
      <c r="Q313" s="89"/>
      <c r="R313" s="89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</row>
    <row r="314" spans="1:36" ht="12.75" x14ac:dyDescent="0.2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8"/>
      <c r="N314" s="88"/>
      <c r="O314" s="8"/>
      <c r="P314" s="8"/>
      <c r="Q314" s="89"/>
      <c r="R314" s="89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</row>
    <row r="315" spans="1:36" ht="12.75" x14ac:dyDescent="0.2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8"/>
      <c r="N315" s="88"/>
      <c r="O315" s="8"/>
      <c r="P315" s="8"/>
      <c r="Q315" s="89"/>
      <c r="R315" s="89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</row>
    <row r="316" spans="1:36" ht="12.75" x14ac:dyDescent="0.2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8"/>
      <c r="N316" s="88"/>
      <c r="O316" s="8"/>
      <c r="P316" s="8"/>
      <c r="Q316" s="89"/>
      <c r="R316" s="89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</row>
    <row r="317" spans="1:36" ht="12.75" x14ac:dyDescent="0.2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8"/>
      <c r="N317" s="88"/>
      <c r="O317" s="8"/>
      <c r="P317" s="8"/>
      <c r="Q317" s="89"/>
      <c r="R317" s="89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</row>
    <row r="318" spans="1:36" ht="12.75" x14ac:dyDescent="0.2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8"/>
      <c r="N318" s="88"/>
      <c r="O318" s="8"/>
      <c r="P318" s="8"/>
      <c r="Q318" s="89"/>
      <c r="R318" s="89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</row>
    <row r="319" spans="1:36" ht="12.75" x14ac:dyDescent="0.2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8"/>
      <c r="N319" s="88"/>
      <c r="O319" s="8"/>
      <c r="P319" s="8"/>
      <c r="Q319" s="89"/>
      <c r="R319" s="89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</row>
    <row r="320" spans="1:36" ht="12.75" x14ac:dyDescent="0.2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8"/>
      <c r="N320" s="88"/>
      <c r="O320" s="8"/>
      <c r="P320" s="8"/>
      <c r="Q320" s="89"/>
      <c r="R320" s="89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</row>
    <row r="321" spans="1:36" ht="12.75" x14ac:dyDescent="0.2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8"/>
      <c r="N321" s="88"/>
      <c r="O321" s="8"/>
      <c r="P321" s="8"/>
      <c r="Q321" s="89"/>
      <c r="R321" s="89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</row>
    <row r="322" spans="1:36" ht="12.75" x14ac:dyDescent="0.2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8"/>
      <c r="N322" s="88"/>
      <c r="O322" s="8"/>
      <c r="P322" s="8"/>
      <c r="Q322" s="89"/>
      <c r="R322" s="89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</row>
    <row r="323" spans="1:36" ht="12.75" x14ac:dyDescent="0.2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8"/>
      <c r="N323" s="88"/>
      <c r="O323" s="8"/>
      <c r="P323" s="8"/>
      <c r="Q323" s="89"/>
      <c r="R323" s="89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</row>
    <row r="324" spans="1:36" ht="12.75" x14ac:dyDescent="0.2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8"/>
      <c r="N324" s="88"/>
      <c r="O324" s="8"/>
      <c r="P324" s="8"/>
      <c r="Q324" s="89"/>
      <c r="R324" s="89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</row>
    <row r="325" spans="1:36" ht="12.75" x14ac:dyDescent="0.2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8"/>
      <c r="N325" s="88"/>
      <c r="O325" s="8"/>
      <c r="P325" s="8"/>
      <c r="Q325" s="89"/>
      <c r="R325" s="89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</row>
    <row r="326" spans="1:36" ht="12.75" x14ac:dyDescent="0.2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8"/>
      <c r="N326" s="88"/>
      <c r="O326" s="8"/>
      <c r="P326" s="8"/>
      <c r="Q326" s="89"/>
      <c r="R326" s="89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</row>
    <row r="327" spans="1:36" ht="12.75" x14ac:dyDescent="0.2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8"/>
      <c r="N327" s="88"/>
      <c r="O327" s="8"/>
      <c r="P327" s="8"/>
      <c r="Q327" s="89"/>
      <c r="R327" s="89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</row>
    <row r="328" spans="1:36" ht="12.75" x14ac:dyDescent="0.2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8"/>
      <c r="N328" s="88"/>
      <c r="O328" s="8"/>
      <c r="P328" s="8"/>
      <c r="Q328" s="89"/>
      <c r="R328" s="89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</row>
    <row r="329" spans="1:36" ht="12.75" x14ac:dyDescent="0.2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8"/>
      <c r="N329" s="88"/>
      <c r="O329" s="8"/>
      <c r="P329" s="8"/>
      <c r="Q329" s="89"/>
      <c r="R329" s="89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</row>
    <row r="330" spans="1:36" ht="12.75" x14ac:dyDescent="0.2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8"/>
      <c r="N330" s="88"/>
      <c r="O330" s="8"/>
      <c r="P330" s="8"/>
      <c r="Q330" s="89"/>
      <c r="R330" s="89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</row>
    <row r="331" spans="1:36" ht="12.75" x14ac:dyDescent="0.2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8"/>
      <c r="N331" s="88"/>
      <c r="O331" s="8"/>
      <c r="P331" s="8"/>
      <c r="Q331" s="89"/>
      <c r="R331" s="89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</row>
    <row r="332" spans="1:36" ht="12.75" x14ac:dyDescent="0.2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8"/>
      <c r="N332" s="88"/>
      <c r="O332" s="8"/>
      <c r="P332" s="8"/>
      <c r="Q332" s="89"/>
      <c r="R332" s="89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</row>
    <row r="333" spans="1:36" ht="12.75" x14ac:dyDescent="0.2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8"/>
      <c r="N333" s="88"/>
      <c r="O333" s="8"/>
      <c r="P333" s="8"/>
      <c r="Q333" s="89"/>
      <c r="R333" s="89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</row>
    <row r="334" spans="1:36" ht="12.75" x14ac:dyDescent="0.2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8"/>
      <c r="N334" s="88"/>
      <c r="O334" s="8"/>
      <c r="P334" s="8"/>
      <c r="Q334" s="89"/>
      <c r="R334" s="89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</row>
    <row r="335" spans="1:36" ht="12.75" x14ac:dyDescent="0.2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8"/>
      <c r="N335" s="88"/>
      <c r="O335" s="8"/>
      <c r="P335" s="8"/>
      <c r="Q335" s="89"/>
      <c r="R335" s="89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</row>
    <row r="336" spans="1:36" ht="12.75" x14ac:dyDescent="0.2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8"/>
      <c r="N336" s="88"/>
      <c r="O336" s="8"/>
      <c r="P336" s="8"/>
      <c r="Q336" s="89"/>
      <c r="R336" s="89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</row>
    <row r="337" spans="1:36" ht="12.75" x14ac:dyDescent="0.2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8"/>
      <c r="N337" s="88"/>
      <c r="O337" s="8"/>
      <c r="P337" s="8"/>
      <c r="Q337" s="89"/>
      <c r="R337" s="89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</row>
    <row r="338" spans="1:36" ht="12.75" x14ac:dyDescent="0.2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8"/>
      <c r="N338" s="88"/>
      <c r="O338" s="8"/>
      <c r="P338" s="8"/>
      <c r="Q338" s="89"/>
      <c r="R338" s="89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</row>
    <row r="339" spans="1:36" ht="12.75" x14ac:dyDescent="0.2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8"/>
      <c r="N339" s="88"/>
      <c r="O339" s="8"/>
      <c r="P339" s="8"/>
      <c r="Q339" s="89"/>
      <c r="R339" s="89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</row>
    <row r="340" spans="1:36" ht="12.75" x14ac:dyDescent="0.2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8"/>
      <c r="N340" s="88"/>
      <c r="O340" s="8"/>
      <c r="P340" s="8"/>
      <c r="Q340" s="89"/>
      <c r="R340" s="89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</row>
    <row r="341" spans="1:36" ht="12.75" x14ac:dyDescent="0.2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8"/>
      <c r="N341" s="88"/>
      <c r="O341" s="8"/>
      <c r="P341" s="8"/>
      <c r="Q341" s="89"/>
      <c r="R341" s="89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</row>
    <row r="342" spans="1:36" ht="12.75" x14ac:dyDescent="0.2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8"/>
      <c r="N342" s="88"/>
      <c r="O342" s="8"/>
      <c r="P342" s="8"/>
      <c r="Q342" s="89"/>
      <c r="R342" s="89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</row>
    <row r="343" spans="1:36" ht="12.75" x14ac:dyDescent="0.2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8"/>
      <c r="N343" s="88"/>
      <c r="O343" s="8"/>
      <c r="P343" s="8"/>
      <c r="Q343" s="89"/>
      <c r="R343" s="89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</row>
    <row r="344" spans="1:36" ht="12.75" x14ac:dyDescent="0.2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8"/>
      <c r="N344" s="88"/>
      <c r="O344" s="8"/>
      <c r="P344" s="8"/>
      <c r="Q344" s="89"/>
      <c r="R344" s="89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</row>
    <row r="345" spans="1:36" ht="12.75" x14ac:dyDescent="0.2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8"/>
      <c r="N345" s="88"/>
      <c r="O345" s="8"/>
      <c r="P345" s="8"/>
      <c r="Q345" s="89"/>
      <c r="R345" s="89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</row>
    <row r="346" spans="1:36" ht="12.75" x14ac:dyDescent="0.2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8"/>
      <c r="N346" s="88"/>
      <c r="O346" s="8"/>
      <c r="P346" s="8"/>
      <c r="Q346" s="89"/>
      <c r="R346" s="89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</row>
    <row r="347" spans="1:36" ht="12.75" x14ac:dyDescent="0.2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8"/>
      <c r="N347" s="88"/>
      <c r="O347" s="8"/>
      <c r="P347" s="8"/>
      <c r="Q347" s="89"/>
      <c r="R347" s="89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</row>
    <row r="348" spans="1:36" ht="12.75" x14ac:dyDescent="0.2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8"/>
      <c r="N348" s="88"/>
      <c r="O348" s="8"/>
      <c r="P348" s="8"/>
      <c r="Q348" s="89"/>
      <c r="R348" s="89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</row>
    <row r="349" spans="1:36" ht="12.75" x14ac:dyDescent="0.2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8"/>
      <c r="N349" s="88"/>
      <c r="O349" s="8"/>
      <c r="P349" s="8"/>
      <c r="Q349" s="89"/>
      <c r="R349" s="89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</row>
    <row r="350" spans="1:36" ht="12.75" x14ac:dyDescent="0.2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8"/>
      <c r="N350" s="88"/>
      <c r="O350" s="8"/>
      <c r="P350" s="8"/>
      <c r="Q350" s="89"/>
      <c r="R350" s="89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</row>
    <row r="351" spans="1:36" ht="12.75" x14ac:dyDescent="0.2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8"/>
      <c r="N351" s="88"/>
      <c r="O351" s="8"/>
      <c r="P351" s="8"/>
      <c r="Q351" s="89"/>
      <c r="R351" s="89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</row>
    <row r="352" spans="1:36" ht="12.75" x14ac:dyDescent="0.2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8"/>
      <c r="N352" s="88"/>
      <c r="O352" s="8"/>
      <c r="P352" s="8"/>
      <c r="Q352" s="89"/>
      <c r="R352" s="89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</row>
    <row r="353" spans="1:36" ht="12.75" x14ac:dyDescent="0.2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8"/>
      <c r="N353" s="88"/>
      <c r="O353" s="8"/>
      <c r="P353" s="8"/>
      <c r="Q353" s="89"/>
      <c r="R353" s="89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</row>
    <row r="354" spans="1:36" ht="12.75" x14ac:dyDescent="0.2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8"/>
      <c r="N354" s="88"/>
      <c r="O354" s="8"/>
      <c r="P354" s="8"/>
      <c r="Q354" s="89"/>
      <c r="R354" s="89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</row>
    <row r="355" spans="1:36" ht="12.75" x14ac:dyDescent="0.2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8"/>
      <c r="N355" s="88"/>
      <c r="O355" s="8"/>
      <c r="P355" s="8"/>
      <c r="Q355" s="89"/>
      <c r="R355" s="89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</row>
    <row r="356" spans="1:36" ht="12.75" x14ac:dyDescent="0.2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8"/>
      <c r="N356" s="88"/>
      <c r="O356" s="8"/>
      <c r="P356" s="8"/>
      <c r="Q356" s="89"/>
      <c r="R356" s="89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</row>
    <row r="357" spans="1:36" ht="12.75" x14ac:dyDescent="0.2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8"/>
      <c r="N357" s="88"/>
      <c r="O357" s="8"/>
      <c r="P357" s="8"/>
      <c r="Q357" s="89"/>
      <c r="R357" s="89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</row>
    <row r="358" spans="1:36" ht="12.75" x14ac:dyDescent="0.2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8"/>
      <c r="N358" s="88"/>
      <c r="O358" s="8"/>
      <c r="P358" s="8"/>
      <c r="Q358" s="89"/>
      <c r="R358" s="89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</row>
    <row r="359" spans="1:36" ht="12.75" x14ac:dyDescent="0.2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8"/>
      <c r="N359" s="88"/>
      <c r="O359" s="8"/>
      <c r="P359" s="8"/>
      <c r="Q359" s="89"/>
      <c r="R359" s="89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</row>
    <row r="360" spans="1:36" ht="12.75" x14ac:dyDescent="0.2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8"/>
      <c r="N360" s="88"/>
      <c r="O360" s="8"/>
      <c r="P360" s="8"/>
      <c r="Q360" s="89"/>
      <c r="R360" s="89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</row>
    <row r="361" spans="1:36" ht="12.75" x14ac:dyDescent="0.2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8"/>
      <c r="N361" s="88"/>
      <c r="O361" s="8"/>
      <c r="P361" s="8"/>
      <c r="Q361" s="89"/>
      <c r="R361" s="89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</row>
    <row r="362" spans="1:36" ht="12.75" x14ac:dyDescent="0.2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8"/>
      <c r="N362" s="88"/>
      <c r="O362" s="8"/>
      <c r="P362" s="8"/>
      <c r="Q362" s="89"/>
      <c r="R362" s="89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</row>
    <row r="363" spans="1:36" ht="12.75" x14ac:dyDescent="0.2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8"/>
      <c r="N363" s="88"/>
      <c r="O363" s="8"/>
      <c r="P363" s="8"/>
      <c r="Q363" s="89"/>
      <c r="R363" s="89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</row>
    <row r="364" spans="1:36" ht="12.75" x14ac:dyDescent="0.2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8"/>
      <c r="N364" s="88"/>
      <c r="O364" s="8"/>
      <c r="P364" s="8"/>
      <c r="Q364" s="89"/>
      <c r="R364" s="89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</row>
    <row r="365" spans="1:36" ht="12.75" x14ac:dyDescent="0.2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8"/>
      <c r="N365" s="88"/>
      <c r="O365" s="8"/>
      <c r="P365" s="8"/>
      <c r="Q365" s="89"/>
      <c r="R365" s="89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</row>
    <row r="366" spans="1:36" ht="12.75" x14ac:dyDescent="0.2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8"/>
      <c r="N366" s="88"/>
      <c r="O366" s="8"/>
      <c r="P366" s="8"/>
      <c r="Q366" s="89"/>
      <c r="R366" s="89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</row>
    <row r="367" spans="1:36" ht="12.75" x14ac:dyDescent="0.2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8"/>
      <c r="N367" s="88"/>
      <c r="O367" s="8"/>
      <c r="P367" s="8"/>
      <c r="Q367" s="89"/>
      <c r="R367" s="89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</row>
    <row r="368" spans="1:36" ht="12.75" x14ac:dyDescent="0.2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8"/>
      <c r="N368" s="88"/>
      <c r="O368" s="8"/>
      <c r="P368" s="8"/>
      <c r="Q368" s="89"/>
      <c r="R368" s="89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</row>
    <row r="369" spans="1:36" ht="12.75" x14ac:dyDescent="0.2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8"/>
      <c r="N369" s="88"/>
      <c r="O369" s="8"/>
      <c r="P369" s="8"/>
      <c r="Q369" s="89"/>
      <c r="R369" s="89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</row>
    <row r="370" spans="1:36" ht="12.75" x14ac:dyDescent="0.2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8"/>
      <c r="N370" s="88"/>
      <c r="O370" s="8"/>
      <c r="P370" s="8"/>
      <c r="Q370" s="89"/>
      <c r="R370" s="89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</row>
    <row r="371" spans="1:36" ht="12.75" x14ac:dyDescent="0.2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8"/>
      <c r="N371" s="88"/>
      <c r="O371" s="8"/>
      <c r="P371" s="8"/>
      <c r="Q371" s="89"/>
      <c r="R371" s="89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</row>
    <row r="372" spans="1:36" ht="12.75" x14ac:dyDescent="0.2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8"/>
      <c r="N372" s="88"/>
      <c r="O372" s="8"/>
      <c r="P372" s="8"/>
      <c r="Q372" s="89"/>
      <c r="R372" s="89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</row>
    <row r="373" spans="1:36" ht="12.75" x14ac:dyDescent="0.2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8"/>
      <c r="N373" s="88"/>
      <c r="O373" s="8"/>
      <c r="P373" s="8"/>
      <c r="Q373" s="89"/>
      <c r="R373" s="89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</row>
    <row r="374" spans="1:36" ht="12.75" x14ac:dyDescent="0.2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8"/>
      <c r="N374" s="88"/>
      <c r="O374" s="8"/>
      <c r="P374" s="8"/>
      <c r="Q374" s="89"/>
      <c r="R374" s="89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</row>
    <row r="375" spans="1:36" ht="12.75" x14ac:dyDescent="0.2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8"/>
      <c r="N375" s="88"/>
      <c r="O375" s="8"/>
      <c r="P375" s="8"/>
      <c r="Q375" s="89"/>
      <c r="R375" s="89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</row>
    <row r="376" spans="1:36" ht="12.75" x14ac:dyDescent="0.2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8"/>
      <c r="N376" s="88"/>
      <c r="O376" s="8"/>
      <c r="P376" s="8"/>
      <c r="Q376" s="89"/>
      <c r="R376" s="89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</row>
    <row r="377" spans="1:36" ht="12.75" x14ac:dyDescent="0.2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8"/>
      <c r="N377" s="88"/>
      <c r="O377" s="8"/>
      <c r="P377" s="8"/>
      <c r="Q377" s="89"/>
      <c r="R377" s="89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</row>
    <row r="378" spans="1:36" ht="12.75" x14ac:dyDescent="0.2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8"/>
      <c r="N378" s="88"/>
      <c r="O378" s="8"/>
      <c r="P378" s="8"/>
      <c r="Q378" s="89"/>
      <c r="R378" s="89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</row>
    <row r="379" spans="1:36" ht="12.75" x14ac:dyDescent="0.2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8"/>
      <c r="N379" s="88"/>
      <c r="O379" s="8"/>
      <c r="P379" s="8"/>
      <c r="Q379" s="89"/>
      <c r="R379" s="89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</row>
    <row r="380" spans="1:36" ht="12.75" x14ac:dyDescent="0.2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8"/>
      <c r="N380" s="88"/>
      <c r="O380" s="8"/>
      <c r="P380" s="8"/>
      <c r="Q380" s="89"/>
      <c r="R380" s="89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</row>
    <row r="381" spans="1:36" ht="12.75" x14ac:dyDescent="0.2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8"/>
      <c r="N381" s="88"/>
      <c r="O381" s="8"/>
      <c r="P381" s="8"/>
      <c r="Q381" s="89"/>
      <c r="R381" s="89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</row>
    <row r="382" spans="1:36" ht="12.75" x14ac:dyDescent="0.2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8"/>
      <c r="N382" s="88"/>
      <c r="O382" s="8"/>
      <c r="P382" s="8"/>
      <c r="Q382" s="89"/>
      <c r="R382" s="89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</row>
    <row r="383" spans="1:36" ht="12.75" x14ac:dyDescent="0.2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8"/>
      <c r="N383" s="88"/>
      <c r="O383" s="8"/>
      <c r="P383" s="8"/>
      <c r="Q383" s="89"/>
      <c r="R383" s="89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</row>
    <row r="384" spans="1:36" ht="12.75" x14ac:dyDescent="0.2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8"/>
      <c r="N384" s="88"/>
      <c r="O384" s="8"/>
      <c r="P384" s="8"/>
      <c r="Q384" s="89"/>
      <c r="R384" s="89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</row>
    <row r="385" spans="1:36" ht="12.75" x14ac:dyDescent="0.2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8"/>
      <c r="N385" s="88"/>
      <c r="O385" s="8"/>
      <c r="P385" s="8"/>
      <c r="Q385" s="89"/>
      <c r="R385" s="89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</row>
    <row r="386" spans="1:36" ht="12.75" x14ac:dyDescent="0.2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8"/>
      <c r="N386" s="88"/>
      <c r="O386" s="8"/>
      <c r="P386" s="8"/>
      <c r="Q386" s="89"/>
      <c r="R386" s="89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</row>
    <row r="387" spans="1:36" ht="12.75" x14ac:dyDescent="0.2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8"/>
      <c r="N387" s="88"/>
      <c r="O387" s="8"/>
      <c r="P387" s="8"/>
      <c r="Q387" s="89"/>
      <c r="R387" s="89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</row>
    <row r="388" spans="1:36" ht="12.75" x14ac:dyDescent="0.2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8"/>
      <c r="N388" s="88"/>
      <c r="O388" s="8"/>
      <c r="P388" s="8"/>
      <c r="Q388" s="89"/>
      <c r="R388" s="89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</row>
    <row r="389" spans="1:36" ht="12.75" x14ac:dyDescent="0.2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8"/>
      <c r="N389" s="88"/>
      <c r="O389" s="8"/>
      <c r="P389" s="8"/>
      <c r="Q389" s="89"/>
      <c r="R389" s="89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</row>
    <row r="390" spans="1:36" ht="12.75" x14ac:dyDescent="0.2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8"/>
      <c r="N390" s="88"/>
      <c r="O390" s="8"/>
      <c r="P390" s="8"/>
      <c r="Q390" s="89"/>
      <c r="R390" s="89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</row>
    <row r="391" spans="1:36" ht="12.75" x14ac:dyDescent="0.2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8"/>
      <c r="N391" s="88"/>
      <c r="O391" s="8"/>
      <c r="P391" s="8"/>
      <c r="Q391" s="89"/>
      <c r="R391" s="89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</row>
    <row r="392" spans="1:36" ht="12.75" x14ac:dyDescent="0.2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8"/>
      <c r="N392" s="88"/>
      <c r="O392" s="8"/>
      <c r="P392" s="8"/>
      <c r="Q392" s="89"/>
      <c r="R392" s="89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</row>
    <row r="393" spans="1:36" ht="12.75" x14ac:dyDescent="0.2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8"/>
      <c r="N393" s="88"/>
      <c r="O393" s="8"/>
      <c r="P393" s="8"/>
      <c r="Q393" s="89"/>
      <c r="R393" s="89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</row>
    <row r="394" spans="1:36" ht="12.75" x14ac:dyDescent="0.2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8"/>
      <c r="N394" s="88"/>
      <c r="O394" s="8"/>
      <c r="P394" s="8"/>
      <c r="Q394" s="89"/>
      <c r="R394" s="89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</row>
    <row r="395" spans="1:36" ht="12.75" x14ac:dyDescent="0.2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8"/>
      <c r="N395" s="88"/>
      <c r="O395" s="8"/>
      <c r="P395" s="8"/>
      <c r="Q395" s="89"/>
      <c r="R395" s="89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</row>
    <row r="396" spans="1:36" ht="12.75" x14ac:dyDescent="0.2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8"/>
      <c r="N396" s="88"/>
      <c r="O396" s="8"/>
      <c r="P396" s="8"/>
      <c r="Q396" s="89"/>
      <c r="R396" s="89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</row>
    <row r="397" spans="1:36" ht="12.75" x14ac:dyDescent="0.2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8"/>
      <c r="N397" s="88"/>
      <c r="O397" s="8"/>
      <c r="P397" s="8"/>
      <c r="Q397" s="89"/>
      <c r="R397" s="89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</row>
    <row r="398" spans="1:36" ht="12.75" x14ac:dyDescent="0.2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8"/>
      <c r="N398" s="88"/>
      <c r="O398" s="8"/>
      <c r="P398" s="8"/>
      <c r="Q398" s="89"/>
      <c r="R398" s="89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</row>
    <row r="399" spans="1:36" ht="12.75" x14ac:dyDescent="0.2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8"/>
      <c r="N399" s="88"/>
      <c r="O399" s="8"/>
      <c r="P399" s="8"/>
      <c r="Q399" s="89"/>
      <c r="R399" s="89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</row>
    <row r="400" spans="1:36" ht="12.75" x14ac:dyDescent="0.2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8"/>
      <c r="N400" s="88"/>
      <c r="O400" s="8"/>
      <c r="P400" s="8"/>
      <c r="Q400" s="89"/>
      <c r="R400" s="89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</row>
    <row r="401" spans="1:36" ht="12.75" x14ac:dyDescent="0.2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8"/>
      <c r="N401" s="88"/>
      <c r="O401" s="8"/>
      <c r="P401" s="8"/>
      <c r="Q401" s="89"/>
      <c r="R401" s="89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</row>
    <row r="402" spans="1:36" ht="12.75" x14ac:dyDescent="0.2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8"/>
      <c r="N402" s="88"/>
      <c r="O402" s="8"/>
      <c r="P402" s="8"/>
      <c r="Q402" s="89"/>
      <c r="R402" s="89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</row>
    <row r="403" spans="1:36" ht="12.75" x14ac:dyDescent="0.2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8"/>
      <c r="N403" s="88"/>
      <c r="O403" s="8"/>
      <c r="P403" s="8"/>
      <c r="Q403" s="89"/>
      <c r="R403" s="89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</row>
    <row r="404" spans="1:36" ht="12.75" x14ac:dyDescent="0.2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8"/>
      <c r="N404" s="88"/>
      <c r="O404" s="8"/>
      <c r="P404" s="8"/>
      <c r="Q404" s="89"/>
      <c r="R404" s="89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</row>
    <row r="405" spans="1:36" ht="12.75" x14ac:dyDescent="0.2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8"/>
      <c r="N405" s="88"/>
      <c r="O405" s="8"/>
      <c r="P405" s="8"/>
      <c r="Q405" s="89"/>
      <c r="R405" s="89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</row>
    <row r="406" spans="1:36" ht="12.75" x14ac:dyDescent="0.2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8"/>
      <c r="N406" s="88"/>
      <c r="O406" s="8"/>
      <c r="P406" s="8"/>
      <c r="Q406" s="89"/>
      <c r="R406" s="89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</row>
    <row r="407" spans="1:36" ht="12.75" x14ac:dyDescent="0.2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8"/>
      <c r="N407" s="88"/>
      <c r="O407" s="8"/>
      <c r="P407" s="8"/>
      <c r="Q407" s="89"/>
      <c r="R407" s="89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</row>
    <row r="408" spans="1:36" ht="12.75" x14ac:dyDescent="0.2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8"/>
      <c r="N408" s="88"/>
      <c r="O408" s="8"/>
      <c r="P408" s="8"/>
      <c r="Q408" s="89"/>
      <c r="R408" s="89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</row>
    <row r="409" spans="1:36" ht="12.75" x14ac:dyDescent="0.2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8"/>
      <c r="N409" s="88"/>
      <c r="O409" s="8"/>
      <c r="P409" s="8"/>
      <c r="Q409" s="89"/>
      <c r="R409" s="89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</row>
    <row r="410" spans="1:36" ht="12.75" x14ac:dyDescent="0.2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8"/>
      <c r="N410" s="88"/>
      <c r="O410" s="8"/>
      <c r="P410" s="8"/>
      <c r="Q410" s="89"/>
      <c r="R410" s="89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</row>
    <row r="411" spans="1:36" ht="12.75" x14ac:dyDescent="0.2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8"/>
      <c r="N411" s="88"/>
      <c r="O411" s="8"/>
      <c r="P411" s="8"/>
      <c r="Q411" s="89"/>
      <c r="R411" s="89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</row>
    <row r="412" spans="1:36" ht="12.75" x14ac:dyDescent="0.2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8"/>
      <c r="N412" s="88"/>
      <c r="O412" s="8"/>
      <c r="P412" s="8"/>
      <c r="Q412" s="89"/>
      <c r="R412" s="89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</row>
    <row r="413" spans="1:36" ht="12.75" x14ac:dyDescent="0.2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8"/>
      <c r="N413" s="88"/>
      <c r="O413" s="8"/>
      <c r="P413" s="8"/>
      <c r="Q413" s="89"/>
      <c r="R413" s="89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</row>
    <row r="414" spans="1:36" ht="12.75" x14ac:dyDescent="0.2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8"/>
      <c r="N414" s="88"/>
      <c r="O414" s="8"/>
      <c r="P414" s="8"/>
      <c r="Q414" s="89"/>
      <c r="R414" s="89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</row>
    <row r="415" spans="1:36" ht="12.75" x14ac:dyDescent="0.2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8"/>
      <c r="N415" s="88"/>
      <c r="O415" s="8"/>
      <c r="P415" s="8"/>
      <c r="Q415" s="89"/>
      <c r="R415" s="89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</row>
    <row r="416" spans="1:36" ht="12.75" x14ac:dyDescent="0.2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8"/>
      <c r="N416" s="88"/>
      <c r="O416" s="8"/>
      <c r="P416" s="8"/>
      <c r="Q416" s="89"/>
      <c r="R416" s="89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</row>
    <row r="417" spans="1:36" ht="12.75" x14ac:dyDescent="0.2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8"/>
      <c r="N417" s="88"/>
      <c r="O417" s="8"/>
      <c r="P417" s="8"/>
      <c r="Q417" s="89"/>
      <c r="R417" s="89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</row>
    <row r="418" spans="1:36" ht="12.75" x14ac:dyDescent="0.2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8"/>
      <c r="N418" s="88"/>
      <c r="O418" s="8"/>
      <c r="P418" s="8"/>
      <c r="Q418" s="89"/>
      <c r="R418" s="89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</row>
    <row r="419" spans="1:36" ht="12.75" x14ac:dyDescent="0.2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8"/>
      <c r="N419" s="88"/>
      <c r="O419" s="8"/>
      <c r="P419" s="8"/>
      <c r="Q419" s="89"/>
      <c r="R419" s="89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</row>
    <row r="420" spans="1:36" ht="12.75" x14ac:dyDescent="0.2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8"/>
      <c r="N420" s="88"/>
      <c r="O420" s="8"/>
      <c r="P420" s="8"/>
      <c r="Q420" s="89"/>
      <c r="R420" s="89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</row>
    <row r="421" spans="1:36" ht="12.75" x14ac:dyDescent="0.2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8"/>
      <c r="N421" s="88"/>
      <c r="O421" s="8"/>
      <c r="P421" s="8"/>
      <c r="Q421" s="89"/>
      <c r="R421" s="89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</row>
    <row r="422" spans="1:36" ht="12.75" x14ac:dyDescent="0.2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8"/>
      <c r="N422" s="88"/>
      <c r="O422" s="8"/>
      <c r="P422" s="8"/>
      <c r="Q422" s="89"/>
      <c r="R422" s="89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</row>
    <row r="423" spans="1:36" ht="12.75" x14ac:dyDescent="0.2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8"/>
      <c r="N423" s="88"/>
      <c r="O423" s="8"/>
      <c r="P423" s="8"/>
      <c r="Q423" s="89"/>
      <c r="R423" s="89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</row>
    <row r="424" spans="1:36" ht="12.75" x14ac:dyDescent="0.2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8"/>
      <c r="N424" s="88"/>
      <c r="O424" s="8"/>
      <c r="P424" s="8"/>
      <c r="Q424" s="89"/>
      <c r="R424" s="89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</row>
    <row r="425" spans="1:36" ht="12.75" x14ac:dyDescent="0.2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8"/>
      <c r="N425" s="88"/>
      <c r="O425" s="8"/>
      <c r="P425" s="8"/>
      <c r="Q425" s="89"/>
      <c r="R425" s="89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</row>
    <row r="426" spans="1:36" ht="12.75" x14ac:dyDescent="0.2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8"/>
      <c r="N426" s="88"/>
      <c r="O426" s="8"/>
      <c r="P426" s="8"/>
      <c r="Q426" s="89"/>
      <c r="R426" s="89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</row>
    <row r="427" spans="1:36" ht="12.75" x14ac:dyDescent="0.2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8"/>
      <c r="N427" s="88"/>
      <c r="O427" s="8"/>
      <c r="P427" s="8"/>
      <c r="Q427" s="89"/>
      <c r="R427" s="89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</row>
    <row r="428" spans="1:36" ht="12.75" x14ac:dyDescent="0.2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8"/>
      <c r="N428" s="88"/>
      <c r="O428" s="8"/>
      <c r="P428" s="8"/>
      <c r="Q428" s="89"/>
      <c r="R428" s="89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</row>
    <row r="429" spans="1:36" ht="12.75" x14ac:dyDescent="0.2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8"/>
      <c r="N429" s="88"/>
      <c r="O429" s="8"/>
      <c r="P429" s="8"/>
      <c r="Q429" s="89"/>
      <c r="R429" s="89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</row>
    <row r="430" spans="1:36" ht="12.75" x14ac:dyDescent="0.2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8"/>
      <c r="N430" s="88"/>
      <c r="O430" s="8"/>
      <c r="P430" s="8"/>
      <c r="Q430" s="89"/>
      <c r="R430" s="89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</row>
    <row r="431" spans="1:36" ht="12.75" x14ac:dyDescent="0.2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8"/>
      <c r="N431" s="88"/>
      <c r="O431" s="8"/>
      <c r="P431" s="8"/>
      <c r="Q431" s="89"/>
      <c r="R431" s="89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</row>
    <row r="432" spans="1:36" ht="12.75" x14ac:dyDescent="0.2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8"/>
      <c r="N432" s="88"/>
      <c r="O432" s="8"/>
      <c r="P432" s="8"/>
      <c r="Q432" s="89"/>
      <c r="R432" s="89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</row>
    <row r="433" spans="1:36" ht="12.75" x14ac:dyDescent="0.2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8"/>
      <c r="N433" s="88"/>
      <c r="O433" s="8"/>
      <c r="P433" s="8"/>
      <c r="Q433" s="89"/>
      <c r="R433" s="89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</row>
    <row r="434" spans="1:36" ht="12.75" x14ac:dyDescent="0.2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8"/>
      <c r="N434" s="88"/>
      <c r="O434" s="8"/>
      <c r="P434" s="8"/>
      <c r="Q434" s="89"/>
      <c r="R434" s="89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</row>
    <row r="435" spans="1:36" ht="12.75" x14ac:dyDescent="0.2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8"/>
      <c r="N435" s="88"/>
      <c r="O435" s="8"/>
      <c r="P435" s="8"/>
      <c r="Q435" s="89"/>
      <c r="R435" s="89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</row>
    <row r="436" spans="1:36" ht="12.75" x14ac:dyDescent="0.2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8"/>
      <c r="N436" s="88"/>
      <c r="O436" s="8"/>
      <c r="P436" s="8"/>
      <c r="Q436" s="89"/>
      <c r="R436" s="89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</row>
    <row r="437" spans="1:36" ht="12.75" x14ac:dyDescent="0.2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8"/>
      <c r="N437" s="88"/>
      <c r="O437" s="8"/>
      <c r="P437" s="8"/>
      <c r="Q437" s="89"/>
      <c r="R437" s="89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</row>
    <row r="438" spans="1:36" ht="12.75" x14ac:dyDescent="0.2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8"/>
      <c r="N438" s="88"/>
      <c r="O438" s="8"/>
      <c r="P438" s="8"/>
      <c r="Q438" s="89"/>
      <c r="R438" s="89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</row>
    <row r="439" spans="1:36" ht="12.75" x14ac:dyDescent="0.2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8"/>
      <c r="N439" s="88"/>
      <c r="O439" s="8"/>
      <c r="P439" s="8"/>
      <c r="Q439" s="89"/>
      <c r="R439" s="89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</row>
    <row r="440" spans="1:36" ht="12.75" x14ac:dyDescent="0.2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8"/>
      <c r="N440" s="88"/>
      <c r="O440" s="8"/>
      <c r="P440" s="8"/>
      <c r="Q440" s="89"/>
      <c r="R440" s="89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</row>
    <row r="441" spans="1:36" ht="12.75" x14ac:dyDescent="0.2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8"/>
      <c r="N441" s="88"/>
      <c r="O441" s="8"/>
      <c r="P441" s="8"/>
      <c r="Q441" s="89"/>
      <c r="R441" s="89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</row>
    <row r="442" spans="1:36" ht="12.75" x14ac:dyDescent="0.2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8"/>
      <c r="N442" s="88"/>
      <c r="O442" s="8"/>
      <c r="P442" s="8"/>
      <c r="Q442" s="89"/>
      <c r="R442" s="89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</row>
    <row r="443" spans="1:36" ht="12.75" x14ac:dyDescent="0.2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8"/>
      <c r="N443" s="88"/>
      <c r="O443" s="8"/>
      <c r="P443" s="8"/>
      <c r="Q443" s="89"/>
      <c r="R443" s="89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</row>
    <row r="444" spans="1:36" ht="12.75" x14ac:dyDescent="0.2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8"/>
      <c r="N444" s="88"/>
      <c r="O444" s="8"/>
      <c r="P444" s="8"/>
      <c r="Q444" s="89"/>
      <c r="R444" s="89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</row>
    <row r="445" spans="1:36" ht="12.75" x14ac:dyDescent="0.2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8"/>
      <c r="N445" s="88"/>
      <c r="O445" s="8"/>
      <c r="P445" s="8"/>
      <c r="Q445" s="89"/>
      <c r="R445" s="89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</row>
    <row r="446" spans="1:36" ht="12.75" x14ac:dyDescent="0.2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8"/>
      <c r="N446" s="88"/>
      <c r="O446" s="8"/>
      <c r="P446" s="8"/>
      <c r="Q446" s="89"/>
      <c r="R446" s="89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</row>
    <row r="447" spans="1:36" ht="12.75" x14ac:dyDescent="0.2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8"/>
      <c r="N447" s="88"/>
      <c r="O447" s="8"/>
      <c r="P447" s="8"/>
      <c r="Q447" s="89"/>
      <c r="R447" s="89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</row>
    <row r="448" spans="1:36" ht="12.75" x14ac:dyDescent="0.2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8"/>
      <c r="N448" s="88"/>
      <c r="O448" s="8"/>
      <c r="P448" s="8"/>
      <c r="Q448" s="89"/>
      <c r="R448" s="89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</row>
    <row r="449" spans="1:36" ht="12.75" x14ac:dyDescent="0.2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8"/>
      <c r="N449" s="88"/>
      <c r="O449" s="8"/>
      <c r="P449" s="8"/>
      <c r="Q449" s="89"/>
      <c r="R449" s="89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</row>
    <row r="450" spans="1:36" ht="12.75" x14ac:dyDescent="0.2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8"/>
      <c r="N450" s="88"/>
      <c r="O450" s="8"/>
      <c r="P450" s="8"/>
      <c r="Q450" s="89"/>
      <c r="R450" s="89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</row>
    <row r="451" spans="1:36" ht="12.75" x14ac:dyDescent="0.2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8"/>
      <c r="N451" s="88"/>
      <c r="O451" s="8"/>
      <c r="P451" s="8"/>
      <c r="Q451" s="89"/>
      <c r="R451" s="89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</row>
    <row r="452" spans="1:36" ht="12.75" x14ac:dyDescent="0.2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8"/>
      <c r="N452" s="88"/>
      <c r="O452" s="8"/>
      <c r="P452" s="8"/>
      <c r="Q452" s="89"/>
      <c r="R452" s="89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</row>
    <row r="453" spans="1:36" ht="12.75" x14ac:dyDescent="0.2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8"/>
      <c r="N453" s="88"/>
      <c r="O453" s="8"/>
      <c r="P453" s="8"/>
      <c r="Q453" s="89"/>
      <c r="R453" s="89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</row>
    <row r="454" spans="1:36" ht="12.75" x14ac:dyDescent="0.2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8"/>
      <c r="N454" s="88"/>
      <c r="O454" s="8"/>
      <c r="P454" s="8"/>
      <c r="Q454" s="89"/>
      <c r="R454" s="89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</row>
    <row r="455" spans="1:36" ht="12.75" x14ac:dyDescent="0.2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8"/>
      <c r="N455" s="88"/>
      <c r="O455" s="8"/>
      <c r="P455" s="8"/>
      <c r="Q455" s="89"/>
      <c r="R455" s="89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</row>
    <row r="456" spans="1:36" ht="12.75" x14ac:dyDescent="0.2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8"/>
      <c r="N456" s="88"/>
      <c r="O456" s="8"/>
      <c r="P456" s="8"/>
      <c r="Q456" s="89"/>
      <c r="R456" s="89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</row>
    <row r="457" spans="1:36" ht="12.75" x14ac:dyDescent="0.2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8"/>
      <c r="N457" s="88"/>
      <c r="O457" s="8"/>
      <c r="P457" s="8"/>
      <c r="Q457" s="89"/>
      <c r="R457" s="89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</row>
    <row r="458" spans="1:36" ht="12.75" x14ac:dyDescent="0.2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8"/>
      <c r="N458" s="88"/>
      <c r="O458" s="8"/>
      <c r="P458" s="8"/>
      <c r="Q458" s="89"/>
      <c r="R458" s="89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</row>
    <row r="459" spans="1:36" ht="12.75" x14ac:dyDescent="0.2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8"/>
      <c r="N459" s="88"/>
      <c r="O459" s="8"/>
      <c r="P459" s="8"/>
      <c r="Q459" s="89"/>
      <c r="R459" s="89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</row>
    <row r="460" spans="1:36" ht="12.75" x14ac:dyDescent="0.2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8"/>
      <c r="N460" s="88"/>
      <c r="O460" s="8"/>
      <c r="P460" s="8"/>
      <c r="Q460" s="89"/>
      <c r="R460" s="89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</row>
    <row r="461" spans="1:36" ht="12.75" x14ac:dyDescent="0.2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8"/>
      <c r="N461" s="88"/>
      <c r="O461" s="8"/>
      <c r="P461" s="8"/>
      <c r="Q461" s="89"/>
      <c r="R461" s="89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</row>
    <row r="462" spans="1:36" ht="12.75" x14ac:dyDescent="0.2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8"/>
      <c r="N462" s="88"/>
      <c r="O462" s="8"/>
      <c r="P462" s="8"/>
      <c r="Q462" s="89"/>
      <c r="R462" s="89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</row>
    <row r="463" spans="1:36" ht="12.75" x14ac:dyDescent="0.2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8"/>
      <c r="N463" s="88"/>
      <c r="O463" s="8"/>
      <c r="P463" s="8"/>
      <c r="Q463" s="89"/>
      <c r="R463" s="89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</row>
    <row r="464" spans="1:36" ht="12.75" x14ac:dyDescent="0.2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8"/>
      <c r="N464" s="88"/>
      <c r="O464" s="8"/>
      <c r="P464" s="8"/>
      <c r="Q464" s="89"/>
      <c r="R464" s="89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</row>
    <row r="465" spans="1:36" ht="12.75" x14ac:dyDescent="0.2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8"/>
      <c r="N465" s="88"/>
      <c r="O465" s="8"/>
      <c r="P465" s="8"/>
      <c r="Q465" s="89"/>
      <c r="R465" s="89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</row>
    <row r="466" spans="1:36" ht="12.75" x14ac:dyDescent="0.2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8"/>
      <c r="N466" s="88"/>
      <c r="O466" s="8"/>
      <c r="P466" s="8"/>
      <c r="Q466" s="89"/>
      <c r="R466" s="89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</row>
    <row r="467" spans="1:36" ht="12.75" x14ac:dyDescent="0.2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8"/>
      <c r="N467" s="88"/>
      <c r="O467" s="8"/>
      <c r="P467" s="8"/>
      <c r="Q467" s="89"/>
      <c r="R467" s="89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</row>
    <row r="468" spans="1:36" ht="12.75" x14ac:dyDescent="0.2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8"/>
      <c r="N468" s="88"/>
      <c r="O468" s="8"/>
      <c r="P468" s="8"/>
      <c r="Q468" s="89"/>
      <c r="R468" s="89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</row>
    <row r="469" spans="1:36" ht="12.75" x14ac:dyDescent="0.2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8"/>
      <c r="N469" s="88"/>
      <c r="O469" s="8"/>
      <c r="P469" s="8"/>
      <c r="Q469" s="89"/>
      <c r="R469" s="89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</row>
    <row r="470" spans="1:36" ht="12.75" x14ac:dyDescent="0.2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8"/>
      <c r="N470" s="88"/>
      <c r="O470" s="8"/>
      <c r="P470" s="8"/>
      <c r="Q470" s="89"/>
      <c r="R470" s="89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</row>
    <row r="471" spans="1:36" ht="12.75" x14ac:dyDescent="0.2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8"/>
      <c r="N471" s="88"/>
      <c r="O471" s="8"/>
      <c r="P471" s="8"/>
      <c r="Q471" s="89"/>
      <c r="R471" s="89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</row>
    <row r="472" spans="1:36" ht="12.75" x14ac:dyDescent="0.2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8"/>
      <c r="N472" s="88"/>
      <c r="O472" s="8"/>
      <c r="P472" s="8"/>
      <c r="Q472" s="89"/>
      <c r="R472" s="89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</row>
    <row r="473" spans="1:36" ht="12.75" x14ac:dyDescent="0.2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8"/>
      <c r="N473" s="88"/>
      <c r="O473" s="8"/>
      <c r="P473" s="8"/>
      <c r="Q473" s="89"/>
      <c r="R473" s="89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</row>
    <row r="474" spans="1:36" ht="12.75" x14ac:dyDescent="0.2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8"/>
      <c r="N474" s="88"/>
      <c r="O474" s="8"/>
      <c r="P474" s="8"/>
      <c r="Q474" s="89"/>
      <c r="R474" s="89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</row>
    <row r="475" spans="1:36" ht="12.75" x14ac:dyDescent="0.2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8"/>
      <c r="N475" s="88"/>
      <c r="O475" s="8"/>
      <c r="P475" s="8"/>
      <c r="Q475" s="89"/>
      <c r="R475" s="89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</row>
    <row r="476" spans="1:36" ht="12.75" x14ac:dyDescent="0.2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8"/>
      <c r="N476" s="88"/>
      <c r="O476" s="8"/>
      <c r="P476" s="8"/>
      <c r="Q476" s="89"/>
      <c r="R476" s="89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</row>
    <row r="477" spans="1:36" ht="12.75" x14ac:dyDescent="0.2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8"/>
      <c r="N477" s="88"/>
      <c r="O477" s="8"/>
      <c r="P477" s="8"/>
      <c r="Q477" s="89"/>
      <c r="R477" s="89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</row>
    <row r="478" spans="1:36" ht="12.75" x14ac:dyDescent="0.2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8"/>
      <c r="N478" s="88"/>
      <c r="O478" s="8"/>
      <c r="P478" s="8"/>
      <c r="Q478" s="89"/>
      <c r="R478" s="89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</row>
    <row r="479" spans="1:36" ht="12.75" x14ac:dyDescent="0.2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8"/>
      <c r="N479" s="88"/>
      <c r="O479" s="8"/>
      <c r="P479" s="8"/>
      <c r="Q479" s="89"/>
      <c r="R479" s="89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</row>
    <row r="480" spans="1:36" ht="12.75" x14ac:dyDescent="0.2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8"/>
      <c r="N480" s="88"/>
      <c r="O480" s="8"/>
      <c r="P480" s="8"/>
      <c r="Q480" s="89"/>
      <c r="R480" s="89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</row>
    <row r="481" spans="1:36" ht="12.75" x14ac:dyDescent="0.2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8"/>
      <c r="N481" s="88"/>
      <c r="O481" s="8"/>
      <c r="P481" s="8"/>
      <c r="Q481" s="89"/>
      <c r="R481" s="89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</row>
    <row r="482" spans="1:36" ht="12.75" x14ac:dyDescent="0.2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8"/>
      <c r="N482" s="88"/>
      <c r="O482" s="8"/>
      <c r="P482" s="8"/>
      <c r="Q482" s="89"/>
      <c r="R482" s="89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</row>
    <row r="483" spans="1:36" ht="12.75" x14ac:dyDescent="0.2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8"/>
      <c r="N483" s="88"/>
      <c r="O483" s="8"/>
      <c r="P483" s="8"/>
      <c r="Q483" s="89"/>
      <c r="R483" s="89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</row>
    <row r="484" spans="1:36" ht="12.75" x14ac:dyDescent="0.2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8"/>
      <c r="N484" s="88"/>
      <c r="O484" s="8"/>
      <c r="P484" s="8"/>
      <c r="Q484" s="89"/>
      <c r="R484" s="89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</row>
    <row r="485" spans="1:36" ht="12.75" x14ac:dyDescent="0.2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8"/>
      <c r="N485" s="88"/>
      <c r="O485" s="8"/>
      <c r="P485" s="8"/>
      <c r="Q485" s="89"/>
      <c r="R485" s="89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</row>
    <row r="486" spans="1:36" ht="12.75" x14ac:dyDescent="0.2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8"/>
      <c r="N486" s="88"/>
      <c r="O486" s="8"/>
      <c r="P486" s="8"/>
      <c r="Q486" s="89"/>
      <c r="R486" s="89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</row>
    <row r="487" spans="1:36" ht="12.75" x14ac:dyDescent="0.2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8"/>
      <c r="N487" s="88"/>
      <c r="O487" s="8"/>
      <c r="P487" s="8"/>
      <c r="Q487" s="89"/>
      <c r="R487" s="89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</row>
    <row r="488" spans="1:36" ht="12.75" x14ac:dyDescent="0.2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8"/>
      <c r="N488" s="88"/>
      <c r="O488" s="8"/>
      <c r="P488" s="8"/>
      <c r="Q488" s="89"/>
      <c r="R488" s="89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</row>
    <row r="489" spans="1:36" ht="12.75" x14ac:dyDescent="0.2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8"/>
      <c r="N489" s="88"/>
      <c r="O489" s="8"/>
      <c r="P489" s="8"/>
      <c r="Q489" s="89"/>
      <c r="R489" s="89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</row>
    <row r="490" spans="1:36" ht="12.75" x14ac:dyDescent="0.2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8"/>
      <c r="N490" s="88"/>
      <c r="O490" s="8"/>
      <c r="P490" s="8"/>
      <c r="Q490" s="89"/>
      <c r="R490" s="89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</row>
    <row r="491" spans="1:36" ht="12.75" x14ac:dyDescent="0.2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8"/>
      <c r="N491" s="88"/>
      <c r="O491" s="8"/>
      <c r="P491" s="8"/>
      <c r="Q491" s="89"/>
      <c r="R491" s="89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</row>
    <row r="492" spans="1:36" ht="12.75" x14ac:dyDescent="0.2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8"/>
      <c r="N492" s="88"/>
      <c r="O492" s="8"/>
      <c r="P492" s="8"/>
      <c r="Q492" s="89"/>
      <c r="R492" s="89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</row>
    <row r="493" spans="1:36" ht="12.75" x14ac:dyDescent="0.2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8"/>
      <c r="N493" s="88"/>
      <c r="O493" s="8"/>
      <c r="P493" s="8"/>
      <c r="Q493" s="89"/>
      <c r="R493" s="89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</row>
    <row r="494" spans="1:36" ht="12.75" x14ac:dyDescent="0.2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8"/>
      <c r="N494" s="88"/>
      <c r="O494" s="8"/>
      <c r="P494" s="8"/>
      <c r="Q494" s="89"/>
      <c r="R494" s="89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</row>
    <row r="495" spans="1:36" ht="12.75" x14ac:dyDescent="0.2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8"/>
      <c r="N495" s="88"/>
      <c r="O495" s="8"/>
      <c r="P495" s="8"/>
      <c r="Q495" s="89"/>
      <c r="R495" s="89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</row>
    <row r="496" spans="1:36" ht="12.75" x14ac:dyDescent="0.2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8"/>
      <c r="N496" s="88"/>
      <c r="O496" s="8"/>
      <c r="P496" s="8"/>
      <c r="Q496" s="89"/>
      <c r="R496" s="89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</row>
    <row r="497" spans="1:36" ht="12.75" x14ac:dyDescent="0.2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8"/>
      <c r="N497" s="88"/>
      <c r="O497" s="8"/>
      <c r="P497" s="8"/>
      <c r="Q497" s="89"/>
      <c r="R497" s="89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</row>
    <row r="498" spans="1:36" ht="12.75" x14ac:dyDescent="0.2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8"/>
      <c r="N498" s="88"/>
      <c r="O498" s="8"/>
      <c r="P498" s="8"/>
      <c r="Q498" s="89"/>
      <c r="R498" s="89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</row>
    <row r="499" spans="1:36" ht="12.75" x14ac:dyDescent="0.2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8"/>
      <c r="N499" s="88"/>
      <c r="O499" s="8"/>
      <c r="P499" s="8"/>
      <c r="Q499" s="89"/>
      <c r="R499" s="89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</row>
    <row r="500" spans="1:36" ht="12.75" x14ac:dyDescent="0.2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8"/>
      <c r="N500" s="88"/>
      <c r="O500" s="8"/>
      <c r="P500" s="8"/>
      <c r="Q500" s="89"/>
      <c r="R500" s="89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</row>
    <row r="501" spans="1:36" ht="12.75" x14ac:dyDescent="0.2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8"/>
      <c r="N501" s="88"/>
      <c r="O501" s="8"/>
      <c r="P501" s="8"/>
      <c r="Q501" s="89"/>
      <c r="R501" s="89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</row>
    <row r="502" spans="1:36" ht="12.75" x14ac:dyDescent="0.2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8"/>
      <c r="N502" s="88"/>
      <c r="O502" s="8"/>
      <c r="P502" s="8"/>
      <c r="Q502" s="89"/>
      <c r="R502" s="89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</row>
    <row r="503" spans="1:36" ht="12.75" x14ac:dyDescent="0.2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8"/>
      <c r="N503" s="88"/>
      <c r="O503" s="8"/>
      <c r="P503" s="8"/>
      <c r="Q503" s="89"/>
      <c r="R503" s="89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</row>
    <row r="504" spans="1:36" ht="12.75" x14ac:dyDescent="0.2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8"/>
      <c r="N504" s="88"/>
      <c r="O504" s="8"/>
      <c r="P504" s="8"/>
      <c r="Q504" s="89"/>
      <c r="R504" s="89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</row>
    <row r="505" spans="1:36" ht="12.75" x14ac:dyDescent="0.2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8"/>
      <c r="N505" s="88"/>
      <c r="O505" s="8"/>
      <c r="P505" s="8"/>
      <c r="Q505" s="89"/>
      <c r="R505" s="89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</row>
    <row r="506" spans="1:36" ht="12.75" x14ac:dyDescent="0.2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8"/>
      <c r="N506" s="88"/>
      <c r="O506" s="8"/>
      <c r="P506" s="8"/>
      <c r="Q506" s="89"/>
      <c r="R506" s="89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</row>
    <row r="507" spans="1:36" ht="12.75" x14ac:dyDescent="0.2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8"/>
      <c r="N507" s="88"/>
      <c r="O507" s="8"/>
      <c r="P507" s="8"/>
      <c r="Q507" s="89"/>
      <c r="R507" s="89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</row>
    <row r="508" spans="1:36" ht="12.75" x14ac:dyDescent="0.2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8"/>
      <c r="N508" s="88"/>
      <c r="O508" s="8"/>
      <c r="P508" s="8"/>
      <c r="Q508" s="89"/>
      <c r="R508" s="89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</row>
    <row r="509" spans="1:36" ht="12.75" x14ac:dyDescent="0.2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8"/>
      <c r="N509" s="88"/>
      <c r="O509" s="8"/>
      <c r="P509" s="8"/>
      <c r="Q509" s="89"/>
      <c r="R509" s="89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</row>
    <row r="510" spans="1:36" ht="12.75" x14ac:dyDescent="0.2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8"/>
      <c r="N510" s="88"/>
      <c r="O510" s="8"/>
      <c r="P510" s="8"/>
      <c r="Q510" s="89"/>
      <c r="R510" s="89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</row>
    <row r="511" spans="1:36" ht="12.75" x14ac:dyDescent="0.2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8"/>
      <c r="N511" s="88"/>
      <c r="O511" s="8"/>
      <c r="P511" s="8"/>
      <c r="Q511" s="89"/>
      <c r="R511" s="89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</row>
    <row r="512" spans="1:36" ht="12.75" x14ac:dyDescent="0.2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8"/>
      <c r="N512" s="88"/>
      <c r="O512" s="8"/>
      <c r="P512" s="8"/>
      <c r="Q512" s="89"/>
      <c r="R512" s="89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</row>
    <row r="513" spans="1:36" ht="12.75" x14ac:dyDescent="0.2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8"/>
      <c r="N513" s="88"/>
      <c r="O513" s="8"/>
      <c r="P513" s="8"/>
      <c r="Q513" s="89"/>
      <c r="R513" s="89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</row>
    <row r="514" spans="1:36" ht="12.75" x14ac:dyDescent="0.2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8"/>
      <c r="N514" s="88"/>
      <c r="O514" s="8"/>
      <c r="P514" s="8"/>
      <c r="Q514" s="89"/>
      <c r="R514" s="89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</row>
    <row r="515" spans="1:36" ht="12.75" x14ac:dyDescent="0.2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8"/>
      <c r="N515" s="88"/>
      <c r="O515" s="8"/>
      <c r="P515" s="8"/>
      <c r="Q515" s="89"/>
      <c r="R515" s="89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</row>
    <row r="516" spans="1:36" ht="12.75" x14ac:dyDescent="0.2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8"/>
      <c r="N516" s="88"/>
      <c r="O516" s="8"/>
      <c r="P516" s="8"/>
      <c r="Q516" s="89"/>
      <c r="R516" s="89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</row>
    <row r="517" spans="1:36" ht="12.75" x14ac:dyDescent="0.2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8"/>
      <c r="N517" s="88"/>
      <c r="O517" s="8"/>
      <c r="P517" s="8"/>
      <c r="Q517" s="89"/>
      <c r="R517" s="89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</row>
    <row r="518" spans="1:36" ht="12.75" x14ac:dyDescent="0.2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8"/>
      <c r="N518" s="88"/>
      <c r="O518" s="8"/>
      <c r="P518" s="8"/>
      <c r="Q518" s="89"/>
      <c r="R518" s="89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</row>
    <row r="519" spans="1:36" ht="12.75" x14ac:dyDescent="0.2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8"/>
      <c r="N519" s="88"/>
      <c r="O519" s="8"/>
      <c r="P519" s="8"/>
      <c r="Q519" s="89"/>
      <c r="R519" s="89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</row>
    <row r="520" spans="1:36" ht="12.75" x14ac:dyDescent="0.2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8"/>
      <c r="N520" s="88"/>
      <c r="O520" s="8"/>
      <c r="P520" s="8"/>
      <c r="Q520" s="89"/>
      <c r="R520" s="89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</row>
    <row r="521" spans="1:36" ht="12.75" x14ac:dyDescent="0.2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8"/>
      <c r="N521" s="88"/>
      <c r="O521" s="8"/>
      <c r="P521" s="8"/>
      <c r="Q521" s="89"/>
      <c r="R521" s="89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</row>
    <row r="522" spans="1:36" ht="12.75" x14ac:dyDescent="0.2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8"/>
      <c r="N522" s="88"/>
      <c r="O522" s="8"/>
      <c r="P522" s="8"/>
      <c r="Q522" s="89"/>
      <c r="R522" s="89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</row>
    <row r="523" spans="1:36" ht="12.75" x14ac:dyDescent="0.2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8"/>
      <c r="N523" s="88"/>
      <c r="O523" s="8"/>
      <c r="P523" s="8"/>
      <c r="Q523" s="89"/>
      <c r="R523" s="89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</row>
    <row r="524" spans="1:36" ht="12.75" x14ac:dyDescent="0.2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8"/>
      <c r="N524" s="88"/>
      <c r="O524" s="8"/>
      <c r="P524" s="8"/>
      <c r="Q524" s="89"/>
      <c r="R524" s="89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</row>
    <row r="525" spans="1:36" ht="12.75" x14ac:dyDescent="0.2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8"/>
      <c r="N525" s="88"/>
      <c r="O525" s="8"/>
      <c r="P525" s="8"/>
      <c r="Q525" s="89"/>
      <c r="R525" s="89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</row>
    <row r="526" spans="1:36" ht="12.75" x14ac:dyDescent="0.2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8"/>
      <c r="N526" s="88"/>
      <c r="O526" s="8"/>
      <c r="P526" s="8"/>
      <c r="Q526" s="89"/>
      <c r="R526" s="89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</row>
    <row r="527" spans="1:36" ht="12.75" x14ac:dyDescent="0.2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8"/>
      <c r="N527" s="88"/>
      <c r="O527" s="8"/>
      <c r="P527" s="8"/>
      <c r="Q527" s="89"/>
      <c r="R527" s="89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</row>
    <row r="528" spans="1:36" ht="12.75" x14ac:dyDescent="0.2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8"/>
      <c r="N528" s="88"/>
      <c r="O528" s="8"/>
      <c r="P528" s="8"/>
      <c r="Q528" s="89"/>
      <c r="R528" s="89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</row>
    <row r="529" spans="1:36" ht="12.75" x14ac:dyDescent="0.2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8"/>
      <c r="N529" s="88"/>
      <c r="O529" s="8"/>
      <c r="P529" s="8"/>
      <c r="Q529" s="89"/>
      <c r="R529" s="89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</row>
    <row r="530" spans="1:36" ht="12.75" x14ac:dyDescent="0.2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8"/>
      <c r="N530" s="88"/>
      <c r="O530" s="8"/>
      <c r="P530" s="8"/>
      <c r="Q530" s="89"/>
      <c r="R530" s="89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</row>
    <row r="531" spans="1:36" ht="12.75" x14ac:dyDescent="0.2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8"/>
      <c r="N531" s="88"/>
      <c r="O531" s="8"/>
      <c r="P531" s="8"/>
      <c r="Q531" s="89"/>
      <c r="R531" s="89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</row>
    <row r="532" spans="1:36" ht="12.75" x14ac:dyDescent="0.2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8"/>
      <c r="N532" s="88"/>
      <c r="O532" s="8"/>
      <c r="P532" s="8"/>
      <c r="Q532" s="89"/>
      <c r="R532" s="89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</row>
    <row r="533" spans="1:36" ht="12.75" x14ac:dyDescent="0.2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8"/>
      <c r="N533" s="88"/>
      <c r="O533" s="8"/>
      <c r="P533" s="8"/>
      <c r="Q533" s="89"/>
      <c r="R533" s="89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</row>
    <row r="534" spans="1:36" ht="12.75" x14ac:dyDescent="0.2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8"/>
      <c r="N534" s="88"/>
      <c r="O534" s="8"/>
      <c r="P534" s="8"/>
      <c r="Q534" s="89"/>
      <c r="R534" s="89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</row>
    <row r="535" spans="1:36" ht="12.75" x14ac:dyDescent="0.2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8"/>
      <c r="N535" s="88"/>
      <c r="O535" s="8"/>
      <c r="P535" s="8"/>
      <c r="Q535" s="89"/>
      <c r="R535" s="89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</row>
    <row r="536" spans="1:36" ht="12.75" x14ac:dyDescent="0.2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8"/>
      <c r="N536" s="88"/>
      <c r="O536" s="8"/>
      <c r="P536" s="8"/>
      <c r="Q536" s="89"/>
      <c r="R536" s="89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</row>
    <row r="537" spans="1:36" ht="12.75" x14ac:dyDescent="0.2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8"/>
      <c r="N537" s="88"/>
      <c r="O537" s="8"/>
      <c r="P537" s="8"/>
      <c r="Q537" s="89"/>
      <c r="R537" s="89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</row>
    <row r="538" spans="1:36" ht="12.75" x14ac:dyDescent="0.2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8"/>
      <c r="N538" s="88"/>
      <c r="O538" s="8"/>
      <c r="P538" s="8"/>
      <c r="Q538" s="89"/>
      <c r="R538" s="89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</row>
    <row r="539" spans="1:36" ht="12.75" x14ac:dyDescent="0.2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8"/>
      <c r="N539" s="88"/>
      <c r="O539" s="8"/>
      <c r="P539" s="8"/>
      <c r="Q539" s="89"/>
      <c r="R539" s="89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</row>
    <row r="540" spans="1:36" ht="12.75" x14ac:dyDescent="0.2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8"/>
      <c r="N540" s="88"/>
      <c r="O540" s="8"/>
      <c r="P540" s="8"/>
      <c r="Q540" s="89"/>
      <c r="R540" s="89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</row>
    <row r="541" spans="1:36" ht="12.75" x14ac:dyDescent="0.2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8"/>
      <c r="N541" s="88"/>
      <c r="O541" s="8"/>
      <c r="P541" s="8"/>
      <c r="Q541" s="89"/>
      <c r="R541" s="89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</row>
    <row r="542" spans="1:36" ht="12.75" x14ac:dyDescent="0.2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8"/>
      <c r="N542" s="88"/>
      <c r="O542" s="8"/>
      <c r="P542" s="8"/>
      <c r="Q542" s="89"/>
      <c r="R542" s="89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</row>
    <row r="543" spans="1:36" ht="12.75" x14ac:dyDescent="0.2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8"/>
      <c r="N543" s="88"/>
      <c r="O543" s="8"/>
      <c r="P543" s="8"/>
      <c r="Q543" s="89"/>
      <c r="R543" s="89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</row>
    <row r="544" spans="1:36" ht="12.75" x14ac:dyDescent="0.2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8"/>
      <c r="N544" s="88"/>
      <c r="O544" s="8"/>
      <c r="P544" s="8"/>
      <c r="Q544" s="89"/>
      <c r="R544" s="89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</row>
    <row r="545" spans="1:36" ht="12.75" x14ac:dyDescent="0.2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8"/>
      <c r="N545" s="88"/>
      <c r="O545" s="8"/>
      <c r="P545" s="8"/>
      <c r="Q545" s="89"/>
      <c r="R545" s="89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</row>
    <row r="546" spans="1:36" ht="12.75" x14ac:dyDescent="0.2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8"/>
      <c r="N546" s="88"/>
      <c r="O546" s="8"/>
      <c r="P546" s="8"/>
      <c r="Q546" s="89"/>
      <c r="R546" s="89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</row>
    <row r="547" spans="1:36" ht="12.75" x14ac:dyDescent="0.2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8"/>
      <c r="N547" s="88"/>
      <c r="O547" s="8"/>
      <c r="P547" s="8"/>
      <c r="Q547" s="89"/>
      <c r="R547" s="89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</row>
    <row r="548" spans="1:36" ht="12.75" x14ac:dyDescent="0.2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8"/>
      <c r="N548" s="88"/>
      <c r="O548" s="8"/>
      <c r="P548" s="8"/>
      <c r="Q548" s="89"/>
      <c r="R548" s="89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</row>
    <row r="549" spans="1:36" ht="12.75" x14ac:dyDescent="0.2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8"/>
      <c r="N549" s="88"/>
      <c r="O549" s="8"/>
      <c r="P549" s="8"/>
      <c r="Q549" s="89"/>
      <c r="R549" s="89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</row>
    <row r="550" spans="1:36" ht="12.75" x14ac:dyDescent="0.2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8"/>
      <c r="N550" s="88"/>
      <c r="O550" s="8"/>
      <c r="P550" s="8"/>
      <c r="Q550" s="89"/>
      <c r="R550" s="89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</row>
    <row r="551" spans="1:36" ht="12.75" x14ac:dyDescent="0.2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8"/>
      <c r="N551" s="88"/>
      <c r="O551" s="8"/>
      <c r="P551" s="8"/>
      <c r="Q551" s="89"/>
      <c r="R551" s="89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</row>
    <row r="552" spans="1:36" ht="12.75" x14ac:dyDescent="0.2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8"/>
      <c r="N552" s="88"/>
      <c r="O552" s="8"/>
      <c r="P552" s="8"/>
      <c r="Q552" s="89"/>
      <c r="R552" s="89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</row>
    <row r="553" spans="1:36" ht="12.75" x14ac:dyDescent="0.2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8"/>
      <c r="N553" s="88"/>
      <c r="O553" s="8"/>
      <c r="P553" s="8"/>
      <c r="Q553" s="89"/>
      <c r="R553" s="89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</row>
    <row r="554" spans="1:36" ht="12.75" x14ac:dyDescent="0.2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8"/>
      <c r="N554" s="88"/>
      <c r="O554" s="8"/>
      <c r="P554" s="8"/>
      <c r="Q554" s="89"/>
      <c r="R554" s="89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</row>
    <row r="555" spans="1:36" ht="12.75" x14ac:dyDescent="0.2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8"/>
      <c r="N555" s="88"/>
      <c r="O555" s="8"/>
      <c r="P555" s="8"/>
      <c r="Q555" s="89"/>
      <c r="R555" s="89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</row>
    <row r="556" spans="1:36" ht="12.75" x14ac:dyDescent="0.2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8"/>
      <c r="N556" s="88"/>
      <c r="O556" s="8"/>
      <c r="P556" s="8"/>
      <c r="Q556" s="89"/>
      <c r="R556" s="89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</row>
    <row r="557" spans="1:36" ht="12.75" x14ac:dyDescent="0.2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8"/>
      <c r="N557" s="88"/>
      <c r="O557" s="8"/>
      <c r="P557" s="8"/>
      <c r="Q557" s="89"/>
      <c r="R557" s="89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</row>
    <row r="558" spans="1:36" ht="12.75" x14ac:dyDescent="0.2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8"/>
      <c r="N558" s="88"/>
      <c r="O558" s="8"/>
      <c r="P558" s="8"/>
      <c r="Q558" s="89"/>
      <c r="R558" s="89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</row>
    <row r="559" spans="1:36" ht="12.75" x14ac:dyDescent="0.2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8"/>
      <c r="N559" s="88"/>
      <c r="O559" s="8"/>
      <c r="P559" s="8"/>
      <c r="Q559" s="89"/>
      <c r="R559" s="89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</row>
    <row r="560" spans="1:36" ht="12.75" x14ac:dyDescent="0.2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8"/>
      <c r="N560" s="88"/>
      <c r="O560" s="8"/>
      <c r="P560" s="8"/>
      <c r="Q560" s="89"/>
      <c r="R560" s="89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</row>
    <row r="561" spans="1:36" ht="12.75" x14ac:dyDescent="0.2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8"/>
      <c r="N561" s="88"/>
      <c r="O561" s="8"/>
      <c r="P561" s="8"/>
      <c r="Q561" s="89"/>
      <c r="R561" s="89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</row>
    <row r="562" spans="1:36" ht="12.75" x14ac:dyDescent="0.2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8"/>
      <c r="N562" s="88"/>
      <c r="O562" s="8"/>
      <c r="P562" s="8"/>
      <c r="Q562" s="89"/>
      <c r="R562" s="89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</row>
    <row r="563" spans="1:36" ht="12.75" x14ac:dyDescent="0.2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8"/>
      <c r="N563" s="88"/>
      <c r="O563" s="8"/>
      <c r="P563" s="8"/>
      <c r="Q563" s="89"/>
      <c r="R563" s="89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</row>
    <row r="564" spans="1:36" ht="12.75" x14ac:dyDescent="0.2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8"/>
      <c r="N564" s="88"/>
      <c r="O564" s="8"/>
      <c r="P564" s="8"/>
      <c r="Q564" s="89"/>
      <c r="R564" s="89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</row>
    <row r="565" spans="1:36" ht="12.75" x14ac:dyDescent="0.2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8"/>
      <c r="N565" s="88"/>
      <c r="O565" s="8"/>
      <c r="P565" s="8"/>
      <c r="Q565" s="89"/>
      <c r="R565" s="89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</row>
    <row r="566" spans="1:36" ht="12.75" x14ac:dyDescent="0.2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8"/>
      <c r="N566" s="88"/>
      <c r="O566" s="8"/>
      <c r="P566" s="8"/>
      <c r="Q566" s="89"/>
      <c r="R566" s="89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</row>
    <row r="567" spans="1:36" ht="12.75" x14ac:dyDescent="0.2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8"/>
      <c r="N567" s="88"/>
      <c r="O567" s="8"/>
      <c r="P567" s="8"/>
      <c r="Q567" s="89"/>
      <c r="R567" s="89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</row>
    <row r="568" spans="1:36" ht="12.75" x14ac:dyDescent="0.2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8"/>
      <c r="N568" s="88"/>
      <c r="O568" s="8"/>
      <c r="P568" s="8"/>
      <c r="Q568" s="89"/>
      <c r="R568" s="89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</row>
    <row r="569" spans="1:36" ht="12.75" x14ac:dyDescent="0.2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8"/>
      <c r="N569" s="88"/>
      <c r="O569" s="8"/>
      <c r="P569" s="8"/>
      <c r="Q569" s="89"/>
      <c r="R569" s="89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</row>
    <row r="570" spans="1:36" ht="12.75" x14ac:dyDescent="0.2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8"/>
      <c r="N570" s="88"/>
      <c r="O570" s="8"/>
      <c r="P570" s="8"/>
      <c r="Q570" s="89"/>
      <c r="R570" s="89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</row>
    <row r="571" spans="1:36" ht="12.75" x14ac:dyDescent="0.2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8"/>
      <c r="N571" s="88"/>
      <c r="O571" s="8"/>
      <c r="P571" s="8"/>
      <c r="Q571" s="89"/>
      <c r="R571" s="89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</row>
    <row r="572" spans="1:36" ht="12.75" x14ac:dyDescent="0.2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8"/>
      <c r="N572" s="88"/>
      <c r="O572" s="8"/>
      <c r="P572" s="8"/>
      <c r="Q572" s="89"/>
      <c r="R572" s="89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</row>
    <row r="573" spans="1:36" ht="12.75" x14ac:dyDescent="0.2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8"/>
      <c r="N573" s="88"/>
      <c r="O573" s="8"/>
      <c r="P573" s="8"/>
      <c r="Q573" s="89"/>
      <c r="R573" s="89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</row>
    <row r="574" spans="1:36" ht="12.75" x14ac:dyDescent="0.2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8"/>
      <c r="N574" s="88"/>
      <c r="O574" s="8"/>
      <c r="P574" s="8"/>
      <c r="Q574" s="89"/>
      <c r="R574" s="89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</row>
    <row r="575" spans="1:36" ht="12.75" x14ac:dyDescent="0.2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8"/>
      <c r="N575" s="88"/>
      <c r="O575" s="8"/>
      <c r="P575" s="8"/>
      <c r="Q575" s="89"/>
      <c r="R575" s="89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</row>
    <row r="576" spans="1:36" ht="12.75" x14ac:dyDescent="0.2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8"/>
      <c r="N576" s="88"/>
      <c r="O576" s="8"/>
      <c r="P576" s="8"/>
      <c r="Q576" s="89"/>
      <c r="R576" s="89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</row>
    <row r="577" spans="1:36" ht="12.75" x14ac:dyDescent="0.2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8"/>
      <c r="N577" s="88"/>
      <c r="O577" s="8"/>
      <c r="P577" s="8"/>
      <c r="Q577" s="89"/>
      <c r="R577" s="89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</row>
    <row r="578" spans="1:36" ht="12.75" x14ac:dyDescent="0.2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8"/>
      <c r="N578" s="88"/>
      <c r="O578" s="8"/>
      <c r="P578" s="8"/>
      <c r="Q578" s="89"/>
      <c r="R578" s="89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</row>
    <row r="579" spans="1:36" ht="12.75" x14ac:dyDescent="0.2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8"/>
      <c r="N579" s="88"/>
      <c r="O579" s="8"/>
      <c r="P579" s="8"/>
      <c r="Q579" s="89"/>
      <c r="R579" s="89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</row>
    <row r="580" spans="1:36" ht="12.75" x14ac:dyDescent="0.2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8"/>
      <c r="N580" s="88"/>
      <c r="O580" s="8"/>
      <c r="P580" s="8"/>
      <c r="Q580" s="89"/>
      <c r="R580" s="89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</row>
    <row r="581" spans="1:36" ht="12.75" x14ac:dyDescent="0.2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8"/>
      <c r="N581" s="88"/>
      <c r="O581" s="8"/>
      <c r="P581" s="8"/>
      <c r="Q581" s="89"/>
      <c r="R581" s="89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</row>
    <row r="582" spans="1:36" ht="12.75" x14ac:dyDescent="0.2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8"/>
      <c r="N582" s="88"/>
      <c r="O582" s="8"/>
      <c r="P582" s="8"/>
      <c r="Q582" s="89"/>
      <c r="R582" s="89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</row>
    <row r="583" spans="1:36" ht="12.75" x14ac:dyDescent="0.2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8"/>
      <c r="N583" s="88"/>
      <c r="O583" s="8"/>
      <c r="P583" s="8"/>
      <c r="Q583" s="89"/>
      <c r="R583" s="89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</row>
    <row r="584" spans="1:36" ht="12.75" x14ac:dyDescent="0.2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8"/>
      <c r="N584" s="88"/>
      <c r="O584" s="8"/>
      <c r="P584" s="8"/>
      <c r="Q584" s="89"/>
      <c r="R584" s="89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</row>
    <row r="585" spans="1:36" ht="12.75" x14ac:dyDescent="0.2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8"/>
      <c r="N585" s="88"/>
      <c r="O585" s="8"/>
      <c r="P585" s="8"/>
      <c r="Q585" s="89"/>
      <c r="R585" s="89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</row>
    <row r="586" spans="1:36" ht="12.75" x14ac:dyDescent="0.2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8"/>
      <c r="N586" s="88"/>
      <c r="O586" s="8"/>
      <c r="P586" s="8"/>
      <c r="Q586" s="89"/>
      <c r="R586" s="89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</row>
    <row r="587" spans="1:36" ht="12.75" x14ac:dyDescent="0.2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8"/>
      <c r="N587" s="88"/>
      <c r="O587" s="8"/>
      <c r="P587" s="8"/>
      <c r="Q587" s="89"/>
      <c r="R587" s="89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</row>
    <row r="588" spans="1:36" ht="12.75" x14ac:dyDescent="0.2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8"/>
      <c r="N588" s="88"/>
      <c r="O588" s="8"/>
      <c r="P588" s="8"/>
      <c r="Q588" s="89"/>
      <c r="R588" s="89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</row>
    <row r="589" spans="1:36" ht="12.75" x14ac:dyDescent="0.2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8"/>
      <c r="N589" s="88"/>
      <c r="O589" s="8"/>
      <c r="P589" s="8"/>
      <c r="Q589" s="89"/>
      <c r="R589" s="89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</row>
    <row r="590" spans="1:36" ht="12.75" x14ac:dyDescent="0.2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8"/>
      <c r="N590" s="88"/>
      <c r="O590" s="8"/>
      <c r="P590" s="8"/>
      <c r="Q590" s="89"/>
      <c r="R590" s="89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</row>
    <row r="591" spans="1:36" ht="12.75" x14ac:dyDescent="0.2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8"/>
      <c r="N591" s="88"/>
      <c r="O591" s="8"/>
      <c r="P591" s="8"/>
      <c r="Q591" s="89"/>
      <c r="R591" s="89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</row>
    <row r="592" spans="1:36" ht="12.75" x14ac:dyDescent="0.2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8"/>
      <c r="N592" s="88"/>
      <c r="O592" s="8"/>
      <c r="P592" s="8"/>
      <c r="Q592" s="89"/>
      <c r="R592" s="89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</row>
    <row r="593" spans="1:36" ht="12.75" x14ac:dyDescent="0.2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8"/>
      <c r="N593" s="88"/>
      <c r="O593" s="8"/>
      <c r="P593" s="8"/>
      <c r="Q593" s="89"/>
      <c r="R593" s="89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</row>
    <row r="594" spans="1:36" ht="12.75" x14ac:dyDescent="0.2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8"/>
      <c r="N594" s="88"/>
      <c r="O594" s="8"/>
      <c r="P594" s="8"/>
      <c r="Q594" s="89"/>
      <c r="R594" s="89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</row>
    <row r="595" spans="1:36" ht="12.75" x14ac:dyDescent="0.2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8"/>
      <c r="N595" s="88"/>
      <c r="O595" s="8"/>
      <c r="P595" s="8"/>
      <c r="Q595" s="89"/>
      <c r="R595" s="89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</row>
    <row r="596" spans="1:36" ht="12.75" x14ac:dyDescent="0.2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8"/>
      <c r="N596" s="88"/>
      <c r="O596" s="8"/>
      <c r="P596" s="8"/>
      <c r="Q596" s="89"/>
      <c r="R596" s="89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</row>
    <row r="597" spans="1:36" ht="12.75" x14ac:dyDescent="0.2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8"/>
      <c r="N597" s="88"/>
      <c r="O597" s="8"/>
      <c r="P597" s="8"/>
      <c r="Q597" s="89"/>
      <c r="R597" s="89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</row>
    <row r="598" spans="1:36" ht="12.75" x14ac:dyDescent="0.2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8"/>
      <c r="N598" s="88"/>
      <c r="O598" s="8"/>
      <c r="P598" s="8"/>
      <c r="Q598" s="89"/>
      <c r="R598" s="89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</row>
    <row r="599" spans="1:36" ht="12.75" x14ac:dyDescent="0.2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8"/>
      <c r="N599" s="88"/>
      <c r="O599" s="8"/>
      <c r="P599" s="8"/>
      <c r="Q599" s="89"/>
      <c r="R599" s="89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</row>
    <row r="600" spans="1:36" ht="12.75" x14ac:dyDescent="0.2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8"/>
      <c r="N600" s="88"/>
      <c r="O600" s="8"/>
      <c r="P600" s="8"/>
      <c r="Q600" s="89"/>
      <c r="R600" s="89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</row>
    <row r="601" spans="1:36" ht="12.75" x14ac:dyDescent="0.2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8"/>
      <c r="N601" s="88"/>
      <c r="O601" s="8"/>
      <c r="P601" s="8"/>
      <c r="Q601" s="89"/>
      <c r="R601" s="89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</row>
    <row r="602" spans="1:36" ht="12.75" x14ac:dyDescent="0.2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8"/>
      <c r="N602" s="88"/>
      <c r="O602" s="8"/>
      <c r="P602" s="8"/>
      <c r="Q602" s="89"/>
      <c r="R602" s="89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</row>
    <row r="603" spans="1:36" ht="12.75" x14ac:dyDescent="0.2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8"/>
      <c r="N603" s="88"/>
      <c r="O603" s="8"/>
      <c r="P603" s="8"/>
      <c r="Q603" s="89"/>
      <c r="R603" s="89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</row>
    <row r="604" spans="1:36" ht="12.75" x14ac:dyDescent="0.2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8"/>
      <c r="N604" s="88"/>
      <c r="O604" s="8"/>
      <c r="P604" s="8"/>
      <c r="Q604" s="89"/>
      <c r="R604" s="89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</row>
    <row r="605" spans="1:36" ht="12.75" x14ac:dyDescent="0.2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8"/>
      <c r="N605" s="88"/>
      <c r="O605" s="8"/>
      <c r="P605" s="8"/>
      <c r="Q605" s="89"/>
      <c r="R605" s="89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</row>
    <row r="606" spans="1:36" ht="12.75" x14ac:dyDescent="0.2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8"/>
      <c r="N606" s="88"/>
      <c r="O606" s="8"/>
      <c r="P606" s="8"/>
      <c r="Q606" s="89"/>
      <c r="R606" s="89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</row>
    <row r="607" spans="1:36" ht="12.75" x14ac:dyDescent="0.2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8"/>
      <c r="N607" s="88"/>
      <c r="O607" s="8"/>
      <c r="P607" s="8"/>
      <c r="Q607" s="89"/>
      <c r="R607" s="89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</row>
    <row r="608" spans="1:36" ht="12.75" x14ac:dyDescent="0.2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8"/>
      <c r="N608" s="88"/>
      <c r="O608" s="8"/>
      <c r="P608" s="8"/>
      <c r="Q608" s="89"/>
      <c r="R608" s="89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</row>
    <row r="609" spans="1:36" ht="12.75" x14ac:dyDescent="0.2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8"/>
      <c r="N609" s="88"/>
      <c r="O609" s="8"/>
      <c r="P609" s="8"/>
      <c r="Q609" s="89"/>
      <c r="R609" s="89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</row>
    <row r="610" spans="1:36" ht="12.75" x14ac:dyDescent="0.2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8"/>
      <c r="N610" s="88"/>
      <c r="O610" s="8"/>
      <c r="P610" s="8"/>
      <c r="Q610" s="89"/>
      <c r="R610" s="89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</row>
    <row r="611" spans="1:36" ht="12.75" x14ac:dyDescent="0.2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8"/>
      <c r="N611" s="88"/>
      <c r="O611" s="8"/>
      <c r="P611" s="8"/>
      <c r="Q611" s="89"/>
      <c r="R611" s="89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</row>
    <row r="612" spans="1:36" ht="12.75" x14ac:dyDescent="0.2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8"/>
      <c r="N612" s="88"/>
      <c r="O612" s="8"/>
      <c r="P612" s="8"/>
      <c r="Q612" s="89"/>
      <c r="R612" s="89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</row>
    <row r="613" spans="1:36" ht="12.75" x14ac:dyDescent="0.2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8"/>
      <c r="N613" s="88"/>
      <c r="O613" s="8"/>
      <c r="P613" s="8"/>
      <c r="Q613" s="89"/>
      <c r="R613" s="89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</row>
    <row r="614" spans="1:36" ht="12.75" x14ac:dyDescent="0.2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8"/>
      <c r="N614" s="88"/>
      <c r="O614" s="8"/>
      <c r="P614" s="8"/>
      <c r="Q614" s="89"/>
      <c r="R614" s="89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</row>
    <row r="615" spans="1:36" ht="12.75" x14ac:dyDescent="0.2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8"/>
      <c r="N615" s="88"/>
      <c r="O615" s="8"/>
      <c r="P615" s="8"/>
      <c r="Q615" s="89"/>
      <c r="R615" s="89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</row>
    <row r="616" spans="1:36" ht="12.75" x14ac:dyDescent="0.2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8"/>
      <c r="N616" s="88"/>
      <c r="O616" s="8"/>
      <c r="P616" s="8"/>
      <c r="Q616" s="89"/>
      <c r="R616" s="89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</row>
    <row r="617" spans="1:36" ht="12.75" x14ac:dyDescent="0.2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8"/>
      <c r="N617" s="88"/>
      <c r="O617" s="8"/>
      <c r="P617" s="8"/>
      <c r="Q617" s="89"/>
      <c r="R617" s="89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</row>
    <row r="618" spans="1:36" ht="12.75" x14ac:dyDescent="0.2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8"/>
      <c r="N618" s="88"/>
      <c r="O618" s="8"/>
      <c r="P618" s="8"/>
      <c r="Q618" s="89"/>
      <c r="R618" s="89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</row>
    <row r="619" spans="1:36" ht="12.75" x14ac:dyDescent="0.2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8"/>
      <c r="N619" s="88"/>
      <c r="O619" s="8"/>
      <c r="P619" s="8"/>
      <c r="Q619" s="89"/>
      <c r="R619" s="89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</row>
    <row r="620" spans="1:36" ht="12.75" x14ac:dyDescent="0.2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8"/>
      <c r="N620" s="88"/>
      <c r="O620" s="8"/>
      <c r="P620" s="8"/>
      <c r="Q620" s="89"/>
      <c r="R620" s="89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</row>
    <row r="621" spans="1:36" ht="12.75" x14ac:dyDescent="0.2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8"/>
      <c r="N621" s="88"/>
      <c r="O621" s="8"/>
      <c r="P621" s="8"/>
      <c r="Q621" s="89"/>
      <c r="R621" s="89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</row>
    <row r="622" spans="1:36" ht="12.75" x14ac:dyDescent="0.2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8"/>
      <c r="N622" s="88"/>
      <c r="O622" s="8"/>
      <c r="P622" s="8"/>
      <c r="Q622" s="89"/>
      <c r="R622" s="89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</row>
    <row r="623" spans="1:36" ht="12.75" x14ac:dyDescent="0.2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8"/>
      <c r="N623" s="88"/>
      <c r="O623" s="8"/>
      <c r="P623" s="8"/>
      <c r="Q623" s="89"/>
      <c r="R623" s="89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</row>
    <row r="624" spans="1:36" ht="12.75" x14ac:dyDescent="0.2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8"/>
      <c r="N624" s="88"/>
      <c r="O624" s="8"/>
      <c r="P624" s="8"/>
      <c r="Q624" s="89"/>
      <c r="R624" s="89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</row>
    <row r="625" spans="1:36" ht="12.75" x14ac:dyDescent="0.2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8"/>
      <c r="N625" s="88"/>
      <c r="O625" s="8"/>
      <c r="P625" s="8"/>
      <c r="Q625" s="89"/>
      <c r="R625" s="89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</row>
    <row r="626" spans="1:36" ht="12.75" x14ac:dyDescent="0.2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8"/>
      <c r="N626" s="88"/>
      <c r="O626" s="8"/>
      <c r="P626" s="8"/>
      <c r="Q626" s="89"/>
      <c r="R626" s="89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</row>
    <row r="627" spans="1:36" ht="12.75" x14ac:dyDescent="0.2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8"/>
      <c r="N627" s="88"/>
      <c r="O627" s="8"/>
      <c r="P627" s="8"/>
      <c r="Q627" s="89"/>
      <c r="R627" s="89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</row>
    <row r="628" spans="1:36" ht="12.75" x14ac:dyDescent="0.2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8"/>
      <c r="N628" s="88"/>
      <c r="O628" s="8"/>
      <c r="P628" s="8"/>
      <c r="Q628" s="89"/>
      <c r="R628" s="89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</row>
    <row r="629" spans="1:36" ht="12.75" x14ac:dyDescent="0.2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8"/>
      <c r="N629" s="88"/>
      <c r="O629" s="8"/>
      <c r="P629" s="8"/>
      <c r="Q629" s="89"/>
      <c r="R629" s="89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</row>
    <row r="630" spans="1:36" ht="12.75" x14ac:dyDescent="0.2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8"/>
      <c r="N630" s="88"/>
      <c r="O630" s="8"/>
      <c r="P630" s="8"/>
      <c r="Q630" s="89"/>
      <c r="R630" s="89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</row>
    <row r="631" spans="1:36" ht="12.75" x14ac:dyDescent="0.2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8"/>
      <c r="N631" s="88"/>
      <c r="O631" s="8"/>
      <c r="P631" s="8"/>
      <c r="Q631" s="89"/>
      <c r="R631" s="89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</row>
    <row r="632" spans="1:36" ht="12.75" x14ac:dyDescent="0.2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8"/>
      <c r="N632" s="88"/>
      <c r="O632" s="8"/>
      <c r="P632" s="8"/>
      <c r="Q632" s="89"/>
      <c r="R632" s="89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</row>
    <row r="633" spans="1:36" ht="12.75" x14ac:dyDescent="0.2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8"/>
      <c r="N633" s="88"/>
      <c r="O633" s="8"/>
      <c r="P633" s="8"/>
      <c r="Q633" s="89"/>
      <c r="R633" s="89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</row>
    <row r="634" spans="1:36" ht="12.75" x14ac:dyDescent="0.2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8"/>
      <c r="N634" s="88"/>
      <c r="O634" s="8"/>
      <c r="P634" s="8"/>
      <c r="Q634" s="89"/>
      <c r="R634" s="89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</row>
    <row r="635" spans="1:36" ht="12.75" x14ac:dyDescent="0.2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8"/>
      <c r="N635" s="88"/>
      <c r="O635" s="8"/>
      <c r="P635" s="8"/>
      <c r="Q635" s="89"/>
      <c r="R635" s="89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</row>
    <row r="636" spans="1:36" ht="12.75" x14ac:dyDescent="0.2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8"/>
      <c r="N636" s="88"/>
      <c r="O636" s="8"/>
      <c r="P636" s="8"/>
      <c r="Q636" s="89"/>
      <c r="R636" s="89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</row>
    <row r="637" spans="1:36" ht="12.75" x14ac:dyDescent="0.2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8"/>
      <c r="N637" s="88"/>
      <c r="O637" s="8"/>
      <c r="P637" s="8"/>
      <c r="Q637" s="89"/>
      <c r="R637" s="89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</row>
    <row r="638" spans="1:36" ht="12.75" x14ac:dyDescent="0.2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8"/>
      <c r="N638" s="88"/>
      <c r="O638" s="8"/>
      <c r="P638" s="8"/>
      <c r="Q638" s="89"/>
      <c r="R638" s="89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</row>
    <row r="639" spans="1:36" ht="12.75" x14ac:dyDescent="0.2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8"/>
      <c r="N639" s="88"/>
      <c r="O639" s="8"/>
      <c r="P639" s="8"/>
      <c r="Q639" s="89"/>
      <c r="R639" s="89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</row>
    <row r="640" spans="1:36" ht="12.75" x14ac:dyDescent="0.2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8"/>
      <c r="N640" s="88"/>
      <c r="O640" s="8"/>
      <c r="P640" s="8"/>
      <c r="Q640" s="89"/>
      <c r="R640" s="89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</row>
    <row r="641" spans="1:36" ht="12.75" x14ac:dyDescent="0.2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8"/>
      <c r="N641" s="88"/>
      <c r="O641" s="8"/>
      <c r="P641" s="8"/>
      <c r="Q641" s="89"/>
      <c r="R641" s="89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</row>
    <row r="642" spans="1:36" ht="12.75" x14ac:dyDescent="0.2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8"/>
      <c r="N642" s="88"/>
      <c r="O642" s="8"/>
      <c r="P642" s="8"/>
      <c r="Q642" s="89"/>
      <c r="R642" s="89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</row>
    <row r="643" spans="1:36" ht="12.75" x14ac:dyDescent="0.2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8"/>
      <c r="N643" s="88"/>
      <c r="O643" s="8"/>
      <c r="P643" s="8"/>
      <c r="Q643" s="89"/>
      <c r="R643" s="89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</row>
    <row r="644" spans="1:36" ht="12.75" x14ac:dyDescent="0.2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8"/>
      <c r="N644" s="88"/>
      <c r="O644" s="8"/>
      <c r="P644" s="8"/>
      <c r="Q644" s="89"/>
      <c r="R644" s="89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</row>
    <row r="645" spans="1:36" ht="12.75" x14ac:dyDescent="0.2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8"/>
      <c r="N645" s="88"/>
      <c r="O645" s="8"/>
      <c r="P645" s="8"/>
      <c r="Q645" s="89"/>
      <c r="R645" s="89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</row>
    <row r="646" spans="1:36" ht="12.75" x14ac:dyDescent="0.2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8"/>
      <c r="N646" s="88"/>
      <c r="O646" s="8"/>
      <c r="P646" s="8"/>
      <c r="Q646" s="89"/>
      <c r="R646" s="89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</row>
    <row r="647" spans="1:36" ht="12.75" x14ac:dyDescent="0.2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8"/>
      <c r="N647" s="88"/>
      <c r="O647" s="8"/>
      <c r="P647" s="8"/>
      <c r="Q647" s="89"/>
      <c r="R647" s="89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</row>
    <row r="648" spans="1:36" ht="12.75" x14ac:dyDescent="0.2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8"/>
      <c r="N648" s="88"/>
      <c r="O648" s="8"/>
      <c r="P648" s="8"/>
      <c r="Q648" s="89"/>
      <c r="R648" s="89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</row>
    <row r="649" spans="1:36" ht="12.75" x14ac:dyDescent="0.2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8"/>
      <c r="N649" s="88"/>
      <c r="O649" s="8"/>
      <c r="P649" s="8"/>
      <c r="Q649" s="89"/>
      <c r="R649" s="89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</row>
    <row r="650" spans="1:36" ht="12.75" x14ac:dyDescent="0.2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8"/>
      <c r="N650" s="88"/>
      <c r="O650" s="8"/>
      <c r="P650" s="8"/>
      <c r="Q650" s="89"/>
      <c r="R650" s="89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</row>
    <row r="651" spans="1:36" ht="12.75" x14ac:dyDescent="0.2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8"/>
      <c r="N651" s="88"/>
      <c r="O651" s="8"/>
      <c r="P651" s="8"/>
      <c r="Q651" s="89"/>
      <c r="R651" s="89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</row>
    <row r="652" spans="1:36" ht="12.75" x14ac:dyDescent="0.2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8"/>
      <c r="N652" s="88"/>
      <c r="O652" s="8"/>
      <c r="P652" s="8"/>
      <c r="Q652" s="89"/>
      <c r="R652" s="89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</row>
    <row r="653" spans="1:36" ht="12.75" x14ac:dyDescent="0.2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8"/>
      <c r="N653" s="88"/>
      <c r="O653" s="8"/>
      <c r="P653" s="8"/>
      <c r="Q653" s="89"/>
      <c r="R653" s="89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</row>
    <row r="654" spans="1:36" ht="12.75" x14ac:dyDescent="0.2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8"/>
      <c r="N654" s="88"/>
      <c r="O654" s="8"/>
      <c r="P654" s="8"/>
      <c r="Q654" s="89"/>
      <c r="R654" s="89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</row>
    <row r="655" spans="1:36" ht="12.75" x14ac:dyDescent="0.2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8"/>
      <c r="N655" s="88"/>
      <c r="O655" s="8"/>
      <c r="P655" s="8"/>
      <c r="Q655" s="89"/>
      <c r="R655" s="89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</row>
    <row r="656" spans="1:36" ht="12.75" x14ac:dyDescent="0.2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8"/>
      <c r="N656" s="88"/>
      <c r="O656" s="8"/>
      <c r="P656" s="8"/>
      <c r="Q656" s="89"/>
      <c r="R656" s="89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</row>
    <row r="657" spans="1:36" ht="12.75" x14ac:dyDescent="0.2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8"/>
      <c r="N657" s="88"/>
      <c r="O657" s="8"/>
      <c r="P657" s="8"/>
      <c r="Q657" s="89"/>
      <c r="R657" s="89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</row>
    <row r="658" spans="1:36" ht="12.75" x14ac:dyDescent="0.2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8"/>
      <c r="N658" s="88"/>
      <c r="O658" s="8"/>
      <c r="P658" s="8"/>
      <c r="Q658" s="89"/>
      <c r="R658" s="89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</row>
    <row r="659" spans="1:36" ht="12.75" x14ac:dyDescent="0.2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8"/>
      <c r="N659" s="88"/>
      <c r="O659" s="8"/>
      <c r="P659" s="8"/>
      <c r="Q659" s="89"/>
      <c r="R659" s="89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</row>
    <row r="660" spans="1:36" ht="12.75" x14ac:dyDescent="0.2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8"/>
      <c r="N660" s="88"/>
      <c r="O660" s="8"/>
      <c r="P660" s="8"/>
      <c r="Q660" s="89"/>
      <c r="R660" s="89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</row>
    <row r="661" spans="1:36" ht="12.75" x14ac:dyDescent="0.2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8"/>
      <c r="N661" s="88"/>
      <c r="O661" s="8"/>
      <c r="P661" s="8"/>
      <c r="Q661" s="89"/>
      <c r="R661" s="89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</row>
    <row r="662" spans="1:36" ht="12.75" x14ac:dyDescent="0.2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8"/>
      <c r="N662" s="88"/>
      <c r="O662" s="8"/>
      <c r="P662" s="8"/>
      <c r="Q662" s="89"/>
      <c r="R662" s="89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</row>
    <row r="663" spans="1:36" ht="12.75" x14ac:dyDescent="0.2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8"/>
      <c r="N663" s="88"/>
      <c r="O663" s="8"/>
      <c r="P663" s="8"/>
      <c r="Q663" s="89"/>
      <c r="R663" s="89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</row>
    <row r="664" spans="1:36" ht="12.75" x14ac:dyDescent="0.2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8"/>
      <c r="N664" s="88"/>
      <c r="O664" s="8"/>
      <c r="P664" s="8"/>
      <c r="Q664" s="89"/>
      <c r="R664" s="89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</row>
    <row r="665" spans="1:36" ht="12.75" x14ac:dyDescent="0.2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8"/>
      <c r="N665" s="88"/>
      <c r="O665" s="8"/>
      <c r="P665" s="8"/>
      <c r="Q665" s="89"/>
      <c r="R665" s="89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</row>
    <row r="666" spans="1:36" ht="12.75" x14ac:dyDescent="0.2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8"/>
      <c r="N666" s="88"/>
      <c r="O666" s="8"/>
      <c r="P666" s="8"/>
      <c r="Q666" s="89"/>
      <c r="R666" s="89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</row>
    <row r="667" spans="1:36" ht="12.75" x14ac:dyDescent="0.2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8"/>
      <c r="N667" s="88"/>
      <c r="O667" s="8"/>
      <c r="P667" s="8"/>
      <c r="Q667" s="89"/>
      <c r="R667" s="89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</row>
    <row r="668" spans="1:36" ht="12.75" x14ac:dyDescent="0.2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8"/>
      <c r="N668" s="88"/>
      <c r="O668" s="8"/>
      <c r="P668" s="8"/>
      <c r="Q668" s="89"/>
      <c r="R668" s="89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</row>
    <row r="669" spans="1:36" ht="12.75" x14ac:dyDescent="0.2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8"/>
      <c r="N669" s="88"/>
      <c r="O669" s="8"/>
      <c r="P669" s="8"/>
      <c r="Q669" s="89"/>
      <c r="R669" s="89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</row>
    <row r="670" spans="1:36" ht="12.75" x14ac:dyDescent="0.2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8"/>
      <c r="N670" s="88"/>
      <c r="O670" s="8"/>
      <c r="P670" s="8"/>
      <c r="Q670" s="89"/>
      <c r="R670" s="89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</row>
    <row r="671" spans="1:36" ht="12.75" x14ac:dyDescent="0.2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8"/>
      <c r="N671" s="88"/>
      <c r="O671" s="8"/>
      <c r="P671" s="8"/>
      <c r="Q671" s="89"/>
      <c r="R671" s="89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</row>
    <row r="672" spans="1:36" ht="12.75" x14ac:dyDescent="0.2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8"/>
      <c r="N672" s="88"/>
      <c r="O672" s="8"/>
      <c r="P672" s="8"/>
      <c r="Q672" s="89"/>
      <c r="R672" s="89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</row>
    <row r="673" spans="1:36" ht="12.75" x14ac:dyDescent="0.2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8"/>
      <c r="N673" s="88"/>
      <c r="O673" s="8"/>
      <c r="P673" s="8"/>
      <c r="Q673" s="89"/>
      <c r="R673" s="89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</row>
    <row r="674" spans="1:36" ht="12.75" x14ac:dyDescent="0.2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8"/>
      <c r="N674" s="88"/>
      <c r="O674" s="8"/>
      <c r="P674" s="8"/>
      <c r="Q674" s="89"/>
      <c r="R674" s="89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</row>
    <row r="675" spans="1:36" ht="12.75" x14ac:dyDescent="0.2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8"/>
      <c r="N675" s="88"/>
      <c r="O675" s="8"/>
      <c r="P675" s="8"/>
      <c r="Q675" s="89"/>
      <c r="R675" s="89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</row>
    <row r="676" spans="1:36" ht="12.75" x14ac:dyDescent="0.2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8"/>
      <c r="N676" s="88"/>
      <c r="O676" s="8"/>
      <c r="P676" s="8"/>
      <c r="Q676" s="89"/>
      <c r="R676" s="89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</row>
    <row r="677" spans="1:36" ht="12.75" x14ac:dyDescent="0.2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8"/>
      <c r="N677" s="88"/>
      <c r="O677" s="8"/>
      <c r="P677" s="8"/>
      <c r="Q677" s="89"/>
      <c r="R677" s="89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</row>
    <row r="678" spans="1:36" ht="12.75" x14ac:dyDescent="0.2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8"/>
      <c r="N678" s="88"/>
      <c r="O678" s="8"/>
      <c r="P678" s="8"/>
      <c r="Q678" s="89"/>
      <c r="R678" s="89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</row>
    <row r="679" spans="1:36" ht="12.75" x14ac:dyDescent="0.2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8"/>
      <c r="N679" s="88"/>
      <c r="O679" s="8"/>
      <c r="P679" s="8"/>
      <c r="Q679" s="89"/>
      <c r="R679" s="89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</row>
    <row r="680" spans="1:36" ht="12.75" x14ac:dyDescent="0.2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8"/>
      <c r="N680" s="88"/>
      <c r="O680" s="8"/>
      <c r="P680" s="8"/>
      <c r="Q680" s="89"/>
      <c r="R680" s="89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</row>
    <row r="681" spans="1:36" ht="12.75" x14ac:dyDescent="0.2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8"/>
      <c r="N681" s="88"/>
      <c r="O681" s="8"/>
      <c r="P681" s="8"/>
      <c r="Q681" s="89"/>
      <c r="R681" s="89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</row>
    <row r="682" spans="1:36" ht="12.75" x14ac:dyDescent="0.2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8"/>
      <c r="N682" s="88"/>
      <c r="O682" s="8"/>
      <c r="P682" s="8"/>
      <c r="Q682" s="89"/>
      <c r="R682" s="89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</row>
    <row r="683" spans="1:36" ht="12.75" x14ac:dyDescent="0.2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8"/>
      <c r="N683" s="88"/>
      <c r="O683" s="8"/>
      <c r="P683" s="8"/>
      <c r="Q683" s="89"/>
      <c r="R683" s="89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</row>
    <row r="684" spans="1:36" ht="12.75" x14ac:dyDescent="0.2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8"/>
      <c r="N684" s="88"/>
      <c r="O684" s="8"/>
      <c r="P684" s="8"/>
      <c r="Q684" s="89"/>
      <c r="R684" s="89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</row>
    <row r="685" spans="1:36" ht="12.75" x14ac:dyDescent="0.2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8"/>
      <c r="N685" s="88"/>
      <c r="O685" s="8"/>
      <c r="P685" s="8"/>
      <c r="Q685" s="89"/>
      <c r="R685" s="89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</row>
    <row r="686" spans="1:36" ht="12.75" x14ac:dyDescent="0.2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8"/>
      <c r="N686" s="88"/>
      <c r="O686" s="8"/>
      <c r="P686" s="8"/>
      <c r="Q686" s="89"/>
      <c r="R686" s="89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</row>
    <row r="687" spans="1:36" ht="12.75" x14ac:dyDescent="0.2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8"/>
      <c r="N687" s="88"/>
      <c r="O687" s="8"/>
      <c r="P687" s="8"/>
      <c r="Q687" s="89"/>
      <c r="R687" s="89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</row>
    <row r="688" spans="1:36" ht="12.75" x14ac:dyDescent="0.2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8"/>
      <c r="N688" s="88"/>
      <c r="O688" s="8"/>
      <c r="P688" s="8"/>
      <c r="Q688" s="89"/>
      <c r="R688" s="89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</row>
    <row r="689" spans="1:36" ht="12.75" x14ac:dyDescent="0.2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8"/>
      <c r="N689" s="88"/>
      <c r="O689" s="8"/>
      <c r="P689" s="8"/>
      <c r="Q689" s="89"/>
      <c r="R689" s="89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</row>
    <row r="690" spans="1:36" ht="12.75" x14ac:dyDescent="0.2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8"/>
      <c r="N690" s="88"/>
      <c r="O690" s="8"/>
      <c r="P690" s="8"/>
      <c r="Q690" s="89"/>
      <c r="R690" s="89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</row>
    <row r="691" spans="1:36" ht="12.75" x14ac:dyDescent="0.2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8"/>
      <c r="N691" s="88"/>
      <c r="O691" s="8"/>
      <c r="P691" s="8"/>
      <c r="Q691" s="89"/>
      <c r="R691" s="89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</row>
    <row r="692" spans="1:36" ht="12.75" x14ac:dyDescent="0.2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8"/>
      <c r="N692" s="88"/>
      <c r="O692" s="8"/>
      <c r="P692" s="8"/>
      <c r="Q692" s="89"/>
      <c r="R692" s="89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</row>
    <row r="693" spans="1:36" ht="12.75" x14ac:dyDescent="0.2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8"/>
      <c r="N693" s="88"/>
      <c r="O693" s="8"/>
      <c r="P693" s="8"/>
      <c r="Q693" s="89"/>
      <c r="R693" s="89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</row>
    <row r="694" spans="1:36" ht="12.75" x14ac:dyDescent="0.2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8"/>
      <c r="N694" s="88"/>
      <c r="O694" s="8"/>
      <c r="P694" s="8"/>
      <c r="Q694" s="89"/>
      <c r="R694" s="89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</row>
    <row r="695" spans="1:36" ht="12.75" x14ac:dyDescent="0.2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8"/>
      <c r="N695" s="88"/>
      <c r="O695" s="8"/>
      <c r="P695" s="8"/>
      <c r="Q695" s="89"/>
      <c r="R695" s="89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</row>
    <row r="696" spans="1:36" ht="12.75" x14ac:dyDescent="0.2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8"/>
      <c r="N696" s="88"/>
      <c r="O696" s="8"/>
      <c r="P696" s="8"/>
      <c r="Q696" s="89"/>
      <c r="R696" s="89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</row>
    <row r="697" spans="1:36" ht="12.75" x14ac:dyDescent="0.2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8"/>
      <c r="N697" s="88"/>
      <c r="O697" s="8"/>
      <c r="P697" s="8"/>
      <c r="Q697" s="89"/>
      <c r="R697" s="89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</row>
    <row r="698" spans="1:36" ht="12.75" x14ac:dyDescent="0.2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8"/>
      <c r="N698" s="88"/>
      <c r="O698" s="8"/>
      <c r="P698" s="8"/>
      <c r="Q698" s="89"/>
      <c r="R698" s="89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</row>
    <row r="699" spans="1:36" ht="12.75" x14ac:dyDescent="0.2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8"/>
      <c r="N699" s="88"/>
      <c r="O699" s="8"/>
      <c r="P699" s="8"/>
      <c r="Q699" s="89"/>
      <c r="R699" s="89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</row>
    <row r="700" spans="1:36" ht="12.75" x14ac:dyDescent="0.2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8"/>
      <c r="N700" s="88"/>
      <c r="O700" s="8"/>
      <c r="P700" s="8"/>
      <c r="Q700" s="89"/>
      <c r="R700" s="89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</row>
    <row r="701" spans="1:36" ht="12.75" x14ac:dyDescent="0.2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8"/>
      <c r="N701" s="88"/>
      <c r="O701" s="8"/>
      <c r="P701" s="8"/>
      <c r="Q701" s="89"/>
      <c r="R701" s="89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</row>
    <row r="702" spans="1:36" ht="12.75" x14ac:dyDescent="0.2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8"/>
      <c r="N702" s="88"/>
      <c r="O702" s="8"/>
      <c r="P702" s="8"/>
      <c r="Q702" s="89"/>
      <c r="R702" s="89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</row>
    <row r="703" spans="1:36" ht="12.75" x14ac:dyDescent="0.2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8"/>
      <c r="N703" s="88"/>
      <c r="O703" s="8"/>
      <c r="P703" s="8"/>
      <c r="Q703" s="89"/>
      <c r="R703" s="89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</row>
    <row r="704" spans="1:36" ht="12.75" x14ac:dyDescent="0.2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8"/>
      <c r="N704" s="88"/>
      <c r="O704" s="8"/>
      <c r="P704" s="8"/>
      <c r="Q704" s="89"/>
      <c r="R704" s="89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</row>
    <row r="705" spans="1:36" ht="12.75" x14ac:dyDescent="0.2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8"/>
      <c r="N705" s="88"/>
      <c r="O705" s="8"/>
      <c r="P705" s="8"/>
      <c r="Q705" s="89"/>
      <c r="R705" s="89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</row>
    <row r="706" spans="1:36" ht="12.75" x14ac:dyDescent="0.2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8"/>
      <c r="N706" s="88"/>
      <c r="O706" s="8"/>
      <c r="P706" s="8"/>
      <c r="Q706" s="89"/>
      <c r="R706" s="89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</row>
    <row r="707" spans="1:36" ht="12.75" x14ac:dyDescent="0.2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8"/>
      <c r="N707" s="88"/>
      <c r="O707" s="8"/>
      <c r="P707" s="8"/>
      <c r="Q707" s="89"/>
      <c r="R707" s="89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</row>
    <row r="708" spans="1:36" ht="12.75" x14ac:dyDescent="0.2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8"/>
      <c r="N708" s="88"/>
      <c r="O708" s="8"/>
      <c r="P708" s="8"/>
      <c r="Q708" s="89"/>
      <c r="R708" s="89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</row>
    <row r="709" spans="1:36" ht="12.75" x14ac:dyDescent="0.2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8"/>
      <c r="N709" s="88"/>
      <c r="O709" s="8"/>
      <c r="P709" s="8"/>
      <c r="Q709" s="89"/>
      <c r="R709" s="89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</row>
    <row r="710" spans="1:36" ht="12.75" x14ac:dyDescent="0.2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8"/>
      <c r="N710" s="88"/>
      <c r="O710" s="8"/>
      <c r="P710" s="8"/>
      <c r="Q710" s="89"/>
      <c r="R710" s="89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</row>
    <row r="711" spans="1:36" ht="12.75" x14ac:dyDescent="0.2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8"/>
      <c r="N711" s="88"/>
      <c r="O711" s="8"/>
      <c r="P711" s="8"/>
      <c r="Q711" s="89"/>
      <c r="R711" s="89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</row>
    <row r="712" spans="1:36" ht="12.75" x14ac:dyDescent="0.2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8"/>
      <c r="N712" s="88"/>
      <c r="O712" s="8"/>
      <c r="P712" s="8"/>
      <c r="Q712" s="89"/>
      <c r="R712" s="89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</row>
    <row r="713" spans="1:36" ht="12.75" x14ac:dyDescent="0.2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8"/>
      <c r="N713" s="88"/>
      <c r="O713" s="8"/>
      <c r="P713" s="8"/>
      <c r="Q713" s="89"/>
      <c r="R713" s="89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</row>
    <row r="714" spans="1:36" ht="12.75" x14ac:dyDescent="0.2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8"/>
      <c r="N714" s="88"/>
      <c r="O714" s="8"/>
      <c r="P714" s="8"/>
      <c r="Q714" s="89"/>
      <c r="R714" s="89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</row>
    <row r="715" spans="1:36" ht="12.75" x14ac:dyDescent="0.2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8"/>
      <c r="N715" s="88"/>
      <c r="O715" s="8"/>
      <c r="P715" s="8"/>
      <c r="Q715" s="89"/>
      <c r="R715" s="89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</row>
    <row r="716" spans="1:36" ht="12.75" x14ac:dyDescent="0.2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8"/>
      <c r="N716" s="88"/>
      <c r="O716" s="8"/>
      <c r="P716" s="8"/>
      <c r="Q716" s="89"/>
      <c r="R716" s="89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</row>
    <row r="717" spans="1:36" ht="12.75" x14ac:dyDescent="0.2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8"/>
      <c r="N717" s="88"/>
      <c r="O717" s="8"/>
      <c r="P717" s="8"/>
      <c r="Q717" s="89"/>
      <c r="R717" s="89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</row>
    <row r="718" spans="1:36" ht="12.75" x14ac:dyDescent="0.2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8"/>
      <c r="N718" s="88"/>
      <c r="O718" s="8"/>
      <c r="P718" s="8"/>
      <c r="Q718" s="89"/>
      <c r="R718" s="89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</row>
    <row r="719" spans="1:36" ht="12.75" x14ac:dyDescent="0.2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8"/>
      <c r="N719" s="88"/>
      <c r="O719" s="8"/>
      <c r="P719" s="8"/>
      <c r="Q719" s="89"/>
      <c r="R719" s="89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</row>
    <row r="720" spans="1:36" ht="12.75" x14ac:dyDescent="0.2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8"/>
      <c r="N720" s="88"/>
      <c r="O720" s="8"/>
      <c r="P720" s="8"/>
      <c r="Q720" s="89"/>
      <c r="R720" s="89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</row>
    <row r="721" spans="1:36" ht="12.75" x14ac:dyDescent="0.2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8"/>
      <c r="N721" s="88"/>
      <c r="O721" s="8"/>
      <c r="P721" s="8"/>
      <c r="Q721" s="89"/>
      <c r="R721" s="89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</row>
    <row r="722" spans="1:36" ht="12.75" x14ac:dyDescent="0.2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8"/>
      <c r="N722" s="88"/>
      <c r="O722" s="8"/>
      <c r="P722" s="8"/>
      <c r="Q722" s="89"/>
      <c r="R722" s="89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</row>
    <row r="723" spans="1:36" ht="12.75" x14ac:dyDescent="0.2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8"/>
      <c r="N723" s="88"/>
      <c r="O723" s="8"/>
      <c r="P723" s="8"/>
      <c r="Q723" s="89"/>
      <c r="R723" s="89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</row>
    <row r="724" spans="1:36" ht="12.75" x14ac:dyDescent="0.2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8"/>
      <c r="N724" s="88"/>
      <c r="O724" s="8"/>
      <c r="P724" s="8"/>
      <c r="Q724" s="89"/>
      <c r="R724" s="89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</row>
    <row r="725" spans="1:36" ht="12.75" x14ac:dyDescent="0.2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8"/>
      <c r="N725" s="88"/>
      <c r="O725" s="8"/>
      <c r="P725" s="8"/>
      <c r="Q725" s="89"/>
      <c r="R725" s="89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</row>
    <row r="726" spans="1:36" ht="12.75" x14ac:dyDescent="0.2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8"/>
      <c r="N726" s="88"/>
      <c r="O726" s="8"/>
      <c r="P726" s="8"/>
      <c r="Q726" s="89"/>
      <c r="R726" s="89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</row>
    <row r="727" spans="1:36" ht="12.75" x14ac:dyDescent="0.2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8"/>
      <c r="N727" s="88"/>
      <c r="O727" s="8"/>
      <c r="P727" s="8"/>
      <c r="Q727" s="89"/>
      <c r="R727" s="89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</row>
    <row r="728" spans="1:36" ht="12.75" x14ac:dyDescent="0.2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8"/>
      <c r="N728" s="88"/>
      <c r="O728" s="8"/>
      <c r="P728" s="8"/>
      <c r="Q728" s="89"/>
      <c r="R728" s="89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</row>
    <row r="729" spans="1:36" ht="12.75" x14ac:dyDescent="0.2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8"/>
      <c r="N729" s="88"/>
      <c r="O729" s="8"/>
      <c r="P729" s="8"/>
      <c r="Q729" s="89"/>
      <c r="R729" s="89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</row>
    <row r="730" spans="1:36" ht="12.75" x14ac:dyDescent="0.2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8"/>
      <c r="N730" s="88"/>
      <c r="O730" s="8"/>
      <c r="P730" s="8"/>
      <c r="Q730" s="89"/>
      <c r="R730" s="89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</row>
    <row r="731" spans="1:36" ht="12.75" x14ac:dyDescent="0.2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8"/>
      <c r="N731" s="88"/>
      <c r="O731" s="8"/>
      <c r="P731" s="8"/>
      <c r="Q731" s="89"/>
      <c r="R731" s="89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</row>
    <row r="732" spans="1:36" ht="12.75" x14ac:dyDescent="0.2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8"/>
      <c r="N732" s="88"/>
      <c r="O732" s="8"/>
      <c r="P732" s="8"/>
      <c r="Q732" s="89"/>
      <c r="R732" s="89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</row>
    <row r="733" spans="1:36" ht="12.75" x14ac:dyDescent="0.2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8"/>
      <c r="N733" s="88"/>
      <c r="O733" s="8"/>
      <c r="P733" s="8"/>
      <c r="Q733" s="89"/>
      <c r="R733" s="89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</row>
    <row r="734" spans="1:36" ht="12.75" x14ac:dyDescent="0.2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8"/>
      <c r="N734" s="88"/>
      <c r="O734" s="8"/>
      <c r="P734" s="8"/>
      <c r="Q734" s="89"/>
      <c r="R734" s="89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</row>
    <row r="735" spans="1:36" ht="12.75" x14ac:dyDescent="0.2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8"/>
      <c r="N735" s="88"/>
      <c r="O735" s="8"/>
      <c r="P735" s="8"/>
      <c r="Q735" s="89"/>
      <c r="R735" s="89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</row>
    <row r="736" spans="1:36" ht="12.75" x14ac:dyDescent="0.2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8"/>
      <c r="N736" s="88"/>
      <c r="O736" s="8"/>
      <c r="P736" s="8"/>
      <c r="Q736" s="89"/>
      <c r="R736" s="89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</row>
    <row r="737" spans="1:36" ht="12.75" x14ac:dyDescent="0.2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8"/>
      <c r="N737" s="88"/>
      <c r="O737" s="8"/>
      <c r="P737" s="8"/>
      <c r="Q737" s="89"/>
      <c r="R737" s="89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</row>
    <row r="738" spans="1:36" ht="12.75" x14ac:dyDescent="0.2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8"/>
      <c r="N738" s="88"/>
      <c r="O738" s="8"/>
      <c r="P738" s="8"/>
      <c r="Q738" s="89"/>
      <c r="R738" s="89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</row>
    <row r="739" spans="1:36" ht="12.75" x14ac:dyDescent="0.2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8"/>
      <c r="N739" s="88"/>
      <c r="O739" s="8"/>
      <c r="P739" s="8"/>
      <c r="Q739" s="89"/>
      <c r="R739" s="89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</row>
    <row r="740" spans="1:36" ht="12.75" x14ac:dyDescent="0.2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8"/>
      <c r="N740" s="88"/>
      <c r="O740" s="8"/>
      <c r="P740" s="8"/>
      <c r="Q740" s="89"/>
      <c r="R740" s="89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</row>
    <row r="741" spans="1:36" ht="12.75" x14ac:dyDescent="0.2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8"/>
      <c r="N741" s="88"/>
      <c r="O741" s="8"/>
      <c r="P741" s="8"/>
      <c r="Q741" s="89"/>
      <c r="R741" s="89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</row>
    <row r="742" spans="1:36" ht="12.75" x14ac:dyDescent="0.2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8"/>
      <c r="N742" s="88"/>
      <c r="O742" s="8"/>
      <c r="P742" s="8"/>
      <c r="Q742" s="89"/>
      <c r="R742" s="89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</row>
    <row r="743" spans="1:36" ht="12.75" x14ac:dyDescent="0.2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8"/>
      <c r="N743" s="88"/>
      <c r="O743" s="8"/>
      <c r="P743" s="8"/>
      <c r="Q743" s="89"/>
      <c r="R743" s="89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</row>
    <row r="744" spans="1:36" ht="12.75" x14ac:dyDescent="0.2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8"/>
      <c r="N744" s="88"/>
      <c r="O744" s="8"/>
      <c r="P744" s="8"/>
      <c r="Q744" s="89"/>
      <c r="R744" s="89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</row>
    <row r="745" spans="1:36" ht="12.75" x14ac:dyDescent="0.2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8"/>
      <c r="N745" s="88"/>
      <c r="O745" s="8"/>
      <c r="P745" s="8"/>
      <c r="Q745" s="89"/>
      <c r="R745" s="89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</row>
    <row r="746" spans="1:36" ht="12.75" x14ac:dyDescent="0.2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8"/>
      <c r="N746" s="88"/>
      <c r="O746" s="8"/>
      <c r="P746" s="8"/>
      <c r="Q746" s="89"/>
      <c r="R746" s="89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</row>
    <row r="747" spans="1:36" ht="12.75" x14ac:dyDescent="0.2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8"/>
      <c r="N747" s="88"/>
      <c r="O747" s="8"/>
      <c r="P747" s="8"/>
      <c r="Q747" s="89"/>
      <c r="R747" s="89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</row>
    <row r="748" spans="1:36" ht="12.75" x14ac:dyDescent="0.2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8"/>
      <c r="N748" s="88"/>
      <c r="O748" s="8"/>
      <c r="P748" s="8"/>
      <c r="Q748" s="89"/>
      <c r="R748" s="89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</row>
    <row r="749" spans="1:36" ht="12.75" x14ac:dyDescent="0.2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8"/>
      <c r="N749" s="88"/>
      <c r="O749" s="8"/>
      <c r="P749" s="8"/>
      <c r="Q749" s="89"/>
      <c r="R749" s="89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</row>
    <row r="750" spans="1:36" ht="12.75" x14ac:dyDescent="0.2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8"/>
      <c r="N750" s="88"/>
      <c r="O750" s="8"/>
      <c r="P750" s="8"/>
      <c r="Q750" s="89"/>
      <c r="R750" s="89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</row>
    <row r="751" spans="1:36" ht="12.75" x14ac:dyDescent="0.2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8"/>
      <c r="N751" s="88"/>
      <c r="O751" s="8"/>
      <c r="P751" s="8"/>
      <c r="Q751" s="89"/>
      <c r="R751" s="89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</row>
    <row r="752" spans="1:36" ht="12.75" x14ac:dyDescent="0.2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8"/>
      <c r="N752" s="88"/>
      <c r="O752" s="8"/>
      <c r="P752" s="8"/>
      <c r="Q752" s="89"/>
      <c r="R752" s="89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</row>
    <row r="753" spans="1:36" ht="12.75" x14ac:dyDescent="0.2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8"/>
      <c r="N753" s="88"/>
      <c r="O753" s="8"/>
      <c r="P753" s="8"/>
      <c r="Q753" s="89"/>
      <c r="R753" s="89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</row>
    <row r="754" spans="1:36" ht="12.75" x14ac:dyDescent="0.2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8"/>
      <c r="N754" s="88"/>
      <c r="O754" s="8"/>
      <c r="P754" s="8"/>
      <c r="Q754" s="89"/>
      <c r="R754" s="89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</row>
    <row r="755" spans="1:36" ht="12.75" x14ac:dyDescent="0.2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8"/>
      <c r="N755" s="88"/>
      <c r="O755" s="8"/>
      <c r="P755" s="8"/>
      <c r="Q755" s="89"/>
      <c r="R755" s="89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</row>
    <row r="756" spans="1:36" ht="12.75" x14ac:dyDescent="0.2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8"/>
      <c r="N756" s="88"/>
      <c r="O756" s="8"/>
      <c r="P756" s="8"/>
      <c r="Q756" s="89"/>
      <c r="R756" s="89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</row>
    <row r="757" spans="1:36" ht="12.75" x14ac:dyDescent="0.2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8"/>
      <c r="N757" s="88"/>
      <c r="O757" s="8"/>
      <c r="P757" s="8"/>
      <c r="Q757" s="89"/>
      <c r="R757" s="89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</row>
    <row r="758" spans="1:36" ht="12.75" x14ac:dyDescent="0.2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8"/>
      <c r="N758" s="88"/>
      <c r="O758" s="8"/>
      <c r="P758" s="8"/>
      <c r="Q758" s="89"/>
      <c r="R758" s="89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</row>
    <row r="759" spans="1:36" ht="12.75" x14ac:dyDescent="0.2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8"/>
      <c r="N759" s="88"/>
      <c r="O759" s="8"/>
      <c r="P759" s="8"/>
      <c r="Q759" s="89"/>
      <c r="R759" s="89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</row>
    <row r="760" spans="1:36" ht="12.75" x14ac:dyDescent="0.2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8"/>
      <c r="N760" s="88"/>
      <c r="O760" s="8"/>
      <c r="P760" s="8"/>
      <c r="Q760" s="89"/>
      <c r="R760" s="89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</row>
    <row r="761" spans="1:36" ht="12.75" x14ac:dyDescent="0.2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8"/>
      <c r="N761" s="88"/>
      <c r="O761" s="8"/>
      <c r="P761" s="8"/>
      <c r="Q761" s="89"/>
      <c r="R761" s="89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</row>
    <row r="762" spans="1:36" ht="12.75" x14ac:dyDescent="0.2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8"/>
      <c r="N762" s="88"/>
      <c r="O762" s="8"/>
      <c r="P762" s="8"/>
      <c r="Q762" s="89"/>
      <c r="R762" s="89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</row>
    <row r="763" spans="1:36" ht="12.75" x14ac:dyDescent="0.2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8"/>
      <c r="N763" s="88"/>
      <c r="O763" s="8"/>
      <c r="P763" s="8"/>
      <c r="Q763" s="89"/>
      <c r="R763" s="89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</row>
    <row r="764" spans="1:36" ht="12.75" x14ac:dyDescent="0.2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8"/>
      <c r="N764" s="88"/>
      <c r="O764" s="8"/>
      <c r="P764" s="8"/>
      <c r="Q764" s="89"/>
      <c r="R764" s="89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</row>
    <row r="765" spans="1:36" ht="12.75" x14ac:dyDescent="0.2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8"/>
      <c r="N765" s="88"/>
      <c r="O765" s="8"/>
      <c r="P765" s="8"/>
      <c r="Q765" s="89"/>
      <c r="R765" s="89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</row>
    <row r="766" spans="1:36" ht="12.75" x14ac:dyDescent="0.2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8"/>
      <c r="N766" s="88"/>
      <c r="O766" s="8"/>
      <c r="P766" s="8"/>
      <c r="Q766" s="89"/>
      <c r="R766" s="89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</row>
    <row r="767" spans="1:36" ht="12.75" x14ac:dyDescent="0.2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8"/>
      <c r="N767" s="88"/>
      <c r="O767" s="8"/>
      <c r="P767" s="8"/>
      <c r="Q767" s="89"/>
      <c r="R767" s="89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</row>
    <row r="768" spans="1:36" ht="12.75" x14ac:dyDescent="0.2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8"/>
      <c r="N768" s="88"/>
      <c r="O768" s="8"/>
      <c r="P768" s="8"/>
      <c r="Q768" s="89"/>
      <c r="R768" s="89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</row>
    <row r="769" spans="1:36" ht="12.75" x14ac:dyDescent="0.2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8"/>
      <c r="N769" s="88"/>
      <c r="O769" s="8"/>
      <c r="P769" s="8"/>
      <c r="Q769" s="89"/>
      <c r="R769" s="89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</row>
    <row r="770" spans="1:36" ht="12.75" x14ac:dyDescent="0.2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8"/>
      <c r="N770" s="88"/>
      <c r="O770" s="8"/>
      <c r="P770" s="8"/>
      <c r="Q770" s="89"/>
      <c r="R770" s="89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</row>
    <row r="771" spans="1:36" ht="12.75" x14ac:dyDescent="0.2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8"/>
      <c r="N771" s="88"/>
      <c r="O771" s="8"/>
      <c r="P771" s="8"/>
      <c r="Q771" s="89"/>
      <c r="R771" s="89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</row>
    <row r="772" spans="1:36" ht="12.75" x14ac:dyDescent="0.2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8"/>
      <c r="N772" s="88"/>
      <c r="O772" s="8"/>
      <c r="P772" s="8"/>
      <c r="Q772" s="89"/>
      <c r="R772" s="89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</row>
    <row r="773" spans="1:36" ht="12.75" x14ac:dyDescent="0.2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8"/>
      <c r="N773" s="88"/>
      <c r="O773" s="8"/>
      <c r="P773" s="8"/>
      <c r="Q773" s="89"/>
      <c r="R773" s="89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</row>
    <row r="774" spans="1:36" ht="12.75" x14ac:dyDescent="0.2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8"/>
      <c r="N774" s="88"/>
      <c r="O774" s="8"/>
      <c r="P774" s="8"/>
      <c r="Q774" s="89"/>
      <c r="R774" s="89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</row>
    <row r="775" spans="1:36" ht="12.75" x14ac:dyDescent="0.2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8"/>
      <c r="N775" s="88"/>
      <c r="O775" s="8"/>
      <c r="P775" s="8"/>
      <c r="Q775" s="89"/>
      <c r="R775" s="89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</row>
    <row r="776" spans="1:36" ht="12.75" x14ac:dyDescent="0.2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8"/>
      <c r="N776" s="88"/>
      <c r="O776" s="8"/>
      <c r="P776" s="8"/>
      <c r="Q776" s="89"/>
      <c r="R776" s="89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</row>
    <row r="777" spans="1:36" ht="12.75" x14ac:dyDescent="0.2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8"/>
      <c r="N777" s="88"/>
      <c r="O777" s="8"/>
      <c r="P777" s="8"/>
      <c r="Q777" s="89"/>
      <c r="R777" s="89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</row>
    <row r="778" spans="1:36" ht="12.75" x14ac:dyDescent="0.2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8"/>
      <c r="N778" s="88"/>
      <c r="O778" s="8"/>
      <c r="P778" s="8"/>
      <c r="Q778" s="89"/>
      <c r="R778" s="89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</row>
    <row r="779" spans="1:36" ht="12.75" x14ac:dyDescent="0.2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8"/>
      <c r="N779" s="88"/>
      <c r="O779" s="8"/>
      <c r="P779" s="8"/>
      <c r="Q779" s="89"/>
      <c r="R779" s="89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</row>
    <row r="780" spans="1:36" ht="12.75" x14ac:dyDescent="0.2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8"/>
      <c r="N780" s="88"/>
      <c r="O780" s="8"/>
      <c r="P780" s="8"/>
      <c r="Q780" s="89"/>
      <c r="R780" s="89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</row>
    <row r="781" spans="1:36" ht="12.75" x14ac:dyDescent="0.2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8"/>
      <c r="N781" s="88"/>
      <c r="O781" s="8"/>
      <c r="P781" s="8"/>
      <c r="Q781" s="89"/>
      <c r="R781" s="89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</row>
    <row r="782" spans="1:36" ht="12.75" x14ac:dyDescent="0.2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8"/>
      <c r="N782" s="88"/>
      <c r="O782" s="8"/>
      <c r="P782" s="8"/>
      <c r="Q782" s="89"/>
      <c r="R782" s="89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</row>
    <row r="783" spans="1:36" ht="12.75" x14ac:dyDescent="0.2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8"/>
      <c r="N783" s="88"/>
      <c r="O783" s="8"/>
      <c r="P783" s="8"/>
      <c r="Q783" s="89"/>
      <c r="R783" s="89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</row>
    <row r="784" spans="1:36" ht="12.75" x14ac:dyDescent="0.2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8"/>
      <c r="N784" s="88"/>
      <c r="O784" s="8"/>
      <c r="P784" s="8"/>
      <c r="Q784" s="89"/>
      <c r="R784" s="89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</row>
    <row r="785" spans="1:36" ht="12.75" x14ac:dyDescent="0.2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8"/>
      <c r="N785" s="88"/>
      <c r="O785" s="8"/>
      <c r="P785" s="8"/>
      <c r="Q785" s="89"/>
      <c r="R785" s="89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</row>
    <row r="786" spans="1:36" ht="12.75" x14ac:dyDescent="0.2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8"/>
      <c r="N786" s="88"/>
      <c r="O786" s="8"/>
      <c r="P786" s="8"/>
      <c r="Q786" s="89"/>
      <c r="R786" s="89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</row>
    <row r="787" spans="1:36" ht="12.75" x14ac:dyDescent="0.2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8"/>
      <c r="N787" s="88"/>
      <c r="O787" s="8"/>
      <c r="P787" s="8"/>
      <c r="Q787" s="89"/>
      <c r="R787" s="89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</row>
    <row r="788" spans="1:36" ht="12.75" x14ac:dyDescent="0.2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8"/>
      <c r="N788" s="88"/>
      <c r="O788" s="8"/>
      <c r="P788" s="8"/>
      <c r="Q788" s="89"/>
      <c r="R788" s="89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</row>
    <row r="789" spans="1:36" ht="12.75" x14ac:dyDescent="0.2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8"/>
      <c r="N789" s="88"/>
      <c r="O789" s="8"/>
      <c r="P789" s="8"/>
      <c r="Q789" s="89"/>
      <c r="R789" s="89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</row>
    <row r="790" spans="1:36" ht="12.75" x14ac:dyDescent="0.2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8"/>
      <c r="N790" s="88"/>
      <c r="O790" s="8"/>
      <c r="P790" s="8"/>
      <c r="Q790" s="89"/>
      <c r="R790" s="89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</row>
    <row r="791" spans="1:36" ht="12.75" x14ac:dyDescent="0.2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8"/>
      <c r="N791" s="88"/>
      <c r="O791" s="8"/>
      <c r="P791" s="8"/>
      <c r="Q791" s="89"/>
      <c r="R791" s="89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</row>
    <row r="792" spans="1:36" ht="12.75" x14ac:dyDescent="0.2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8"/>
      <c r="N792" s="88"/>
      <c r="O792" s="8"/>
      <c r="P792" s="8"/>
      <c r="Q792" s="89"/>
      <c r="R792" s="89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</row>
    <row r="793" spans="1:36" ht="12.75" x14ac:dyDescent="0.2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8"/>
      <c r="N793" s="88"/>
      <c r="O793" s="8"/>
      <c r="P793" s="8"/>
      <c r="Q793" s="89"/>
      <c r="R793" s="89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</row>
    <row r="794" spans="1:36" ht="12.75" x14ac:dyDescent="0.2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8"/>
      <c r="N794" s="88"/>
      <c r="O794" s="8"/>
      <c r="P794" s="8"/>
      <c r="Q794" s="89"/>
      <c r="R794" s="89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</row>
    <row r="795" spans="1:36" ht="12.75" x14ac:dyDescent="0.2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8"/>
      <c r="N795" s="88"/>
      <c r="O795" s="8"/>
      <c r="P795" s="8"/>
      <c r="Q795" s="89"/>
      <c r="R795" s="89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</row>
    <row r="796" spans="1:36" ht="12.75" x14ac:dyDescent="0.2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8"/>
      <c r="N796" s="88"/>
      <c r="O796" s="8"/>
      <c r="P796" s="8"/>
      <c r="Q796" s="89"/>
      <c r="R796" s="89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</row>
    <row r="797" spans="1:36" ht="12.75" x14ac:dyDescent="0.2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8"/>
      <c r="N797" s="88"/>
      <c r="O797" s="8"/>
      <c r="P797" s="8"/>
      <c r="Q797" s="89"/>
      <c r="R797" s="89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</row>
    <row r="798" spans="1:36" ht="12.75" x14ac:dyDescent="0.2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8"/>
      <c r="N798" s="88"/>
      <c r="O798" s="8"/>
      <c r="P798" s="8"/>
      <c r="Q798" s="89"/>
      <c r="R798" s="89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</row>
    <row r="799" spans="1:36" ht="12.75" x14ac:dyDescent="0.2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8"/>
      <c r="N799" s="88"/>
      <c r="O799" s="8"/>
      <c r="P799" s="8"/>
      <c r="Q799" s="89"/>
      <c r="R799" s="89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</row>
    <row r="800" spans="1:36" ht="12.75" x14ac:dyDescent="0.2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8"/>
      <c r="N800" s="88"/>
      <c r="O800" s="8"/>
      <c r="P800" s="8"/>
      <c r="Q800" s="89"/>
      <c r="R800" s="89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</row>
    <row r="801" spans="1:36" ht="12.75" x14ac:dyDescent="0.2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8"/>
      <c r="N801" s="88"/>
      <c r="O801" s="8"/>
      <c r="P801" s="8"/>
      <c r="Q801" s="89"/>
      <c r="R801" s="89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</row>
    <row r="802" spans="1:36" ht="12.75" x14ac:dyDescent="0.2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8"/>
      <c r="N802" s="88"/>
      <c r="O802" s="8"/>
      <c r="P802" s="8"/>
      <c r="Q802" s="89"/>
      <c r="R802" s="89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</row>
    <row r="803" spans="1:36" ht="12.75" x14ac:dyDescent="0.2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8"/>
      <c r="N803" s="88"/>
      <c r="O803" s="8"/>
      <c r="P803" s="8"/>
      <c r="Q803" s="89"/>
      <c r="R803" s="89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</row>
    <row r="804" spans="1:36" ht="12.75" x14ac:dyDescent="0.2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8"/>
      <c r="N804" s="88"/>
      <c r="O804" s="8"/>
      <c r="P804" s="8"/>
      <c r="Q804" s="89"/>
      <c r="R804" s="89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</row>
    <row r="805" spans="1:36" ht="12.75" x14ac:dyDescent="0.2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8"/>
      <c r="N805" s="88"/>
      <c r="O805" s="8"/>
      <c r="P805" s="8"/>
      <c r="Q805" s="89"/>
      <c r="R805" s="89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</row>
    <row r="806" spans="1:36" ht="12.75" x14ac:dyDescent="0.2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8"/>
      <c r="N806" s="88"/>
      <c r="O806" s="8"/>
      <c r="P806" s="8"/>
      <c r="Q806" s="89"/>
      <c r="R806" s="89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</row>
    <row r="807" spans="1:36" ht="12.75" x14ac:dyDescent="0.2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8"/>
      <c r="N807" s="88"/>
      <c r="O807" s="8"/>
      <c r="P807" s="8"/>
      <c r="Q807" s="89"/>
      <c r="R807" s="89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</row>
    <row r="808" spans="1:36" ht="12.75" x14ac:dyDescent="0.2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8"/>
      <c r="N808" s="88"/>
      <c r="O808" s="8"/>
      <c r="P808" s="8"/>
      <c r="Q808" s="89"/>
      <c r="R808" s="89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</row>
    <row r="809" spans="1:36" ht="12.75" x14ac:dyDescent="0.2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8"/>
      <c r="N809" s="88"/>
      <c r="O809" s="8"/>
      <c r="P809" s="8"/>
      <c r="Q809" s="89"/>
      <c r="R809" s="89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</row>
    <row r="810" spans="1:36" ht="12.75" x14ac:dyDescent="0.2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8"/>
      <c r="N810" s="88"/>
      <c r="O810" s="8"/>
      <c r="P810" s="8"/>
      <c r="Q810" s="89"/>
      <c r="R810" s="89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</row>
    <row r="811" spans="1:36" ht="12.75" x14ac:dyDescent="0.2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8"/>
      <c r="N811" s="88"/>
      <c r="O811" s="8"/>
      <c r="P811" s="8"/>
      <c r="Q811" s="89"/>
      <c r="R811" s="89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</row>
    <row r="812" spans="1:36" ht="12.75" x14ac:dyDescent="0.2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8"/>
      <c r="N812" s="88"/>
      <c r="O812" s="8"/>
      <c r="P812" s="8"/>
      <c r="Q812" s="89"/>
      <c r="R812" s="89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</row>
    <row r="813" spans="1:36" ht="12.75" x14ac:dyDescent="0.2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8"/>
      <c r="N813" s="88"/>
      <c r="O813" s="8"/>
      <c r="P813" s="8"/>
      <c r="Q813" s="89"/>
      <c r="R813" s="89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</row>
    <row r="814" spans="1:36" ht="12.75" x14ac:dyDescent="0.2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8"/>
      <c r="N814" s="88"/>
      <c r="O814" s="8"/>
      <c r="P814" s="8"/>
      <c r="Q814" s="89"/>
      <c r="R814" s="89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</row>
    <row r="815" spans="1:36" ht="12.75" x14ac:dyDescent="0.2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8"/>
      <c r="N815" s="88"/>
      <c r="O815" s="8"/>
      <c r="P815" s="8"/>
      <c r="Q815" s="89"/>
      <c r="R815" s="89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</row>
    <row r="816" spans="1:36" ht="12.75" x14ac:dyDescent="0.2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8"/>
      <c r="N816" s="88"/>
      <c r="O816" s="8"/>
      <c r="P816" s="8"/>
      <c r="Q816" s="89"/>
      <c r="R816" s="89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</row>
    <row r="817" spans="1:36" ht="12.75" x14ac:dyDescent="0.2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8"/>
      <c r="N817" s="88"/>
      <c r="O817" s="8"/>
      <c r="P817" s="8"/>
      <c r="Q817" s="89"/>
      <c r="R817" s="89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</row>
    <row r="818" spans="1:36" ht="12.75" x14ac:dyDescent="0.2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8"/>
      <c r="N818" s="88"/>
      <c r="O818" s="8"/>
      <c r="P818" s="8"/>
      <c r="Q818" s="89"/>
      <c r="R818" s="89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</row>
    <row r="819" spans="1:36" ht="12.75" x14ac:dyDescent="0.2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8"/>
      <c r="N819" s="88"/>
      <c r="O819" s="8"/>
      <c r="P819" s="8"/>
      <c r="Q819" s="89"/>
      <c r="R819" s="89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</row>
    <row r="820" spans="1:36" ht="12.75" x14ac:dyDescent="0.2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8"/>
      <c r="N820" s="88"/>
      <c r="O820" s="8"/>
      <c r="P820" s="8"/>
      <c r="Q820" s="89"/>
      <c r="R820" s="89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</row>
    <row r="821" spans="1:36" ht="12.75" x14ac:dyDescent="0.2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8"/>
      <c r="N821" s="88"/>
      <c r="O821" s="8"/>
      <c r="P821" s="8"/>
      <c r="Q821" s="89"/>
      <c r="R821" s="89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</row>
    <row r="822" spans="1:36" ht="12.75" x14ac:dyDescent="0.2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8"/>
      <c r="N822" s="88"/>
      <c r="O822" s="8"/>
      <c r="P822" s="8"/>
      <c r="Q822" s="89"/>
      <c r="R822" s="89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</row>
    <row r="823" spans="1:36" ht="12.75" x14ac:dyDescent="0.2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8"/>
      <c r="N823" s="88"/>
      <c r="O823" s="8"/>
      <c r="P823" s="8"/>
      <c r="Q823" s="89"/>
      <c r="R823" s="89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</row>
    <row r="824" spans="1:36" ht="12.75" x14ac:dyDescent="0.2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8"/>
      <c r="N824" s="88"/>
      <c r="O824" s="8"/>
      <c r="P824" s="8"/>
      <c r="Q824" s="89"/>
      <c r="R824" s="89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</row>
    <row r="825" spans="1:36" ht="12.75" x14ac:dyDescent="0.2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8"/>
      <c r="N825" s="88"/>
      <c r="O825" s="8"/>
      <c r="P825" s="8"/>
      <c r="Q825" s="89"/>
      <c r="R825" s="89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</row>
    <row r="826" spans="1:36" ht="12.75" x14ac:dyDescent="0.2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8"/>
      <c r="N826" s="88"/>
      <c r="O826" s="8"/>
      <c r="P826" s="8"/>
      <c r="Q826" s="89"/>
      <c r="R826" s="89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</row>
    <row r="827" spans="1:36" ht="12.75" x14ac:dyDescent="0.2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8"/>
      <c r="N827" s="88"/>
      <c r="O827" s="8"/>
      <c r="P827" s="8"/>
      <c r="Q827" s="89"/>
      <c r="R827" s="89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</row>
    <row r="828" spans="1:36" ht="12.75" x14ac:dyDescent="0.2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8"/>
      <c r="N828" s="88"/>
      <c r="O828" s="8"/>
      <c r="P828" s="8"/>
      <c r="Q828" s="89"/>
      <c r="R828" s="89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</row>
    <row r="829" spans="1:36" ht="12.75" x14ac:dyDescent="0.2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8"/>
      <c r="N829" s="88"/>
      <c r="O829" s="8"/>
      <c r="P829" s="8"/>
      <c r="Q829" s="89"/>
      <c r="R829" s="89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</row>
    <row r="830" spans="1:36" ht="12.75" x14ac:dyDescent="0.2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8"/>
      <c r="N830" s="88"/>
      <c r="O830" s="8"/>
      <c r="P830" s="8"/>
      <c r="Q830" s="89"/>
      <c r="R830" s="89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</row>
    <row r="831" spans="1:36" ht="12.75" x14ac:dyDescent="0.2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8"/>
      <c r="N831" s="88"/>
      <c r="O831" s="8"/>
      <c r="P831" s="8"/>
      <c r="Q831" s="89"/>
      <c r="R831" s="89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</row>
    <row r="832" spans="1:36" ht="12.75" x14ac:dyDescent="0.2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8"/>
      <c r="N832" s="88"/>
      <c r="O832" s="8"/>
      <c r="P832" s="8"/>
      <c r="Q832" s="89"/>
      <c r="R832" s="89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</row>
    <row r="833" spans="1:36" ht="12.75" x14ac:dyDescent="0.2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8"/>
      <c r="N833" s="88"/>
      <c r="O833" s="8"/>
      <c r="P833" s="8"/>
      <c r="Q833" s="89"/>
      <c r="R833" s="89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</row>
    <row r="834" spans="1:36" ht="12.75" x14ac:dyDescent="0.2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8"/>
      <c r="N834" s="88"/>
      <c r="O834" s="8"/>
      <c r="P834" s="8"/>
      <c r="Q834" s="89"/>
      <c r="R834" s="89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</row>
    <row r="835" spans="1:36" ht="12.75" x14ac:dyDescent="0.2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8"/>
      <c r="N835" s="88"/>
      <c r="O835" s="8"/>
      <c r="P835" s="8"/>
      <c r="Q835" s="89"/>
      <c r="R835" s="89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</row>
    <row r="836" spans="1:36" ht="12.75" x14ac:dyDescent="0.2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8"/>
      <c r="N836" s="88"/>
      <c r="O836" s="8"/>
      <c r="P836" s="8"/>
      <c r="Q836" s="89"/>
      <c r="R836" s="89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</row>
    <row r="837" spans="1:36" ht="12.75" x14ac:dyDescent="0.2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8"/>
      <c r="N837" s="88"/>
      <c r="O837" s="8"/>
      <c r="P837" s="8"/>
      <c r="Q837" s="89"/>
      <c r="R837" s="89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</row>
    <row r="838" spans="1:36" ht="12.75" x14ac:dyDescent="0.2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8"/>
      <c r="N838" s="88"/>
      <c r="O838" s="8"/>
      <c r="P838" s="8"/>
      <c r="Q838" s="89"/>
      <c r="R838" s="89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</row>
    <row r="839" spans="1:36" ht="12.75" x14ac:dyDescent="0.2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8"/>
      <c r="N839" s="88"/>
      <c r="O839" s="8"/>
      <c r="P839" s="8"/>
      <c r="Q839" s="89"/>
      <c r="R839" s="89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</row>
    <row r="840" spans="1:36" ht="12.75" x14ac:dyDescent="0.2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8"/>
      <c r="N840" s="88"/>
      <c r="O840" s="8"/>
      <c r="P840" s="8"/>
      <c r="Q840" s="89"/>
      <c r="R840" s="89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</row>
    <row r="841" spans="1:36" ht="12.75" x14ac:dyDescent="0.2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8"/>
      <c r="N841" s="88"/>
      <c r="O841" s="8"/>
      <c r="P841" s="8"/>
      <c r="Q841" s="89"/>
      <c r="R841" s="89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</row>
    <row r="842" spans="1:36" ht="12.75" x14ac:dyDescent="0.2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8"/>
      <c r="N842" s="88"/>
      <c r="O842" s="8"/>
      <c r="P842" s="8"/>
      <c r="Q842" s="89"/>
      <c r="R842" s="89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</row>
    <row r="843" spans="1:36" ht="12.75" x14ac:dyDescent="0.2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8"/>
      <c r="N843" s="88"/>
      <c r="O843" s="8"/>
      <c r="P843" s="8"/>
      <c r="Q843" s="89"/>
      <c r="R843" s="89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</row>
    <row r="844" spans="1:36" ht="12.75" x14ac:dyDescent="0.2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8"/>
      <c r="N844" s="88"/>
      <c r="O844" s="8"/>
      <c r="P844" s="8"/>
      <c r="Q844" s="89"/>
      <c r="R844" s="89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</row>
    <row r="845" spans="1:36" ht="12.75" x14ac:dyDescent="0.2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8"/>
      <c r="N845" s="88"/>
      <c r="O845" s="8"/>
      <c r="P845" s="8"/>
      <c r="Q845" s="89"/>
      <c r="R845" s="89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</row>
    <row r="846" spans="1:36" ht="12.75" x14ac:dyDescent="0.2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8"/>
      <c r="N846" s="88"/>
      <c r="O846" s="8"/>
      <c r="P846" s="8"/>
      <c r="Q846" s="89"/>
      <c r="R846" s="89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</row>
    <row r="847" spans="1:36" ht="12.75" x14ac:dyDescent="0.2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8"/>
      <c r="N847" s="88"/>
      <c r="O847" s="8"/>
      <c r="P847" s="8"/>
      <c r="Q847" s="89"/>
      <c r="R847" s="89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</row>
    <row r="848" spans="1:36" ht="12.75" x14ac:dyDescent="0.2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8"/>
      <c r="N848" s="88"/>
      <c r="O848" s="8"/>
      <c r="P848" s="8"/>
      <c r="Q848" s="89"/>
      <c r="R848" s="89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</row>
    <row r="849" spans="1:36" ht="12.75" x14ac:dyDescent="0.2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8"/>
      <c r="N849" s="88"/>
      <c r="O849" s="8"/>
      <c r="P849" s="8"/>
      <c r="Q849" s="89"/>
      <c r="R849" s="89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</row>
    <row r="850" spans="1:36" ht="12.75" x14ac:dyDescent="0.2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8"/>
      <c r="N850" s="88"/>
      <c r="O850" s="8"/>
      <c r="P850" s="8"/>
      <c r="Q850" s="89"/>
      <c r="R850" s="89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</row>
    <row r="851" spans="1:36" ht="12.75" x14ac:dyDescent="0.2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8"/>
      <c r="N851" s="88"/>
      <c r="O851" s="8"/>
      <c r="P851" s="8"/>
      <c r="Q851" s="89"/>
      <c r="R851" s="89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</row>
    <row r="852" spans="1:36" ht="12.75" x14ac:dyDescent="0.2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8"/>
      <c r="N852" s="88"/>
      <c r="O852" s="8"/>
      <c r="P852" s="8"/>
      <c r="Q852" s="89"/>
      <c r="R852" s="89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</row>
    <row r="853" spans="1:36" ht="12.75" x14ac:dyDescent="0.2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8"/>
      <c r="N853" s="88"/>
      <c r="O853" s="8"/>
      <c r="P853" s="8"/>
      <c r="Q853" s="89"/>
      <c r="R853" s="89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</row>
    <row r="854" spans="1:36" ht="12.75" x14ac:dyDescent="0.2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8"/>
      <c r="N854" s="88"/>
      <c r="O854" s="8"/>
      <c r="P854" s="8"/>
      <c r="Q854" s="89"/>
      <c r="R854" s="89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</row>
    <row r="855" spans="1:36" ht="12.75" x14ac:dyDescent="0.2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8"/>
      <c r="N855" s="88"/>
      <c r="O855" s="8"/>
      <c r="P855" s="8"/>
      <c r="Q855" s="89"/>
      <c r="R855" s="89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</row>
    <row r="856" spans="1:36" ht="12.75" x14ac:dyDescent="0.2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8"/>
      <c r="N856" s="88"/>
      <c r="O856" s="8"/>
      <c r="P856" s="8"/>
      <c r="Q856" s="89"/>
      <c r="R856" s="89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</row>
    <row r="857" spans="1:36" ht="12.75" x14ac:dyDescent="0.2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8"/>
      <c r="N857" s="88"/>
      <c r="O857" s="8"/>
      <c r="P857" s="8"/>
      <c r="Q857" s="89"/>
      <c r="R857" s="89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</row>
    <row r="858" spans="1:36" ht="12.75" x14ac:dyDescent="0.2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8"/>
      <c r="N858" s="88"/>
      <c r="O858" s="8"/>
      <c r="P858" s="8"/>
      <c r="Q858" s="89"/>
      <c r="R858" s="89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</row>
    <row r="859" spans="1:36" ht="12.75" x14ac:dyDescent="0.2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8"/>
      <c r="N859" s="88"/>
      <c r="O859" s="8"/>
      <c r="P859" s="8"/>
      <c r="Q859" s="89"/>
      <c r="R859" s="89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</row>
    <row r="860" spans="1:36" ht="12.75" x14ac:dyDescent="0.2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8"/>
      <c r="N860" s="88"/>
      <c r="O860" s="8"/>
      <c r="P860" s="8"/>
      <c r="Q860" s="89"/>
      <c r="R860" s="89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</row>
    <row r="861" spans="1:36" ht="12.75" x14ac:dyDescent="0.2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8"/>
      <c r="N861" s="88"/>
      <c r="O861" s="8"/>
      <c r="P861" s="8"/>
      <c r="Q861" s="89"/>
      <c r="R861" s="89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</row>
    <row r="862" spans="1:36" ht="12.75" x14ac:dyDescent="0.2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8"/>
      <c r="N862" s="88"/>
      <c r="O862" s="8"/>
      <c r="P862" s="8"/>
      <c r="Q862" s="89"/>
      <c r="R862" s="89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</row>
    <row r="863" spans="1:36" ht="12.75" x14ac:dyDescent="0.2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8"/>
      <c r="N863" s="88"/>
      <c r="O863" s="8"/>
      <c r="P863" s="8"/>
      <c r="Q863" s="89"/>
      <c r="R863" s="89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</row>
    <row r="864" spans="1:36" ht="12.75" x14ac:dyDescent="0.2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8"/>
      <c r="N864" s="88"/>
      <c r="O864" s="8"/>
      <c r="P864" s="8"/>
      <c r="Q864" s="89"/>
      <c r="R864" s="89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</row>
    <row r="865" spans="1:36" ht="12.75" x14ac:dyDescent="0.2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8"/>
      <c r="N865" s="88"/>
      <c r="O865" s="8"/>
      <c r="P865" s="8"/>
      <c r="Q865" s="89"/>
      <c r="R865" s="89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</row>
    <row r="866" spans="1:36" ht="12.75" x14ac:dyDescent="0.2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8"/>
      <c r="N866" s="88"/>
      <c r="O866" s="8"/>
      <c r="P866" s="8"/>
      <c r="Q866" s="89"/>
      <c r="R866" s="89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</row>
    <row r="867" spans="1:36" ht="12.75" x14ac:dyDescent="0.2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8"/>
      <c r="N867" s="88"/>
      <c r="O867" s="8"/>
      <c r="P867" s="8"/>
      <c r="Q867" s="89"/>
      <c r="R867" s="89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</row>
    <row r="868" spans="1:36" ht="12.75" x14ac:dyDescent="0.2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8"/>
      <c r="N868" s="88"/>
      <c r="O868" s="8"/>
      <c r="P868" s="8"/>
      <c r="Q868" s="89"/>
      <c r="R868" s="89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</row>
    <row r="869" spans="1:36" ht="12.75" x14ac:dyDescent="0.2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8"/>
      <c r="N869" s="88"/>
      <c r="O869" s="8"/>
      <c r="P869" s="8"/>
      <c r="Q869" s="89"/>
      <c r="R869" s="89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</row>
    <row r="870" spans="1:36" ht="12.75" x14ac:dyDescent="0.2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8"/>
      <c r="N870" s="88"/>
      <c r="O870" s="8"/>
      <c r="P870" s="8"/>
      <c r="Q870" s="89"/>
      <c r="R870" s="89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</row>
    <row r="871" spans="1:36" ht="12.75" x14ac:dyDescent="0.2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8"/>
      <c r="N871" s="88"/>
      <c r="O871" s="8"/>
      <c r="P871" s="8"/>
      <c r="Q871" s="89"/>
      <c r="R871" s="89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</row>
    <row r="872" spans="1:36" ht="12.75" x14ac:dyDescent="0.2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8"/>
      <c r="N872" s="88"/>
      <c r="O872" s="8"/>
      <c r="P872" s="8"/>
      <c r="Q872" s="89"/>
      <c r="R872" s="89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</row>
    <row r="873" spans="1:36" ht="12.75" x14ac:dyDescent="0.2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8"/>
      <c r="N873" s="88"/>
      <c r="O873" s="8"/>
      <c r="P873" s="8"/>
      <c r="Q873" s="89"/>
      <c r="R873" s="89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</row>
    <row r="874" spans="1:36" ht="12.75" x14ac:dyDescent="0.2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8"/>
      <c r="N874" s="88"/>
      <c r="O874" s="8"/>
      <c r="P874" s="8"/>
      <c r="Q874" s="89"/>
      <c r="R874" s="89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</row>
    <row r="875" spans="1:36" ht="12.75" x14ac:dyDescent="0.2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8"/>
      <c r="N875" s="88"/>
      <c r="O875" s="8"/>
      <c r="P875" s="8"/>
      <c r="Q875" s="89"/>
      <c r="R875" s="89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</row>
    <row r="876" spans="1:36" ht="12.75" x14ac:dyDescent="0.2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8"/>
      <c r="N876" s="88"/>
      <c r="O876" s="8"/>
      <c r="P876" s="8"/>
      <c r="Q876" s="89"/>
      <c r="R876" s="89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</row>
    <row r="877" spans="1:36" ht="12.75" x14ac:dyDescent="0.2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8"/>
      <c r="N877" s="88"/>
      <c r="O877" s="8"/>
      <c r="P877" s="8"/>
      <c r="Q877" s="89"/>
      <c r="R877" s="89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</row>
    <row r="878" spans="1:36" ht="12.75" x14ac:dyDescent="0.2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8"/>
      <c r="N878" s="88"/>
      <c r="O878" s="8"/>
      <c r="P878" s="8"/>
      <c r="Q878" s="89"/>
      <c r="R878" s="89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</row>
    <row r="879" spans="1:36" ht="12.75" x14ac:dyDescent="0.2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8"/>
      <c r="N879" s="88"/>
      <c r="O879" s="8"/>
      <c r="P879" s="8"/>
      <c r="Q879" s="89"/>
      <c r="R879" s="89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</row>
    <row r="880" spans="1:36" ht="12.75" x14ac:dyDescent="0.2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8"/>
      <c r="N880" s="88"/>
      <c r="O880" s="8"/>
      <c r="P880" s="8"/>
      <c r="Q880" s="89"/>
      <c r="R880" s="89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</row>
    <row r="881" spans="1:36" ht="12.75" x14ac:dyDescent="0.2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8"/>
      <c r="N881" s="88"/>
      <c r="O881" s="8"/>
      <c r="P881" s="8"/>
      <c r="Q881" s="89"/>
      <c r="R881" s="89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</row>
    <row r="882" spans="1:36" ht="12.75" x14ac:dyDescent="0.2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8"/>
      <c r="N882" s="88"/>
      <c r="O882" s="8"/>
      <c r="P882" s="8"/>
      <c r="Q882" s="89"/>
      <c r="R882" s="89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</row>
    <row r="883" spans="1:36" ht="12.75" x14ac:dyDescent="0.2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8"/>
      <c r="N883" s="88"/>
      <c r="O883" s="8"/>
      <c r="P883" s="8"/>
      <c r="Q883" s="89"/>
      <c r="R883" s="89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</row>
    <row r="884" spans="1:36" ht="12.75" x14ac:dyDescent="0.2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8"/>
      <c r="N884" s="88"/>
      <c r="O884" s="8"/>
      <c r="P884" s="8"/>
      <c r="Q884" s="89"/>
      <c r="R884" s="89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</row>
    <row r="885" spans="1:36" ht="12.75" x14ac:dyDescent="0.2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8"/>
      <c r="N885" s="88"/>
      <c r="O885" s="8"/>
      <c r="P885" s="8"/>
      <c r="Q885" s="89"/>
      <c r="R885" s="89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</row>
    <row r="886" spans="1:36" ht="12.75" x14ac:dyDescent="0.2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8"/>
      <c r="N886" s="88"/>
      <c r="O886" s="8"/>
      <c r="P886" s="8"/>
      <c r="Q886" s="89"/>
      <c r="R886" s="89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</row>
    <row r="887" spans="1:36" ht="12.75" x14ac:dyDescent="0.2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8"/>
      <c r="N887" s="88"/>
      <c r="O887" s="8"/>
      <c r="P887" s="8"/>
      <c r="Q887" s="89"/>
      <c r="R887" s="89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</row>
    <row r="888" spans="1:36" ht="12.75" x14ac:dyDescent="0.2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8"/>
      <c r="N888" s="88"/>
      <c r="O888" s="8"/>
      <c r="P888" s="8"/>
      <c r="Q888" s="89"/>
      <c r="R888" s="89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</row>
    <row r="889" spans="1:36" ht="12.75" x14ac:dyDescent="0.2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8"/>
      <c r="N889" s="88"/>
      <c r="O889" s="8"/>
      <c r="P889" s="8"/>
      <c r="Q889" s="89"/>
      <c r="R889" s="89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</row>
    <row r="890" spans="1:36" ht="12.75" x14ac:dyDescent="0.2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8"/>
      <c r="N890" s="88"/>
      <c r="O890" s="8"/>
      <c r="P890" s="8"/>
      <c r="Q890" s="89"/>
      <c r="R890" s="89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</row>
    <row r="891" spans="1:36" ht="12.75" x14ac:dyDescent="0.2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8"/>
      <c r="N891" s="88"/>
      <c r="O891" s="8"/>
      <c r="P891" s="8"/>
      <c r="Q891" s="89"/>
      <c r="R891" s="89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</row>
    <row r="892" spans="1:36" ht="12.75" x14ac:dyDescent="0.2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8"/>
      <c r="N892" s="88"/>
      <c r="O892" s="8"/>
      <c r="P892" s="8"/>
      <c r="Q892" s="89"/>
      <c r="R892" s="89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</row>
    <row r="893" spans="1:36" ht="12.75" x14ac:dyDescent="0.2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8"/>
      <c r="N893" s="88"/>
      <c r="O893" s="8"/>
      <c r="P893" s="8"/>
      <c r="Q893" s="89"/>
      <c r="R893" s="89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</row>
    <row r="894" spans="1:36" ht="12.75" x14ac:dyDescent="0.2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8"/>
      <c r="N894" s="88"/>
      <c r="O894" s="8"/>
      <c r="P894" s="8"/>
      <c r="Q894" s="89"/>
      <c r="R894" s="89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</row>
    <row r="895" spans="1:36" ht="12.75" x14ac:dyDescent="0.2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8"/>
      <c r="N895" s="88"/>
      <c r="O895" s="8"/>
      <c r="P895" s="8"/>
      <c r="Q895" s="89"/>
      <c r="R895" s="89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</row>
    <row r="896" spans="1:36" ht="12.75" x14ac:dyDescent="0.2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8"/>
      <c r="N896" s="88"/>
      <c r="O896" s="8"/>
      <c r="P896" s="8"/>
      <c r="Q896" s="89"/>
      <c r="R896" s="89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</row>
    <row r="897" spans="1:36" ht="12.75" x14ac:dyDescent="0.2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8"/>
      <c r="N897" s="88"/>
      <c r="O897" s="8"/>
      <c r="P897" s="8"/>
      <c r="Q897" s="89"/>
      <c r="R897" s="89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</row>
    <row r="898" spans="1:36" ht="12.75" x14ac:dyDescent="0.2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8"/>
      <c r="N898" s="88"/>
      <c r="O898" s="8"/>
      <c r="P898" s="8"/>
      <c r="Q898" s="89"/>
      <c r="R898" s="89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</row>
    <row r="899" spans="1:36" ht="12.75" x14ac:dyDescent="0.2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8"/>
      <c r="N899" s="88"/>
      <c r="O899" s="8"/>
      <c r="P899" s="8"/>
      <c r="Q899" s="89"/>
      <c r="R899" s="89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</row>
    <row r="900" spans="1:36" ht="12.75" x14ac:dyDescent="0.2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8"/>
      <c r="N900" s="88"/>
      <c r="O900" s="8"/>
      <c r="P900" s="8"/>
      <c r="Q900" s="89"/>
      <c r="R900" s="89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</row>
    <row r="901" spans="1:36" ht="12.75" x14ac:dyDescent="0.2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8"/>
      <c r="N901" s="88"/>
      <c r="O901" s="8"/>
      <c r="P901" s="8"/>
      <c r="Q901" s="89"/>
      <c r="R901" s="89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</row>
    <row r="902" spans="1:36" ht="12.75" x14ac:dyDescent="0.2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8"/>
      <c r="N902" s="88"/>
      <c r="O902" s="8"/>
      <c r="P902" s="8"/>
      <c r="Q902" s="89"/>
      <c r="R902" s="89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</row>
    <row r="903" spans="1:36" ht="12.75" x14ac:dyDescent="0.2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8"/>
      <c r="N903" s="88"/>
      <c r="O903" s="8"/>
      <c r="P903" s="8"/>
      <c r="Q903" s="89"/>
      <c r="R903" s="89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</row>
    <row r="904" spans="1:36" ht="12.75" x14ac:dyDescent="0.2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8"/>
      <c r="N904" s="88"/>
      <c r="O904" s="8"/>
      <c r="P904" s="8"/>
      <c r="Q904" s="89"/>
      <c r="R904" s="89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</row>
    <row r="905" spans="1:36" ht="12.75" x14ac:dyDescent="0.2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8"/>
      <c r="N905" s="88"/>
      <c r="O905" s="8"/>
      <c r="P905" s="8"/>
      <c r="Q905" s="89"/>
      <c r="R905" s="89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</row>
    <row r="906" spans="1:36" ht="12.75" x14ac:dyDescent="0.2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8"/>
      <c r="N906" s="88"/>
      <c r="O906" s="8"/>
      <c r="P906" s="8"/>
      <c r="Q906" s="89"/>
      <c r="R906" s="89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</row>
    <row r="907" spans="1:36" ht="12.75" x14ac:dyDescent="0.2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8"/>
      <c r="N907" s="88"/>
      <c r="O907" s="8"/>
      <c r="P907" s="8"/>
      <c r="Q907" s="89"/>
      <c r="R907" s="89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</row>
    <row r="908" spans="1:36" ht="12.75" x14ac:dyDescent="0.2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8"/>
      <c r="N908" s="88"/>
      <c r="O908" s="8"/>
      <c r="P908" s="8"/>
      <c r="Q908" s="89"/>
      <c r="R908" s="89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</row>
    <row r="909" spans="1:36" ht="12.75" x14ac:dyDescent="0.2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8"/>
      <c r="N909" s="88"/>
      <c r="O909" s="8"/>
      <c r="P909" s="8"/>
      <c r="Q909" s="89"/>
      <c r="R909" s="89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</row>
    <row r="910" spans="1:36" ht="12.75" x14ac:dyDescent="0.2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8"/>
      <c r="N910" s="88"/>
      <c r="O910" s="8"/>
      <c r="P910" s="8"/>
      <c r="Q910" s="89"/>
      <c r="R910" s="89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</row>
    <row r="911" spans="1:36" ht="12.75" x14ac:dyDescent="0.2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8"/>
      <c r="N911" s="88"/>
      <c r="O911" s="8"/>
      <c r="P911" s="8"/>
      <c r="Q911" s="89"/>
      <c r="R911" s="89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</row>
    <row r="912" spans="1:36" ht="12.75" x14ac:dyDescent="0.2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8"/>
      <c r="N912" s="88"/>
      <c r="O912" s="8"/>
      <c r="P912" s="8"/>
      <c r="Q912" s="89"/>
      <c r="R912" s="89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</row>
    <row r="913" spans="1:36" ht="12.75" x14ac:dyDescent="0.2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8"/>
      <c r="N913" s="88"/>
      <c r="O913" s="8"/>
      <c r="P913" s="8"/>
      <c r="Q913" s="89"/>
      <c r="R913" s="89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</row>
    <row r="914" spans="1:36" ht="12.75" x14ac:dyDescent="0.2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8"/>
      <c r="N914" s="88"/>
      <c r="O914" s="8"/>
      <c r="P914" s="8"/>
      <c r="Q914" s="89"/>
      <c r="R914" s="89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</row>
    <row r="915" spans="1:36" ht="12.75" x14ac:dyDescent="0.2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8"/>
      <c r="N915" s="88"/>
      <c r="O915" s="8"/>
      <c r="P915" s="8"/>
      <c r="Q915" s="89"/>
      <c r="R915" s="89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</row>
    <row r="916" spans="1:36" ht="12.75" x14ac:dyDescent="0.2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8"/>
      <c r="N916" s="88"/>
      <c r="O916" s="8"/>
      <c r="P916" s="8"/>
      <c r="Q916" s="89"/>
      <c r="R916" s="89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</row>
    <row r="917" spans="1:36" ht="12.75" x14ac:dyDescent="0.2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8"/>
      <c r="N917" s="88"/>
      <c r="O917" s="8"/>
      <c r="P917" s="8"/>
      <c r="Q917" s="89"/>
      <c r="R917" s="89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</row>
    <row r="918" spans="1:36" ht="12.75" x14ac:dyDescent="0.2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8"/>
      <c r="N918" s="88"/>
      <c r="O918" s="8"/>
      <c r="P918" s="8"/>
      <c r="Q918" s="89"/>
      <c r="R918" s="89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</row>
    <row r="919" spans="1:36" ht="12.75" x14ac:dyDescent="0.2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8"/>
      <c r="N919" s="88"/>
      <c r="O919" s="8"/>
      <c r="P919" s="8"/>
      <c r="Q919" s="89"/>
      <c r="R919" s="89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</row>
    <row r="920" spans="1:36" ht="12.75" x14ac:dyDescent="0.2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8"/>
      <c r="N920" s="88"/>
      <c r="O920" s="8"/>
      <c r="P920" s="8"/>
      <c r="Q920" s="89"/>
      <c r="R920" s="89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</row>
    <row r="921" spans="1:36" ht="12.75" x14ac:dyDescent="0.2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8"/>
      <c r="N921" s="88"/>
      <c r="O921" s="8"/>
      <c r="P921" s="8"/>
      <c r="Q921" s="89"/>
      <c r="R921" s="89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</row>
    <row r="922" spans="1:36" ht="12.75" x14ac:dyDescent="0.2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8"/>
      <c r="N922" s="88"/>
      <c r="O922" s="8"/>
      <c r="P922" s="8"/>
      <c r="Q922" s="89"/>
      <c r="R922" s="89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</row>
    <row r="923" spans="1:36" ht="12.75" x14ac:dyDescent="0.2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8"/>
      <c r="N923" s="88"/>
      <c r="O923" s="8"/>
      <c r="P923" s="8"/>
      <c r="Q923" s="89"/>
      <c r="R923" s="89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</row>
    <row r="924" spans="1:36" ht="12.75" x14ac:dyDescent="0.2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8"/>
      <c r="N924" s="88"/>
      <c r="O924" s="8"/>
      <c r="P924" s="8"/>
      <c r="Q924" s="89"/>
      <c r="R924" s="89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</row>
    <row r="925" spans="1:36" ht="12.75" x14ac:dyDescent="0.2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8"/>
      <c r="N925" s="88"/>
      <c r="O925" s="8"/>
      <c r="P925" s="8"/>
      <c r="Q925" s="89"/>
      <c r="R925" s="89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</row>
    <row r="926" spans="1:36" ht="12.75" x14ac:dyDescent="0.2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8"/>
      <c r="N926" s="88"/>
      <c r="O926" s="8"/>
      <c r="P926" s="8"/>
      <c r="Q926" s="89"/>
      <c r="R926" s="89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</row>
    <row r="927" spans="1:36" ht="12.75" x14ac:dyDescent="0.2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8"/>
      <c r="N927" s="88"/>
      <c r="O927" s="8"/>
      <c r="P927" s="8"/>
      <c r="Q927" s="89"/>
      <c r="R927" s="89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</row>
    <row r="928" spans="1:36" ht="12.75" x14ac:dyDescent="0.2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8"/>
      <c r="N928" s="88"/>
      <c r="O928" s="8"/>
      <c r="P928" s="8"/>
      <c r="Q928" s="89"/>
      <c r="R928" s="89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</row>
    <row r="929" spans="1:36" ht="12.75" x14ac:dyDescent="0.2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8"/>
      <c r="N929" s="88"/>
      <c r="O929" s="8"/>
      <c r="P929" s="8"/>
      <c r="Q929" s="89"/>
      <c r="R929" s="89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</row>
    <row r="930" spans="1:36" ht="12.75" x14ac:dyDescent="0.2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8"/>
      <c r="N930" s="88"/>
      <c r="O930" s="8"/>
      <c r="P930" s="8"/>
      <c r="Q930" s="89"/>
      <c r="R930" s="89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</row>
    <row r="931" spans="1:36" ht="12.75" x14ac:dyDescent="0.2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8"/>
      <c r="N931" s="88"/>
      <c r="O931" s="8"/>
      <c r="P931" s="8"/>
      <c r="Q931" s="89"/>
      <c r="R931" s="89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</row>
    <row r="932" spans="1:36" ht="12.75" x14ac:dyDescent="0.2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8"/>
      <c r="N932" s="88"/>
      <c r="O932" s="8"/>
      <c r="P932" s="8"/>
      <c r="Q932" s="89"/>
      <c r="R932" s="89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</row>
    <row r="933" spans="1:36" ht="12.75" x14ac:dyDescent="0.2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8"/>
      <c r="N933" s="88"/>
      <c r="O933" s="8"/>
      <c r="P933" s="8"/>
      <c r="Q933" s="89"/>
      <c r="R933" s="89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</row>
    <row r="934" spans="1:36" ht="12.75" x14ac:dyDescent="0.2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8"/>
      <c r="N934" s="88"/>
      <c r="O934" s="8"/>
      <c r="P934" s="8"/>
      <c r="Q934" s="89"/>
      <c r="R934" s="89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</row>
    <row r="935" spans="1:36" ht="12.75" x14ac:dyDescent="0.2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8"/>
      <c r="N935" s="88"/>
      <c r="O935" s="8"/>
      <c r="P935" s="8"/>
      <c r="Q935" s="89"/>
      <c r="R935" s="89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</row>
    <row r="936" spans="1:36" ht="12.75" x14ac:dyDescent="0.2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8"/>
      <c r="N936" s="88"/>
      <c r="O936" s="8"/>
      <c r="P936" s="8"/>
      <c r="Q936" s="89"/>
      <c r="R936" s="89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</row>
    <row r="937" spans="1:36" ht="12.75" x14ac:dyDescent="0.2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8"/>
      <c r="N937" s="88"/>
      <c r="O937" s="8"/>
      <c r="P937" s="8"/>
      <c r="Q937" s="89"/>
      <c r="R937" s="89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</row>
    <row r="938" spans="1:36" ht="12.75" x14ac:dyDescent="0.2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8"/>
      <c r="N938" s="88"/>
      <c r="O938" s="8"/>
      <c r="P938" s="8"/>
      <c r="Q938" s="89"/>
      <c r="R938" s="89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</row>
    <row r="939" spans="1:36" ht="12.75" x14ac:dyDescent="0.2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8"/>
      <c r="N939" s="88"/>
      <c r="O939" s="8"/>
      <c r="P939" s="8"/>
      <c r="Q939" s="89"/>
      <c r="R939" s="89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</row>
    <row r="940" spans="1:36" ht="12.75" x14ac:dyDescent="0.2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8"/>
      <c r="N940" s="88"/>
      <c r="O940" s="8"/>
      <c r="P940" s="8"/>
      <c r="Q940" s="89"/>
      <c r="R940" s="89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</row>
    <row r="941" spans="1:36" ht="12.75" x14ac:dyDescent="0.2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8"/>
      <c r="N941" s="88"/>
      <c r="O941" s="8"/>
      <c r="P941" s="8"/>
      <c r="Q941" s="89"/>
      <c r="R941" s="89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</row>
    <row r="942" spans="1:36" ht="12.75" x14ac:dyDescent="0.2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8"/>
      <c r="N942" s="88"/>
      <c r="O942" s="8"/>
      <c r="P942" s="8"/>
      <c r="Q942" s="89"/>
      <c r="R942" s="89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</row>
    <row r="943" spans="1:36" ht="12.75" x14ac:dyDescent="0.2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8"/>
      <c r="N943" s="88"/>
      <c r="O943" s="8"/>
      <c r="P943" s="8"/>
      <c r="Q943" s="89"/>
      <c r="R943" s="89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</row>
    <row r="944" spans="1:36" ht="12.75" x14ac:dyDescent="0.2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8"/>
      <c r="N944" s="88"/>
      <c r="O944" s="8"/>
      <c r="P944" s="8"/>
      <c r="Q944" s="89"/>
      <c r="R944" s="89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</row>
    <row r="945" spans="1:36" ht="12.75" x14ac:dyDescent="0.2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8"/>
      <c r="N945" s="88"/>
      <c r="O945" s="8"/>
      <c r="P945" s="8"/>
      <c r="Q945" s="89"/>
      <c r="R945" s="89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</row>
    <row r="946" spans="1:36" ht="12.75" x14ac:dyDescent="0.2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8"/>
      <c r="N946" s="88"/>
      <c r="O946" s="8"/>
      <c r="P946" s="8"/>
      <c r="Q946" s="89"/>
      <c r="R946" s="89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</row>
    <row r="947" spans="1:36" ht="12.75" x14ac:dyDescent="0.2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8"/>
      <c r="N947" s="88"/>
      <c r="O947" s="8"/>
      <c r="P947" s="8"/>
      <c r="Q947" s="89"/>
      <c r="R947" s="89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</row>
    <row r="948" spans="1:36" ht="12.75" x14ac:dyDescent="0.2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8"/>
      <c r="N948" s="88"/>
      <c r="O948" s="8"/>
      <c r="P948" s="8"/>
      <c r="Q948" s="89"/>
      <c r="R948" s="89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</row>
    <row r="949" spans="1:36" ht="12.75" x14ac:dyDescent="0.2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8"/>
      <c r="N949" s="88"/>
      <c r="O949" s="8"/>
      <c r="P949" s="8"/>
      <c r="Q949" s="89"/>
      <c r="R949" s="89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</row>
    <row r="950" spans="1:36" ht="12.75" x14ac:dyDescent="0.2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8"/>
      <c r="N950" s="88"/>
      <c r="O950" s="8"/>
      <c r="P950" s="8"/>
      <c r="Q950" s="89"/>
      <c r="R950" s="89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</row>
    <row r="951" spans="1:36" ht="12.75" x14ac:dyDescent="0.2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8"/>
      <c r="N951" s="88"/>
      <c r="O951" s="8"/>
      <c r="P951" s="8"/>
      <c r="Q951" s="89"/>
      <c r="R951" s="89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</row>
    <row r="952" spans="1:36" ht="12.75" x14ac:dyDescent="0.2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8"/>
      <c r="N952" s="88"/>
      <c r="O952" s="8"/>
      <c r="P952" s="8"/>
      <c r="Q952" s="89"/>
      <c r="R952" s="89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</row>
    <row r="953" spans="1:36" ht="12.75" x14ac:dyDescent="0.2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8"/>
      <c r="N953" s="88"/>
      <c r="O953" s="8"/>
      <c r="P953" s="8"/>
      <c r="Q953" s="89"/>
      <c r="R953" s="89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</row>
    <row r="954" spans="1:36" ht="12.75" x14ac:dyDescent="0.2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8"/>
      <c r="N954" s="88"/>
      <c r="O954" s="8"/>
      <c r="P954" s="8"/>
      <c r="Q954" s="89"/>
      <c r="R954" s="89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</row>
    <row r="955" spans="1:36" ht="12.75" x14ac:dyDescent="0.2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8"/>
      <c r="N955" s="88"/>
      <c r="O955" s="8"/>
      <c r="P955" s="8"/>
      <c r="Q955" s="89"/>
      <c r="R955" s="89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</row>
    <row r="956" spans="1:36" ht="12.75" x14ac:dyDescent="0.2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8"/>
      <c r="N956" s="88"/>
      <c r="O956" s="8"/>
      <c r="P956" s="8"/>
      <c r="Q956" s="89"/>
      <c r="R956" s="89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</row>
    <row r="957" spans="1:36" ht="12.75" x14ac:dyDescent="0.2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8"/>
      <c r="N957" s="88"/>
      <c r="O957" s="8"/>
      <c r="P957" s="8"/>
      <c r="Q957" s="89"/>
      <c r="R957" s="89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</row>
    <row r="958" spans="1:36" ht="12.75" x14ac:dyDescent="0.2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8"/>
      <c r="N958" s="88"/>
      <c r="O958" s="8"/>
      <c r="P958" s="8"/>
      <c r="Q958" s="89"/>
      <c r="R958" s="89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</row>
    <row r="959" spans="1:36" ht="12.75" x14ac:dyDescent="0.2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8"/>
      <c r="N959" s="88"/>
      <c r="O959" s="8"/>
      <c r="P959" s="8"/>
      <c r="Q959" s="89"/>
      <c r="R959" s="89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</row>
    <row r="960" spans="1:36" ht="12.75" x14ac:dyDescent="0.2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8"/>
      <c r="N960" s="88"/>
      <c r="O960" s="8"/>
      <c r="P960" s="8"/>
      <c r="Q960" s="89"/>
      <c r="R960" s="89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</row>
    <row r="961" spans="1:36" ht="12.75" x14ac:dyDescent="0.2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8"/>
      <c r="N961" s="88"/>
      <c r="O961" s="8"/>
      <c r="P961" s="8"/>
      <c r="Q961" s="89"/>
      <c r="R961" s="89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</row>
    <row r="962" spans="1:36" ht="12.75" x14ac:dyDescent="0.2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8"/>
      <c r="N962" s="88"/>
      <c r="O962" s="8"/>
      <c r="P962" s="8"/>
      <c r="Q962" s="89"/>
      <c r="R962" s="89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</row>
    <row r="963" spans="1:36" ht="12.75" x14ac:dyDescent="0.2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8"/>
      <c r="N963" s="88"/>
      <c r="O963" s="8"/>
      <c r="P963" s="8"/>
      <c r="Q963" s="89"/>
      <c r="R963" s="89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</row>
    <row r="964" spans="1:36" ht="12.75" x14ac:dyDescent="0.2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8"/>
      <c r="N964" s="88"/>
      <c r="O964" s="8"/>
      <c r="P964" s="8"/>
      <c r="Q964" s="89"/>
      <c r="R964" s="89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</row>
    <row r="965" spans="1:36" ht="12.75" x14ac:dyDescent="0.2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8"/>
      <c r="N965" s="88"/>
      <c r="O965" s="8"/>
      <c r="P965" s="8"/>
      <c r="Q965" s="89"/>
      <c r="R965" s="89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</row>
    <row r="966" spans="1:36" ht="12.75" x14ac:dyDescent="0.2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8"/>
      <c r="N966" s="88"/>
      <c r="O966" s="8"/>
      <c r="P966" s="8"/>
      <c r="Q966" s="89"/>
      <c r="R966" s="89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</row>
    <row r="967" spans="1:36" ht="12.75" x14ac:dyDescent="0.2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8"/>
      <c r="N967" s="88"/>
      <c r="O967" s="8"/>
      <c r="P967" s="8"/>
      <c r="Q967" s="89"/>
      <c r="R967" s="89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</row>
    <row r="968" spans="1:36" ht="12.75" x14ac:dyDescent="0.2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8"/>
      <c r="N968" s="88"/>
      <c r="O968" s="8"/>
      <c r="P968" s="8"/>
      <c r="Q968" s="89"/>
      <c r="R968" s="89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</row>
    <row r="969" spans="1:36" ht="12.75" x14ac:dyDescent="0.2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8"/>
      <c r="N969" s="88"/>
      <c r="O969" s="8"/>
      <c r="P969" s="8"/>
      <c r="Q969" s="89"/>
      <c r="R969" s="89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</row>
    <row r="970" spans="1:36" ht="12.75" x14ac:dyDescent="0.2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8"/>
      <c r="N970" s="88"/>
      <c r="O970" s="8"/>
      <c r="P970" s="8"/>
      <c r="Q970" s="89"/>
      <c r="R970" s="89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</row>
    <row r="971" spans="1:36" ht="12.75" x14ac:dyDescent="0.2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8"/>
      <c r="N971" s="88"/>
      <c r="O971" s="8"/>
      <c r="P971" s="8"/>
      <c r="Q971" s="89"/>
      <c r="R971" s="89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</row>
    <row r="972" spans="1:36" ht="12.75" x14ac:dyDescent="0.2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8"/>
      <c r="N972" s="88"/>
      <c r="O972" s="8"/>
      <c r="P972" s="8"/>
      <c r="Q972" s="89"/>
      <c r="R972" s="89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</row>
    <row r="973" spans="1:36" ht="12.75" x14ac:dyDescent="0.2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8"/>
      <c r="N973" s="88"/>
      <c r="O973" s="8"/>
      <c r="P973" s="8"/>
      <c r="Q973" s="89"/>
      <c r="R973" s="89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</row>
    <row r="974" spans="1:36" ht="12.75" x14ac:dyDescent="0.2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8"/>
      <c r="N974" s="88"/>
      <c r="O974" s="8"/>
      <c r="P974" s="8"/>
      <c r="Q974" s="89"/>
      <c r="R974" s="89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</row>
    <row r="975" spans="1:36" ht="12.75" x14ac:dyDescent="0.2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8"/>
      <c r="N975" s="88"/>
      <c r="O975" s="8"/>
      <c r="P975" s="8"/>
      <c r="Q975" s="89"/>
      <c r="R975" s="89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</row>
    <row r="976" spans="1:36" ht="12.75" x14ac:dyDescent="0.2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8"/>
      <c r="N976" s="88"/>
      <c r="O976" s="8"/>
      <c r="P976" s="8"/>
      <c r="Q976" s="89"/>
      <c r="R976" s="89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</row>
    <row r="977" spans="1:36" ht="12.75" x14ac:dyDescent="0.2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8"/>
      <c r="N977" s="88"/>
      <c r="O977" s="8"/>
      <c r="P977" s="8"/>
      <c r="Q977" s="89"/>
      <c r="R977" s="89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</row>
    <row r="978" spans="1:36" ht="12.75" x14ac:dyDescent="0.2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8"/>
      <c r="N978" s="88"/>
      <c r="O978" s="8"/>
      <c r="P978" s="8"/>
      <c r="Q978" s="89"/>
      <c r="R978" s="89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</row>
    <row r="979" spans="1:36" ht="12.75" x14ac:dyDescent="0.2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8"/>
      <c r="N979" s="88"/>
      <c r="O979" s="8"/>
      <c r="P979" s="8"/>
      <c r="Q979" s="89"/>
      <c r="R979" s="89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</row>
    <row r="980" spans="1:36" ht="12.75" x14ac:dyDescent="0.2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8"/>
      <c r="N980" s="88"/>
      <c r="O980" s="8"/>
      <c r="P980" s="8"/>
      <c r="Q980" s="89"/>
      <c r="R980" s="89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</row>
    <row r="981" spans="1:36" ht="12.75" x14ac:dyDescent="0.2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8"/>
      <c r="N981" s="88"/>
      <c r="O981" s="8"/>
      <c r="P981" s="8"/>
      <c r="Q981" s="89"/>
      <c r="R981" s="89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</row>
    <row r="982" spans="1:36" ht="12.75" x14ac:dyDescent="0.2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8"/>
      <c r="N982" s="88"/>
      <c r="O982" s="8"/>
      <c r="P982" s="8"/>
      <c r="Q982" s="89"/>
      <c r="R982" s="89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</row>
    <row r="983" spans="1:36" ht="12.75" x14ac:dyDescent="0.2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8"/>
      <c r="N983" s="88"/>
      <c r="O983" s="8"/>
      <c r="P983" s="8"/>
      <c r="Q983" s="89"/>
      <c r="R983" s="89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</row>
    <row r="984" spans="1:36" ht="12.75" x14ac:dyDescent="0.2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8"/>
      <c r="N984" s="88"/>
      <c r="O984" s="8"/>
      <c r="P984" s="8"/>
      <c r="Q984" s="89"/>
      <c r="R984" s="89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</row>
    <row r="985" spans="1:36" ht="12.75" x14ac:dyDescent="0.2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8"/>
      <c r="N985" s="88"/>
      <c r="O985" s="8"/>
      <c r="P985" s="8"/>
      <c r="Q985" s="89"/>
      <c r="R985" s="89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</row>
    <row r="986" spans="1:36" ht="12.75" x14ac:dyDescent="0.2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8"/>
      <c r="N986" s="88"/>
      <c r="O986" s="8"/>
      <c r="P986" s="8"/>
      <c r="Q986" s="89"/>
      <c r="R986" s="89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</row>
    <row r="987" spans="1:36" ht="12.75" x14ac:dyDescent="0.2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8"/>
      <c r="N987" s="88"/>
      <c r="O987" s="8"/>
      <c r="P987" s="8"/>
      <c r="Q987" s="89"/>
      <c r="R987" s="89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</row>
    <row r="988" spans="1:36" ht="12.75" x14ac:dyDescent="0.2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8"/>
      <c r="N988" s="88"/>
      <c r="O988" s="8"/>
      <c r="P988" s="8"/>
      <c r="Q988" s="89"/>
      <c r="R988" s="89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</row>
    <row r="989" spans="1:36" ht="12.75" x14ac:dyDescent="0.2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8"/>
      <c r="N989" s="88"/>
      <c r="O989" s="8"/>
      <c r="P989" s="8"/>
      <c r="Q989" s="89"/>
      <c r="R989" s="89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</row>
    <row r="990" spans="1:36" ht="12.75" x14ac:dyDescent="0.2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8"/>
      <c r="N990" s="88"/>
      <c r="O990" s="8"/>
      <c r="P990" s="8"/>
      <c r="Q990" s="89"/>
      <c r="R990" s="89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</row>
    <row r="991" spans="1:36" ht="12.75" x14ac:dyDescent="0.2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8"/>
      <c r="N991" s="88"/>
      <c r="O991" s="8"/>
      <c r="P991" s="8"/>
      <c r="Q991" s="89"/>
      <c r="R991" s="89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</row>
    <row r="992" spans="1:36" ht="12.75" x14ac:dyDescent="0.2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8"/>
      <c r="N992" s="88"/>
      <c r="O992" s="8"/>
      <c r="P992" s="8"/>
      <c r="Q992" s="89"/>
      <c r="R992" s="89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</row>
    <row r="993" spans="1:36" ht="12.75" x14ac:dyDescent="0.2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8"/>
      <c r="N993" s="88"/>
      <c r="O993" s="8"/>
      <c r="P993" s="8"/>
      <c r="Q993" s="89"/>
      <c r="R993" s="89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</row>
    <row r="994" spans="1:36" ht="12.75" x14ac:dyDescent="0.2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8"/>
      <c r="N994" s="88"/>
      <c r="O994" s="8"/>
      <c r="P994" s="8"/>
      <c r="Q994" s="89"/>
      <c r="R994" s="89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</row>
    <row r="995" spans="1:36" ht="12.75" x14ac:dyDescent="0.2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8"/>
      <c r="N995" s="88"/>
      <c r="O995" s="8"/>
      <c r="P995" s="8"/>
      <c r="Q995" s="89"/>
      <c r="R995" s="89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</row>
    <row r="996" spans="1:36" ht="12.75" x14ac:dyDescent="0.2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8"/>
      <c r="N996" s="88"/>
      <c r="O996" s="8"/>
      <c r="P996" s="8"/>
      <c r="Q996" s="89"/>
      <c r="R996" s="89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</row>
    <row r="997" spans="1:36" ht="12.75" x14ac:dyDescent="0.2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8"/>
      <c r="N997" s="88"/>
      <c r="O997" s="8"/>
      <c r="P997" s="8"/>
      <c r="Q997" s="89"/>
      <c r="R997" s="89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</row>
    <row r="998" spans="1:36" ht="12.75" x14ac:dyDescent="0.2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8"/>
      <c r="N998" s="88"/>
      <c r="O998" s="8"/>
      <c r="P998" s="8"/>
      <c r="Q998" s="89"/>
      <c r="R998" s="89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</row>
    <row r="999" spans="1:36" ht="12.75" x14ac:dyDescent="0.2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8"/>
      <c r="N999" s="88"/>
      <c r="O999" s="8"/>
      <c r="P999" s="8"/>
      <c r="Q999" s="89"/>
      <c r="R999" s="89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</row>
    <row r="1000" spans="1:36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</row>
  </sheetData>
  <mergeCells count="32">
    <mergeCell ref="A13:B13"/>
    <mergeCell ref="A31:B31"/>
    <mergeCell ref="A52:B52"/>
    <mergeCell ref="A74:B74"/>
    <mergeCell ref="A89:B89"/>
    <mergeCell ref="A104:B104"/>
    <mergeCell ref="AF5:AG5"/>
    <mergeCell ref="AI5:AJ5"/>
    <mergeCell ref="A2:B6"/>
    <mergeCell ref="C2:AJ2"/>
    <mergeCell ref="C3:R3"/>
    <mergeCell ref="S3:AG3"/>
    <mergeCell ref="AH3:AJ4"/>
    <mergeCell ref="C4:E4"/>
    <mergeCell ref="E5:E6"/>
    <mergeCell ref="A7:B7"/>
    <mergeCell ref="V4:X4"/>
    <mergeCell ref="Y4:AA4"/>
    <mergeCell ref="AB4:AD4"/>
    <mergeCell ref="AE4:AG4"/>
    <mergeCell ref="C5:C6"/>
    <mergeCell ref="D5:D6"/>
    <mergeCell ref="F4:G4"/>
    <mergeCell ref="H5:I5"/>
    <mergeCell ref="J5:L5"/>
    <mergeCell ref="Q5:R5"/>
    <mergeCell ref="T5:U5"/>
    <mergeCell ref="W5:X5"/>
    <mergeCell ref="Z5:AA5"/>
    <mergeCell ref="AC5:AD5"/>
    <mergeCell ref="H4:R4"/>
    <mergeCell ref="S4:U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0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1" manualBreakCount="1">
    <brk id="18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DC1000"/>
  <sheetViews>
    <sheetView view="pageBreakPreview" zoomScale="60" zoomScaleNormal="70" workbookViewId="0">
      <pane xSplit="2" ySplit="7" topLeftCell="C17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22.5703125" bestFit="1" customWidth="1"/>
    <col min="4" max="4" width="19.7109375" bestFit="1" customWidth="1"/>
    <col min="5" max="5" width="13.42578125" bestFit="1" customWidth="1"/>
    <col min="6" max="6" width="20.140625" bestFit="1" customWidth="1"/>
    <col min="7" max="7" width="13.5703125" bestFit="1" customWidth="1"/>
    <col min="8" max="8" width="18.7109375" bestFit="1" customWidth="1"/>
    <col min="9" max="9" width="10.85546875" bestFit="1" customWidth="1"/>
    <col min="10" max="10" width="18.7109375" bestFit="1" customWidth="1"/>
    <col min="11" max="11" width="11.5703125" bestFit="1" customWidth="1"/>
    <col min="12" max="12" width="12" bestFit="1" customWidth="1"/>
    <col min="13" max="13" width="14.7109375" bestFit="1" customWidth="1"/>
    <col min="14" max="14" width="18.85546875" bestFit="1" customWidth="1"/>
    <col min="15" max="15" width="19" bestFit="1" customWidth="1"/>
    <col min="16" max="16" width="18.7109375" bestFit="1" customWidth="1"/>
    <col min="17" max="17" width="23.42578125" bestFit="1" customWidth="1"/>
    <col min="18" max="18" width="8" bestFit="1" customWidth="1"/>
    <col min="19" max="19" width="10.85546875" bestFit="1" customWidth="1"/>
    <col min="20" max="20" width="16.7109375" bestFit="1" customWidth="1"/>
    <col min="21" max="21" width="14.28515625" bestFit="1" customWidth="1"/>
    <col min="22" max="22" width="21" bestFit="1" customWidth="1"/>
    <col min="23" max="23" width="12.42578125" bestFit="1" customWidth="1"/>
    <col min="24" max="24" width="14.28515625" bestFit="1" customWidth="1"/>
    <col min="25" max="25" width="12.42578125" bestFit="1" customWidth="1"/>
    <col min="26" max="26" width="21" bestFit="1" customWidth="1"/>
    <col min="27" max="27" width="14.28515625" bestFit="1" customWidth="1"/>
    <col min="28" max="28" width="18.5703125" bestFit="1" customWidth="1"/>
    <col min="29" max="29" width="12.42578125" bestFit="1" customWidth="1"/>
    <col min="30" max="30" width="16.7109375" bestFit="1" customWidth="1"/>
    <col min="31" max="31" width="12.42578125" bestFit="1" customWidth="1"/>
    <col min="32" max="32" width="16.7109375" bestFit="1" customWidth="1"/>
    <col min="33" max="33" width="14.28515625" bestFit="1" customWidth="1"/>
    <col min="34" max="34" width="21" bestFit="1" customWidth="1"/>
    <col min="35" max="35" width="12.42578125" bestFit="1" customWidth="1"/>
    <col min="36" max="36" width="14.28515625" bestFit="1" customWidth="1"/>
    <col min="37" max="37" width="12.42578125" bestFit="1" customWidth="1"/>
    <col min="38" max="38" width="21" bestFit="1" customWidth="1"/>
    <col min="39" max="39" width="14.28515625" bestFit="1" customWidth="1"/>
    <col min="40" max="40" width="18.5703125" bestFit="1" customWidth="1"/>
    <col min="41" max="41" width="12.42578125" bestFit="1" customWidth="1"/>
    <col min="42" max="42" width="16.7109375" bestFit="1" customWidth="1"/>
    <col min="43" max="43" width="10.7109375" bestFit="1" customWidth="1"/>
    <col min="44" max="44" width="16.7109375" bestFit="1" customWidth="1"/>
    <col min="45" max="45" width="14.28515625" bestFit="1" customWidth="1"/>
    <col min="46" max="46" width="21" bestFit="1" customWidth="1"/>
    <col min="47" max="47" width="12.42578125" bestFit="1" customWidth="1"/>
    <col min="48" max="48" width="14.28515625" bestFit="1" customWidth="1"/>
    <col min="49" max="49" width="12.42578125" bestFit="1" customWidth="1"/>
    <col min="50" max="50" width="18.5703125" bestFit="1" customWidth="1"/>
    <col min="51" max="51" width="14.28515625" bestFit="1" customWidth="1"/>
    <col min="52" max="52" width="18.5703125" bestFit="1" customWidth="1"/>
    <col min="53" max="53" width="10.7109375" bestFit="1" customWidth="1"/>
    <col min="54" max="54" width="16.7109375" bestFit="1" customWidth="1"/>
    <col min="55" max="55" width="10.7109375" bestFit="1" customWidth="1"/>
    <col min="56" max="56" width="16.7109375" bestFit="1" customWidth="1"/>
    <col min="57" max="57" width="10.7109375" bestFit="1" customWidth="1"/>
    <col min="58" max="58" width="15" bestFit="1" customWidth="1"/>
    <col min="59" max="59" width="8.85546875" bestFit="1" customWidth="1"/>
    <col min="60" max="60" width="10.7109375" bestFit="1" customWidth="1"/>
    <col min="61" max="61" width="8.85546875" bestFit="1" customWidth="1"/>
    <col min="62" max="62" width="7.7109375" bestFit="1" customWidth="1"/>
    <col min="63" max="63" width="8.85546875" bestFit="1" customWidth="1"/>
    <col min="64" max="64" width="14.28515625" bestFit="1" customWidth="1"/>
    <col min="65" max="65" width="12.42578125" bestFit="1" customWidth="1"/>
    <col min="66" max="66" width="16.7109375" bestFit="1" customWidth="1"/>
    <col min="67" max="67" width="12.42578125" bestFit="1" customWidth="1"/>
    <col min="68" max="68" width="10.7109375" bestFit="1" customWidth="1"/>
    <col min="69" max="69" width="12.42578125" bestFit="1" customWidth="1"/>
    <col min="70" max="70" width="16.7109375" bestFit="1" customWidth="1"/>
    <col min="71" max="71" width="10.7109375" bestFit="1" customWidth="1"/>
    <col min="72" max="72" width="16.7109375" bestFit="1" customWidth="1"/>
    <col min="73" max="73" width="10.7109375" bestFit="1" customWidth="1"/>
    <col min="74" max="74" width="16.7109375" bestFit="1" customWidth="1"/>
    <col min="75" max="75" width="8.85546875" bestFit="1" customWidth="1"/>
    <col min="76" max="76" width="12.42578125" bestFit="1" customWidth="1"/>
    <col min="77" max="77" width="8.85546875" bestFit="1" customWidth="1"/>
    <col min="78" max="78" width="15" bestFit="1" customWidth="1"/>
    <col min="79" max="79" width="8.85546875" bestFit="1" customWidth="1"/>
    <col min="80" max="80" width="15" bestFit="1" customWidth="1"/>
    <col min="81" max="81" width="8.85546875" bestFit="1" customWidth="1"/>
    <col min="82" max="82" width="12.42578125" bestFit="1" customWidth="1"/>
    <col min="83" max="83" width="8.85546875" bestFit="1" customWidth="1"/>
    <col min="84" max="84" width="12.42578125" bestFit="1" customWidth="1"/>
    <col min="85" max="85" width="8.85546875" bestFit="1" customWidth="1"/>
    <col min="86" max="86" width="5.140625" bestFit="1" customWidth="1"/>
    <col min="87" max="87" width="12.42578125" bestFit="1" customWidth="1"/>
    <col min="88" max="88" width="7.7109375" bestFit="1" customWidth="1"/>
    <col min="89" max="89" width="10.7109375" bestFit="1" customWidth="1"/>
    <col min="90" max="90" width="8.85546875" bestFit="1" customWidth="1"/>
    <col min="91" max="91" width="10.140625" bestFit="1" customWidth="1"/>
    <col min="92" max="92" width="7.7109375" bestFit="1" customWidth="1"/>
    <col min="93" max="93" width="8.85546875" bestFit="1" customWidth="1"/>
    <col min="94" max="94" width="7.7109375" bestFit="1" customWidth="1"/>
    <col min="95" max="95" width="8.85546875" bestFit="1" customWidth="1"/>
    <col min="96" max="96" width="10.7109375" bestFit="1" customWidth="1"/>
    <col min="97" max="97" width="8.85546875" bestFit="1" customWidth="1"/>
    <col min="98" max="98" width="15" bestFit="1" customWidth="1"/>
    <col min="99" max="99" width="12.42578125" bestFit="1" customWidth="1"/>
    <col min="100" max="100" width="8.85546875" bestFit="1" customWidth="1"/>
    <col min="101" max="102" width="12.42578125" bestFit="1" customWidth="1"/>
    <col min="103" max="103" width="8.85546875" bestFit="1" customWidth="1"/>
    <col min="104" max="104" width="12.42578125" bestFit="1" customWidth="1"/>
    <col min="105" max="105" width="8.85546875" bestFit="1" customWidth="1"/>
    <col min="106" max="106" width="10.7109375" bestFit="1" customWidth="1"/>
    <col min="107" max="107" width="8.85546875" bestFit="1" customWidth="1"/>
  </cols>
  <sheetData>
    <row r="1" spans="1:107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4"/>
      <c r="S1" s="4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</row>
    <row r="2" spans="1:107" ht="24" customHeight="1" x14ac:dyDescent="0.2">
      <c r="A2" s="198" t="s">
        <v>1</v>
      </c>
      <c r="B2" s="199"/>
      <c r="C2" s="193" t="s">
        <v>169</v>
      </c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5"/>
      <c r="BE2" s="185"/>
      <c r="BF2" s="185"/>
      <c r="BG2" s="185"/>
      <c r="BH2" s="185"/>
      <c r="BI2" s="185"/>
      <c r="BJ2" s="185"/>
      <c r="BK2" s="185"/>
      <c r="BL2" s="185"/>
      <c r="BM2" s="185"/>
      <c r="BN2" s="185"/>
      <c r="BO2" s="185"/>
      <c r="BP2" s="185"/>
      <c r="BQ2" s="185"/>
      <c r="BR2" s="185"/>
      <c r="BS2" s="185"/>
      <c r="BT2" s="185"/>
      <c r="BU2" s="185"/>
      <c r="BV2" s="185"/>
      <c r="BW2" s="185"/>
      <c r="BX2" s="185"/>
      <c r="BY2" s="185"/>
      <c r="BZ2" s="185"/>
      <c r="CA2" s="185"/>
      <c r="CB2" s="185"/>
      <c r="CC2" s="185"/>
      <c r="CD2" s="185"/>
      <c r="CE2" s="185"/>
      <c r="CF2" s="185"/>
      <c r="CG2" s="185"/>
      <c r="CH2" s="185"/>
      <c r="CI2" s="185"/>
      <c r="CJ2" s="185"/>
      <c r="CK2" s="185"/>
      <c r="CL2" s="185"/>
      <c r="CM2" s="185"/>
      <c r="CN2" s="185"/>
      <c r="CO2" s="185"/>
      <c r="CP2" s="185"/>
      <c r="CQ2" s="185"/>
      <c r="CR2" s="185"/>
      <c r="CS2" s="185"/>
      <c r="CT2" s="185"/>
      <c r="CU2" s="185"/>
      <c r="CV2" s="185"/>
      <c r="CW2" s="185"/>
      <c r="CX2" s="185"/>
      <c r="CY2" s="185"/>
      <c r="CZ2" s="185"/>
      <c r="DA2" s="185"/>
      <c r="DB2" s="185"/>
      <c r="DC2" s="183"/>
    </row>
    <row r="3" spans="1:107" ht="30" customHeight="1" x14ac:dyDescent="0.2">
      <c r="A3" s="200"/>
      <c r="B3" s="199"/>
      <c r="C3" s="194" t="s">
        <v>3</v>
      </c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3"/>
      <c r="T3" s="226" t="s">
        <v>170</v>
      </c>
      <c r="U3" s="185"/>
      <c r="V3" s="185"/>
      <c r="W3" s="185"/>
      <c r="X3" s="185"/>
      <c r="Y3" s="185"/>
      <c r="Z3" s="185"/>
      <c r="AA3" s="185"/>
      <c r="AB3" s="185"/>
      <c r="AC3" s="185"/>
      <c r="AD3" s="185"/>
      <c r="AE3" s="183"/>
      <c r="AF3" s="226" t="s">
        <v>170</v>
      </c>
      <c r="AG3" s="185"/>
      <c r="AH3" s="185"/>
      <c r="AI3" s="185"/>
      <c r="AJ3" s="185"/>
      <c r="AK3" s="185"/>
      <c r="AL3" s="185"/>
      <c r="AM3" s="185"/>
      <c r="AN3" s="185"/>
      <c r="AO3" s="185"/>
      <c r="AP3" s="185"/>
      <c r="AQ3" s="183"/>
      <c r="AR3" s="226" t="s">
        <v>170</v>
      </c>
      <c r="AS3" s="185"/>
      <c r="AT3" s="185"/>
      <c r="AU3" s="185"/>
      <c r="AV3" s="185"/>
      <c r="AW3" s="185"/>
      <c r="AX3" s="185"/>
      <c r="AY3" s="185"/>
      <c r="AZ3" s="185"/>
      <c r="BA3" s="185"/>
      <c r="BB3" s="185"/>
      <c r="BC3" s="185"/>
      <c r="BD3" s="185"/>
      <c r="BE3" s="185"/>
      <c r="BF3" s="185"/>
      <c r="BG3" s="185"/>
      <c r="BH3" s="185"/>
      <c r="BI3" s="185"/>
      <c r="BJ3" s="185"/>
      <c r="BK3" s="183"/>
      <c r="BL3" s="227" t="s">
        <v>170</v>
      </c>
      <c r="BM3" s="185"/>
      <c r="BN3" s="185"/>
      <c r="BO3" s="185"/>
      <c r="BP3" s="185"/>
      <c r="BQ3" s="185"/>
      <c r="BR3" s="185"/>
      <c r="BS3" s="185"/>
      <c r="BT3" s="185"/>
      <c r="BU3" s="185"/>
      <c r="BV3" s="185"/>
      <c r="BW3" s="185"/>
      <c r="BX3" s="185"/>
      <c r="BY3" s="185"/>
      <c r="BZ3" s="185"/>
      <c r="CA3" s="185"/>
      <c r="CB3" s="185"/>
      <c r="CC3" s="185"/>
      <c r="CD3" s="185"/>
      <c r="CE3" s="185"/>
      <c r="CF3" s="185"/>
      <c r="CG3" s="183"/>
      <c r="CH3" s="228" t="s">
        <v>171</v>
      </c>
      <c r="CI3" s="185"/>
      <c r="CJ3" s="185"/>
      <c r="CK3" s="185"/>
      <c r="CL3" s="185"/>
      <c r="CM3" s="185"/>
      <c r="CN3" s="185"/>
      <c r="CO3" s="185"/>
      <c r="CP3" s="185"/>
      <c r="CQ3" s="185"/>
      <c r="CR3" s="185"/>
      <c r="CS3" s="185"/>
      <c r="CT3" s="185"/>
      <c r="CU3" s="185"/>
      <c r="CV3" s="185"/>
      <c r="CW3" s="185"/>
      <c r="CX3" s="185"/>
      <c r="CY3" s="185"/>
      <c r="CZ3" s="185"/>
      <c r="DA3" s="185"/>
      <c r="DB3" s="185"/>
      <c r="DC3" s="183"/>
    </row>
    <row r="4" spans="1:107" ht="75" customHeight="1" x14ac:dyDescent="0.3">
      <c r="A4" s="200"/>
      <c r="B4" s="199"/>
      <c r="C4" s="184" t="s">
        <v>8</v>
      </c>
      <c r="D4" s="185"/>
      <c r="E4" s="183"/>
      <c r="F4" s="195" t="s">
        <v>9</v>
      </c>
      <c r="G4" s="183"/>
      <c r="H4" s="196" t="s">
        <v>10</v>
      </c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3"/>
      <c r="T4" s="208" t="s">
        <v>172</v>
      </c>
      <c r="U4" s="185"/>
      <c r="V4" s="185"/>
      <c r="W4" s="185"/>
      <c r="X4" s="185"/>
      <c r="Y4" s="183"/>
      <c r="Z4" s="205" t="s">
        <v>173</v>
      </c>
      <c r="AA4" s="183"/>
      <c r="AB4" s="205" t="s">
        <v>174</v>
      </c>
      <c r="AC4" s="183"/>
      <c r="AD4" s="205" t="s">
        <v>175</v>
      </c>
      <c r="AE4" s="183"/>
      <c r="AF4" s="222" t="s">
        <v>176</v>
      </c>
      <c r="AG4" s="185"/>
      <c r="AH4" s="185"/>
      <c r="AI4" s="185"/>
      <c r="AJ4" s="185"/>
      <c r="AK4" s="183"/>
      <c r="AL4" s="220" t="s">
        <v>177</v>
      </c>
      <c r="AM4" s="183"/>
      <c r="AN4" s="220" t="s">
        <v>178</v>
      </c>
      <c r="AO4" s="183"/>
      <c r="AP4" s="220" t="s">
        <v>179</v>
      </c>
      <c r="AQ4" s="183"/>
      <c r="AR4" s="221" t="s">
        <v>180</v>
      </c>
      <c r="AS4" s="185"/>
      <c r="AT4" s="185"/>
      <c r="AU4" s="185"/>
      <c r="AV4" s="185"/>
      <c r="AW4" s="183"/>
      <c r="AX4" s="218" t="s">
        <v>181</v>
      </c>
      <c r="AY4" s="183"/>
      <c r="AZ4" s="218" t="s">
        <v>182</v>
      </c>
      <c r="BA4" s="183"/>
      <c r="BB4" s="218" t="s">
        <v>183</v>
      </c>
      <c r="BC4" s="183"/>
      <c r="BD4" s="219" t="s">
        <v>184</v>
      </c>
      <c r="BE4" s="185"/>
      <c r="BF4" s="219" t="s">
        <v>185</v>
      </c>
      <c r="BG4" s="185"/>
      <c r="BH4" s="218" t="s">
        <v>186</v>
      </c>
      <c r="BI4" s="183"/>
      <c r="BJ4" s="218" t="s">
        <v>187</v>
      </c>
      <c r="BK4" s="183"/>
      <c r="BL4" s="216" t="s">
        <v>188</v>
      </c>
      <c r="BM4" s="185"/>
      <c r="BN4" s="185"/>
      <c r="BO4" s="185"/>
      <c r="BP4" s="185"/>
      <c r="BQ4" s="183"/>
      <c r="BR4" s="214" t="s">
        <v>189</v>
      </c>
      <c r="BS4" s="183"/>
      <c r="BT4" s="215" t="s">
        <v>190</v>
      </c>
      <c r="BU4" s="183"/>
      <c r="BV4" s="217" t="s">
        <v>191</v>
      </c>
      <c r="BW4" s="183"/>
      <c r="BX4" s="215" t="s">
        <v>192</v>
      </c>
      <c r="BY4" s="185"/>
      <c r="BZ4" s="214" t="s">
        <v>193</v>
      </c>
      <c r="CA4" s="183"/>
      <c r="CB4" s="215" t="s">
        <v>194</v>
      </c>
      <c r="CC4" s="183"/>
      <c r="CD4" s="215" t="s">
        <v>195</v>
      </c>
      <c r="CE4" s="183"/>
      <c r="CF4" s="209" t="s">
        <v>196</v>
      </c>
      <c r="CG4" s="183"/>
      <c r="CH4" s="210" t="s">
        <v>197</v>
      </c>
      <c r="CI4" s="185"/>
      <c r="CJ4" s="185"/>
      <c r="CK4" s="185"/>
      <c r="CL4" s="185"/>
      <c r="CM4" s="183"/>
      <c r="CN4" s="211" t="s">
        <v>198</v>
      </c>
      <c r="CO4" s="183"/>
      <c r="CP4" s="211" t="s">
        <v>199</v>
      </c>
      <c r="CQ4" s="183"/>
      <c r="CR4" s="210" t="s">
        <v>200</v>
      </c>
      <c r="CS4" s="185"/>
      <c r="CT4" s="185"/>
      <c r="CU4" s="185"/>
      <c r="CV4" s="185"/>
      <c r="CW4" s="183"/>
      <c r="CX4" s="211" t="s">
        <v>198</v>
      </c>
      <c r="CY4" s="183"/>
      <c r="CZ4" s="211" t="s">
        <v>199</v>
      </c>
      <c r="DA4" s="183"/>
      <c r="DB4" s="212" t="s">
        <v>201</v>
      </c>
      <c r="DC4" s="176"/>
    </row>
    <row r="5" spans="1:107" ht="37.5" customHeight="1" x14ac:dyDescent="0.3">
      <c r="A5" s="200"/>
      <c r="B5" s="199"/>
      <c r="C5" s="242" t="s">
        <v>11</v>
      </c>
      <c r="D5" s="243" t="s">
        <v>12</v>
      </c>
      <c r="E5" s="244" t="s">
        <v>13</v>
      </c>
      <c r="F5" s="11" t="s">
        <v>14</v>
      </c>
      <c r="G5" s="11" t="s">
        <v>15</v>
      </c>
      <c r="H5" s="251" t="s">
        <v>16</v>
      </c>
      <c r="I5" s="245"/>
      <c r="J5" s="247" t="s">
        <v>202</v>
      </c>
      <c r="K5" s="248"/>
      <c r="L5" s="245"/>
      <c r="M5" s="249" t="s">
        <v>18</v>
      </c>
      <c r="N5" s="249" t="s">
        <v>19</v>
      </c>
      <c r="O5" s="249" t="s">
        <v>20</v>
      </c>
      <c r="P5" s="249" t="s">
        <v>21</v>
      </c>
      <c r="Q5" s="252" t="s">
        <v>203</v>
      </c>
      <c r="R5" s="253" t="s">
        <v>15</v>
      </c>
      <c r="S5" s="183"/>
      <c r="T5" s="229" t="s">
        <v>22</v>
      </c>
      <c r="U5" s="183"/>
      <c r="V5" s="192" t="s">
        <v>23</v>
      </c>
      <c r="W5" s="185"/>
      <c r="X5" s="185"/>
      <c r="Y5" s="183"/>
      <c r="Z5" s="192" t="s">
        <v>23</v>
      </c>
      <c r="AA5" s="183"/>
      <c r="AB5" s="189" t="s">
        <v>23</v>
      </c>
      <c r="AC5" s="183"/>
      <c r="AD5" s="192" t="s">
        <v>23</v>
      </c>
      <c r="AE5" s="183"/>
      <c r="AF5" s="224" t="s">
        <v>22</v>
      </c>
      <c r="AG5" s="183"/>
      <c r="AH5" s="192" t="s">
        <v>23</v>
      </c>
      <c r="AI5" s="185"/>
      <c r="AJ5" s="185"/>
      <c r="AK5" s="183"/>
      <c r="AL5" s="192" t="s">
        <v>23</v>
      </c>
      <c r="AM5" s="183"/>
      <c r="AN5" s="189" t="s">
        <v>23</v>
      </c>
      <c r="AO5" s="183"/>
      <c r="AP5" s="192" t="s">
        <v>23</v>
      </c>
      <c r="AQ5" s="183"/>
      <c r="AR5" s="225" t="s">
        <v>22</v>
      </c>
      <c r="AS5" s="183"/>
      <c r="AT5" s="192" t="s">
        <v>23</v>
      </c>
      <c r="AU5" s="185"/>
      <c r="AV5" s="185"/>
      <c r="AW5" s="183"/>
      <c r="AX5" s="192" t="s">
        <v>23</v>
      </c>
      <c r="AY5" s="183"/>
      <c r="AZ5" s="192" t="s">
        <v>23</v>
      </c>
      <c r="BA5" s="183"/>
      <c r="BB5" s="192" t="s">
        <v>23</v>
      </c>
      <c r="BC5" s="183"/>
      <c r="BD5" s="192" t="s">
        <v>23</v>
      </c>
      <c r="BE5" s="183"/>
      <c r="BF5" s="192" t="s">
        <v>23</v>
      </c>
      <c r="BG5" s="183"/>
      <c r="BH5" s="189" t="s">
        <v>23</v>
      </c>
      <c r="BI5" s="183"/>
      <c r="BJ5" s="192" t="s">
        <v>23</v>
      </c>
      <c r="BK5" s="183"/>
      <c r="BL5" s="223" t="s">
        <v>22</v>
      </c>
      <c r="BM5" s="183"/>
      <c r="BN5" s="192" t="s">
        <v>23</v>
      </c>
      <c r="BO5" s="185"/>
      <c r="BP5" s="185"/>
      <c r="BQ5" s="183"/>
      <c r="BR5" s="192" t="s">
        <v>23</v>
      </c>
      <c r="BS5" s="183"/>
      <c r="BT5" s="192" t="s">
        <v>23</v>
      </c>
      <c r="BU5" s="183"/>
      <c r="BV5" s="192" t="s">
        <v>23</v>
      </c>
      <c r="BW5" s="183"/>
      <c r="BX5" s="192" t="s">
        <v>23</v>
      </c>
      <c r="BY5" s="183"/>
      <c r="BZ5" s="192" t="s">
        <v>23</v>
      </c>
      <c r="CA5" s="183"/>
      <c r="CB5" s="192" t="s">
        <v>23</v>
      </c>
      <c r="CC5" s="183"/>
      <c r="CD5" s="192" t="s">
        <v>23</v>
      </c>
      <c r="CE5" s="183"/>
      <c r="CF5" s="192" t="s">
        <v>23</v>
      </c>
      <c r="CG5" s="183"/>
      <c r="CH5" s="213" t="s">
        <v>22</v>
      </c>
      <c r="CI5" s="183"/>
      <c r="CJ5" s="192" t="s">
        <v>23</v>
      </c>
      <c r="CK5" s="185"/>
      <c r="CL5" s="185"/>
      <c r="CM5" s="183"/>
      <c r="CN5" s="192" t="s">
        <v>23</v>
      </c>
      <c r="CO5" s="183"/>
      <c r="CP5" s="192" t="s">
        <v>23</v>
      </c>
      <c r="CQ5" s="183"/>
      <c r="CR5" s="213" t="s">
        <v>22</v>
      </c>
      <c r="CS5" s="183"/>
      <c r="CT5" s="192" t="s">
        <v>23</v>
      </c>
      <c r="CU5" s="185"/>
      <c r="CV5" s="185"/>
      <c r="CW5" s="183"/>
      <c r="CX5" s="192" t="s">
        <v>23</v>
      </c>
      <c r="CY5" s="183"/>
      <c r="CZ5" s="192" t="s">
        <v>23</v>
      </c>
      <c r="DA5" s="183"/>
      <c r="DB5" s="192" t="s">
        <v>23</v>
      </c>
      <c r="DC5" s="183"/>
    </row>
    <row r="6" spans="1:107" ht="40.5" customHeight="1" x14ac:dyDescent="0.3">
      <c r="A6" s="201"/>
      <c r="B6" s="202"/>
      <c r="C6" s="245"/>
      <c r="D6" s="245"/>
      <c r="E6" s="245"/>
      <c r="F6" s="121"/>
      <c r="G6" s="121"/>
      <c r="H6" s="14" t="s">
        <v>24</v>
      </c>
      <c r="I6" s="15" t="s">
        <v>27</v>
      </c>
      <c r="J6" s="93" t="s">
        <v>24</v>
      </c>
      <c r="K6" s="255" t="s">
        <v>25</v>
      </c>
      <c r="L6" s="255" t="s">
        <v>26</v>
      </c>
      <c r="M6" s="17" t="s">
        <v>24</v>
      </c>
      <c r="N6" s="17" t="s">
        <v>24</v>
      </c>
      <c r="O6" s="17" t="s">
        <v>24</v>
      </c>
      <c r="P6" s="17" t="s">
        <v>24</v>
      </c>
      <c r="Q6" s="17"/>
      <c r="R6" s="18" t="s">
        <v>24</v>
      </c>
      <c r="S6" s="19" t="s">
        <v>27</v>
      </c>
      <c r="T6" s="122" t="s">
        <v>143</v>
      </c>
      <c r="U6" s="122" t="s">
        <v>204</v>
      </c>
      <c r="V6" s="21" t="s">
        <v>143</v>
      </c>
      <c r="W6" s="22" t="s">
        <v>27</v>
      </c>
      <c r="X6" s="22" t="s">
        <v>204</v>
      </c>
      <c r="Y6" s="22" t="s">
        <v>27</v>
      </c>
      <c r="Z6" s="21" t="s">
        <v>143</v>
      </c>
      <c r="AA6" s="22" t="s">
        <v>204</v>
      </c>
      <c r="AB6" s="21" t="s">
        <v>143</v>
      </c>
      <c r="AC6" s="22" t="s">
        <v>204</v>
      </c>
      <c r="AD6" s="21" t="s">
        <v>143</v>
      </c>
      <c r="AE6" s="22" t="s">
        <v>204</v>
      </c>
      <c r="AF6" s="150" t="s">
        <v>143</v>
      </c>
      <c r="AG6" s="150" t="s">
        <v>204</v>
      </c>
      <c r="AH6" s="21" t="s">
        <v>143</v>
      </c>
      <c r="AI6" s="22" t="s">
        <v>27</v>
      </c>
      <c r="AJ6" s="22" t="s">
        <v>204</v>
      </c>
      <c r="AK6" s="22" t="s">
        <v>27</v>
      </c>
      <c r="AL6" s="21" t="s">
        <v>143</v>
      </c>
      <c r="AM6" s="22" t="s">
        <v>204</v>
      </c>
      <c r="AN6" s="21" t="s">
        <v>143</v>
      </c>
      <c r="AO6" s="22" t="s">
        <v>204</v>
      </c>
      <c r="AP6" s="21" t="s">
        <v>143</v>
      </c>
      <c r="AQ6" s="22" t="s">
        <v>204</v>
      </c>
      <c r="AR6" s="151" t="s">
        <v>143</v>
      </c>
      <c r="AS6" s="151" t="s">
        <v>204</v>
      </c>
      <c r="AT6" s="21" t="s">
        <v>143</v>
      </c>
      <c r="AU6" s="22" t="s">
        <v>27</v>
      </c>
      <c r="AV6" s="22" t="s">
        <v>204</v>
      </c>
      <c r="AW6" s="22" t="s">
        <v>27</v>
      </c>
      <c r="AX6" s="21" t="s">
        <v>143</v>
      </c>
      <c r="AY6" s="22" t="s">
        <v>204</v>
      </c>
      <c r="AZ6" s="21" t="s">
        <v>143</v>
      </c>
      <c r="BA6" s="22" t="s">
        <v>204</v>
      </c>
      <c r="BB6" s="21" t="s">
        <v>143</v>
      </c>
      <c r="BC6" s="22" t="s">
        <v>204</v>
      </c>
      <c r="BD6" s="125" t="s">
        <v>143</v>
      </c>
      <c r="BE6" s="126" t="s">
        <v>204</v>
      </c>
      <c r="BF6" s="125" t="s">
        <v>143</v>
      </c>
      <c r="BG6" s="126" t="s">
        <v>204</v>
      </c>
      <c r="BH6" s="21" t="s">
        <v>143</v>
      </c>
      <c r="BI6" s="22" t="s">
        <v>204</v>
      </c>
      <c r="BJ6" s="21" t="s">
        <v>143</v>
      </c>
      <c r="BK6" s="22" t="s">
        <v>204</v>
      </c>
      <c r="BL6" s="152" t="s">
        <v>143</v>
      </c>
      <c r="BM6" s="152" t="s">
        <v>204</v>
      </c>
      <c r="BN6" s="21" t="s">
        <v>143</v>
      </c>
      <c r="BO6" s="22" t="s">
        <v>27</v>
      </c>
      <c r="BP6" s="22" t="s">
        <v>204</v>
      </c>
      <c r="BQ6" s="22" t="s">
        <v>27</v>
      </c>
      <c r="BR6" s="21" t="s">
        <v>143</v>
      </c>
      <c r="BS6" s="22" t="s">
        <v>204</v>
      </c>
      <c r="BT6" s="21" t="s">
        <v>143</v>
      </c>
      <c r="BU6" s="22" t="s">
        <v>204</v>
      </c>
      <c r="BV6" s="21" t="s">
        <v>143</v>
      </c>
      <c r="BW6" s="22" t="s">
        <v>204</v>
      </c>
      <c r="BX6" s="125" t="s">
        <v>143</v>
      </c>
      <c r="BY6" s="126" t="s">
        <v>204</v>
      </c>
      <c r="BZ6" s="21" t="s">
        <v>143</v>
      </c>
      <c r="CA6" s="22" t="s">
        <v>204</v>
      </c>
      <c r="CB6" s="21" t="s">
        <v>143</v>
      </c>
      <c r="CC6" s="22" t="s">
        <v>204</v>
      </c>
      <c r="CD6" s="21" t="s">
        <v>143</v>
      </c>
      <c r="CE6" s="22" t="s">
        <v>204</v>
      </c>
      <c r="CF6" s="21" t="s">
        <v>143</v>
      </c>
      <c r="CG6" s="22" t="s">
        <v>204</v>
      </c>
      <c r="CH6" s="153" t="s">
        <v>143</v>
      </c>
      <c r="CI6" s="154" t="s">
        <v>204</v>
      </c>
      <c r="CJ6" s="21" t="s">
        <v>143</v>
      </c>
      <c r="CK6" s="21" t="s">
        <v>27</v>
      </c>
      <c r="CL6" s="22" t="s">
        <v>204</v>
      </c>
      <c r="CM6" s="22" t="s">
        <v>27</v>
      </c>
      <c r="CN6" s="21" t="s">
        <v>143</v>
      </c>
      <c r="CO6" s="22" t="s">
        <v>204</v>
      </c>
      <c r="CP6" s="21" t="s">
        <v>143</v>
      </c>
      <c r="CQ6" s="22" t="s">
        <v>204</v>
      </c>
      <c r="CR6" s="153" t="s">
        <v>143</v>
      </c>
      <c r="CS6" s="154" t="s">
        <v>204</v>
      </c>
      <c r="CT6" s="21" t="s">
        <v>143</v>
      </c>
      <c r="CU6" s="21" t="s">
        <v>27</v>
      </c>
      <c r="CV6" s="22" t="s">
        <v>204</v>
      </c>
      <c r="CW6" s="22" t="s">
        <v>27</v>
      </c>
      <c r="CX6" s="21" t="s">
        <v>143</v>
      </c>
      <c r="CY6" s="22" t="s">
        <v>204</v>
      </c>
      <c r="CZ6" s="21" t="s">
        <v>143</v>
      </c>
      <c r="DA6" s="22" t="s">
        <v>204</v>
      </c>
      <c r="DB6" s="21" t="s">
        <v>143</v>
      </c>
      <c r="DC6" s="22" t="s">
        <v>204</v>
      </c>
    </row>
    <row r="7" spans="1:107" ht="24" customHeight="1" x14ac:dyDescent="0.3">
      <c r="A7" s="175" t="s">
        <v>252</v>
      </c>
      <c r="B7" s="176"/>
      <c r="C7" s="107">
        <f t="shared" ref="C7:H7" ca="1" si="0">C8+C9</f>
        <v>40611300</v>
      </c>
      <c r="D7" s="108">
        <f t="shared" ca="1" si="0"/>
        <v>40611300</v>
      </c>
      <c r="E7" s="109">
        <f t="shared" ca="1" si="0"/>
        <v>0</v>
      </c>
      <c r="F7" s="109">
        <f t="shared" ca="1" si="0"/>
        <v>40611300</v>
      </c>
      <c r="G7" s="109">
        <f t="shared" ca="1" si="0"/>
        <v>0</v>
      </c>
      <c r="H7" s="110">
        <f t="shared" ca="1" si="0"/>
        <v>15997825.669999991</v>
      </c>
      <c r="I7" s="111">
        <f t="shared" ref="I7:I116" ca="1" si="1">IF(D7&gt;0,H7*100/D7,0)</f>
        <v>39.392547566810201</v>
      </c>
      <c r="J7" s="110">
        <f ca="1">J8+J9</f>
        <v>15997825.669999991</v>
      </c>
      <c r="K7" s="111">
        <f t="shared" ref="K7:K10" ca="1" si="2">IF(D7&gt;0,J7*100/D7,0)</f>
        <v>39.392547566810201</v>
      </c>
      <c r="L7" s="111">
        <f t="shared" ref="L7:L10" ca="1" si="3">IF(F7&gt;0,J7*100/F7,0)</f>
        <v>39.392547566810201</v>
      </c>
      <c r="M7" s="110">
        <f t="shared" ref="M7:P7" ca="1" si="4">M8+M9</f>
        <v>25642.5</v>
      </c>
      <c r="N7" s="110">
        <f t="shared" ca="1" si="4"/>
        <v>234969.3</v>
      </c>
      <c r="O7" s="110">
        <f t="shared" ca="1" si="4"/>
        <v>4204715.2399999993</v>
      </c>
      <c r="P7" s="110">
        <f t="shared" ca="1" si="4"/>
        <v>11250681.629999992</v>
      </c>
      <c r="Q7" s="26">
        <f ca="1">Q8</f>
        <v>281817</v>
      </c>
      <c r="R7" s="112">
        <f ca="1">R8+R9</f>
        <v>0</v>
      </c>
      <c r="S7" s="112">
        <f ca="1">IF(F7&gt;0,R7*100/F7,0)</f>
        <v>0</v>
      </c>
      <c r="T7" s="128">
        <f t="shared" ref="T7:V7" ca="1" si="5">T8</f>
        <v>2607047</v>
      </c>
      <c r="U7" s="128">
        <f t="shared" ca="1" si="5"/>
        <v>284557</v>
      </c>
      <c r="V7" s="31">
        <f t="shared" ca="1" si="5"/>
        <v>2598528.6919999998</v>
      </c>
      <c r="W7" s="31">
        <f t="shared" ref="W7:W8" ca="1" si="6">IF(T7&gt;0,V7*100/T7,0)</f>
        <v>99.673258364732206</v>
      </c>
      <c r="X7" s="30">
        <f ca="1">X8</f>
        <v>284236</v>
      </c>
      <c r="Y7" s="31">
        <f t="shared" ref="Y7:Y88" ca="1" si="7">IF(U7&gt;0,X7*100/U7,0)</f>
        <v>99.887193075552531</v>
      </c>
      <c r="Z7" s="31">
        <f t="shared" ref="Z7:AH7" ca="1" si="8">Z8</f>
        <v>2108420.4039999996</v>
      </c>
      <c r="AA7" s="132">
        <f t="shared" ca="1" si="8"/>
        <v>239621</v>
      </c>
      <c r="AB7" s="31">
        <f t="shared" ca="1" si="8"/>
        <v>409841.37049999996</v>
      </c>
      <c r="AC7" s="132">
        <f t="shared" ca="1" si="8"/>
        <v>34577</v>
      </c>
      <c r="AD7" s="31">
        <f t="shared" ca="1" si="8"/>
        <v>80266.917499999996</v>
      </c>
      <c r="AE7" s="132">
        <f t="shared" ca="1" si="8"/>
        <v>10038</v>
      </c>
      <c r="AF7" s="155">
        <f t="shared" ca="1" si="8"/>
        <v>2607047</v>
      </c>
      <c r="AG7" s="155">
        <f t="shared" ca="1" si="8"/>
        <v>284557</v>
      </c>
      <c r="AH7" s="31">
        <f t="shared" ca="1" si="8"/>
        <v>2578552.4169999999</v>
      </c>
      <c r="AI7" s="31">
        <f t="shared" ref="AI7:AI8" ca="1" si="9">IF(AF7&gt;0,AH7*100/AF7,0)</f>
        <v>98.907016904566731</v>
      </c>
      <c r="AJ7" s="30">
        <f ca="1">AJ8</f>
        <v>281662</v>
      </c>
      <c r="AK7" s="31">
        <f t="shared" ref="AK7:AK88" ca="1" si="10">IF(AG7&gt;0,AJ7*100/AG7,0)</f>
        <v>98.98262913932885</v>
      </c>
      <c r="AL7" s="31">
        <f t="shared" ref="AL7:AT7" ca="1" si="11">AL8</f>
        <v>2212200.9534999998</v>
      </c>
      <c r="AM7" s="132">
        <f t="shared" ca="1" si="11"/>
        <v>248655</v>
      </c>
      <c r="AN7" s="31">
        <f t="shared" ca="1" si="11"/>
        <v>278678.12799999997</v>
      </c>
      <c r="AO7" s="132">
        <f t="shared" ca="1" si="11"/>
        <v>23737</v>
      </c>
      <c r="AP7" s="31">
        <f t="shared" ca="1" si="11"/>
        <v>87673.335500000001</v>
      </c>
      <c r="AQ7" s="132">
        <f t="shared" ca="1" si="11"/>
        <v>9270</v>
      </c>
      <c r="AR7" s="156">
        <f t="shared" ca="1" si="11"/>
        <v>2607047</v>
      </c>
      <c r="AS7" s="156">
        <f t="shared" ca="1" si="11"/>
        <v>284557</v>
      </c>
      <c r="AT7" s="31">
        <f t="shared" ca="1" si="11"/>
        <v>1075185.2139999999</v>
      </c>
      <c r="AU7" s="31">
        <f t="shared" ref="AU7:AU8" ca="1" si="12">IF(AR7&gt;0,AT7*100/AR7,0)</f>
        <v>41.241497142168896</v>
      </c>
      <c r="AV7" s="30">
        <f ca="1">AV8</f>
        <v>118498</v>
      </c>
      <c r="AW7" s="31">
        <f t="shared" ref="AW7:AW88" ca="1" si="13">IF(AS7&gt;0,AV7*100/AS7,0)</f>
        <v>41.642974869709761</v>
      </c>
      <c r="AX7" s="31">
        <f t="shared" ref="AX7:BN7" ca="1" si="14">AX8</f>
        <v>929064.56350000005</v>
      </c>
      <c r="AY7" s="132">
        <f t="shared" ca="1" si="14"/>
        <v>105497</v>
      </c>
      <c r="AZ7" s="31">
        <f t="shared" ca="1" si="14"/>
        <v>112616.1</v>
      </c>
      <c r="BA7" s="132">
        <f t="shared" ca="1" si="14"/>
        <v>9222</v>
      </c>
      <c r="BB7" s="31">
        <f t="shared" ca="1" si="14"/>
        <v>33406.550499999983</v>
      </c>
      <c r="BC7" s="132">
        <f t="shared" ca="1" si="14"/>
        <v>3751</v>
      </c>
      <c r="BD7" s="133">
        <f t="shared" ca="1" si="14"/>
        <v>30930.417999999998</v>
      </c>
      <c r="BE7" s="132">
        <f t="shared" ca="1" si="14"/>
        <v>3513</v>
      </c>
      <c r="BF7" s="133">
        <f t="shared" ca="1" si="14"/>
        <v>2476.1325000000002</v>
      </c>
      <c r="BG7" s="132">
        <f t="shared" ca="1" si="14"/>
        <v>238</v>
      </c>
      <c r="BH7" s="31">
        <f t="shared" ca="1" si="14"/>
        <v>98</v>
      </c>
      <c r="BI7" s="132">
        <f t="shared" ca="1" si="14"/>
        <v>28</v>
      </c>
      <c r="BJ7" s="31">
        <f t="shared" ca="1" si="14"/>
        <v>0</v>
      </c>
      <c r="BK7" s="132">
        <f t="shared" ca="1" si="14"/>
        <v>0</v>
      </c>
      <c r="BL7" s="157">
        <f t="shared" ca="1" si="14"/>
        <v>267782.46000000002</v>
      </c>
      <c r="BM7" s="157">
        <f t="shared" ca="1" si="14"/>
        <v>23000</v>
      </c>
      <c r="BN7" s="31">
        <f t="shared" ca="1" si="14"/>
        <v>44447.722499999996</v>
      </c>
      <c r="BO7" s="31">
        <f t="shared" ref="BO7:BO8" ca="1" si="15">IF(BL7&gt;0,BN7*100/BL7,0)</f>
        <v>16.598444311849253</v>
      </c>
      <c r="BP7" s="30">
        <f ca="1">BP8</f>
        <v>3581</v>
      </c>
      <c r="BQ7" s="31">
        <f t="shared" ref="BQ7:BQ88" ca="1" si="16">IF(BM7&gt;0,BP7*100/BM7,0)</f>
        <v>15.569565217391304</v>
      </c>
      <c r="BR7" s="31">
        <f t="shared" ref="BR7:CJ7" ca="1" si="17">BR8</f>
        <v>42126.184999999998</v>
      </c>
      <c r="BS7" s="132">
        <f t="shared" ca="1" si="17"/>
        <v>3415</v>
      </c>
      <c r="BT7" s="31">
        <f t="shared" ca="1" si="17"/>
        <v>28402.695</v>
      </c>
      <c r="BU7" s="132">
        <f t="shared" ca="1" si="17"/>
        <v>2416</v>
      </c>
      <c r="BV7" s="31">
        <f t="shared" ca="1" si="17"/>
        <v>13723.49</v>
      </c>
      <c r="BW7" s="132">
        <f t="shared" ca="1" si="17"/>
        <v>999</v>
      </c>
      <c r="BX7" s="133">
        <f t="shared" ca="1" si="17"/>
        <v>221.83500000000001</v>
      </c>
      <c r="BY7" s="132">
        <f t="shared" ca="1" si="17"/>
        <v>13</v>
      </c>
      <c r="BZ7" s="31">
        <f t="shared" ca="1" si="17"/>
        <v>2213.2875000000004</v>
      </c>
      <c r="CA7" s="132">
        <f t="shared" ca="1" si="17"/>
        <v>152</v>
      </c>
      <c r="CB7" s="31">
        <f t="shared" ca="1" si="17"/>
        <v>1817.2874999999999</v>
      </c>
      <c r="CC7" s="132">
        <f t="shared" ca="1" si="17"/>
        <v>125</v>
      </c>
      <c r="CD7" s="31">
        <f t="shared" ca="1" si="17"/>
        <v>396</v>
      </c>
      <c r="CE7" s="132">
        <f t="shared" ca="1" si="17"/>
        <v>24</v>
      </c>
      <c r="CF7" s="31">
        <f t="shared" ca="1" si="17"/>
        <v>108.25</v>
      </c>
      <c r="CG7" s="132">
        <f t="shared" ca="1" si="17"/>
        <v>14</v>
      </c>
      <c r="CH7" s="158">
        <f t="shared" ca="1" si="17"/>
        <v>0</v>
      </c>
      <c r="CI7" s="158">
        <f t="shared" ca="1" si="17"/>
        <v>23000</v>
      </c>
      <c r="CJ7" s="133">
        <f t="shared" ca="1" si="17"/>
        <v>0</v>
      </c>
      <c r="CK7" s="133">
        <f t="shared" ref="CK7:CK8" ca="1" si="18">IF(CH7&gt;0,CJ7*100/CH7,0)</f>
        <v>0</v>
      </c>
      <c r="CL7" s="132">
        <f ca="1">CL8</f>
        <v>0</v>
      </c>
      <c r="CM7" s="133">
        <f t="shared" ref="CM7:CM88" ca="1" si="19">IF(CI7&gt;0,CL7*100/CI7,0)</f>
        <v>0</v>
      </c>
      <c r="CN7" s="31">
        <f t="shared" ref="CN7:CT7" ca="1" si="20">CN8</f>
        <v>0</v>
      </c>
      <c r="CO7" s="132">
        <f t="shared" ca="1" si="20"/>
        <v>0</v>
      </c>
      <c r="CP7" s="31">
        <f t="shared" ca="1" si="20"/>
        <v>0</v>
      </c>
      <c r="CQ7" s="132">
        <f t="shared" ca="1" si="20"/>
        <v>0</v>
      </c>
      <c r="CR7" s="158">
        <f t="shared" ca="1" si="20"/>
        <v>5356</v>
      </c>
      <c r="CS7" s="158">
        <f t="shared" ca="1" si="20"/>
        <v>401</v>
      </c>
      <c r="CT7" s="133">
        <f t="shared" ca="1" si="20"/>
        <v>1015</v>
      </c>
      <c r="CU7" s="133">
        <f t="shared" ref="CU7:CU8" ca="1" si="21">IF(CR7&gt;0,CT7*100/CR7,0)</f>
        <v>18.950709484690066</v>
      </c>
      <c r="CV7" s="132">
        <f ca="1">CV8</f>
        <v>90</v>
      </c>
      <c r="CW7" s="133">
        <f t="shared" ref="CW7:CW88" ca="1" si="22">IF(CS7&gt;0,CV7*100/CS7,0)</f>
        <v>22.443890274314214</v>
      </c>
      <c r="CX7" s="31">
        <f t="shared" ref="CX7:DC7" ca="1" si="23">CX8</f>
        <v>675</v>
      </c>
      <c r="CY7" s="132">
        <f t="shared" ca="1" si="23"/>
        <v>42</v>
      </c>
      <c r="CZ7" s="31">
        <f t="shared" ca="1" si="23"/>
        <v>276</v>
      </c>
      <c r="DA7" s="132">
        <f t="shared" ca="1" si="23"/>
        <v>35</v>
      </c>
      <c r="DB7" s="31">
        <f t="shared" ca="1" si="23"/>
        <v>64</v>
      </c>
      <c r="DC7" s="132">
        <f t="shared" ca="1" si="23"/>
        <v>13</v>
      </c>
    </row>
    <row r="8" spans="1:107" ht="28.5" customHeight="1" x14ac:dyDescent="0.3">
      <c r="A8" s="32" t="s">
        <v>30</v>
      </c>
      <c r="B8" s="33"/>
      <c r="C8" s="159">
        <f t="shared" ref="C8:H8" ca="1" si="24">+C13+C31+C52+C74</f>
        <v>29016817</v>
      </c>
      <c r="D8" s="159">
        <f t="shared" ca="1" si="24"/>
        <v>29016817</v>
      </c>
      <c r="E8" s="159">
        <f t="shared" ca="1" si="24"/>
        <v>0</v>
      </c>
      <c r="F8" s="159">
        <f t="shared" ca="1" si="24"/>
        <v>28972523</v>
      </c>
      <c r="G8" s="113">
        <f t="shared" ca="1" si="24"/>
        <v>0</v>
      </c>
      <c r="H8" s="113">
        <f t="shared" ca="1" si="24"/>
        <v>13062786.440000001</v>
      </c>
      <c r="I8" s="160">
        <f t="shared" ca="1" si="1"/>
        <v>45.017985397915979</v>
      </c>
      <c r="J8" s="113">
        <f ca="1">+J13+J31+J52+J74</f>
        <v>13062786.440000001</v>
      </c>
      <c r="K8" s="160">
        <f t="shared" ca="1" si="2"/>
        <v>45.017985397915979</v>
      </c>
      <c r="L8" s="160">
        <f t="shared" ca="1" si="3"/>
        <v>45.086810147669922</v>
      </c>
      <c r="M8" s="113">
        <f t="shared" ref="M8:V8" ca="1" si="25">+M13+M31+M52+M74</f>
        <v>25642.5</v>
      </c>
      <c r="N8" s="113">
        <f t="shared" ca="1" si="25"/>
        <v>234969.3</v>
      </c>
      <c r="O8" s="113">
        <f t="shared" ca="1" si="25"/>
        <v>4204715.2399999993</v>
      </c>
      <c r="P8" s="113">
        <f t="shared" ca="1" si="25"/>
        <v>8315642.4000000004</v>
      </c>
      <c r="Q8" s="34">
        <f t="shared" ca="1" si="25"/>
        <v>281817</v>
      </c>
      <c r="R8" s="115">
        <f t="shared" ca="1" si="25"/>
        <v>0</v>
      </c>
      <c r="S8" s="115">
        <f t="shared" ca="1" si="25"/>
        <v>0</v>
      </c>
      <c r="T8" s="34">
        <f t="shared" ca="1" si="25"/>
        <v>2607047</v>
      </c>
      <c r="U8" s="34">
        <f t="shared" ca="1" si="25"/>
        <v>284557</v>
      </c>
      <c r="V8" s="37">
        <f t="shared" ca="1" si="25"/>
        <v>2598528.6919999998</v>
      </c>
      <c r="W8" s="37">
        <f t="shared" ca="1" si="6"/>
        <v>99.673258364732206</v>
      </c>
      <c r="X8" s="34">
        <f ca="1">+X13+X31+X52+X74</f>
        <v>284236</v>
      </c>
      <c r="Y8" s="37">
        <f t="shared" ca="1" si="7"/>
        <v>99.887193075552531</v>
      </c>
      <c r="Z8" s="37">
        <f t="shared" ref="Z8:AH8" ca="1" si="26">+Z13+Z31+Z52+Z74</f>
        <v>2108420.4039999996</v>
      </c>
      <c r="AA8" s="113">
        <f t="shared" ca="1" si="26"/>
        <v>239621</v>
      </c>
      <c r="AB8" s="37">
        <f t="shared" ca="1" si="26"/>
        <v>409841.37049999996</v>
      </c>
      <c r="AC8" s="113">
        <f t="shared" ca="1" si="26"/>
        <v>34577</v>
      </c>
      <c r="AD8" s="37">
        <f t="shared" ca="1" si="26"/>
        <v>80266.917499999996</v>
      </c>
      <c r="AE8" s="113">
        <f t="shared" ca="1" si="26"/>
        <v>10038</v>
      </c>
      <c r="AF8" s="34">
        <f t="shared" ca="1" si="26"/>
        <v>2607047</v>
      </c>
      <c r="AG8" s="34">
        <f t="shared" ca="1" si="26"/>
        <v>284557</v>
      </c>
      <c r="AH8" s="37">
        <f t="shared" ca="1" si="26"/>
        <v>2578552.4169999999</v>
      </c>
      <c r="AI8" s="37">
        <f t="shared" ca="1" si="9"/>
        <v>98.907016904566731</v>
      </c>
      <c r="AJ8" s="34">
        <f ca="1">+AJ13+AJ31+AJ52+AJ74</f>
        <v>281662</v>
      </c>
      <c r="AK8" s="37">
        <f t="shared" ca="1" si="10"/>
        <v>98.98262913932885</v>
      </c>
      <c r="AL8" s="37">
        <f t="shared" ref="AL8:AT8" ca="1" si="27">+AL13+AL31+AL52+AL74</f>
        <v>2212200.9534999998</v>
      </c>
      <c r="AM8" s="113">
        <f t="shared" ca="1" si="27"/>
        <v>248655</v>
      </c>
      <c r="AN8" s="37">
        <f t="shared" ca="1" si="27"/>
        <v>278678.12799999997</v>
      </c>
      <c r="AO8" s="113">
        <f t="shared" ca="1" si="27"/>
        <v>23737</v>
      </c>
      <c r="AP8" s="37">
        <f t="shared" ca="1" si="27"/>
        <v>87673.335500000001</v>
      </c>
      <c r="AQ8" s="113">
        <f t="shared" ca="1" si="27"/>
        <v>9270</v>
      </c>
      <c r="AR8" s="34">
        <f t="shared" ca="1" si="27"/>
        <v>2607047</v>
      </c>
      <c r="AS8" s="34">
        <f t="shared" ca="1" si="27"/>
        <v>284557</v>
      </c>
      <c r="AT8" s="37">
        <f t="shared" ca="1" si="27"/>
        <v>1075185.2139999999</v>
      </c>
      <c r="AU8" s="37">
        <f t="shared" ca="1" si="12"/>
        <v>41.241497142168896</v>
      </c>
      <c r="AV8" s="34">
        <f ca="1">+AV13+AV31+AV52+AV74</f>
        <v>118498</v>
      </c>
      <c r="AW8" s="37">
        <f t="shared" ca="1" si="13"/>
        <v>41.642974869709761</v>
      </c>
      <c r="AX8" s="37">
        <f t="shared" ref="AX8:BN8" ca="1" si="28">+AX13+AX31+AX52+AX74</f>
        <v>929064.56350000005</v>
      </c>
      <c r="AY8" s="113">
        <f t="shared" ca="1" si="28"/>
        <v>105497</v>
      </c>
      <c r="AZ8" s="37">
        <f t="shared" ca="1" si="28"/>
        <v>112616.1</v>
      </c>
      <c r="BA8" s="113">
        <f t="shared" ca="1" si="28"/>
        <v>9222</v>
      </c>
      <c r="BB8" s="37">
        <f t="shared" ca="1" si="28"/>
        <v>33406.550499999983</v>
      </c>
      <c r="BC8" s="113">
        <f t="shared" ca="1" si="28"/>
        <v>3751</v>
      </c>
      <c r="BD8" s="135">
        <f t="shared" ca="1" si="28"/>
        <v>30930.417999999998</v>
      </c>
      <c r="BE8" s="113">
        <f t="shared" ca="1" si="28"/>
        <v>3513</v>
      </c>
      <c r="BF8" s="135">
        <f t="shared" ca="1" si="28"/>
        <v>2476.1325000000002</v>
      </c>
      <c r="BG8" s="113">
        <f t="shared" ca="1" si="28"/>
        <v>238</v>
      </c>
      <c r="BH8" s="37">
        <f t="shared" ca="1" si="28"/>
        <v>98</v>
      </c>
      <c r="BI8" s="113">
        <f t="shared" ca="1" si="28"/>
        <v>28</v>
      </c>
      <c r="BJ8" s="37">
        <f t="shared" ca="1" si="28"/>
        <v>0</v>
      </c>
      <c r="BK8" s="113">
        <f t="shared" ca="1" si="28"/>
        <v>0</v>
      </c>
      <c r="BL8" s="34">
        <f t="shared" ca="1" si="28"/>
        <v>267782.46000000002</v>
      </c>
      <c r="BM8" s="34">
        <f t="shared" ca="1" si="28"/>
        <v>23000</v>
      </c>
      <c r="BN8" s="37">
        <f t="shared" ca="1" si="28"/>
        <v>44447.722499999996</v>
      </c>
      <c r="BO8" s="37">
        <f t="shared" ca="1" si="15"/>
        <v>16.598444311849253</v>
      </c>
      <c r="BP8" s="34">
        <f ca="1">+BP13+BP31+BP52+BP74</f>
        <v>3581</v>
      </c>
      <c r="BQ8" s="37">
        <f t="shared" ca="1" si="16"/>
        <v>15.569565217391304</v>
      </c>
      <c r="BR8" s="37">
        <f t="shared" ref="BR8:CJ8" ca="1" si="29">+BR13+BR31+BR52+BR74</f>
        <v>42126.184999999998</v>
      </c>
      <c r="BS8" s="113">
        <f t="shared" ca="1" si="29"/>
        <v>3415</v>
      </c>
      <c r="BT8" s="37">
        <f t="shared" ca="1" si="29"/>
        <v>28402.695</v>
      </c>
      <c r="BU8" s="113">
        <f t="shared" ca="1" si="29"/>
        <v>2416</v>
      </c>
      <c r="BV8" s="37">
        <f t="shared" ca="1" si="29"/>
        <v>13723.49</v>
      </c>
      <c r="BW8" s="113">
        <f t="shared" ca="1" si="29"/>
        <v>999</v>
      </c>
      <c r="BX8" s="135">
        <f t="shared" ca="1" si="29"/>
        <v>221.83500000000001</v>
      </c>
      <c r="BY8" s="113">
        <f t="shared" ca="1" si="29"/>
        <v>13</v>
      </c>
      <c r="BZ8" s="37">
        <f t="shared" ca="1" si="29"/>
        <v>2213.2875000000004</v>
      </c>
      <c r="CA8" s="113">
        <f t="shared" ca="1" si="29"/>
        <v>152</v>
      </c>
      <c r="CB8" s="37">
        <f t="shared" ca="1" si="29"/>
        <v>1817.2874999999999</v>
      </c>
      <c r="CC8" s="113">
        <f t="shared" ca="1" si="29"/>
        <v>125</v>
      </c>
      <c r="CD8" s="37">
        <f t="shared" ca="1" si="29"/>
        <v>396</v>
      </c>
      <c r="CE8" s="113">
        <f t="shared" ca="1" si="29"/>
        <v>24</v>
      </c>
      <c r="CF8" s="37">
        <f t="shared" ca="1" si="29"/>
        <v>108.25</v>
      </c>
      <c r="CG8" s="113">
        <f t="shared" ca="1" si="29"/>
        <v>14</v>
      </c>
      <c r="CH8" s="113">
        <f t="shared" ca="1" si="29"/>
        <v>0</v>
      </c>
      <c r="CI8" s="113">
        <f t="shared" ca="1" si="29"/>
        <v>23000</v>
      </c>
      <c r="CJ8" s="135">
        <f t="shared" ca="1" si="29"/>
        <v>0</v>
      </c>
      <c r="CK8" s="135">
        <f t="shared" ca="1" si="18"/>
        <v>0</v>
      </c>
      <c r="CL8" s="113">
        <f ca="1">+CL13+CL31+CL52+CL74</f>
        <v>0</v>
      </c>
      <c r="CM8" s="135">
        <f t="shared" ca="1" si="19"/>
        <v>0</v>
      </c>
      <c r="CN8" s="37">
        <f t="shared" ref="CN8:CT8" ca="1" si="30">+CN13+CN31+CN52+CN74</f>
        <v>0</v>
      </c>
      <c r="CO8" s="113">
        <f t="shared" ca="1" si="30"/>
        <v>0</v>
      </c>
      <c r="CP8" s="37">
        <f t="shared" ca="1" si="30"/>
        <v>0</v>
      </c>
      <c r="CQ8" s="113">
        <f t="shared" ca="1" si="30"/>
        <v>0</v>
      </c>
      <c r="CR8" s="113">
        <f t="shared" ca="1" si="30"/>
        <v>5356</v>
      </c>
      <c r="CS8" s="113">
        <f t="shared" ca="1" si="30"/>
        <v>401</v>
      </c>
      <c r="CT8" s="135">
        <f t="shared" ca="1" si="30"/>
        <v>1015</v>
      </c>
      <c r="CU8" s="135">
        <f t="shared" ca="1" si="21"/>
        <v>18.950709484690066</v>
      </c>
      <c r="CV8" s="113">
        <f ca="1">+CV13+CV31+CV52+CV74</f>
        <v>90</v>
      </c>
      <c r="CW8" s="135">
        <f t="shared" ca="1" si="22"/>
        <v>22.443890274314214</v>
      </c>
      <c r="CX8" s="37">
        <f t="shared" ref="CX8:DC8" ca="1" si="31">+CX13+CX31+CX52+CX74</f>
        <v>675</v>
      </c>
      <c r="CY8" s="113">
        <f t="shared" ca="1" si="31"/>
        <v>42</v>
      </c>
      <c r="CZ8" s="37">
        <f t="shared" ca="1" si="31"/>
        <v>276</v>
      </c>
      <c r="DA8" s="113">
        <f t="shared" ca="1" si="31"/>
        <v>35</v>
      </c>
      <c r="DB8" s="37">
        <f t="shared" ca="1" si="31"/>
        <v>64</v>
      </c>
      <c r="DC8" s="113">
        <f t="shared" ca="1" si="31"/>
        <v>13</v>
      </c>
    </row>
    <row r="9" spans="1:107" ht="28.5" customHeight="1" x14ac:dyDescent="0.3">
      <c r="A9" s="38" t="s">
        <v>253</v>
      </c>
      <c r="B9" s="39"/>
      <c r="C9" s="94">
        <f t="shared" ref="C9:F9" ca="1" si="32">+C10+C11</f>
        <v>11594483</v>
      </c>
      <c r="D9" s="94">
        <f t="shared" ca="1" si="32"/>
        <v>11594483</v>
      </c>
      <c r="E9" s="94">
        <f t="shared" si="32"/>
        <v>0</v>
      </c>
      <c r="F9" s="94">
        <f t="shared" ca="1" si="32"/>
        <v>11638777</v>
      </c>
      <c r="G9" s="94">
        <v>0</v>
      </c>
      <c r="H9" s="94">
        <f ca="1">H10+H11</f>
        <v>2935039.2299999902</v>
      </c>
      <c r="I9" s="95">
        <f t="shared" ca="1" si="1"/>
        <v>25.314101801693017</v>
      </c>
      <c r="J9" s="94">
        <f ca="1">J10+J11</f>
        <v>2935039.2299999902</v>
      </c>
      <c r="K9" s="95">
        <f t="shared" ca="1" si="2"/>
        <v>25.314101801693017</v>
      </c>
      <c r="L9" s="95">
        <f t="shared" ca="1" si="3"/>
        <v>25.21776325811544</v>
      </c>
      <c r="M9" s="94">
        <v>0</v>
      </c>
      <c r="N9" s="94">
        <v>0</v>
      </c>
      <c r="O9" s="94">
        <v>0</v>
      </c>
      <c r="P9" s="94">
        <f ca="1">P10+P11</f>
        <v>2935039.2299999902</v>
      </c>
      <c r="Q9" s="40">
        <v>0</v>
      </c>
      <c r="R9" s="96">
        <v>0</v>
      </c>
      <c r="S9" s="96">
        <f t="shared" ref="S9:S11" ca="1" si="33">IF(F9&gt;0,R9*100/F9,0)</f>
        <v>0</v>
      </c>
      <c r="T9" s="43"/>
      <c r="U9" s="43"/>
      <c r="V9" s="44"/>
      <c r="W9" s="44"/>
      <c r="X9" s="43"/>
      <c r="Y9" s="44">
        <f t="shared" si="7"/>
        <v>0</v>
      </c>
      <c r="Z9" s="44"/>
      <c r="AA9" s="144"/>
      <c r="AB9" s="44"/>
      <c r="AC9" s="144"/>
      <c r="AD9" s="44"/>
      <c r="AE9" s="144"/>
      <c r="AF9" s="43"/>
      <c r="AG9" s="43"/>
      <c r="AH9" s="44"/>
      <c r="AI9" s="44"/>
      <c r="AJ9" s="43"/>
      <c r="AK9" s="44">
        <f t="shared" si="10"/>
        <v>0</v>
      </c>
      <c r="AL9" s="44"/>
      <c r="AM9" s="144"/>
      <c r="AN9" s="44"/>
      <c r="AO9" s="144"/>
      <c r="AP9" s="44"/>
      <c r="AQ9" s="144"/>
      <c r="AR9" s="43"/>
      <c r="AS9" s="43"/>
      <c r="AT9" s="44"/>
      <c r="AU9" s="44"/>
      <c r="AV9" s="43"/>
      <c r="AW9" s="44">
        <f t="shared" si="13"/>
        <v>0</v>
      </c>
      <c r="AX9" s="44"/>
      <c r="AY9" s="144"/>
      <c r="AZ9" s="44"/>
      <c r="BA9" s="144"/>
      <c r="BB9" s="44"/>
      <c r="BC9" s="144"/>
      <c r="BD9" s="145"/>
      <c r="BE9" s="144"/>
      <c r="BF9" s="145"/>
      <c r="BG9" s="144"/>
      <c r="BH9" s="44"/>
      <c r="BI9" s="144"/>
      <c r="BJ9" s="44"/>
      <c r="BK9" s="144"/>
      <c r="BL9" s="43"/>
      <c r="BM9" s="43"/>
      <c r="BN9" s="44"/>
      <c r="BO9" s="44"/>
      <c r="BP9" s="43"/>
      <c r="BQ9" s="44">
        <f t="shared" si="16"/>
        <v>0</v>
      </c>
      <c r="BR9" s="44"/>
      <c r="BS9" s="144"/>
      <c r="BT9" s="44"/>
      <c r="BU9" s="144"/>
      <c r="BV9" s="44"/>
      <c r="BW9" s="144"/>
      <c r="BX9" s="145"/>
      <c r="BY9" s="144"/>
      <c r="BZ9" s="44"/>
      <c r="CA9" s="144"/>
      <c r="CB9" s="44"/>
      <c r="CC9" s="144"/>
      <c r="CD9" s="44"/>
      <c r="CE9" s="144"/>
      <c r="CF9" s="44"/>
      <c r="CG9" s="144"/>
      <c r="CH9" s="144"/>
      <c r="CI9" s="144"/>
      <c r="CJ9" s="145"/>
      <c r="CK9" s="145"/>
      <c r="CL9" s="144"/>
      <c r="CM9" s="137">
        <f t="shared" si="19"/>
        <v>0</v>
      </c>
      <c r="CN9" s="44"/>
      <c r="CO9" s="144"/>
      <c r="CP9" s="44"/>
      <c r="CQ9" s="144"/>
      <c r="CR9" s="144"/>
      <c r="CS9" s="144"/>
      <c r="CT9" s="145"/>
      <c r="CU9" s="145"/>
      <c r="CV9" s="144"/>
      <c r="CW9" s="137">
        <f t="shared" si="22"/>
        <v>0</v>
      </c>
      <c r="CX9" s="44"/>
      <c r="CY9" s="144"/>
      <c r="CZ9" s="44"/>
      <c r="DA9" s="144"/>
      <c r="DB9" s="44"/>
      <c r="DC9" s="144"/>
    </row>
    <row r="10" spans="1:107" ht="28.5" hidden="1" customHeight="1" x14ac:dyDescent="0.3">
      <c r="A10" s="38" t="s">
        <v>31</v>
      </c>
      <c r="B10" s="45"/>
      <c r="C10" s="94">
        <f t="shared" ref="C10:C11" ca="1" si="34">D10+E10</f>
        <v>10970300</v>
      </c>
      <c r="D10" s="94">
        <f ca="1">IFERROR(__xludf.DUMMYFUNCTION("IMPORTRANGE(""https://docs.google.com/spreadsheets/d/1QqKyyYR6Q21VydFLVH3TRQUabQu_ym0Zz7PgGX0-kHA/edit?usp=sharing"",""แผน!HA11"")"),10970300)</f>
        <v>10970300</v>
      </c>
      <c r="E10" s="94">
        <v>0</v>
      </c>
      <c r="F10" s="94">
        <f ca="1">IFERROR(__xludf.DUMMYFUNCTION("IMPORTRANGE(""https://docs.google.com/spreadsheets/d/1vlyYR5_sXdhqA0JyobsBDu7xVmIqJT30I2qHLqWgZQ4/edit?usp=sharing"",""ทั้งประเทศ!M548"")"),11638777)</f>
        <v>11638777</v>
      </c>
      <c r="G10" s="94">
        <v>0</v>
      </c>
      <c r="H10" s="94">
        <f t="shared" ref="H10:H11" ca="1" si="35">J10+Q10</f>
        <v>2935039.2299999902</v>
      </c>
      <c r="I10" s="95">
        <f t="shared" ca="1" si="1"/>
        <v>26.754411729852333</v>
      </c>
      <c r="J10" s="94">
        <f ca="1">M10+N10+O10+P10+Q10</f>
        <v>2935039.2299999902</v>
      </c>
      <c r="K10" s="95">
        <f t="shared" ca="1" si="2"/>
        <v>26.754411729852333</v>
      </c>
      <c r="L10" s="95">
        <f t="shared" ca="1" si="3"/>
        <v>25.21776325811544</v>
      </c>
      <c r="M10" s="94">
        <v>0</v>
      </c>
      <c r="N10" s="94">
        <v>0</v>
      </c>
      <c r="O10" s="94">
        <v>0</v>
      </c>
      <c r="P10" s="94">
        <f ca="1">IFERROR(__xludf.DUMMYFUNCTION("IMPORTRANGE(""https://docs.google.com/spreadsheets/d/1WhzDrMlrZfqSjGYJh0xYjRtGVhp5LiCqlO7EaAHfOOk/edit?usp=sharing"",""sheet1!AR6"")"),2935039.22999999)</f>
        <v>2935039.2299999902</v>
      </c>
      <c r="Q10" s="40">
        <v>0</v>
      </c>
      <c r="R10" s="96">
        <v>0</v>
      </c>
      <c r="S10" s="96">
        <f t="shared" ca="1" si="33"/>
        <v>0</v>
      </c>
      <c r="T10" s="43"/>
      <c r="U10" s="43"/>
      <c r="V10" s="44"/>
      <c r="W10" s="44"/>
      <c r="X10" s="43"/>
      <c r="Y10" s="44">
        <f t="shared" si="7"/>
        <v>0</v>
      </c>
      <c r="Z10" s="44"/>
      <c r="AA10" s="144"/>
      <c r="AB10" s="44"/>
      <c r="AC10" s="144"/>
      <c r="AD10" s="44"/>
      <c r="AE10" s="144"/>
      <c r="AF10" s="43"/>
      <c r="AG10" s="43"/>
      <c r="AH10" s="44"/>
      <c r="AI10" s="44"/>
      <c r="AJ10" s="43"/>
      <c r="AK10" s="44">
        <f t="shared" si="10"/>
        <v>0</v>
      </c>
      <c r="AL10" s="44"/>
      <c r="AM10" s="144"/>
      <c r="AN10" s="44"/>
      <c r="AO10" s="144"/>
      <c r="AP10" s="44"/>
      <c r="AQ10" s="144"/>
      <c r="AR10" s="43"/>
      <c r="AS10" s="43"/>
      <c r="AT10" s="44"/>
      <c r="AU10" s="44"/>
      <c r="AV10" s="43"/>
      <c r="AW10" s="44">
        <f t="shared" si="13"/>
        <v>0</v>
      </c>
      <c r="AX10" s="44"/>
      <c r="AY10" s="144"/>
      <c r="AZ10" s="44"/>
      <c r="BA10" s="144"/>
      <c r="BB10" s="44"/>
      <c r="BC10" s="144"/>
      <c r="BD10" s="145"/>
      <c r="BE10" s="144"/>
      <c r="BF10" s="145"/>
      <c r="BG10" s="144"/>
      <c r="BH10" s="44"/>
      <c r="BI10" s="144"/>
      <c r="BJ10" s="44"/>
      <c r="BK10" s="144"/>
      <c r="BL10" s="43"/>
      <c r="BM10" s="43"/>
      <c r="BN10" s="44"/>
      <c r="BO10" s="44"/>
      <c r="BP10" s="43"/>
      <c r="BQ10" s="44">
        <f t="shared" si="16"/>
        <v>0</v>
      </c>
      <c r="BR10" s="44"/>
      <c r="BS10" s="144"/>
      <c r="BT10" s="44"/>
      <c r="BU10" s="144"/>
      <c r="BV10" s="44"/>
      <c r="BW10" s="144"/>
      <c r="BX10" s="145"/>
      <c r="BY10" s="144"/>
      <c r="BZ10" s="44"/>
      <c r="CA10" s="144"/>
      <c r="CB10" s="44"/>
      <c r="CC10" s="144"/>
      <c r="CD10" s="44"/>
      <c r="CE10" s="144"/>
      <c r="CF10" s="44"/>
      <c r="CG10" s="144"/>
      <c r="CH10" s="144"/>
      <c r="CI10" s="144"/>
      <c r="CJ10" s="145"/>
      <c r="CK10" s="145"/>
      <c r="CL10" s="144"/>
      <c r="CM10" s="137">
        <f t="shared" si="19"/>
        <v>0</v>
      </c>
      <c r="CN10" s="44"/>
      <c r="CO10" s="144"/>
      <c r="CP10" s="44"/>
      <c r="CQ10" s="144"/>
      <c r="CR10" s="144"/>
      <c r="CS10" s="144"/>
      <c r="CT10" s="145"/>
      <c r="CU10" s="145"/>
      <c r="CV10" s="144"/>
      <c r="CW10" s="137">
        <f t="shared" si="22"/>
        <v>0</v>
      </c>
      <c r="CX10" s="44"/>
      <c r="CY10" s="144"/>
      <c r="CZ10" s="44"/>
      <c r="DA10" s="144"/>
      <c r="DB10" s="44"/>
      <c r="DC10" s="144"/>
    </row>
    <row r="11" spans="1:107" ht="28.5" hidden="1" customHeight="1" x14ac:dyDescent="0.3">
      <c r="A11" s="46" t="s">
        <v>32</v>
      </c>
      <c r="B11" s="45"/>
      <c r="C11" s="94">
        <f t="shared" ca="1" si="34"/>
        <v>624183</v>
      </c>
      <c r="D11" s="94">
        <f ca="1">IFERROR(__xludf.DUMMYFUNCTION("IMPORTRANGE(""https://docs.google.com/spreadsheets/d/1QqKyyYR6Q21VydFLVH3TRQUabQu_ym0Zz7PgGX0-kHA/edit?usp=sharing"",""แผน!HA10"")"),624183)</f>
        <v>624183</v>
      </c>
      <c r="E11" s="94">
        <v>0</v>
      </c>
      <c r="F11" s="94">
        <v>0</v>
      </c>
      <c r="G11" s="94">
        <v>0</v>
      </c>
      <c r="H11" s="94">
        <f t="shared" si="35"/>
        <v>0</v>
      </c>
      <c r="I11" s="95">
        <f t="shared" ca="1" si="1"/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P11" s="94">
        <v>0</v>
      </c>
      <c r="Q11" s="40">
        <v>0</v>
      </c>
      <c r="R11" s="96">
        <v>0</v>
      </c>
      <c r="S11" s="96">
        <f t="shared" si="33"/>
        <v>0</v>
      </c>
      <c r="T11" s="43"/>
      <c r="U11" s="43"/>
      <c r="V11" s="44"/>
      <c r="W11" s="44"/>
      <c r="X11" s="43"/>
      <c r="Y11" s="44">
        <f t="shared" si="7"/>
        <v>0</v>
      </c>
      <c r="Z11" s="44"/>
      <c r="AA11" s="144"/>
      <c r="AB11" s="44"/>
      <c r="AC11" s="144"/>
      <c r="AD11" s="44"/>
      <c r="AE11" s="144"/>
      <c r="AF11" s="43"/>
      <c r="AG11" s="43"/>
      <c r="AH11" s="44"/>
      <c r="AI11" s="44"/>
      <c r="AJ11" s="43"/>
      <c r="AK11" s="44">
        <f t="shared" si="10"/>
        <v>0</v>
      </c>
      <c r="AL11" s="44"/>
      <c r="AM11" s="144"/>
      <c r="AN11" s="44"/>
      <c r="AO11" s="144"/>
      <c r="AP11" s="44"/>
      <c r="AQ11" s="144"/>
      <c r="AR11" s="43"/>
      <c r="AS11" s="43"/>
      <c r="AT11" s="44"/>
      <c r="AU11" s="44"/>
      <c r="AV11" s="43"/>
      <c r="AW11" s="44">
        <f t="shared" si="13"/>
        <v>0</v>
      </c>
      <c r="AX11" s="44"/>
      <c r="AY11" s="144"/>
      <c r="AZ11" s="44"/>
      <c r="BA11" s="144"/>
      <c r="BB11" s="44"/>
      <c r="BC11" s="144"/>
      <c r="BD11" s="145"/>
      <c r="BE11" s="144"/>
      <c r="BF11" s="145"/>
      <c r="BG11" s="144"/>
      <c r="BH11" s="44"/>
      <c r="BI11" s="144"/>
      <c r="BJ11" s="44"/>
      <c r="BK11" s="144"/>
      <c r="BL11" s="43"/>
      <c r="BM11" s="43"/>
      <c r="BN11" s="44"/>
      <c r="BO11" s="44"/>
      <c r="BP11" s="43"/>
      <c r="BQ11" s="44">
        <f t="shared" si="16"/>
        <v>0</v>
      </c>
      <c r="BR11" s="44"/>
      <c r="BS11" s="144"/>
      <c r="BT11" s="44"/>
      <c r="BU11" s="144"/>
      <c r="BV11" s="44"/>
      <c r="BW11" s="144"/>
      <c r="BX11" s="145"/>
      <c r="BY11" s="144"/>
      <c r="BZ11" s="44"/>
      <c r="CA11" s="144"/>
      <c r="CB11" s="44"/>
      <c r="CC11" s="144"/>
      <c r="CD11" s="44"/>
      <c r="CE11" s="144"/>
      <c r="CF11" s="44"/>
      <c r="CG11" s="144"/>
      <c r="CH11" s="144"/>
      <c r="CI11" s="144"/>
      <c r="CJ11" s="145"/>
      <c r="CK11" s="145"/>
      <c r="CL11" s="144"/>
      <c r="CM11" s="137">
        <f t="shared" si="19"/>
        <v>0</v>
      </c>
      <c r="CN11" s="44"/>
      <c r="CO11" s="144"/>
      <c r="CP11" s="44"/>
      <c r="CQ11" s="144"/>
      <c r="CR11" s="144"/>
      <c r="CS11" s="144"/>
      <c r="CT11" s="145"/>
      <c r="CU11" s="145"/>
      <c r="CV11" s="144"/>
      <c r="CW11" s="137">
        <f t="shared" si="22"/>
        <v>0</v>
      </c>
      <c r="CX11" s="44"/>
      <c r="CY11" s="144"/>
      <c r="CZ11" s="44"/>
      <c r="DA11" s="144"/>
      <c r="DB11" s="44"/>
      <c r="DC11" s="144"/>
    </row>
    <row r="12" spans="1:107" ht="28.5" hidden="1" customHeight="1" x14ac:dyDescent="0.3">
      <c r="A12" s="47" t="s">
        <v>33</v>
      </c>
      <c r="B12" s="48"/>
      <c r="C12" s="49">
        <v>0</v>
      </c>
      <c r="D12" s="49">
        <v>0</v>
      </c>
      <c r="E12" s="49">
        <v>0</v>
      </c>
      <c r="F12" s="50"/>
      <c r="G12" s="50"/>
      <c r="H12" s="49">
        <f t="shared" ref="H12:H116" si="36">J12+R12</f>
        <v>0</v>
      </c>
      <c r="I12" s="51">
        <f t="shared" si="1"/>
        <v>0</v>
      </c>
      <c r="J12" s="49">
        <v>0</v>
      </c>
      <c r="K12" s="50"/>
      <c r="L12" s="50"/>
      <c r="M12" s="49">
        <v>0</v>
      </c>
      <c r="N12" s="49">
        <v>0</v>
      </c>
      <c r="O12" s="49">
        <v>0</v>
      </c>
      <c r="P12" s="49">
        <v>0</v>
      </c>
      <c r="Q12" s="49">
        <v>0</v>
      </c>
      <c r="R12" s="52">
        <v>0</v>
      </c>
      <c r="S12" s="52"/>
      <c r="T12" s="49">
        <v>0</v>
      </c>
      <c r="U12" s="49">
        <v>0</v>
      </c>
      <c r="V12" s="53">
        <v>0</v>
      </c>
      <c r="W12" s="53">
        <f t="shared" ref="W12:W88" si="37">IF(T12&gt;0,V12*100/T12,0)</f>
        <v>0</v>
      </c>
      <c r="X12" s="49">
        <v>0</v>
      </c>
      <c r="Y12" s="53">
        <f t="shared" si="7"/>
        <v>0</v>
      </c>
      <c r="Z12" s="53">
        <v>0</v>
      </c>
      <c r="AA12" s="138">
        <v>0</v>
      </c>
      <c r="AB12" s="53">
        <v>0</v>
      </c>
      <c r="AC12" s="138">
        <v>0</v>
      </c>
      <c r="AD12" s="53">
        <v>0</v>
      </c>
      <c r="AE12" s="138">
        <v>0</v>
      </c>
      <c r="AF12" s="49">
        <v>0</v>
      </c>
      <c r="AG12" s="49">
        <v>0</v>
      </c>
      <c r="AH12" s="53">
        <v>0</v>
      </c>
      <c r="AI12" s="53">
        <f t="shared" ref="AI12:AI88" si="38">IF(AF12&gt;0,AH12*100/AF12,0)</f>
        <v>0</v>
      </c>
      <c r="AJ12" s="49">
        <v>0</v>
      </c>
      <c r="AK12" s="53">
        <f t="shared" si="10"/>
        <v>0</v>
      </c>
      <c r="AL12" s="53">
        <v>0</v>
      </c>
      <c r="AM12" s="138">
        <v>0</v>
      </c>
      <c r="AN12" s="53">
        <v>0</v>
      </c>
      <c r="AO12" s="138">
        <v>0</v>
      </c>
      <c r="AP12" s="53">
        <v>0</v>
      </c>
      <c r="AQ12" s="138">
        <v>0</v>
      </c>
      <c r="AR12" s="49">
        <v>0</v>
      </c>
      <c r="AS12" s="49">
        <v>0</v>
      </c>
      <c r="AT12" s="53">
        <v>0</v>
      </c>
      <c r="AU12" s="53">
        <f t="shared" ref="AU12:AU88" si="39">IF(AR12&gt;0,AT12*100/AR12,0)</f>
        <v>0</v>
      </c>
      <c r="AV12" s="49">
        <v>0</v>
      </c>
      <c r="AW12" s="53">
        <f t="shared" si="13"/>
        <v>0</v>
      </c>
      <c r="AX12" s="53">
        <v>0</v>
      </c>
      <c r="AY12" s="138">
        <v>0</v>
      </c>
      <c r="AZ12" s="53">
        <v>0</v>
      </c>
      <c r="BA12" s="138">
        <v>0</v>
      </c>
      <c r="BB12" s="53">
        <v>0</v>
      </c>
      <c r="BC12" s="138">
        <v>0</v>
      </c>
      <c r="BD12" s="139">
        <v>0</v>
      </c>
      <c r="BE12" s="138">
        <v>0</v>
      </c>
      <c r="BF12" s="139">
        <v>0</v>
      </c>
      <c r="BG12" s="138">
        <v>0</v>
      </c>
      <c r="BH12" s="53">
        <v>0</v>
      </c>
      <c r="BI12" s="138">
        <v>0</v>
      </c>
      <c r="BJ12" s="53">
        <v>0</v>
      </c>
      <c r="BK12" s="138">
        <v>0</v>
      </c>
      <c r="BL12" s="49">
        <v>0</v>
      </c>
      <c r="BM12" s="49">
        <v>0</v>
      </c>
      <c r="BN12" s="53">
        <v>0</v>
      </c>
      <c r="BO12" s="53">
        <f t="shared" ref="BO12:BO88" si="40">IF(BL12&gt;0,BN12*100/BL12,0)</f>
        <v>0</v>
      </c>
      <c r="BP12" s="49">
        <v>0</v>
      </c>
      <c r="BQ12" s="53">
        <f t="shared" si="16"/>
        <v>0</v>
      </c>
      <c r="BR12" s="53">
        <v>0</v>
      </c>
      <c r="BS12" s="138">
        <v>0</v>
      </c>
      <c r="BT12" s="53">
        <v>0</v>
      </c>
      <c r="BU12" s="138">
        <v>0</v>
      </c>
      <c r="BV12" s="53">
        <v>0</v>
      </c>
      <c r="BW12" s="138">
        <v>0</v>
      </c>
      <c r="BX12" s="139">
        <v>0</v>
      </c>
      <c r="BY12" s="138">
        <v>0</v>
      </c>
      <c r="BZ12" s="53">
        <v>0</v>
      </c>
      <c r="CA12" s="138">
        <v>0</v>
      </c>
      <c r="CB12" s="53">
        <v>0</v>
      </c>
      <c r="CC12" s="138">
        <v>0</v>
      </c>
      <c r="CD12" s="53">
        <v>0</v>
      </c>
      <c r="CE12" s="138">
        <v>0</v>
      </c>
      <c r="CF12" s="53">
        <v>0</v>
      </c>
      <c r="CG12" s="138">
        <v>0</v>
      </c>
      <c r="CH12" s="138">
        <v>0</v>
      </c>
      <c r="CI12" s="138">
        <v>0</v>
      </c>
      <c r="CJ12" s="139">
        <v>0</v>
      </c>
      <c r="CK12" s="139">
        <f t="shared" ref="CK12:CK88" si="41">IF(CH12&gt;0,CJ12*100/CH12,0)</f>
        <v>0</v>
      </c>
      <c r="CL12" s="138">
        <v>0</v>
      </c>
      <c r="CM12" s="139">
        <f t="shared" si="19"/>
        <v>0</v>
      </c>
      <c r="CN12" s="53">
        <v>0</v>
      </c>
      <c r="CO12" s="138">
        <v>0</v>
      </c>
      <c r="CP12" s="53">
        <v>0</v>
      </c>
      <c r="CQ12" s="138">
        <v>0</v>
      </c>
      <c r="CR12" s="138">
        <v>0</v>
      </c>
      <c r="CS12" s="138">
        <v>0</v>
      </c>
      <c r="CT12" s="139">
        <v>0</v>
      </c>
      <c r="CU12" s="139">
        <f t="shared" ref="CU12:CU88" si="42">IF(CR12&gt;0,CT12*100/CR12,0)</f>
        <v>0</v>
      </c>
      <c r="CV12" s="138">
        <v>0</v>
      </c>
      <c r="CW12" s="139">
        <f t="shared" si="22"/>
        <v>0</v>
      </c>
      <c r="CX12" s="53">
        <v>0</v>
      </c>
      <c r="CY12" s="138">
        <v>0</v>
      </c>
      <c r="CZ12" s="53">
        <v>0</v>
      </c>
      <c r="DA12" s="138">
        <v>0</v>
      </c>
      <c r="DB12" s="53">
        <v>0</v>
      </c>
      <c r="DC12" s="138">
        <v>0</v>
      </c>
    </row>
    <row r="13" spans="1:107" ht="28.5" customHeight="1" x14ac:dyDescent="0.3">
      <c r="A13" s="177" t="s">
        <v>34</v>
      </c>
      <c r="B13" s="178"/>
      <c r="C13" s="34">
        <f t="shared" ref="C13:G13" ca="1" si="43">SUM(C14:C30)</f>
        <v>7876340</v>
      </c>
      <c r="D13" s="34">
        <f t="shared" ca="1" si="43"/>
        <v>7876340</v>
      </c>
      <c r="E13" s="34">
        <f t="shared" ca="1" si="43"/>
        <v>0</v>
      </c>
      <c r="F13" s="34">
        <f t="shared" ca="1" si="43"/>
        <v>7872046</v>
      </c>
      <c r="G13" s="34">
        <f t="shared" ca="1" si="43"/>
        <v>0</v>
      </c>
      <c r="H13" s="34">
        <f t="shared" ca="1" si="36"/>
        <v>3313786.8</v>
      </c>
      <c r="I13" s="35">
        <f t="shared" ca="1" si="1"/>
        <v>42.072673348281057</v>
      </c>
      <c r="J13" s="34">
        <f ca="1">SUM(J14:J30)</f>
        <v>3313786.8</v>
      </c>
      <c r="K13" s="35">
        <f t="shared" ref="K13:K88" ca="1" si="44">IF(D13&gt;0,J13*100/D13,0)</f>
        <v>42.072673348281057</v>
      </c>
      <c r="L13" s="35">
        <f t="shared" ref="L13:L88" ca="1" si="45">IF(F13&gt;0,J13*100/F13,0)</f>
        <v>42.095622916837627</v>
      </c>
      <c r="M13" s="34">
        <f t="shared" ref="M13:R13" ca="1" si="46">SUM(M14:M30)</f>
        <v>0</v>
      </c>
      <c r="N13" s="34">
        <f t="shared" ca="1" si="46"/>
        <v>71969.3</v>
      </c>
      <c r="O13" s="34">
        <f t="shared" ca="1" si="46"/>
        <v>1078423.6299999999</v>
      </c>
      <c r="P13" s="34">
        <f t="shared" ca="1" si="46"/>
        <v>2162793.87</v>
      </c>
      <c r="Q13" s="34">
        <f t="shared" ca="1" si="46"/>
        <v>600</v>
      </c>
      <c r="R13" s="36">
        <f t="shared" ca="1" si="46"/>
        <v>0</v>
      </c>
      <c r="S13" s="36">
        <f t="shared" ref="S13:S116" ca="1" si="47">IF(E13&gt;0,R13*100/E13,0)</f>
        <v>0</v>
      </c>
      <c r="T13" s="34">
        <f t="shared" ref="T13:V13" ca="1" si="48">SUM(T14:T30)</f>
        <v>789391</v>
      </c>
      <c r="U13" s="34">
        <f t="shared" ca="1" si="48"/>
        <v>94109</v>
      </c>
      <c r="V13" s="37">
        <f t="shared" ca="1" si="48"/>
        <v>781670.30999999994</v>
      </c>
      <c r="W13" s="37">
        <f t="shared" ca="1" si="37"/>
        <v>99.02194349821572</v>
      </c>
      <c r="X13" s="34">
        <f ca="1">SUM(X14:X30)</f>
        <v>93900</v>
      </c>
      <c r="Y13" s="37">
        <f t="shared" ca="1" si="7"/>
        <v>99.777917096133208</v>
      </c>
      <c r="Z13" s="37">
        <f t="shared" ref="Z13:AH13" ca="1" si="49">SUM(Z14:Z30)</f>
        <v>642596.61999999988</v>
      </c>
      <c r="AA13" s="113">
        <f t="shared" ca="1" si="49"/>
        <v>79394</v>
      </c>
      <c r="AB13" s="37">
        <f t="shared" ca="1" si="49"/>
        <v>115808.74</v>
      </c>
      <c r="AC13" s="113">
        <f t="shared" ca="1" si="49"/>
        <v>10136</v>
      </c>
      <c r="AD13" s="37">
        <f t="shared" ca="1" si="49"/>
        <v>23264.949999999997</v>
      </c>
      <c r="AE13" s="113">
        <f t="shared" ca="1" si="49"/>
        <v>4370</v>
      </c>
      <c r="AF13" s="34">
        <f t="shared" ca="1" si="49"/>
        <v>789391</v>
      </c>
      <c r="AG13" s="34">
        <f t="shared" ca="1" si="49"/>
        <v>94109</v>
      </c>
      <c r="AH13" s="37">
        <f t="shared" ca="1" si="49"/>
        <v>789610.89</v>
      </c>
      <c r="AI13" s="37">
        <f t="shared" ca="1" si="38"/>
        <v>100.02785565074849</v>
      </c>
      <c r="AJ13" s="34">
        <f ca="1">SUM(AJ14:AJ30)</f>
        <v>94109</v>
      </c>
      <c r="AK13" s="37">
        <f t="shared" ca="1" si="10"/>
        <v>100</v>
      </c>
      <c r="AL13" s="37">
        <f t="shared" ref="AL13:AT13" ca="1" si="50">SUM(AL14:AL30)</f>
        <v>691459.45</v>
      </c>
      <c r="AM13" s="113">
        <f t="shared" ca="1" si="50"/>
        <v>84564</v>
      </c>
      <c r="AN13" s="37">
        <f t="shared" ca="1" si="50"/>
        <v>71455.51999999999</v>
      </c>
      <c r="AO13" s="113">
        <f t="shared" ca="1" si="50"/>
        <v>6347</v>
      </c>
      <c r="AP13" s="37">
        <f t="shared" ca="1" si="50"/>
        <v>26695.920000000002</v>
      </c>
      <c r="AQ13" s="113">
        <f t="shared" ca="1" si="50"/>
        <v>3198</v>
      </c>
      <c r="AR13" s="34">
        <f t="shared" ca="1" si="50"/>
        <v>789391</v>
      </c>
      <c r="AS13" s="34">
        <f t="shared" ca="1" si="50"/>
        <v>94109</v>
      </c>
      <c r="AT13" s="37">
        <f t="shared" ca="1" si="50"/>
        <v>143333</v>
      </c>
      <c r="AU13" s="37">
        <f t="shared" ca="1" si="39"/>
        <v>18.157415019933087</v>
      </c>
      <c r="AV13" s="34">
        <f ca="1">SUM(AV14:AV30)</f>
        <v>23493</v>
      </c>
      <c r="AW13" s="37">
        <f t="shared" ca="1" si="13"/>
        <v>24.963606031304128</v>
      </c>
      <c r="AX13" s="37">
        <f t="shared" ref="AX13:BN13" ca="1" si="51">SUM(AX14:AX30)</f>
        <v>121223</v>
      </c>
      <c r="AY13" s="113">
        <f t="shared" ca="1" si="51"/>
        <v>20862</v>
      </c>
      <c r="AZ13" s="37">
        <f t="shared" ca="1" si="51"/>
        <v>14720</v>
      </c>
      <c r="BA13" s="113">
        <f t="shared" ca="1" si="51"/>
        <v>1362</v>
      </c>
      <c r="BB13" s="37">
        <f t="shared" ca="1" si="51"/>
        <v>7389.9999999999982</v>
      </c>
      <c r="BC13" s="113">
        <f t="shared" ca="1" si="51"/>
        <v>1269</v>
      </c>
      <c r="BD13" s="135">
        <f t="shared" ca="1" si="51"/>
        <v>5114.7</v>
      </c>
      <c r="BE13" s="113">
        <f t="shared" ca="1" si="51"/>
        <v>1049</v>
      </c>
      <c r="BF13" s="135">
        <f t="shared" ca="1" si="51"/>
        <v>2275.3000000000002</v>
      </c>
      <c r="BG13" s="113">
        <f t="shared" ca="1" si="51"/>
        <v>220</v>
      </c>
      <c r="BH13" s="37">
        <f t="shared" ca="1" si="51"/>
        <v>0</v>
      </c>
      <c r="BI13" s="113">
        <f t="shared" ca="1" si="51"/>
        <v>0</v>
      </c>
      <c r="BJ13" s="37">
        <f t="shared" ca="1" si="51"/>
        <v>0</v>
      </c>
      <c r="BK13" s="113">
        <f t="shared" ca="1" si="51"/>
        <v>0</v>
      </c>
      <c r="BL13" s="34">
        <f t="shared" ca="1" si="51"/>
        <v>63469.030000000013</v>
      </c>
      <c r="BM13" s="34">
        <f t="shared" ca="1" si="51"/>
        <v>6509</v>
      </c>
      <c r="BN13" s="37">
        <f t="shared" ca="1" si="51"/>
        <v>9761.49</v>
      </c>
      <c r="BO13" s="37">
        <f t="shared" ca="1" si="40"/>
        <v>15.37992624119196</v>
      </c>
      <c r="BP13" s="34">
        <f ca="1">SUM(BP14:BP30)</f>
        <v>987</v>
      </c>
      <c r="BQ13" s="37">
        <f t="shared" ca="1" si="16"/>
        <v>15.163619603625749</v>
      </c>
      <c r="BR13" s="37">
        <f t="shared" ref="BR13:CJ13" ca="1" si="52">SUM(BR14:BR30)</f>
        <v>9235.49</v>
      </c>
      <c r="BS13" s="113">
        <f t="shared" ca="1" si="52"/>
        <v>945</v>
      </c>
      <c r="BT13" s="37">
        <f t="shared" ca="1" si="52"/>
        <v>5666</v>
      </c>
      <c r="BU13" s="113">
        <f t="shared" ca="1" si="52"/>
        <v>520</v>
      </c>
      <c r="BV13" s="37">
        <f t="shared" ca="1" si="52"/>
        <v>3569.49</v>
      </c>
      <c r="BW13" s="113">
        <f t="shared" ca="1" si="52"/>
        <v>425</v>
      </c>
      <c r="BX13" s="135">
        <f t="shared" ca="1" si="52"/>
        <v>0</v>
      </c>
      <c r="BY13" s="113">
        <f t="shared" ca="1" si="52"/>
        <v>0</v>
      </c>
      <c r="BZ13" s="37">
        <f t="shared" ca="1" si="52"/>
        <v>526</v>
      </c>
      <c r="CA13" s="113">
        <f t="shared" ca="1" si="52"/>
        <v>42</v>
      </c>
      <c r="CB13" s="37">
        <f t="shared" ca="1" si="52"/>
        <v>463</v>
      </c>
      <c r="CC13" s="113">
        <f t="shared" ca="1" si="52"/>
        <v>37</v>
      </c>
      <c r="CD13" s="37">
        <f t="shared" ca="1" si="52"/>
        <v>63</v>
      </c>
      <c r="CE13" s="113">
        <f t="shared" ca="1" si="52"/>
        <v>5</v>
      </c>
      <c r="CF13" s="37">
        <f t="shared" ca="1" si="52"/>
        <v>0</v>
      </c>
      <c r="CG13" s="113">
        <f t="shared" ca="1" si="52"/>
        <v>0</v>
      </c>
      <c r="CH13" s="113">
        <f t="shared" ca="1" si="52"/>
        <v>0</v>
      </c>
      <c r="CI13" s="113">
        <f t="shared" ca="1" si="52"/>
        <v>6509</v>
      </c>
      <c r="CJ13" s="135">
        <f t="shared" ca="1" si="52"/>
        <v>0</v>
      </c>
      <c r="CK13" s="135">
        <f t="shared" ca="1" si="41"/>
        <v>0</v>
      </c>
      <c r="CL13" s="113">
        <f ca="1">SUM(CL14:CL30)</f>
        <v>0</v>
      </c>
      <c r="CM13" s="135">
        <f t="shared" ca="1" si="19"/>
        <v>0</v>
      </c>
      <c r="CN13" s="37">
        <f t="shared" ref="CN13:CT13" ca="1" si="53">SUM(CN14:CN30)</f>
        <v>0</v>
      </c>
      <c r="CO13" s="113">
        <f t="shared" ca="1" si="53"/>
        <v>0</v>
      </c>
      <c r="CP13" s="37">
        <f t="shared" ca="1" si="53"/>
        <v>0</v>
      </c>
      <c r="CQ13" s="113">
        <f t="shared" ca="1" si="53"/>
        <v>0</v>
      </c>
      <c r="CR13" s="113">
        <f t="shared" ca="1" si="53"/>
        <v>2537</v>
      </c>
      <c r="CS13" s="113">
        <f t="shared" ca="1" si="53"/>
        <v>177</v>
      </c>
      <c r="CT13" s="135">
        <f t="shared" ca="1" si="53"/>
        <v>318</v>
      </c>
      <c r="CU13" s="135">
        <f t="shared" ca="1" si="42"/>
        <v>12.534489554592037</v>
      </c>
      <c r="CV13" s="113">
        <f ca="1">SUM(CV14:CV30)</f>
        <v>13</v>
      </c>
      <c r="CW13" s="135">
        <f t="shared" ca="1" si="22"/>
        <v>7.3446327683615822</v>
      </c>
      <c r="CX13" s="37">
        <f t="shared" ref="CX13:DC13" ca="1" si="54">SUM(CX14:CX30)</f>
        <v>266</v>
      </c>
      <c r="CY13" s="113">
        <f t="shared" ca="1" si="54"/>
        <v>9</v>
      </c>
      <c r="CZ13" s="37">
        <f t="shared" ca="1" si="54"/>
        <v>1</v>
      </c>
      <c r="DA13" s="113">
        <f t="shared" ca="1" si="54"/>
        <v>1</v>
      </c>
      <c r="DB13" s="37">
        <f t="shared" ca="1" si="54"/>
        <v>51</v>
      </c>
      <c r="DC13" s="113">
        <f t="shared" ca="1" si="54"/>
        <v>3</v>
      </c>
    </row>
    <row r="14" spans="1:107" ht="24" customHeight="1" x14ac:dyDescent="0.3">
      <c r="A14" s="54">
        <v>1</v>
      </c>
      <c r="B14" s="55" t="s">
        <v>35</v>
      </c>
      <c r="C14" s="56">
        <f t="shared" ref="C14:C30" ca="1" si="55">D14+E14</f>
        <v>787961</v>
      </c>
      <c r="D14" s="57">
        <f ca="1">IFERROR(__xludf.DUMMYFUNCTION("IMPORTRANGE(""https://docs.google.com/spreadsheets/d/1KxicF4apzSqm0-jIpmueT4kyZtE-Cwn5zskl7GD4loQ/edit?usp=sharing"",""กำแพงเพชร!L549"")"),787961)</f>
        <v>787961</v>
      </c>
      <c r="E14" s="57">
        <f ca="1">IFERROR(__xludf.DUMMYFUNCTION("IMPORTRANGE(""https://docs.google.com/spreadsheets/d/1KxicF4apzSqm0-jIpmueT4kyZtE-Cwn5zskl7GD4loQ/edit?usp=sharing"",""กำแพงเพชร!L557"")"),0)</f>
        <v>0</v>
      </c>
      <c r="F14" s="57">
        <f ca="1">IFERROR(__xludf.DUMMYFUNCTION("IMPORTRANGE(""https://docs.google.com/spreadsheets/d/1KxicF4apzSqm0-jIpmueT4kyZtE-Cwn5zskl7GD4loQ/edit?usp=sharing"",""กำแพงเพชร!M549"")"),787961)</f>
        <v>787961</v>
      </c>
      <c r="G14" s="57">
        <f ca="1">IFERROR(__xludf.DUMMYFUNCTION("IMPORTRANGE(""https://docs.google.com/spreadsheets/d/1KxicF4apzSqm0-jIpmueT4kyZtE-Cwn5zskl7GD4loQ/edit?usp=sharing"",""กำแพงเพชร!M557"")"),0)</f>
        <v>0</v>
      </c>
      <c r="H14" s="58">
        <f t="shared" ca="1" si="36"/>
        <v>359371</v>
      </c>
      <c r="I14" s="59">
        <f t="shared" ca="1" si="1"/>
        <v>45.607714087372344</v>
      </c>
      <c r="J14" s="60">
        <f t="shared" ref="J14:J30" ca="1" si="56">M14+N14+O14+P14+Q14</f>
        <v>359371</v>
      </c>
      <c r="K14" s="61">
        <f t="shared" ca="1" si="44"/>
        <v>45.607714087372344</v>
      </c>
      <c r="L14" s="61">
        <f t="shared" ca="1" si="45"/>
        <v>45.607714087372344</v>
      </c>
      <c r="M14" s="57">
        <f ca="1">IFERROR(__xludf.DUMMYFUNCTION("IMPORTRANGE(""https://docs.google.com/spreadsheets/d/1KxicF4apzSqm0-jIpmueT4kyZtE-Cwn5zskl7GD4loQ/edit?usp=sharing"",""กำแพงเพชร!N550"")"),0)</f>
        <v>0</v>
      </c>
      <c r="N14" s="57">
        <f ca="1">IFERROR(__xludf.DUMMYFUNCTION("IMPORTRANGE(""https://docs.google.com/spreadsheets/d/1KxicF4apzSqm0-jIpmueT4kyZtE-Cwn5zskl7GD4loQ/edit?usp=sharing"",""กำแพงเพชร!N551"")"),0)</f>
        <v>0</v>
      </c>
      <c r="O14" s="57">
        <f ca="1">IFERROR(__xludf.DUMMYFUNCTION("IMPORTRANGE(""https://docs.google.com/spreadsheets/d/1KxicF4apzSqm0-jIpmueT4kyZtE-Cwn5zskl7GD4loQ/edit?usp=sharing"",""กำแพงเพชร!N552"")"),65000)</f>
        <v>65000</v>
      </c>
      <c r="P14" s="57">
        <f ca="1">IFERROR(__xludf.DUMMYFUNCTION("IMPORTRANGE(""https://docs.google.com/spreadsheets/d/1KxicF4apzSqm0-jIpmueT4kyZtE-Cwn5zskl7GD4loQ/edit?usp=sharing"",""กำแพงเพชร!N553"")"),294371)</f>
        <v>294371</v>
      </c>
      <c r="Q14" s="57">
        <f ca="1">IFERROR(__xludf.DUMMYFUNCTION("IMPORTRANGE(""https://docs.google.com/spreadsheets/d/1KxicF4apzSqm0-jIpmueT4kyZtE-Cwn5zskl7GD4loQ/edit?usp=sharing"",""กำแพงเพชร!N554"")"),0)</f>
        <v>0</v>
      </c>
      <c r="R14" s="62">
        <f ca="1">IFERROR(__xludf.DUMMYFUNCTION("IMPORTRANGE(""https://docs.google.com/spreadsheets/d/1KxicF4apzSqm0-jIpmueT4kyZtE-Cwn5zskl7GD4loQ/edit?usp=sharing"",""กำแพงเพชร!N557"")"),0)</f>
        <v>0</v>
      </c>
      <c r="S14" s="62">
        <f t="shared" ca="1" si="47"/>
        <v>0</v>
      </c>
      <c r="T14" s="57">
        <f ca="1">IFERROR(__xludf.DUMMYFUNCTION("IMPORTRANGE(""https://docs.google.com/spreadsheets/d/1KxicF4apzSqm0-jIpmueT4kyZtE-Cwn5zskl7GD4loQ/edit?usp=sharing"",""กำแพงเพชร!I560"")"),156826)</f>
        <v>156826</v>
      </c>
      <c r="U14" s="57">
        <f ca="1">IFERROR(__xludf.DUMMYFUNCTION("IMPORTRANGE(""https://docs.google.com/spreadsheets/d/1KxicF4apzSqm0-jIpmueT4kyZtE-Cwn5zskl7GD4loQ/edit?usp=sharing"",""กำแพงเพชร!I561"")"),12334)</f>
        <v>12334</v>
      </c>
      <c r="V14" s="63">
        <f ca="1">IFERROR(__xludf.DUMMYFUNCTION("IMPORTRANGE(""https://docs.google.com/spreadsheets/d/1KxicF4apzSqm0-jIpmueT4kyZtE-Cwn5zskl7GD4loQ/edit?usp=sharing"",""กำแพงเพชร!J560"")"),156826.13)</f>
        <v>156826.13</v>
      </c>
      <c r="W14" s="63">
        <f t="shared" ca="1" si="37"/>
        <v>100.00008289441801</v>
      </c>
      <c r="X14" s="57">
        <f ca="1">IFERROR(__xludf.DUMMYFUNCTION("IMPORTRANGE(""https://docs.google.com/spreadsheets/d/1KxicF4apzSqm0-jIpmueT4kyZtE-Cwn5zskl7GD4loQ/edit?usp=sharing"",""กำแพงเพชร!J561"")"),12334)</f>
        <v>12334</v>
      </c>
      <c r="Y14" s="63">
        <f t="shared" ca="1" si="7"/>
        <v>100</v>
      </c>
      <c r="Z14" s="63">
        <f ca="1">IFERROR(__xludf.DUMMYFUNCTION("IMPORTRANGE(""https://docs.google.com/spreadsheets/d/1KxicF4apzSqm0-jIpmueT4kyZtE-Cwn5zskl7GD4loQ/edit?usp=sharing"",""กำแพงเพชร!J562"")"),146609)</f>
        <v>146609</v>
      </c>
      <c r="AA14" s="140">
        <f ca="1">IFERROR(__xludf.DUMMYFUNCTION("IMPORTRANGE(""https://docs.google.com/spreadsheets/d/1KxicF4apzSqm0-jIpmueT4kyZtE-Cwn5zskl7GD4loQ/edit?usp=sharing"",""กำแพงเพชร!J563"")"),11545)</f>
        <v>11545</v>
      </c>
      <c r="AB14" s="63">
        <f ca="1">IFERROR(__xludf.DUMMYFUNCTION("IMPORTRANGE(""https://docs.google.com/spreadsheets/d/1KxicF4apzSqm0-jIpmueT4kyZtE-Cwn5zskl7GD4loQ/edit?usp=sharing"",""กำแพงเพชร!J564"")"),3766.13)</f>
        <v>3766.13</v>
      </c>
      <c r="AC14" s="140">
        <f ca="1">IFERROR(__xludf.DUMMYFUNCTION("IMPORTRANGE(""https://docs.google.com/spreadsheets/d/1KxicF4apzSqm0-jIpmueT4kyZtE-Cwn5zskl7GD4loQ/edit?usp=sharing"",""กำแพงเพชร!J565"")"),259)</f>
        <v>259</v>
      </c>
      <c r="AD14" s="63">
        <f ca="1">IFERROR(__xludf.DUMMYFUNCTION("IMPORTRANGE(""https://docs.google.com/spreadsheets/d/1KxicF4apzSqm0-jIpmueT4kyZtE-Cwn5zskl7GD4loQ/edit?usp=sharing"",""กำแพงเพชร!J566"")"),6451)</f>
        <v>6451</v>
      </c>
      <c r="AE14" s="140">
        <f ca="1">IFERROR(__xludf.DUMMYFUNCTION("IMPORTRANGE(""https://docs.google.com/spreadsheets/d/1KxicF4apzSqm0-jIpmueT4kyZtE-Cwn5zskl7GD4loQ/edit?usp=sharing"",""กำแพงเพชร!J567"")"),530)</f>
        <v>530</v>
      </c>
      <c r="AF14" s="57">
        <f ca="1">IFERROR(__xludf.DUMMYFUNCTION("IMPORTRANGE(""https://docs.google.com/spreadsheets/d/1KxicF4apzSqm0-jIpmueT4kyZtE-Cwn5zskl7GD4loQ/edit?usp=sharing"",""กำแพงเพชร!I568"")"),156826)</f>
        <v>156826</v>
      </c>
      <c r="AG14" s="57">
        <f ca="1">IFERROR(__xludf.DUMMYFUNCTION("IMPORTRANGE(""https://docs.google.com/spreadsheets/d/1KxicF4apzSqm0-jIpmueT4kyZtE-Cwn5zskl7GD4loQ/edit?usp=sharing"",""กำแพงเพชร!I569"")"),12334)</f>
        <v>12334</v>
      </c>
      <c r="AH14" s="63">
        <f ca="1">IFERROR(__xludf.DUMMYFUNCTION("IMPORTRANGE(""https://docs.google.com/spreadsheets/d/1KxicF4apzSqm0-jIpmueT4kyZtE-Cwn5zskl7GD4loQ/edit?usp=sharing"",""กำแพงเพชร!J568"")"),156860.67)</f>
        <v>156860.67000000001</v>
      </c>
      <c r="AI14" s="63">
        <f t="shared" ca="1" si="38"/>
        <v>100.02210730363589</v>
      </c>
      <c r="AJ14" s="57">
        <f ca="1">IFERROR(__xludf.DUMMYFUNCTION("IMPORTRANGE(""https://docs.google.com/spreadsheets/d/1KxicF4apzSqm0-jIpmueT4kyZtE-Cwn5zskl7GD4loQ/edit?usp=sharing"",""กำแพงเพชร!J569"")"),12334)</f>
        <v>12334</v>
      </c>
      <c r="AK14" s="63">
        <f t="shared" ca="1" si="10"/>
        <v>100</v>
      </c>
      <c r="AL14" s="63">
        <f ca="1">IFERROR(__xludf.DUMMYFUNCTION("IMPORTRANGE(""https://docs.google.com/spreadsheets/d/1KxicF4apzSqm0-jIpmueT4kyZtE-Cwn5zskl7GD4loQ/edit?usp=sharing"",""กำแพงเพชร!J570"")"),149309.92)</f>
        <v>149309.92000000001</v>
      </c>
      <c r="AM14" s="140">
        <f ca="1">IFERROR(__xludf.DUMMYFUNCTION("IMPORTRANGE(""https://docs.google.com/spreadsheets/d/1KxicF4apzSqm0-jIpmueT4kyZtE-Cwn5zskl7GD4loQ/edit?usp=sharing"",""กำแพงเพชร!J571"")"),11756)</f>
        <v>11756</v>
      </c>
      <c r="AN14" s="63">
        <f ca="1">IFERROR(__xludf.DUMMYFUNCTION("IMPORTRANGE(""https://docs.google.com/spreadsheets/d/1KxicF4apzSqm0-jIpmueT4kyZtE-Cwn5zskl7GD4loQ/edit?usp=sharing"",""กำแพงเพชร!J572"")"),2641.55)</f>
        <v>2641.55</v>
      </c>
      <c r="AO14" s="140">
        <f ca="1">IFERROR(__xludf.DUMMYFUNCTION("IMPORTRANGE(""https://docs.google.com/spreadsheets/d/1KxicF4apzSqm0-jIpmueT4kyZtE-Cwn5zskl7GD4loQ/edit?usp=sharing"",""กำแพงเพชร!J573"")"),163)</f>
        <v>163</v>
      </c>
      <c r="AP14" s="63">
        <f ca="1">IFERROR(__xludf.DUMMYFUNCTION("IMPORTRANGE(""https://docs.google.com/spreadsheets/d/1KxicF4apzSqm0-jIpmueT4kyZtE-Cwn5zskl7GD4loQ/edit?usp=sharing"",""กำแพงเพชร!J574"")"),4909.2)</f>
        <v>4909.2</v>
      </c>
      <c r="AQ14" s="140">
        <f ca="1">IFERROR(__xludf.DUMMYFUNCTION("IMPORTRANGE(""https://docs.google.com/spreadsheets/d/1KxicF4apzSqm0-jIpmueT4kyZtE-Cwn5zskl7GD4loQ/edit?usp=sharing"",""กำแพงเพชร!J575"")"),415)</f>
        <v>415</v>
      </c>
      <c r="AR14" s="57">
        <f ca="1">IFERROR(__xludf.DUMMYFUNCTION("IMPORTRANGE(""https://docs.google.com/spreadsheets/d/1KxicF4apzSqm0-jIpmueT4kyZtE-Cwn5zskl7GD4loQ/edit?usp=sharing"",""กำแพงเพชร!I576"")"),156826)</f>
        <v>156826</v>
      </c>
      <c r="AS14" s="57">
        <f ca="1">IFERROR(__xludf.DUMMYFUNCTION("IMPORTRANGE(""https://docs.google.com/spreadsheets/d/1KxicF4apzSqm0-jIpmueT4kyZtE-Cwn5zskl7GD4loQ/edit?usp=sharing"",""กำแพงเพชร!I577"")"),12334)</f>
        <v>12334</v>
      </c>
      <c r="AT14" s="63">
        <f ca="1">IFERROR(__xludf.DUMMYFUNCTION("IMPORTRANGE(""https://docs.google.com/spreadsheets/d/1KxicF4apzSqm0-jIpmueT4kyZtE-Cwn5zskl7GD4loQ/edit?usp=sharing"",""กำแพงเพชร!J576"")"),0)</f>
        <v>0</v>
      </c>
      <c r="AU14" s="63">
        <f t="shared" ca="1" si="39"/>
        <v>0</v>
      </c>
      <c r="AV14" s="57">
        <f ca="1">IFERROR(__xludf.DUMMYFUNCTION("IMPORTRANGE(""https://docs.google.com/spreadsheets/d/1KxicF4apzSqm0-jIpmueT4kyZtE-Cwn5zskl7GD4loQ/edit?usp=sharing"",""กำแพงเพชร!J577"")"),0)</f>
        <v>0</v>
      </c>
      <c r="AW14" s="63">
        <f t="shared" ca="1" si="13"/>
        <v>0</v>
      </c>
      <c r="AX14" s="63">
        <f ca="1">IFERROR(__xludf.DUMMYFUNCTION("IMPORTRANGE(""https://docs.google.com/spreadsheets/d/1KxicF4apzSqm0-jIpmueT4kyZtE-Cwn5zskl7GD4loQ/edit?usp=sharing"",""กำแพงเพชร!J578"")"),0)</f>
        <v>0</v>
      </c>
      <c r="AY14" s="140">
        <f ca="1">IFERROR(__xludf.DUMMYFUNCTION("IMPORTRANGE(""https://docs.google.com/spreadsheets/d/1KxicF4apzSqm0-jIpmueT4kyZtE-Cwn5zskl7GD4loQ/edit?usp=sharing"",""กำแพงเพชร!J579"")"),0)</f>
        <v>0</v>
      </c>
      <c r="AZ14" s="63">
        <f ca="1">IFERROR(__xludf.DUMMYFUNCTION("IMPORTRANGE(""https://docs.google.com/spreadsheets/d/1KxicF4apzSqm0-jIpmueT4kyZtE-Cwn5zskl7GD4loQ/edit?usp=sharing"",""กำแพงเพชร!J580"")"),0)</f>
        <v>0</v>
      </c>
      <c r="BA14" s="140">
        <f ca="1">IFERROR(__xludf.DUMMYFUNCTION("IMPORTRANGE(""https://docs.google.com/spreadsheets/d/1KxicF4apzSqm0-jIpmueT4kyZtE-Cwn5zskl7GD4loQ/edit?usp=sharing"",""กำแพงเพชร!J581"")"),0)</f>
        <v>0</v>
      </c>
      <c r="BB14" s="63">
        <f ca="1">IFERROR(__xludf.DUMMYFUNCTION("IMPORTRANGE(""https://docs.google.com/spreadsheets/d/1KxicF4apzSqm0-jIpmueT4kyZtE-Cwn5zskl7GD4loQ/edit?usp=sharing"",""กำแพงเพชร!J582"")"),0)</f>
        <v>0</v>
      </c>
      <c r="BC14" s="140">
        <f ca="1">IFERROR(__xludf.DUMMYFUNCTION("IMPORTRANGE(""https://docs.google.com/spreadsheets/d/1KxicF4apzSqm0-jIpmueT4kyZtE-Cwn5zskl7GD4loQ/edit?usp=sharing"",""กำแพงเพชร!J583"")"),0)</f>
        <v>0</v>
      </c>
      <c r="BD14" s="141">
        <f ca="1">IFERROR(__xludf.DUMMYFUNCTION("IMPORTRANGE(""https://docs.google.com/spreadsheets/d/1KxicF4apzSqm0-jIpmueT4kyZtE-Cwn5zskl7GD4loQ/edit?usp=sharing"",""กำแพงเพชร!J584"")"),0)</f>
        <v>0</v>
      </c>
      <c r="BE14" s="140">
        <f ca="1">IFERROR(__xludf.DUMMYFUNCTION("IMPORTRANGE(""https://docs.google.com/spreadsheets/d/1KxicF4apzSqm0-jIpmueT4kyZtE-Cwn5zskl7GD4loQ/edit?usp=sharing"",""กำแพงเพชร!J585"")"),0)</f>
        <v>0</v>
      </c>
      <c r="BF14" s="141">
        <f ca="1">IFERROR(__xludf.DUMMYFUNCTION("IMPORTRANGE(""https://docs.google.com/spreadsheets/d/1KxicF4apzSqm0-jIpmueT4kyZtE-Cwn5zskl7GD4loQ/edit?usp=sharing"",""กำแพงเพชร!J586"")"),0)</f>
        <v>0</v>
      </c>
      <c r="BG14" s="140">
        <f ca="1">IFERROR(__xludf.DUMMYFUNCTION("IMPORTRANGE(""https://docs.google.com/spreadsheets/d/1KxicF4apzSqm0-jIpmueT4kyZtE-Cwn5zskl7GD4loQ/edit?usp=sharing"",""กำแพงเพชร!J587"")"),0)</f>
        <v>0</v>
      </c>
      <c r="BH14" s="63">
        <f ca="1">IFERROR(__xludf.DUMMYFUNCTION("IMPORTRANGE(""https://docs.google.com/spreadsheets/d/1KxicF4apzSqm0-jIpmueT4kyZtE-Cwn5zskl7GD4loQ/edit?usp=sharing"",""กำแพงเพชร!J588"")"),0)</f>
        <v>0</v>
      </c>
      <c r="BI14" s="140">
        <f ca="1">IFERROR(__xludf.DUMMYFUNCTION("IMPORTRANGE(""https://docs.google.com/spreadsheets/d/1KxicF4apzSqm0-jIpmueT4kyZtE-Cwn5zskl7GD4loQ/edit?usp=sharing"",""กำแพงเพชร!J589"")"),0)</f>
        <v>0</v>
      </c>
      <c r="BJ14" s="63">
        <f ca="1">IFERROR(__xludf.DUMMYFUNCTION("IMPORTRANGE(""https://docs.google.com/spreadsheets/d/1KxicF4apzSqm0-jIpmueT4kyZtE-Cwn5zskl7GD4loQ/edit?usp=sharing"",""กำแพงเพชร!J590"")"),0)</f>
        <v>0</v>
      </c>
      <c r="BK14" s="140">
        <f ca="1">IFERROR(__xludf.DUMMYFUNCTION("IMPORTRANGE(""https://docs.google.com/spreadsheets/d/1KxicF4apzSqm0-jIpmueT4kyZtE-Cwn5zskl7GD4loQ/edit?usp=sharing"",""กำแพงเพชร!J591"")"),0)</f>
        <v>0</v>
      </c>
      <c r="BL14" s="57">
        <f ca="1">IFERROR(__xludf.DUMMYFUNCTION("IMPORTRANGE(""https://docs.google.com/spreadsheets/d/1KxicF4apzSqm0-jIpmueT4kyZtE-Cwn5zskl7GD4loQ/edit?usp=sharing"",""กำแพงเพชร!I593"")"),6645.84)</f>
        <v>6645.84</v>
      </c>
      <c r="BM14" s="57">
        <f ca="1">IFERROR(__xludf.DUMMYFUNCTION("IMPORTRANGE(""https://docs.google.com/spreadsheets/d/1KxicF4apzSqm0-jIpmueT4kyZtE-Cwn5zskl7GD4loQ/edit?usp=sharing"",""กำแพงเพชร!I594"")"),390)</f>
        <v>390</v>
      </c>
      <c r="BN14" s="63">
        <f ca="1">IFERROR(__xludf.DUMMYFUNCTION("IMPORTRANGE(""https://docs.google.com/spreadsheets/d/1KxicF4apzSqm0-jIpmueT4kyZtE-Cwn5zskl7GD4loQ/edit?usp=sharing"",""กำแพงเพชร!J593"")"),0)</f>
        <v>0</v>
      </c>
      <c r="BO14" s="63">
        <f t="shared" ca="1" si="40"/>
        <v>0</v>
      </c>
      <c r="BP14" s="57">
        <f ca="1">IFERROR(__xludf.DUMMYFUNCTION("IMPORTRANGE(""https://docs.google.com/spreadsheets/d/1KxicF4apzSqm0-jIpmueT4kyZtE-Cwn5zskl7GD4loQ/edit?usp=sharing"",""กำแพงเพชร!J594"")"),0)</f>
        <v>0</v>
      </c>
      <c r="BQ14" s="63">
        <f t="shared" ca="1" si="16"/>
        <v>0</v>
      </c>
      <c r="BR14" s="63">
        <f ca="1">IFERROR(__xludf.DUMMYFUNCTION("IMPORTRANGE(""https://docs.google.com/spreadsheets/d/1KxicF4apzSqm0-jIpmueT4kyZtE-Cwn5zskl7GD4loQ/edit?usp=sharing"",""กำแพงเพชร!J595"")"),0)</f>
        <v>0</v>
      </c>
      <c r="BS14" s="140">
        <f ca="1">IFERROR(__xludf.DUMMYFUNCTION("IMPORTRANGE(""https://docs.google.com/spreadsheets/d/1KxicF4apzSqm0-jIpmueT4kyZtE-Cwn5zskl7GD4loQ/edit?usp=sharing"",""กำแพงเพชร!J596"")"),0)</f>
        <v>0</v>
      </c>
      <c r="BT14" s="63">
        <f ca="1">IFERROR(__xludf.DUMMYFUNCTION("IMPORTRANGE(""https://docs.google.com/spreadsheets/d/1KxicF4apzSqm0-jIpmueT4kyZtE-Cwn5zskl7GD4loQ/edit?usp=sharing"",""กำแพงเพชร!J597"")"),0)</f>
        <v>0</v>
      </c>
      <c r="BU14" s="140">
        <f ca="1">IFERROR(__xludf.DUMMYFUNCTION("IMPORTRANGE(""https://docs.google.com/spreadsheets/d/1KxicF4apzSqm0-jIpmueT4kyZtE-Cwn5zskl7GD4loQ/edit?usp=sharing"",""กำแพงเพชร!J598"")"),0)</f>
        <v>0</v>
      </c>
      <c r="BV14" s="63">
        <f ca="1">IFERROR(__xludf.DUMMYFUNCTION("IMPORTRANGE(""https://docs.google.com/spreadsheets/d/1KxicF4apzSqm0-jIpmueT4kyZtE-Cwn5zskl7GD4loQ/edit?usp=sharing"",""กำแพงเพชร!J599"")"),0)</f>
        <v>0</v>
      </c>
      <c r="BW14" s="140">
        <f ca="1">IFERROR(__xludf.DUMMYFUNCTION("IMPORTRANGE(""https://docs.google.com/spreadsheets/d/1KxicF4apzSqm0-jIpmueT4kyZtE-Cwn5zskl7GD4loQ/edit?usp=sharing"",""กำแพงเพชร!J600"")"),0)</f>
        <v>0</v>
      </c>
      <c r="BX14" s="141">
        <f ca="1">IFERROR(__xludf.DUMMYFUNCTION("IMPORTRANGE(""https://docs.google.com/spreadsheets/d/1KxicF4apzSqm0-jIpmueT4kyZtE-Cwn5zskl7GD4loQ/edit?usp=sharing"",""กำแพงเพชร!J601"")"),0)</f>
        <v>0</v>
      </c>
      <c r="BY14" s="140">
        <f ca="1">IFERROR(__xludf.DUMMYFUNCTION("IMPORTRANGE(""https://docs.google.com/spreadsheets/d/1KxicF4apzSqm0-jIpmueT4kyZtE-Cwn5zskl7GD4loQ/edit?usp=sharing"",""กำแพงเพชร!J602"")"),0)</f>
        <v>0</v>
      </c>
      <c r="BZ14" s="63">
        <f ca="1">IFERROR(__xludf.DUMMYFUNCTION("IMPORTRANGE(""https://docs.google.com/spreadsheets/d/1KxicF4apzSqm0-jIpmueT4kyZtE-Cwn5zskl7GD4loQ/edit?usp=sharing"",""กำแพงเพชร!J603"")"),0)</f>
        <v>0</v>
      </c>
      <c r="CA14" s="140">
        <f ca="1">IFERROR(__xludf.DUMMYFUNCTION("IMPORTRANGE(""https://docs.google.com/spreadsheets/d/1KxicF4apzSqm0-jIpmueT4kyZtE-Cwn5zskl7GD4loQ/edit?usp=sharing"",""กำแพงเพชร!J604"")"),0)</f>
        <v>0</v>
      </c>
      <c r="CB14" s="63">
        <f ca="1">IFERROR(__xludf.DUMMYFUNCTION("IMPORTRANGE(""https://docs.google.com/spreadsheets/d/1KxicF4apzSqm0-jIpmueT4kyZtE-Cwn5zskl7GD4loQ/edit?usp=sharing"",""กำแพงเพชร!J605"")"),0)</f>
        <v>0</v>
      </c>
      <c r="CC14" s="140">
        <f ca="1">IFERROR(__xludf.DUMMYFUNCTION("IMPORTRANGE(""https://docs.google.com/spreadsheets/d/1KxicF4apzSqm0-jIpmueT4kyZtE-Cwn5zskl7GD4loQ/edit?usp=sharing"",""กำแพงเพชร!J606"")"),0)</f>
        <v>0</v>
      </c>
      <c r="CD14" s="63">
        <f ca="1">IFERROR(__xludf.DUMMYFUNCTION("IMPORTRANGE(""https://docs.google.com/spreadsheets/d/1KxicF4apzSqm0-jIpmueT4kyZtE-Cwn5zskl7GD4loQ/edit?usp=sharing"",""กำแพงเพชร!J607"")"),0)</f>
        <v>0</v>
      </c>
      <c r="CE14" s="140">
        <f ca="1">IFERROR(__xludf.DUMMYFUNCTION("IMPORTRANGE(""https://docs.google.com/spreadsheets/d/1KxicF4apzSqm0-jIpmueT4kyZtE-Cwn5zskl7GD4loQ/edit?usp=sharing"",""กำแพงเพชร!J608"")"),0)</f>
        <v>0</v>
      </c>
      <c r="CF14" s="63">
        <f ca="1">IFERROR(__xludf.DUMMYFUNCTION("IMPORTRANGE(""https://docs.google.com/spreadsheets/d/1KxicF4apzSqm0-jIpmueT4kyZtE-Cwn5zskl7GD4loQ/edit?usp=sharing"",""กำแพงเพชร!J609"")"),0)</f>
        <v>0</v>
      </c>
      <c r="CG14" s="140">
        <f ca="1">IFERROR(__xludf.DUMMYFUNCTION("IMPORTRANGE(""https://docs.google.com/spreadsheets/d/1KxicF4apzSqm0-jIpmueT4kyZtE-Cwn5zskl7GD4loQ/edit?usp=sharing"",""กำแพงเพชร!J610"")"),0)</f>
        <v>0</v>
      </c>
      <c r="CH14" s="140">
        <f ca="1">IFERROR(__xludf.DUMMYFUNCTION("IMPORTRANGE(""https://docs.google.com/spreadsheets/d/1KxicF4apzSqm0-jIpmueT4kyZtE-Cwn5zskl7GD4loQ/edit?usp=sharing"",""กำแพงเพชร!I612"")"),0)</f>
        <v>0</v>
      </c>
      <c r="CI14" s="140">
        <f ca="1">IFERROR(__xludf.DUMMYFUNCTION("IMPORTRANGE(""https://docs.google.com/spreadsheets/d/1KxicF4apzSqm0-jIpmueT4kyZtE-Cwn5zskl7GD4loQ/edit?usp=sharing"",""กำแพงเพชร!I594"")"),390)</f>
        <v>390</v>
      </c>
      <c r="CJ14" s="141">
        <f ca="1">IFERROR(__xludf.DUMMYFUNCTION("IMPORTRANGE(""https://docs.google.com/spreadsheets/d/1KxicF4apzSqm0-jIpmueT4kyZtE-Cwn5zskl7GD4loQ/edit?usp=sharing"",""กำแพงเพชร!J612"")"),0)</f>
        <v>0</v>
      </c>
      <c r="CK14" s="141">
        <f t="shared" ca="1" si="41"/>
        <v>0</v>
      </c>
      <c r="CL14" s="140">
        <f ca="1">IFERROR(__xludf.DUMMYFUNCTION("IMPORTRANGE(""https://docs.google.com/spreadsheets/d/1KxicF4apzSqm0-jIpmueT4kyZtE-Cwn5zskl7GD4loQ/edit?usp=sharing"",""กำแพงเพชร!J613"")"),0)</f>
        <v>0</v>
      </c>
      <c r="CM14" s="141">
        <f t="shared" ca="1" si="19"/>
        <v>0</v>
      </c>
      <c r="CN14" s="63">
        <f ca="1">IFERROR(__xludf.DUMMYFUNCTION("IMPORTRANGE(""https://docs.google.com/spreadsheets/d/1KxicF4apzSqm0-jIpmueT4kyZtE-Cwn5zskl7GD4loQ/edit?usp=sharing"",""กำแพงเพชร!J614"")"),0)</f>
        <v>0</v>
      </c>
      <c r="CO14" s="140">
        <f ca="1">IFERROR(__xludf.DUMMYFUNCTION("IMPORTRANGE(""https://docs.google.com/spreadsheets/d/1KxicF4apzSqm0-jIpmueT4kyZtE-Cwn5zskl7GD4loQ/edit?usp=sharing"",""กำแพงเพชร!J615"")"),0)</f>
        <v>0</v>
      </c>
      <c r="CP14" s="63">
        <f ca="1">IFERROR(__xludf.DUMMYFUNCTION("IMPORTRANGE(""https://docs.google.com/spreadsheets/d/1KxicF4apzSqm0-jIpmueT4kyZtE-Cwn5zskl7GD4loQ/edit?usp=sharing"",""กำแพงเพชร!J616"")"),0)</f>
        <v>0</v>
      </c>
      <c r="CQ14" s="140">
        <f ca="1">IFERROR(__xludf.DUMMYFUNCTION("IMPORTRANGE(""https://docs.google.com/spreadsheets/d/1KxicF4apzSqm0-jIpmueT4kyZtE-Cwn5zskl7GD4loQ/edit?usp=sharing"",""กำแพงเพชร!J617"")"),0)</f>
        <v>0</v>
      </c>
      <c r="CR14" s="140">
        <f ca="1">IFERROR(__xludf.DUMMYFUNCTION("IMPORTRANGE(""https://docs.google.com/spreadsheets/d/1KxicF4apzSqm0-jIpmueT4kyZtE-Cwn5zskl7GD4loQ/edit?usp=sharing"",""กำแพงเพชร!I620"")"),194)</f>
        <v>194</v>
      </c>
      <c r="CS14" s="140">
        <f ca="1">IFERROR(__xludf.DUMMYFUNCTION("IMPORTRANGE(""https://docs.google.com/spreadsheets/d/1KxicF4apzSqm0-jIpmueT4kyZtE-Cwn5zskl7GD4loQ/edit?usp=sharing"",""กำแพงเพชร!I621"")"),7)</f>
        <v>7</v>
      </c>
      <c r="CT14" s="141">
        <f ca="1">IFERROR(__xludf.DUMMYFUNCTION("IMPORTRANGE(""https://docs.google.com/spreadsheets/d/1KxicF4apzSqm0-jIpmueT4kyZtE-Cwn5zskl7GD4loQ/edit?usp=sharing"",""กำแพงเพชร!J620"")"),0)</f>
        <v>0</v>
      </c>
      <c r="CU14" s="141">
        <f t="shared" ca="1" si="42"/>
        <v>0</v>
      </c>
      <c r="CV14" s="140">
        <f ca="1">IFERROR(__xludf.DUMMYFUNCTION("IMPORTRANGE(""https://docs.google.com/spreadsheets/d/1KxicF4apzSqm0-jIpmueT4kyZtE-Cwn5zskl7GD4loQ/edit?usp=sharing"",""กำแพงเพชร!J621"")"),0)</f>
        <v>0</v>
      </c>
      <c r="CW14" s="141">
        <f t="shared" ca="1" si="22"/>
        <v>0</v>
      </c>
      <c r="CX14" s="63">
        <f ca="1">IFERROR(__xludf.DUMMYFUNCTION("IMPORTRANGE(""https://docs.google.com/spreadsheets/d/1KxicF4apzSqm0-jIpmueT4kyZtE-Cwn5zskl7GD4loQ/edit?usp=sharing"",""กำแพงเพชร!J622"")"),0)</f>
        <v>0</v>
      </c>
      <c r="CY14" s="140">
        <f ca="1">IFERROR(__xludf.DUMMYFUNCTION("IMPORTRANGE(""https://docs.google.com/spreadsheets/d/1KxicF4apzSqm0-jIpmueT4kyZtE-Cwn5zskl7GD4loQ/edit?usp=sharing"",""กำแพงเพชร!J623"")"),0)</f>
        <v>0</v>
      </c>
      <c r="CZ14" s="63">
        <f ca="1">IFERROR(__xludf.DUMMYFUNCTION("IMPORTRANGE(""https://docs.google.com/spreadsheets/d/1KxicF4apzSqm0-jIpmueT4kyZtE-Cwn5zskl7GD4loQ/edit?usp=sharing"",""กำแพงเพชร!J624"")"),0)</f>
        <v>0</v>
      </c>
      <c r="DA14" s="140">
        <f ca="1">IFERROR(__xludf.DUMMYFUNCTION("IMPORTRANGE(""https://docs.google.com/spreadsheets/d/1KxicF4apzSqm0-jIpmueT4kyZtE-Cwn5zskl7GD4loQ/edit?usp=sharing"",""กำแพงเพชร!J625"")"),0)</f>
        <v>0</v>
      </c>
      <c r="DB14" s="63">
        <f ca="1">IFERROR(__xludf.DUMMYFUNCTION("IMPORTRANGE(""https://docs.google.com/spreadsheets/d/1KxicF4apzSqm0-jIpmueT4kyZtE-Cwn5zskl7GD4loQ/edit?usp=sharing"",""กำแพงเพชร!J626"")"),0)</f>
        <v>0</v>
      </c>
      <c r="DC14" s="140">
        <f ca="1">IFERROR(__xludf.DUMMYFUNCTION("IMPORTRANGE(""https://docs.google.com/spreadsheets/d/1KxicF4apzSqm0-jIpmueT4kyZtE-Cwn5zskl7GD4loQ/edit?usp=sharing"",""กำแพงเพชร!J627"")"),0)</f>
        <v>0</v>
      </c>
    </row>
    <row r="15" spans="1:107" ht="24" customHeight="1" x14ac:dyDescent="0.3">
      <c r="A15" s="54">
        <v>2</v>
      </c>
      <c r="B15" s="55" t="s">
        <v>36</v>
      </c>
      <c r="C15" s="56">
        <f t="shared" ca="1" si="55"/>
        <v>537922</v>
      </c>
      <c r="D15" s="57">
        <f ca="1">IFERROR(__xludf.DUMMYFUNCTION("IMPORTRANGE(""https://docs.google.com/spreadsheets/d/1ZNYWeiFoFA1K1U4xKWqRX29MBvEyRHXORjo734Gnq_c/edit?usp=sharing"",""เชียงราย!L549"")"),537922)</f>
        <v>537922</v>
      </c>
      <c r="E15" s="64">
        <f ca="1">IFERROR(__xludf.DUMMYFUNCTION("IMPORTRANGE(""https://docs.google.com/spreadsheets/d/1ZNYWeiFoFA1K1U4xKWqRX29MBvEyRHXORjo734Gnq_c/edit?usp=sharing"",""เชียงราย!L557"")"),0)</f>
        <v>0</v>
      </c>
      <c r="F15" s="64">
        <f ca="1">IFERROR(__xludf.DUMMYFUNCTION("IMPORTRANGE(""https://docs.google.com/spreadsheets/d/1ZNYWeiFoFA1K1U4xKWqRX29MBvEyRHXORjo734Gnq_c/edit?usp=sharing"",""เชียงราย!M549"")"),533628)</f>
        <v>533628</v>
      </c>
      <c r="G15" s="64">
        <f ca="1">IFERROR(__xludf.DUMMYFUNCTION("IMPORTRANGE(""https://docs.google.com/spreadsheets/d/1ZNYWeiFoFA1K1U4xKWqRX29MBvEyRHXORjo734Gnq_c/edit?usp=sharing"",""เชียงราย!M557"")"),0)</f>
        <v>0</v>
      </c>
      <c r="H15" s="58">
        <f t="shared" ca="1" si="36"/>
        <v>205523</v>
      </c>
      <c r="I15" s="59">
        <f t="shared" ca="1" si="1"/>
        <v>38.206840396934872</v>
      </c>
      <c r="J15" s="60">
        <f t="shared" ca="1" si="56"/>
        <v>205523</v>
      </c>
      <c r="K15" s="61">
        <f t="shared" ca="1" si="44"/>
        <v>38.206840396934872</v>
      </c>
      <c r="L15" s="61">
        <f t="shared" ca="1" si="45"/>
        <v>38.514283358444459</v>
      </c>
      <c r="M15" s="64">
        <f ca="1">IFERROR(__xludf.DUMMYFUNCTION("IMPORTRANGE(""https://docs.google.com/spreadsheets/d/1ZNYWeiFoFA1K1U4xKWqRX29MBvEyRHXORjo734Gnq_c/edit?usp=sharing"",""เชียงราย!N550"")"),0)</f>
        <v>0</v>
      </c>
      <c r="N15" s="64">
        <f ca="1">IFERROR(__xludf.DUMMYFUNCTION("IMPORTRANGE(""https://docs.google.com/spreadsheets/d/1ZNYWeiFoFA1K1U4xKWqRX29MBvEyRHXORjo734Gnq_c/edit?usp=sharing"",""เชียงราย!N551"")"),0)</f>
        <v>0</v>
      </c>
      <c r="O15" s="64">
        <f ca="1">IFERROR(__xludf.DUMMYFUNCTION("IMPORTRANGE(""https://docs.google.com/spreadsheets/d/1ZNYWeiFoFA1K1U4xKWqRX29MBvEyRHXORjo734Gnq_c/edit?usp=sharing"",""เชียงราย!N552"")"),65000)</f>
        <v>65000</v>
      </c>
      <c r="P15" s="64">
        <f ca="1">IFERROR(__xludf.DUMMYFUNCTION("IMPORTRANGE(""https://docs.google.com/spreadsheets/d/1ZNYWeiFoFA1K1U4xKWqRX29MBvEyRHXORjo734Gnq_c/edit?usp=sharing"",""เชียงราย!N553"")"),139923)</f>
        <v>139923</v>
      </c>
      <c r="Q15" s="64">
        <f ca="1">IFERROR(__xludf.DUMMYFUNCTION("IMPORTRANGE(""https://docs.google.com/spreadsheets/d/1ZNYWeiFoFA1K1U4xKWqRX29MBvEyRHXORjo734Gnq_c/edit?usp=sharing"",""เชียงราย!N554"")"),600)</f>
        <v>600</v>
      </c>
      <c r="R15" s="62">
        <f ca="1">IFERROR(__xludf.DUMMYFUNCTION("IMPORTRANGE(""https://docs.google.com/spreadsheets/d/1ZNYWeiFoFA1K1U4xKWqRX29MBvEyRHXORjo734Gnq_c/edit?usp=sharing"",""เชียงราย!N557"")"),0)</f>
        <v>0</v>
      </c>
      <c r="S15" s="62">
        <f t="shared" ca="1" si="47"/>
        <v>0</v>
      </c>
      <c r="T15" s="57">
        <f ca="1">IFERROR(__xludf.DUMMYFUNCTION("IMPORTRANGE(""https://docs.google.com/spreadsheets/d/1ZNYWeiFoFA1K1U4xKWqRX29MBvEyRHXORjo734Gnq_c/edit?usp=sharing"",""เชียงราย!I560"")"),28996)</f>
        <v>28996</v>
      </c>
      <c r="U15" s="57">
        <f ca="1">IFERROR(__xludf.DUMMYFUNCTION("IMPORTRANGE(""https://docs.google.com/spreadsheets/d/1ZNYWeiFoFA1K1U4xKWqRX29MBvEyRHXORjo734Gnq_c/edit?usp=sharing"",""เชียงราย!I561"")"),6226)</f>
        <v>6226</v>
      </c>
      <c r="V15" s="63">
        <f ca="1">IFERROR(__xludf.DUMMYFUNCTION("IMPORTRANGE(""https://docs.google.com/spreadsheets/d/1ZNYWeiFoFA1K1U4xKWqRX29MBvEyRHXORjo734Gnq_c/edit?usp=sharing"",""เชียงราย!J560"")"),28996.46)</f>
        <v>28996.46</v>
      </c>
      <c r="W15" s="63">
        <f t="shared" ca="1" si="37"/>
        <v>100.0015864257139</v>
      </c>
      <c r="X15" s="57">
        <f ca="1">IFERROR(__xludf.DUMMYFUNCTION("IMPORTRANGE(""https://docs.google.com/spreadsheets/d/1ZNYWeiFoFA1K1U4xKWqRX29MBvEyRHXORjo734Gnq_c/edit?usp=sharing"",""เชียงราย!J561"")"),6226)</f>
        <v>6226</v>
      </c>
      <c r="Y15" s="63">
        <f t="shared" ca="1" si="7"/>
        <v>100</v>
      </c>
      <c r="Z15" s="63">
        <f ca="1">IFERROR(__xludf.DUMMYFUNCTION("IMPORTRANGE(""https://docs.google.com/spreadsheets/d/1ZNYWeiFoFA1K1U4xKWqRX29MBvEyRHXORjo734Gnq_c/edit?usp=sharing"",""เชียงราย!J562"")"),23430.06)</f>
        <v>23430.06</v>
      </c>
      <c r="AA15" s="140">
        <f ca="1">IFERROR(__xludf.DUMMYFUNCTION("IMPORTRANGE(""https://docs.google.com/spreadsheets/d/1ZNYWeiFoFA1K1U4xKWqRX29MBvEyRHXORjo734Gnq_c/edit?usp=sharing"",""เชียงราย!J563"")"),5153)</f>
        <v>5153</v>
      </c>
      <c r="AB15" s="63">
        <f ca="1">IFERROR(__xludf.DUMMYFUNCTION("IMPORTRANGE(""https://docs.google.com/spreadsheets/d/1ZNYWeiFoFA1K1U4xKWqRX29MBvEyRHXORjo734Gnq_c/edit?usp=sharing"",""เชียงราย!J564"")"),4601.67)</f>
        <v>4601.67</v>
      </c>
      <c r="AC15" s="140">
        <f ca="1">IFERROR(__xludf.DUMMYFUNCTION("IMPORTRANGE(""https://docs.google.com/spreadsheets/d/1ZNYWeiFoFA1K1U4xKWqRX29MBvEyRHXORjo734Gnq_c/edit?usp=sharing"",""เชียงราย!J565"")"),891)</f>
        <v>891</v>
      </c>
      <c r="AD15" s="63">
        <f ca="1">IFERROR(__xludf.DUMMYFUNCTION("IMPORTRANGE(""https://docs.google.com/spreadsheets/d/1ZNYWeiFoFA1K1U4xKWqRX29MBvEyRHXORjo734Gnq_c/edit?usp=sharing"",""เชียงราย!J566"")"),964.73)</f>
        <v>964.73</v>
      </c>
      <c r="AE15" s="140">
        <f ca="1">IFERROR(__xludf.DUMMYFUNCTION("IMPORTRANGE(""https://docs.google.com/spreadsheets/d/1ZNYWeiFoFA1K1U4xKWqRX29MBvEyRHXORjo734Gnq_c/edit?usp=sharing"",""เชียงราย!J567"")"),182)</f>
        <v>182</v>
      </c>
      <c r="AF15" s="57">
        <f ca="1">IFERROR(__xludf.DUMMYFUNCTION("IMPORTRANGE(""https://docs.google.com/spreadsheets/d/1ZNYWeiFoFA1K1U4xKWqRX29MBvEyRHXORjo734Gnq_c/edit?usp=sharing"",""เชียงราย!I568"")"),28996)</f>
        <v>28996</v>
      </c>
      <c r="AG15" s="57">
        <f ca="1">IFERROR(__xludf.DUMMYFUNCTION("IMPORTRANGE(""https://docs.google.com/spreadsheets/d/1ZNYWeiFoFA1K1U4xKWqRX29MBvEyRHXORjo734Gnq_c/edit?usp=sharing"",""เชียงราย!I569"")"),6226)</f>
        <v>6226</v>
      </c>
      <c r="AH15" s="63">
        <f ca="1">IFERROR(__xludf.DUMMYFUNCTION("IMPORTRANGE(""https://docs.google.com/spreadsheets/d/1ZNYWeiFoFA1K1U4xKWqRX29MBvEyRHXORjo734Gnq_c/edit?usp=sharing"",""เชียงราย!J568"")"),28996)</f>
        <v>28996</v>
      </c>
      <c r="AI15" s="63">
        <f t="shared" ca="1" si="38"/>
        <v>100</v>
      </c>
      <c r="AJ15" s="57">
        <f ca="1">IFERROR(__xludf.DUMMYFUNCTION("IMPORTRANGE(""https://docs.google.com/spreadsheets/d/1ZNYWeiFoFA1K1U4xKWqRX29MBvEyRHXORjo734Gnq_c/edit?usp=sharing"",""เชียงราย!J569"")"),6226)</f>
        <v>6226</v>
      </c>
      <c r="AK15" s="63">
        <f t="shared" ca="1" si="10"/>
        <v>100</v>
      </c>
      <c r="AL15" s="63">
        <f ca="1">IFERROR(__xludf.DUMMYFUNCTION("IMPORTRANGE(""https://docs.google.com/spreadsheets/d/1ZNYWeiFoFA1K1U4xKWqRX29MBvEyRHXORjo734Gnq_c/edit?usp=sharing"",""เชียงราย!J570"")"),25967)</f>
        <v>25967</v>
      </c>
      <c r="AM15" s="140">
        <f ca="1">IFERROR(__xludf.DUMMYFUNCTION("IMPORTRANGE(""https://docs.google.com/spreadsheets/d/1ZNYWeiFoFA1K1U4xKWqRX29MBvEyRHXORjo734Gnq_c/edit?usp=sharing"",""เชียงราย!J571"")"),5652)</f>
        <v>5652</v>
      </c>
      <c r="AN15" s="63">
        <f ca="1">IFERROR(__xludf.DUMMYFUNCTION("IMPORTRANGE(""https://docs.google.com/spreadsheets/d/1ZNYWeiFoFA1K1U4xKWqRX29MBvEyRHXORjo734Gnq_c/edit?usp=sharing"",""เชียงราย!J572"")"),1985)</f>
        <v>1985</v>
      </c>
      <c r="AO15" s="140">
        <f ca="1">IFERROR(__xludf.DUMMYFUNCTION("IMPORTRANGE(""https://docs.google.com/spreadsheets/d/1ZNYWeiFoFA1K1U4xKWqRX29MBvEyRHXORjo734Gnq_c/edit?usp=sharing"",""เชียงราย!J573"")"),367)</f>
        <v>367</v>
      </c>
      <c r="AP15" s="63">
        <f ca="1">IFERROR(__xludf.DUMMYFUNCTION("IMPORTRANGE(""https://docs.google.com/spreadsheets/d/1ZNYWeiFoFA1K1U4xKWqRX29MBvEyRHXORjo734Gnq_c/edit?usp=sharing"",""เชียงราย!J574"")"),1044)</f>
        <v>1044</v>
      </c>
      <c r="AQ15" s="140">
        <f ca="1">IFERROR(__xludf.DUMMYFUNCTION("IMPORTRANGE(""https://docs.google.com/spreadsheets/d/1ZNYWeiFoFA1K1U4xKWqRX29MBvEyRHXORjo734Gnq_c/edit?usp=sharing"",""เชียงราย!J575"")"),207)</f>
        <v>207</v>
      </c>
      <c r="AR15" s="57">
        <f ca="1">IFERROR(__xludf.DUMMYFUNCTION("IMPORTRANGE(""https://docs.google.com/spreadsheets/d/1ZNYWeiFoFA1K1U4xKWqRX29MBvEyRHXORjo734Gnq_c/edit?usp=sharing"",""เชียงราย!I576"")"),28996)</f>
        <v>28996</v>
      </c>
      <c r="AS15" s="57">
        <f ca="1">IFERROR(__xludf.DUMMYFUNCTION("IMPORTRANGE(""https://docs.google.com/spreadsheets/d/1ZNYWeiFoFA1K1U4xKWqRX29MBvEyRHXORjo734Gnq_c/edit?usp=sharing"",""เชียงราย!I577"")"),6226)</f>
        <v>6226</v>
      </c>
      <c r="AT15" s="63">
        <f ca="1">IFERROR(__xludf.DUMMYFUNCTION("IMPORTRANGE(""https://docs.google.com/spreadsheets/d/1ZNYWeiFoFA1K1U4xKWqRX29MBvEyRHXORjo734Gnq_c/edit?usp=sharing"",""เชียงราย!J576"")"),0)</f>
        <v>0</v>
      </c>
      <c r="AU15" s="63">
        <f t="shared" ca="1" si="39"/>
        <v>0</v>
      </c>
      <c r="AV15" s="57">
        <f ca="1">IFERROR(__xludf.DUMMYFUNCTION("IMPORTRANGE(""https://docs.google.com/spreadsheets/d/1ZNYWeiFoFA1K1U4xKWqRX29MBvEyRHXORjo734Gnq_c/edit?usp=sharing"",""เชียงราย!J577"")"),0)</f>
        <v>0</v>
      </c>
      <c r="AW15" s="63">
        <f t="shared" ca="1" si="13"/>
        <v>0</v>
      </c>
      <c r="AX15" s="63">
        <f ca="1">IFERROR(__xludf.DUMMYFUNCTION("IMPORTRANGE(""https://docs.google.com/spreadsheets/d/1ZNYWeiFoFA1K1U4xKWqRX29MBvEyRHXORjo734Gnq_c/edit?usp=sharing"",""เชียงราย!J578"")"),0)</f>
        <v>0</v>
      </c>
      <c r="AY15" s="140">
        <f ca="1">IFERROR(__xludf.DUMMYFUNCTION("IMPORTRANGE(""https://docs.google.com/spreadsheets/d/1ZNYWeiFoFA1K1U4xKWqRX29MBvEyRHXORjo734Gnq_c/edit?usp=sharing"",""เชียงราย!J579"")"),0)</f>
        <v>0</v>
      </c>
      <c r="AZ15" s="63">
        <f ca="1">IFERROR(__xludf.DUMMYFUNCTION("IMPORTRANGE(""https://docs.google.com/spreadsheets/d/1ZNYWeiFoFA1K1U4xKWqRX29MBvEyRHXORjo734Gnq_c/edit?usp=sharing"",""เชียงราย!J580"")"),0)</f>
        <v>0</v>
      </c>
      <c r="BA15" s="140">
        <f ca="1">IFERROR(__xludf.DUMMYFUNCTION("IMPORTRANGE(""https://docs.google.com/spreadsheets/d/1ZNYWeiFoFA1K1U4xKWqRX29MBvEyRHXORjo734Gnq_c/edit?usp=sharing"",""เชียงราย!J581"")"),0)</f>
        <v>0</v>
      </c>
      <c r="BB15" s="63">
        <f ca="1">IFERROR(__xludf.DUMMYFUNCTION("IMPORTRANGE(""https://docs.google.com/spreadsheets/d/1ZNYWeiFoFA1K1U4xKWqRX29MBvEyRHXORjo734Gnq_c/edit?usp=sharing"",""เชียงราย!J582"")"),0)</f>
        <v>0</v>
      </c>
      <c r="BC15" s="140">
        <f ca="1">IFERROR(__xludf.DUMMYFUNCTION("IMPORTRANGE(""https://docs.google.com/spreadsheets/d/1ZNYWeiFoFA1K1U4xKWqRX29MBvEyRHXORjo734Gnq_c/edit?usp=sharing"",""เชียงราย!J583"")"),0)</f>
        <v>0</v>
      </c>
      <c r="BD15" s="141">
        <f ca="1">IFERROR(__xludf.DUMMYFUNCTION("IMPORTRANGE(""https://docs.google.com/spreadsheets/d/1ZNYWeiFoFA1K1U4xKWqRX29MBvEyRHXORjo734Gnq_c/edit?usp=sharing"",""เชียงราย!J584"")"),0)</f>
        <v>0</v>
      </c>
      <c r="BE15" s="140">
        <f ca="1">IFERROR(__xludf.DUMMYFUNCTION("IMPORTRANGE(""https://docs.google.com/spreadsheets/d/1ZNYWeiFoFA1K1U4xKWqRX29MBvEyRHXORjo734Gnq_c/edit?usp=sharing"",""เชียงราย!J585"")"),0)</f>
        <v>0</v>
      </c>
      <c r="BF15" s="141">
        <f ca="1">IFERROR(__xludf.DUMMYFUNCTION("IMPORTRANGE(""https://docs.google.com/spreadsheets/d/1ZNYWeiFoFA1K1U4xKWqRX29MBvEyRHXORjo734Gnq_c/edit?usp=sharing"",""เชียงราย!J586"")"),0)</f>
        <v>0</v>
      </c>
      <c r="BG15" s="140">
        <f ca="1">IFERROR(__xludf.DUMMYFUNCTION("IMPORTRANGE(""https://docs.google.com/spreadsheets/d/1ZNYWeiFoFA1K1U4xKWqRX29MBvEyRHXORjo734Gnq_c/edit?usp=sharing"",""เชียงราย!J587"")"),0)</f>
        <v>0</v>
      </c>
      <c r="BH15" s="63">
        <f ca="1">IFERROR(__xludf.DUMMYFUNCTION("IMPORTRANGE(""https://docs.google.com/spreadsheets/d/1ZNYWeiFoFA1K1U4xKWqRX29MBvEyRHXORjo734Gnq_c/edit?usp=sharing"",""เชียงราย!J588"")"),0)</f>
        <v>0</v>
      </c>
      <c r="BI15" s="140">
        <f ca="1">IFERROR(__xludf.DUMMYFUNCTION("IMPORTRANGE(""https://docs.google.com/spreadsheets/d/1ZNYWeiFoFA1K1U4xKWqRX29MBvEyRHXORjo734Gnq_c/edit?usp=sharing"",""เชียงราย!J589"")"),0)</f>
        <v>0</v>
      </c>
      <c r="BJ15" s="63">
        <f ca="1">IFERROR(__xludf.DUMMYFUNCTION("IMPORTRANGE(""https://docs.google.com/spreadsheets/d/1ZNYWeiFoFA1K1U4xKWqRX29MBvEyRHXORjo734Gnq_c/edit?usp=sharing"",""เชียงราย!J590"")"),0)</f>
        <v>0</v>
      </c>
      <c r="BK15" s="140">
        <f ca="1">IFERROR(__xludf.DUMMYFUNCTION("IMPORTRANGE(""https://docs.google.com/spreadsheets/d/1ZNYWeiFoFA1K1U4xKWqRX29MBvEyRHXORjo734Gnq_c/edit?usp=sharing"",""เชียงราย!J591"")"),0)</f>
        <v>0</v>
      </c>
      <c r="BL15" s="57">
        <f ca="1">IFERROR(__xludf.DUMMYFUNCTION("IMPORTRANGE(""https://docs.google.com/spreadsheets/d/1ZNYWeiFoFA1K1U4xKWqRX29MBvEyRHXORjo734Gnq_c/edit?usp=sharing"",""เชียงราย!I593"")"),3953.38)</f>
        <v>3953.38</v>
      </c>
      <c r="BM15" s="57">
        <f ca="1">IFERROR(__xludf.DUMMYFUNCTION("IMPORTRANGE(""https://docs.google.com/spreadsheets/d/1ZNYWeiFoFA1K1U4xKWqRX29MBvEyRHXORjo734Gnq_c/edit?usp=sharing"",""เชียงราย!I594"")"),648)</f>
        <v>648</v>
      </c>
      <c r="BN15" s="63">
        <f ca="1">IFERROR(__xludf.DUMMYFUNCTION("IMPORTRANGE(""https://docs.google.com/spreadsheets/d/1ZNYWeiFoFA1K1U4xKWqRX29MBvEyRHXORjo734Gnq_c/edit?usp=sharing"",""เชียงราย!J593"")"),1135)</f>
        <v>1135</v>
      </c>
      <c r="BO15" s="63">
        <f t="shared" ca="1" si="40"/>
        <v>28.709610510499875</v>
      </c>
      <c r="BP15" s="57">
        <f ca="1">IFERROR(__xludf.DUMMYFUNCTION("IMPORTRANGE(""https://docs.google.com/spreadsheets/d/1ZNYWeiFoFA1K1U4xKWqRX29MBvEyRHXORjo734Gnq_c/edit?usp=sharing"",""เชียงราย!J594"")"),193)</f>
        <v>193</v>
      </c>
      <c r="BQ15" s="63">
        <f t="shared" ca="1" si="16"/>
        <v>29.783950617283949</v>
      </c>
      <c r="BR15" s="63">
        <f ca="1">IFERROR(__xludf.DUMMYFUNCTION("IMPORTRANGE(""https://docs.google.com/spreadsheets/d/1ZNYWeiFoFA1K1U4xKWqRX29MBvEyRHXORjo734Gnq_c/edit?usp=sharing"",""เชียงราย!J595"")"),1093)</f>
        <v>1093</v>
      </c>
      <c r="BS15" s="140">
        <f ca="1">IFERROR(__xludf.DUMMYFUNCTION("IMPORTRANGE(""https://docs.google.com/spreadsheets/d/1ZNYWeiFoFA1K1U4xKWqRX29MBvEyRHXORjo734Gnq_c/edit?usp=sharing"",""เชียงราย!J596"")"),186)</f>
        <v>186</v>
      </c>
      <c r="BT15" s="63">
        <f ca="1">IFERROR(__xludf.DUMMYFUNCTION("IMPORTRANGE(""https://docs.google.com/spreadsheets/d/1ZNYWeiFoFA1K1U4xKWqRX29MBvEyRHXORjo734Gnq_c/edit?usp=sharing"",""เชียงราย!J597"")"),1093)</f>
        <v>1093</v>
      </c>
      <c r="BU15" s="140">
        <f ca="1">IFERROR(__xludf.DUMMYFUNCTION("IMPORTRANGE(""https://docs.google.com/spreadsheets/d/1ZNYWeiFoFA1K1U4xKWqRX29MBvEyRHXORjo734Gnq_c/edit?usp=sharing"",""เชียงราย!J598"")"),186)</f>
        <v>186</v>
      </c>
      <c r="BV15" s="63">
        <f ca="1">IFERROR(__xludf.DUMMYFUNCTION("IMPORTRANGE(""https://docs.google.com/spreadsheets/d/1ZNYWeiFoFA1K1U4xKWqRX29MBvEyRHXORjo734Gnq_c/edit?usp=sharing"",""เชียงราย!J599"")"),0)</f>
        <v>0</v>
      </c>
      <c r="BW15" s="140">
        <f ca="1">IFERROR(__xludf.DUMMYFUNCTION("IMPORTRANGE(""https://docs.google.com/spreadsheets/d/1ZNYWeiFoFA1K1U4xKWqRX29MBvEyRHXORjo734Gnq_c/edit?usp=sharing"",""เชียงราย!J600"")"),0)</f>
        <v>0</v>
      </c>
      <c r="BX15" s="141">
        <f ca="1">IFERROR(__xludf.DUMMYFUNCTION("IMPORTRANGE(""https://docs.google.com/spreadsheets/d/1ZNYWeiFoFA1K1U4xKWqRX29MBvEyRHXORjo734Gnq_c/edit?usp=sharing"",""เชียงราย!J601"")"),0)</f>
        <v>0</v>
      </c>
      <c r="BY15" s="140">
        <f ca="1">IFERROR(__xludf.DUMMYFUNCTION("IMPORTRANGE(""https://docs.google.com/spreadsheets/d/1ZNYWeiFoFA1K1U4xKWqRX29MBvEyRHXORjo734Gnq_c/edit?usp=sharing"",""เชียงราย!J602"")"),0)</f>
        <v>0</v>
      </c>
      <c r="BZ15" s="63">
        <f ca="1">IFERROR(__xludf.DUMMYFUNCTION("IMPORTRANGE(""https://docs.google.com/spreadsheets/d/1ZNYWeiFoFA1K1U4xKWqRX29MBvEyRHXORjo734Gnq_c/edit?usp=sharing"",""เชียงราย!J603"")"),42)</f>
        <v>42</v>
      </c>
      <c r="CA15" s="140">
        <f ca="1">IFERROR(__xludf.DUMMYFUNCTION("IMPORTRANGE(""https://docs.google.com/spreadsheets/d/1ZNYWeiFoFA1K1U4xKWqRX29MBvEyRHXORjo734Gnq_c/edit?usp=sharing"",""เชียงราย!J604"")"),7)</f>
        <v>7</v>
      </c>
      <c r="CB15" s="63">
        <f ca="1">IFERROR(__xludf.DUMMYFUNCTION("IMPORTRANGE(""https://docs.google.com/spreadsheets/d/1ZNYWeiFoFA1K1U4xKWqRX29MBvEyRHXORjo734Gnq_c/edit?usp=sharing"",""เชียงราย!J605"")"),42)</f>
        <v>42</v>
      </c>
      <c r="CC15" s="140">
        <f ca="1">IFERROR(__xludf.DUMMYFUNCTION("IMPORTRANGE(""https://docs.google.com/spreadsheets/d/1ZNYWeiFoFA1K1U4xKWqRX29MBvEyRHXORjo734Gnq_c/edit?usp=sharing"",""เชียงราย!J606"")"),7)</f>
        <v>7</v>
      </c>
      <c r="CD15" s="63">
        <f ca="1">IFERROR(__xludf.DUMMYFUNCTION("IMPORTRANGE(""https://docs.google.com/spreadsheets/d/1ZNYWeiFoFA1K1U4xKWqRX29MBvEyRHXORjo734Gnq_c/edit?usp=sharing"",""เชียงราย!J607"")"),0)</f>
        <v>0</v>
      </c>
      <c r="CE15" s="140">
        <f ca="1">IFERROR(__xludf.DUMMYFUNCTION("IMPORTRANGE(""https://docs.google.com/spreadsheets/d/1ZNYWeiFoFA1K1U4xKWqRX29MBvEyRHXORjo734Gnq_c/edit?usp=sharing"",""เชียงราย!J608"")"),0)</f>
        <v>0</v>
      </c>
      <c r="CF15" s="63">
        <f ca="1">IFERROR(__xludf.DUMMYFUNCTION("IMPORTRANGE(""https://docs.google.com/spreadsheets/d/1ZNYWeiFoFA1K1U4xKWqRX29MBvEyRHXORjo734Gnq_c/edit?usp=sharing"",""เชียงราย!J609"")"),0)</f>
        <v>0</v>
      </c>
      <c r="CG15" s="140">
        <f ca="1">IFERROR(__xludf.DUMMYFUNCTION("IMPORTRANGE(""https://docs.google.com/spreadsheets/d/1ZNYWeiFoFA1K1U4xKWqRX29MBvEyRHXORjo734Gnq_c/edit?usp=sharing"",""เชียงราย!J610"")"),0)</f>
        <v>0</v>
      </c>
      <c r="CH15" s="140">
        <f ca="1">IFERROR(__xludf.DUMMYFUNCTION("IMPORTRANGE(""https://docs.google.com/spreadsheets/d/1ZNYWeiFoFA1K1U4xKWqRX29MBvEyRHXORjo734Gnq_c/edit?usp=sharing"",""เชียงราย!I612"")"),0)</f>
        <v>0</v>
      </c>
      <c r="CI15" s="140">
        <f ca="1">IFERROR(__xludf.DUMMYFUNCTION("IMPORTRANGE(""https://docs.google.com/spreadsheets/d/1ZNYWeiFoFA1K1U4xKWqRX29MBvEyRHXORjo734Gnq_c/edit?usp=sharing"",""เชียงราย!I594"")"),648)</f>
        <v>648</v>
      </c>
      <c r="CJ15" s="141">
        <f ca="1">IFERROR(__xludf.DUMMYFUNCTION("IMPORTRANGE(""https://docs.google.com/spreadsheets/d/1ZNYWeiFoFA1K1U4xKWqRX29MBvEyRHXORjo734Gnq_c/edit?usp=sharing"",""เชียงราย!J612"")"),0)</f>
        <v>0</v>
      </c>
      <c r="CK15" s="141">
        <f t="shared" ca="1" si="41"/>
        <v>0</v>
      </c>
      <c r="CL15" s="140">
        <f ca="1">IFERROR(__xludf.DUMMYFUNCTION("IMPORTRANGE(""https://docs.google.com/spreadsheets/d/1ZNYWeiFoFA1K1U4xKWqRX29MBvEyRHXORjo734Gnq_c/edit?usp=sharing"",""เชียงราย!J613"")"),0)</f>
        <v>0</v>
      </c>
      <c r="CM15" s="141">
        <f t="shared" ca="1" si="19"/>
        <v>0</v>
      </c>
      <c r="CN15" s="63">
        <f ca="1">IFERROR(__xludf.DUMMYFUNCTION("IMPORTRANGE(""https://docs.google.com/spreadsheets/d/1ZNYWeiFoFA1K1U4xKWqRX29MBvEyRHXORjo734Gnq_c/edit?usp=sharing"",""เชียงราย!J614"")"),0)</f>
        <v>0</v>
      </c>
      <c r="CO15" s="140">
        <f ca="1">IFERROR(__xludf.DUMMYFUNCTION("IMPORTRANGE(""https://docs.google.com/spreadsheets/d/1ZNYWeiFoFA1K1U4xKWqRX29MBvEyRHXORjo734Gnq_c/edit?usp=sharing"",""เชียงราย!J615"")"),0)</f>
        <v>0</v>
      </c>
      <c r="CP15" s="63">
        <f ca="1">IFERROR(__xludf.DUMMYFUNCTION("IMPORTRANGE(""https://docs.google.com/spreadsheets/d/1ZNYWeiFoFA1K1U4xKWqRX29MBvEyRHXORjo734Gnq_c/edit?usp=sharing"",""เชียงราย!J616"")"),0)</f>
        <v>0</v>
      </c>
      <c r="CQ15" s="140">
        <f ca="1">IFERROR(__xludf.DUMMYFUNCTION("IMPORTRANGE(""https://docs.google.com/spreadsheets/d/1ZNYWeiFoFA1K1U4xKWqRX29MBvEyRHXORjo734Gnq_c/edit?usp=sharing"",""เชียงราย!J617"")"),0)</f>
        <v>0</v>
      </c>
      <c r="CR15" s="140">
        <f ca="1">IFERROR(__xludf.DUMMYFUNCTION("IMPORTRANGE(""https://docs.google.com/spreadsheets/d/1ZNYWeiFoFA1K1U4xKWqRX29MBvEyRHXORjo734Gnq_c/edit?usp=sharing"",""เชียงราย!I620"")"),40)</f>
        <v>40</v>
      </c>
      <c r="CS15" s="140">
        <f ca="1">IFERROR(__xludf.DUMMYFUNCTION("IMPORTRANGE(""https://docs.google.com/spreadsheets/d/1ZNYWeiFoFA1K1U4xKWqRX29MBvEyRHXORjo734Gnq_c/edit?usp=sharing"",""เชียงราย!I621"")"),5)</f>
        <v>5</v>
      </c>
      <c r="CT15" s="141">
        <f ca="1">IFERROR(__xludf.DUMMYFUNCTION("IMPORTRANGE(""https://docs.google.com/spreadsheets/d/1ZNYWeiFoFA1K1U4xKWqRX29MBvEyRHXORjo734Gnq_c/edit?usp=sharing"",""เชียงราย!J620"")"),0)</f>
        <v>0</v>
      </c>
      <c r="CU15" s="141">
        <f t="shared" ca="1" si="42"/>
        <v>0</v>
      </c>
      <c r="CV15" s="140">
        <f ca="1">IFERROR(__xludf.DUMMYFUNCTION("IMPORTRANGE(""https://docs.google.com/spreadsheets/d/1ZNYWeiFoFA1K1U4xKWqRX29MBvEyRHXORjo734Gnq_c/edit?usp=sharing"",""เชียงราย!J621"")"),0)</f>
        <v>0</v>
      </c>
      <c r="CW15" s="141">
        <f t="shared" ca="1" si="22"/>
        <v>0</v>
      </c>
      <c r="CX15" s="63">
        <f ca="1">IFERROR(__xludf.DUMMYFUNCTION("IMPORTRANGE(""https://docs.google.com/spreadsheets/d/1ZNYWeiFoFA1K1U4xKWqRX29MBvEyRHXORjo734Gnq_c/edit?usp=sharing"",""เชียงราย!J622"")"),0)</f>
        <v>0</v>
      </c>
      <c r="CY15" s="140">
        <f ca="1">IFERROR(__xludf.DUMMYFUNCTION("IMPORTRANGE(""https://docs.google.com/spreadsheets/d/1ZNYWeiFoFA1K1U4xKWqRX29MBvEyRHXORjo734Gnq_c/edit?usp=sharing"",""เชียงราย!J623"")"),0)</f>
        <v>0</v>
      </c>
      <c r="CZ15" s="63">
        <f ca="1">IFERROR(__xludf.DUMMYFUNCTION("IMPORTRANGE(""https://docs.google.com/spreadsheets/d/1ZNYWeiFoFA1K1U4xKWqRX29MBvEyRHXORjo734Gnq_c/edit?usp=sharing"",""เชียงราย!J624"")"),0)</f>
        <v>0</v>
      </c>
      <c r="DA15" s="140">
        <f ca="1">IFERROR(__xludf.DUMMYFUNCTION("IMPORTRANGE(""https://docs.google.com/spreadsheets/d/1ZNYWeiFoFA1K1U4xKWqRX29MBvEyRHXORjo734Gnq_c/edit?usp=sharing"",""เชียงราย!J625"")"),0)</f>
        <v>0</v>
      </c>
      <c r="DB15" s="63">
        <f ca="1">IFERROR(__xludf.DUMMYFUNCTION("IMPORTRANGE(""https://docs.google.com/spreadsheets/d/1ZNYWeiFoFA1K1U4xKWqRX29MBvEyRHXORjo734Gnq_c/edit?usp=sharing"",""เชียงราย!J626"")"),0)</f>
        <v>0</v>
      </c>
      <c r="DC15" s="140">
        <f ca="1">IFERROR(__xludf.DUMMYFUNCTION("IMPORTRANGE(""https://docs.google.com/spreadsheets/d/1ZNYWeiFoFA1K1U4xKWqRX29MBvEyRHXORjo734Gnq_c/edit?usp=sharing"",""เชียงราย!J627"")"),0)</f>
        <v>0</v>
      </c>
    </row>
    <row r="16" spans="1:107" ht="24" customHeight="1" x14ac:dyDescent="0.3">
      <c r="A16" s="54">
        <v>3</v>
      </c>
      <c r="B16" s="55" t="s">
        <v>37</v>
      </c>
      <c r="C16" s="56">
        <f t="shared" ca="1" si="55"/>
        <v>695417</v>
      </c>
      <c r="D16" s="57">
        <f ca="1">IFERROR(__xludf.DUMMYFUNCTION("IMPORTRANGE(""https://docs.google.com/spreadsheets/d/1Jgv0Y7YlHDtsiDawwp-uvifEJ8HVaSn0k2aGHG8-hwM/edit?usp=sharing"",""เชียงใหม่!L549"")"),695417)</f>
        <v>695417</v>
      </c>
      <c r="E16" s="64">
        <f ca="1">IFERROR(__xludf.DUMMYFUNCTION("IMPORTRANGE(""https://docs.google.com/spreadsheets/d/1Jgv0Y7YlHDtsiDawwp-uvifEJ8HVaSn0k2aGHG8-hwM/edit?usp=sharing"",""เชียงใหม่!L557"")"),0)</f>
        <v>0</v>
      </c>
      <c r="F16" s="64">
        <f ca="1">IFERROR(__xludf.DUMMYFUNCTION("IMPORTRANGE(""https://docs.google.com/spreadsheets/d/1Jgv0Y7YlHDtsiDawwp-uvifEJ8HVaSn0k2aGHG8-hwM/edit?usp=sharing"",""เชียงใหม่!M549"")"),695417)</f>
        <v>695417</v>
      </c>
      <c r="G16" s="64">
        <f ca="1">IFERROR(__xludf.DUMMYFUNCTION("IMPORTRANGE(""https://docs.google.com/spreadsheets/d/1Jgv0Y7YlHDtsiDawwp-uvifEJ8HVaSn0k2aGHG8-hwM/edit?usp=sharing"",""เชียงใหม่!M557"")"),0)</f>
        <v>0</v>
      </c>
      <c r="H16" s="58">
        <f t="shared" ca="1" si="36"/>
        <v>180975.28999999998</v>
      </c>
      <c r="I16" s="59">
        <f t="shared" ca="1" si="1"/>
        <v>26.023995674537719</v>
      </c>
      <c r="J16" s="60">
        <f t="shared" ca="1" si="56"/>
        <v>180975.28999999998</v>
      </c>
      <c r="K16" s="61">
        <f t="shared" ca="1" si="44"/>
        <v>26.023995674537719</v>
      </c>
      <c r="L16" s="61">
        <f t="shared" ca="1" si="45"/>
        <v>26.023995674537719</v>
      </c>
      <c r="M16" s="64">
        <f ca="1">IFERROR(__xludf.DUMMYFUNCTION("IMPORTRANGE(""https://docs.google.com/spreadsheets/d/1Jgv0Y7YlHDtsiDawwp-uvifEJ8HVaSn0k2aGHG8-hwM/edit?usp=sharing"",""เชียงใหม่!N550"")"),0)</f>
        <v>0</v>
      </c>
      <c r="N16" s="64">
        <f ca="1">IFERROR(__xludf.DUMMYFUNCTION("IMPORTRANGE(""https://docs.google.com/spreadsheets/d/1Jgv0Y7YlHDtsiDawwp-uvifEJ8HVaSn0k2aGHG8-hwM/edit?usp=sharing"",""เชียงใหม่!N551"")"),0)</f>
        <v>0</v>
      </c>
      <c r="O16" s="64">
        <f ca="1">IFERROR(__xludf.DUMMYFUNCTION("IMPORTRANGE(""https://docs.google.com/spreadsheets/d/1Jgv0Y7YlHDtsiDawwp-uvifEJ8HVaSn0k2aGHG8-hwM/edit?usp=sharing"",""เชียงใหม่!N552"")"),73778.29)</f>
        <v>73778.289999999994</v>
      </c>
      <c r="P16" s="64">
        <f ca="1">IFERROR(__xludf.DUMMYFUNCTION("IMPORTRANGE(""https://docs.google.com/spreadsheets/d/1Jgv0Y7YlHDtsiDawwp-uvifEJ8HVaSn0k2aGHG8-hwM/edit?usp=sharing"",""เชียงใหม่!N553"")"),107197)</f>
        <v>107197</v>
      </c>
      <c r="Q16" s="64">
        <f ca="1">IFERROR(__xludf.DUMMYFUNCTION("IMPORTRANGE(""https://docs.google.com/spreadsheets/d/1Jgv0Y7YlHDtsiDawwp-uvifEJ8HVaSn0k2aGHG8-hwM/edit?usp=sharing"",""เชียงใหม่!N554"")"),0)</f>
        <v>0</v>
      </c>
      <c r="R16" s="62">
        <f ca="1">IFERROR(__xludf.DUMMYFUNCTION("IMPORTRANGE(""https://docs.google.com/spreadsheets/d/1Jgv0Y7YlHDtsiDawwp-uvifEJ8HVaSn0k2aGHG8-hwM/edit?usp=sharing"",""เชียงใหม่!N557"")"),0)</f>
        <v>0</v>
      </c>
      <c r="S16" s="62">
        <f t="shared" ca="1" si="47"/>
        <v>0</v>
      </c>
      <c r="T16" s="57">
        <f ca="1">IFERROR(__xludf.DUMMYFUNCTION("IMPORTRANGE(""https://docs.google.com/spreadsheets/d/1Jgv0Y7YlHDtsiDawwp-uvifEJ8HVaSn0k2aGHG8-hwM/edit?usp=sharing"",""เชียงใหม่!I560"")"),7071)</f>
        <v>7071</v>
      </c>
      <c r="U16" s="57">
        <f ca="1">IFERROR(__xludf.DUMMYFUNCTION("IMPORTRANGE(""https://docs.google.com/spreadsheets/d/1Jgv0Y7YlHDtsiDawwp-uvifEJ8HVaSn0k2aGHG8-hwM/edit?usp=sharing"",""เชียงใหม่!I561"")"),1982)</f>
        <v>1982</v>
      </c>
      <c r="V16" s="63">
        <f ca="1">IFERROR(__xludf.DUMMYFUNCTION("IMPORTRANGE(""https://docs.google.com/spreadsheets/d/1Jgv0Y7YlHDtsiDawwp-uvifEJ8HVaSn0k2aGHG8-hwM/edit?usp=sharing"",""เชียงใหม่!J560"")"),7260.24)</f>
        <v>7260.24</v>
      </c>
      <c r="W16" s="63">
        <f t="shared" ca="1" si="37"/>
        <v>102.67628341111582</v>
      </c>
      <c r="X16" s="57">
        <f ca="1">IFERROR(__xludf.DUMMYFUNCTION("IMPORTRANGE(""https://docs.google.com/spreadsheets/d/1Jgv0Y7YlHDtsiDawwp-uvifEJ8HVaSn0k2aGHG8-hwM/edit?usp=sharing"",""เชียงใหม่!J561"")"),1982)</f>
        <v>1982</v>
      </c>
      <c r="Y16" s="63">
        <f t="shared" ca="1" si="7"/>
        <v>100</v>
      </c>
      <c r="Z16" s="63">
        <f ca="1">IFERROR(__xludf.DUMMYFUNCTION("IMPORTRANGE(""https://docs.google.com/spreadsheets/d/1Jgv0Y7YlHDtsiDawwp-uvifEJ8HVaSn0k2aGHG8-hwM/edit?usp=sharing"",""เชียงใหม่!J562"")"),5930.36)</f>
        <v>5930.36</v>
      </c>
      <c r="AA16" s="140">
        <f ca="1">IFERROR(__xludf.DUMMYFUNCTION("IMPORTRANGE(""https://docs.google.com/spreadsheets/d/1Jgv0Y7YlHDtsiDawwp-uvifEJ8HVaSn0k2aGHG8-hwM/edit?usp=sharing"",""เชียงใหม่!J563"")"),1657)</f>
        <v>1657</v>
      </c>
      <c r="AB16" s="63">
        <f ca="1">IFERROR(__xludf.DUMMYFUNCTION("IMPORTRANGE(""https://docs.google.com/spreadsheets/d/1Jgv0Y7YlHDtsiDawwp-uvifEJ8HVaSn0k2aGHG8-hwM/edit?usp=sharing"",""เชียงใหม่!J564"")"),930.34)</f>
        <v>930.34</v>
      </c>
      <c r="AC16" s="140">
        <f ca="1">IFERROR(__xludf.DUMMYFUNCTION("IMPORTRANGE(""https://docs.google.com/spreadsheets/d/1Jgv0Y7YlHDtsiDawwp-uvifEJ8HVaSn0k2aGHG8-hwM/edit?usp=sharing"",""เชียงใหม่!J565"")"),218)</f>
        <v>218</v>
      </c>
      <c r="AD16" s="63">
        <f ca="1">IFERROR(__xludf.DUMMYFUNCTION("IMPORTRANGE(""https://docs.google.com/spreadsheets/d/1Jgv0Y7YlHDtsiDawwp-uvifEJ8HVaSn0k2aGHG8-hwM/edit?usp=sharing"",""เชียงใหม่!J566"")"),399.54)</f>
        <v>399.54</v>
      </c>
      <c r="AE16" s="140">
        <f ca="1">IFERROR(__xludf.DUMMYFUNCTION("IMPORTRANGE(""https://docs.google.com/spreadsheets/d/1Jgv0Y7YlHDtsiDawwp-uvifEJ8HVaSn0k2aGHG8-hwM/edit?usp=sharing"",""เชียงใหม่!J567"")"),107)</f>
        <v>107</v>
      </c>
      <c r="AF16" s="57">
        <f ca="1">IFERROR(__xludf.DUMMYFUNCTION("IMPORTRANGE(""https://docs.google.com/spreadsheets/d/1Jgv0Y7YlHDtsiDawwp-uvifEJ8HVaSn0k2aGHG8-hwM/edit?usp=sharing"",""เชียงใหม่!I568"")"),7071)</f>
        <v>7071</v>
      </c>
      <c r="AG16" s="57">
        <f ca="1">IFERROR(__xludf.DUMMYFUNCTION("IMPORTRANGE(""https://docs.google.com/spreadsheets/d/1Jgv0Y7YlHDtsiDawwp-uvifEJ8HVaSn0k2aGHG8-hwM/edit?usp=sharing"",""เชียงใหม่!I569"")"),1982)</f>
        <v>1982</v>
      </c>
      <c r="AH16" s="63">
        <f ca="1">IFERROR(__xludf.DUMMYFUNCTION("IMPORTRANGE(""https://docs.google.com/spreadsheets/d/1Jgv0Y7YlHDtsiDawwp-uvifEJ8HVaSn0k2aGHG8-hwM/edit?usp=sharing"",""เชียงใหม่!J568"")"),7260.4)</f>
        <v>7260.4</v>
      </c>
      <c r="AI16" s="63">
        <f t="shared" ca="1" si="38"/>
        <v>102.67854617451563</v>
      </c>
      <c r="AJ16" s="57">
        <f ca="1">IFERROR(__xludf.DUMMYFUNCTION("IMPORTRANGE(""https://docs.google.com/spreadsheets/d/1Jgv0Y7YlHDtsiDawwp-uvifEJ8HVaSn0k2aGHG8-hwM/edit?usp=sharing"",""เชียงใหม่!J569"")"),1982)</f>
        <v>1982</v>
      </c>
      <c r="AK16" s="63">
        <f t="shared" ca="1" si="10"/>
        <v>100</v>
      </c>
      <c r="AL16" s="63">
        <f ca="1">IFERROR(__xludf.DUMMYFUNCTION("IMPORTRANGE(""https://docs.google.com/spreadsheets/d/1Jgv0Y7YlHDtsiDawwp-uvifEJ8HVaSn0k2aGHG8-hwM/edit?usp=sharing"",""เชียงใหม่!J570"")"),6098.4)</f>
        <v>6098.4</v>
      </c>
      <c r="AM16" s="140">
        <f ca="1">IFERROR(__xludf.DUMMYFUNCTION("IMPORTRANGE(""https://docs.google.com/spreadsheets/d/1Jgv0Y7YlHDtsiDawwp-uvifEJ8HVaSn0k2aGHG8-hwM/edit?usp=sharing"",""เชียงใหม่!J571"")"),1698)</f>
        <v>1698</v>
      </c>
      <c r="AN16" s="63">
        <f ca="1">IFERROR(__xludf.DUMMYFUNCTION("IMPORTRANGE(""https://docs.google.com/spreadsheets/d/1Jgv0Y7YlHDtsiDawwp-uvifEJ8HVaSn0k2aGHG8-hwM/edit?usp=sharing"",""เชียงใหม่!J572"")"),917.2)</f>
        <v>917.2</v>
      </c>
      <c r="AO16" s="140">
        <f ca="1">IFERROR(__xludf.DUMMYFUNCTION("IMPORTRANGE(""https://docs.google.com/spreadsheets/d/1Jgv0Y7YlHDtsiDawwp-uvifEJ8HVaSn0k2aGHG8-hwM/edit?usp=sharing"",""เชียงใหม่!J573"")"),217)</f>
        <v>217</v>
      </c>
      <c r="AP16" s="63">
        <f ca="1">IFERROR(__xludf.DUMMYFUNCTION("IMPORTRANGE(""https://docs.google.com/spreadsheets/d/1Jgv0Y7YlHDtsiDawwp-uvifEJ8HVaSn0k2aGHG8-hwM/edit?usp=sharing"",""เชียงใหม่!J574"")"),244.8)</f>
        <v>244.8</v>
      </c>
      <c r="AQ16" s="140">
        <f ca="1">IFERROR(__xludf.DUMMYFUNCTION("IMPORTRANGE(""https://docs.google.com/spreadsheets/d/1Jgv0Y7YlHDtsiDawwp-uvifEJ8HVaSn0k2aGHG8-hwM/edit?usp=sharing"",""เชียงใหม่!J575"")"),67)</f>
        <v>67</v>
      </c>
      <c r="AR16" s="57">
        <f ca="1">IFERROR(__xludf.DUMMYFUNCTION("IMPORTRANGE(""https://docs.google.com/spreadsheets/d/1Jgv0Y7YlHDtsiDawwp-uvifEJ8HVaSn0k2aGHG8-hwM/edit?usp=sharing"",""เชียงใหม่!I576"")"),7071)</f>
        <v>7071</v>
      </c>
      <c r="AS16" s="57">
        <f ca="1">IFERROR(__xludf.DUMMYFUNCTION("IMPORTRANGE(""https://docs.google.com/spreadsheets/d/1Jgv0Y7YlHDtsiDawwp-uvifEJ8HVaSn0k2aGHG8-hwM/edit?usp=sharing"",""เชียงใหม่!I577"")"),1982)</f>
        <v>1982</v>
      </c>
      <c r="AT16" s="63">
        <f ca="1">IFERROR(__xludf.DUMMYFUNCTION("IMPORTRANGE(""https://docs.google.com/spreadsheets/d/1Jgv0Y7YlHDtsiDawwp-uvifEJ8HVaSn0k2aGHG8-hwM/edit?usp=sharing"",""เชียงใหม่!J576"")"),6342.8)</f>
        <v>6342.8</v>
      </c>
      <c r="AU16" s="63">
        <f t="shared" ca="1" si="39"/>
        <v>89.701598076651109</v>
      </c>
      <c r="AV16" s="57">
        <f ca="1">IFERROR(__xludf.DUMMYFUNCTION("IMPORTRANGE(""https://docs.google.com/spreadsheets/d/1Jgv0Y7YlHDtsiDawwp-uvifEJ8HVaSn0k2aGHG8-hwM/edit?usp=sharing"",""เชียงใหม่!J577"")"),1765)</f>
        <v>1765</v>
      </c>
      <c r="AW16" s="63">
        <f t="shared" ca="1" si="13"/>
        <v>89.051463168516648</v>
      </c>
      <c r="AX16" s="63">
        <f ca="1">IFERROR(__xludf.DUMMYFUNCTION("IMPORTRANGE(""https://docs.google.com/spreadsheets/d/1Jgv0Y7YlHDtsiDawwp-uvifEJ8HVaSn0k2aGHG8-hwM/edit?usp=sharing"",""เชียงใหม่!J578"")"),6098)</f>
        <v>6098</v>
      </c>
      <c r="AY16" s="140">
        <f ca="1">IFERROR(__xludf.DUMMYFUNCTION("IMPORTRANGE(""https://docs.google.com/spreadsheets/d/1Jgv0Y7YlHDtsiDawwp-uvifEJ8HVaSn0k2aGHG8-hwM/edit?usp=sharing"",""เชียงใหม่!J579"")"),1698)</f>
        <v>1698</v>
      </c>
      <c r="AZ16" s="63">
        <f ca="1">IFERROR(__xludf.DUMMYFUNCTION("IMPORTRANGE(""https://docs.google.com/spreadsheets/d/1Jgv0Y7YlHDtsiDawwp-uvifEJ8HVaSn0k2aGHG8-hwM/edit?usp=sharing"",""เชียงใหม่!J580"")"),0)</f>
        <v>0</v>
      </c>
      <c r="BA16" s="140">
        <f ca="1">IFERROR(__xludf.DUMMYFUNCTION("IMPORTRANGE(""https://docs.google.com/spreadsheets/d/1Jgv0Y7YlHDtsiDawwp-uvifEJ8HVaSn0k2aGHG8-hwM/edit?usp=sharing"",""เชียงใหม่!J581"")"),0)</f>
        <v>0</v>
      </c>
      <c r="BB16" s="63">
        <f ca="1">IFERROR(__xludf.DUMMYFUNCTION("IMPORTRANGE(""https://docs.google.com/spreadsheets/d/1Jgv0Y7YlHDtsiDawwp-uvifEJ8HVaSn0k2aGHG8-hwM/edit?usp=sharing"",""เชียงใหม่!J582"")"),244.799999999999)</f>
        <v>244.79999999999899</v>
      </c>
      <c r="BC16" s="140">
        <f ca="1">IFERROR(__xludf.DUMMYFUNCTION("IMPORTRANGE(""https://docs.google.com/spreadsheets/d/1Jgv0Y7YlHDtsiDawwp-uvifEJ8HVaSn0k2aGHG8-hwM/edit?usp=sharing"",""เชียงใหม่!J583"")"),67)</f>
        <v>67</v>
      </c>
      <c r="BD16" s="141">
        <f ca="1">IFERROR(__xludf.DUMMYFUNCTION("IMPORTRANGE(""https://docs.google.com/spreadsheets/d/1Jgv0Y7YlHDtsiDawwp-uvifEJ8HVaSn0k2aGHG8-hwM/edit?usp=sharing"",""เชียงใหม่!J584"")"),243.7)</f>
        <v>243.7</v>
      </c>
      <c r="BE16" s="140">
        <f ca="1">IFERROR(__xludf.DUMMYFUNCTION("IMPORTRANGE(""https://docs.google.com/spreadsheets/d/1Jgv0Y7YlHDtsiDawwp-uvifEJ8HVaSn0k2aGHG8-hwM/edit?usp=sharing"",""เชียงใหม่!J585"")"),66)</f>
        <v>66</v>
      </c>
      <c r="BF16" s="141">
        <f ca="1">IFERROR(__xludf.DUMMYFUNCTION("IMPORTRANGE(""https://docs.google.com/spreadsheets/d/1Jgv0Y7YlHDtsiDawwp-uvifEJ8HVaSn0k2aGHG8-hwM/edit?usp=sharing"",""เชียงใหม่!J586"")"),1.1)</f>
        <v>1.1000000000000001</v>
      </c>
      <c r="BG16" s="140">
        <f ca="1">IFERROR(__xludf.DUMMYFUNCTION("IMPORTRANGE(""https://docs.google.com/spreadsheets/d/1Jgv0Y7YlHDtsiDawwp-uvifEJ8HVaSn0k2aGHG8-hwM/edit?usp=sharing"",""เชียงใหม่!J587"")"),1)</f>
        <v>1</v>
      </c>
      <c r="BH16" s="63">
        <f ca="1">IFERROR(__xludf.DUMMYFUNCTION("IMPORTRANGE(""https://docs.google.com/spreadsheets/d/1Jgv0Y7YlHDtsiDawwp-uvifEJ8HVaSn0k2aGHG8-hwM/edit?usp=sharing"",""เชียงใหม่!J588"")"),0)</f>
        <v>0</v>
      </c>
      <c r="BI16" s="140">
        <f ca="1">IFERROR(__xludf.DUMMYFUNCTION("IMPORTRANGE(""https://docs.google.com/spreadsheets/d/1Jgv0Y7YlHDtsiDawwp-uvifEJ8HVaSn0k2aGHG8-hwM/edit?usp=sharing"",""เชียงใหม่!J589"")"),0)</f>
        <v>0</v>
      </c>
      <c r="BJ16" s="63">
        <f ca="1">IFERROR(__xludf.DUMMYFUNCTION("IMPORTRANGE(""https://docs.google.com/spreadsheets/d/1Jgv0Y7YlHDtsiDawwp-uvifEJ8HVaSn0k2aGHG8-hwM/edit?usp=sharing"",""เชียงใหม่!J590"")"),0)</f>
        <v>0</v>
      </c>
      <c r="BK16" s="140">
        <f ca="1">IFERROR(__xludf.DUMMYFUNCTION("IMPORTRANGE(""https://docs.google.com/spreadsheets/d/1Jgv0Y7YlHDtsiDawwp-uvifEJ8HVaSn0k2aGHG8-hwM/edit?usp=sharing"",""เชียงใหม่!J591"")"),0)</f>
        <v>0</v>
      </c>
      <c r="BL16" s="57">
        <f ca="1">IFERROR(__xludf.DUMMYFUNCTION("IMPORTRANGE(""https://docs.google.com/spreadsheets/d/1Jgv0Y7YlHDtsiDawwp-uvifEJ8HVaSn0k2aGHG8-hwM/edit?usp=sharing"",""เชียงใหม่!I593"")"),6733.58)</f>
        <v>6733.58</v>
      </c>
      <c r="BM16" s="57">
        <f ca="1">IFERROR(__xludf.DUMMYFUNCTION("IMPORTRANGE(""https://docs.google.com/spreadsheets/d/1Jgv0Y7YlHDtsiDawwp-uvifEJ8HVaSn0k2aGHG8-hwM/edit?usp=sharing"",""เชียงใหม่!I594"")"),1350)</f>
        <v>1350</v>
      </c>
      <c r="BN16" s="63">
        <f ca="1">IFERROR(__xludf.DUMMYFUNCTION("IMPORTRANGE(""https://docs.google.com/spreadsheets/d/1Jgv0Y7YlHDtsiDawwp-uvifEJ8HVaSn0k2aGHG8-hwM/edit?usp=sharing"",""เชียงใหม่!J593"")"),0)</f>
        <v>0</v>
      </c>
      <c r="BO16" s="63">
        <f t="shared" ca="1" si="40"/>
        <v>0</v>
      </c>
      <c r="BP16" s="57">
        <f ca="1">IFERROR(__xludf.DUMMYFUNCTION("IMPORTRANGE(""https://docs.google.com/spreadsheets/d/1Jgv0Y7YlHDtsiDawwp-uvifEJ8HVaSn0k2aGHG8-hwM/edit?usp=sharing"",""เชียงใหม่!J594"")"),0)</f>
        <v>0</v>
      </c>
      <c r="BQ16" s="63">
        <f t="shared" ca="1" si="16"/>
        <v>0</v>
      </c>
      <c r="BR16" s="63">
        <f ca="1">IFERROR(__xludf.DUMMYFUNCTION("IMPORTRANGE(""https://docs.google.com/spreadsheets/d/1Jgv0Y7YlHDtsiDawwp-uvifEJ8HVaSn0k2aGHG8-hwM/edit?usp=sharing"",""เชียงใหม่!J595"")"),0)</f>
        <v>0</v>
      </c>
      <c r="BS16" s="140">
        <f ca="1">IFERROR(__xludf.DUMMYFUNCTION("IMPORTRANGE(""https://docs.google.com/spreadsheets/d/1Jgv0Y7YlHDtsiDawwp-uvifEJ8HVaSn0k2aGHG8-hwM/edit?usp=sharing"",""เชียงใหม่!J596"")"),0)</f>
        <v>0</v>
      </c>
      <c r="BT16" s="63">
        <f ca="1">IFERROR(__xludf.DUMMYFUNCTION("IMPORTRANGE(""https://docs.google.com/spreadsheets/d/1Jgv0Y7YlHDtsiDawwp-uvifEJ8HVaSn0k2aGHG8-hwM/edit?usp=sharing"",""เชียงใหม่!J597"")"),0)</f>
        <v>0</v>
      </c>
      <c r="BU16" s="140">
        <f ca="1">IFERROR(__xludf.DUMMYFUNCTION("IMPORTRANGE(""https://docs.google.com/spreadsheets/d/1Jgv0Y7YlHDtsiDawwp-uvifEJ8HVaSn0k2aGHG8-hwM/edit?usp=sharing"",""เชียงใหม่!J598"")"),0)</f>
        <v>0</v>
      </c>
      <c r="BV16" s="63">
        <f ca="1">IFERROR(__xludf.DUMMYFUNCTION("IMPORTRANGE(""https://docs.google.com/spreadsheets/d/1Jgv0Y7YlHDtsiDawwp-uvifEJ8HVaSn0k2aGHG8-hwM/edit?usp=sharing"",""เชียงใหม่!J599"")"),0)</f>
        <v>0</v>
      </c>
      <c r="BW16" s="140">
        <f ca="1">IFERROR(__xludf.DUMMYFUNCTION("IMPORTRANGE(""https://docs.google.com/spreadsheets/d/1Jgv0Y7YlHDtsiDawwp-uvifEJ8HVaSn0k2aGHG8-hwM/edit?usp=sharing"",""เชียงใหม่!J600"")"),0)</f>
        <v>0</v>
      </c>
      <c r="BX16" s="141">
        <f ca="1">IFERROR(__xludf.DUMMYFUNCTION("IMPORTRANGE(""https://docs.google.com/spreadsheets/d/1Jgv0Y7YlHDtsiDawwp-uvifEJ8HVaSn0k2aGHG8-hwM/edit?usp=sharing"",""เชียงใหม่!J601"")"),0)</f>
        <v>0</v>
      </c>
      <c r="BY16" s="140">
        <f ca="1">IFERROR(__xludf.DUMMYFUNCTION("IMPORTRANGE(""https://docs.google.com/spreadsheets/d/1Jgv0Y7YlHDtsiDawwp-uvifEJ8HVaSn0k2aGHG8-hwM/edit?usp=sharing"",""เชียงใหม่!J602"")"),0)</f>
        <v>0</v>
      </c>
      <c r="BZ16" s="63">
        <f ca="1">IFERROR(__xludf.DUMMYFUNCTION("IMPORTRANGE(""https://docs.google.com/spreadsheets/d/1Jgv0Y7YlHDtsiDawwp-uvifEJ8HVaSn0k2aGHG8-hwM/edit?usp=sharing"",""เชียงใหม่!J603"")"),0)</f>
        <v>0</v>
      </c>
      <c r="CA16" s="140">
        <f ca="1">IFERROR(__xludf.DUMMYFUNCTION("IMPORTRANGE(""https://docs.google.com/spreadsheets/d/1Jgv0Y7YlHDtsiDawwp-uvifEJ8HVaSn0k2aGHG8-hwM/edit?usp=sharing"",""เชียงใหม่!J604"")"),0)</f>
        <v>0</v>
      </c>
      <c r="CB16" s="63">
        <f ca="1">IFERROR(__xludf.DUMMYFUNCTION("IMPORTRANGE(""https://docs.google.com/spreadsheets/d/1Jgv0Y7YlHDtsiDawwp-uvifEJ8HVaSn0k2aGHG8-hwM/edit?usp=sharing"",""เชียงใหม่!J605"")"),0)</f>
        <v>0</v>
      </c>
      <c r="CC16" s="140">
        <f ca="1">IFERROR(__xludf.DUMMYFUNCTION("IMPORTRANGE(""https://docs.google.com/spreadsheets/d/1Jgv0Y7YlHDtsiDawwp-uvifEJ8HVaSn0k2aGHG8-hwM/edit?usp=sharing"",""เชียงใหม่!J606"")"),0)</f>
        <v>0</v>
      </c>
      <c r="CD16" s="63">
        <f ca="1">IFERROR(__xludf.DUMMYFUNCTION("IMPORTRANGE(""https://docs.google.com/spreadsheets/d/1Jgv0Y7YlHDtsiDawwp-uvifEJ8HVaSn0k2aGHG8-hwM/edit?usp=sharing"",""เชียงใหม่!J607"")"),0)</f>
        <v>0</v>
      </c>
      <c r="CE16" s="140">
        <f ca="1">IFERROR(__xludf.DUMMYFUNCTION("IMPORTRANGE(""https://docs.google.com/spreadsheets/d/1Jgv0Y7YlHDtsiDawwp-uvifEJ8HVaSn0k2aGHG8-hwM/edit?usp=sharing"",""เชียงใหม่!J608"")"),0)</f>
        <v>0</v>
      </c>
      <c r="CF16" s="63">
        <f ca="1">IFERROR(__xludf.DUMMYFUNCTION("IMPORTRANGE(""https://docs.google.com/spreadsheets/d/1Jgv0Y7YlHDtsiDawwp-uvifEJ8HVaSn0k2aGHG8-hwM/edit?usp=sharing"",""เชียงใหม่!J609"")"),0)</f>
        <v>0</v>
      </c>
      <c r="CG16" s="140">
        <f ca="1">IFERROR(__xludf.DUMMYFUNCTION("IMPORTRANGE(""https://docs.google.com/spreadsheets/d/1Jgv0Y7YlHDtsiDawwp-uvifEJ8HVaSn0k2aGHG8-hwM/edit?usp=sharing"",""เชียงใหม่!J610"")"),0)</f>
        <v>0</v>
      </c>
      <c r="CH16" s="140">
        <f ca="1">IFERROR(__xludf.DUMMYFUNCTION("IMPORTRANGE(""https://docs.google.com/spreadsheets/d/1Jgv0Y7YlHDtsiDawwp-uvifEJ8HVaSn0k2aGHG8-hwM/edit?usp=sharing"",""เชียงใหม่!I612"")"),0)</f>
        <v>0</v>
      </c>
      <c r="CI16" s="140">
        <f ca="1">IFERROR(__xludf.DUMMYFUNCTION("IMPORTRANGE(""https://docs.google.com/spreadsheets/d/1Jgv0Y7YlHDtsiDawwp-uvifEJ8HVaSn0k2aGHG8-hwM/edit?usp=sharing"",""เชียงใหม่!I594"")"),1350)</f>
        <v>1350</v>
      </c>
      <c r="CJ16" s="141">
        <f ca="1">IFERROR(__xludf.DUMMYFUNCTION("IMPORTRANGE(""https://docs.google.com/spreadsheets/d/1Jgv0Y7YlHDtsiDawwp-uvifEJ8HVaSn0k2aGHG8-hwM/edit?usp=sharing"",""เชียงใหม่!J612"")"),0)</f>
        <v>0</v>
      </c>
      <c r="CK16" s="141">
        <f t="shared" ca="1" si="41"/>
        <v>0</v>
      </c>
      <c r="CL16" s="140">
        <f ca="1">IFERROR(__xludf.DUMMYFUNCTION("IMPORTRANGE(""https://docs.google.com/spreadsheets/d/1Jgv0Y7YlHDtsiDawwp-uvifEJ8HVaSn0k2aGHG8-hwM/edit?usp=sharing"",""เชียงใหม่!J613"")"),0)</f>
        <v>0</v>
      </c>
      <c r="CM16" s="141">
        <f t="shared" ca="1" si="19"/>
        <v>0</v>
      </c>
      <c r="CN16" s="63">
        <f ca="1">IFERROR(__xludf.DUMMYFUNCTION("IMPORTRANGE(""https://docs.google.com/spreadsheets/d/1Jgv0Y7YlHDtsiDawwp-uvifEJ8HVaSn0k2aGHG8-hwM/edit?usp=sharing"",""เชียงใหม่!J614"")"),0)</f>
        <v>0</v>
      </c>
      <c r="CO16" s="140">
        <f ca="1">IFERROR(__xludf.DUMMYFUNCTION("IMPORTRANGE(""https://docs.google.com/spreadsheets/d/1Jgv0Y7YlHDtsiDawwp-uvifEJ8HVaSn0k2aGHG8-hwM/edit?usp=sharing"",""เชียงใหม่!J615"")"),0)</f>
        <v>0</v>
      </c>
      <c r="CP16" s="63">
        <f ca="1">IFERROR(__xludf.DUMMYFUNCTION("IMPORTRANGE(""https://docs.google.com/spreadsheets/d/1Jgv0Y7YlHDtsiDawwp-uvifEJ8HVaSn0k2aGHG8-hwM/edit?usp=sharing"",""เชียงใหม่!J616"")"),0)</f>
        <v>0</v>
      </c>
      <c r="CQ16" s="140">
        <f ca="1">IFERROR(__xludf.DUMMYFUNCTION("IMPORTRANGE(""https://docs.google.com/spreadsheets/d/1Jgv0Y7YlHDtsiDawwp-uvifEJ8HVaSn0k2aGHG8-hwM/edit?usp=sharing"",""เชียงใหม่!J617"")"),0)</f>
        <v>0</v>
      </c>
      <c r="CR16" s="140">
        <f ca="1">IFERROR(__xludf.DUMMYFUNCTION("IMPORTRANGE(""https://docs.google.com/spreadsheets/d/1Jgv0Y7YlHDtsiDawwp-uvifEJ8HVaSn0k2aGHG8-hwM/edit?usp=sharing"",""เชียงใหม่!I620"")"),13)</f>
        <v>13</v>
      </c>
      <c r="CS16" s="140">
        <f ca="1">IFERROR(__xludf.DUMMYFUNCTION("IMPORTRANGE(""https://docs.google.com/spreadsheets/d/1Jgv0Y7YlHDtsiDawwp-uvifEJ8HVaSn0k2aGHG8-hwM/edit?usp=sharing"",""เชียงใหม่!I621"")"),2)</f>
        <v>2</v>
      </c>
      <c r="CT16" s="141">
        <f ca="1">IFERROR(__xludf.DUMMYFUNCTION("IMPORTRANGE(""https://docs.google.com/spreadsheets/d/1Jgv0Y7YlHDtsiDawwp-uvifEJ8HVaSn0k2aGHG8-hwM/edit?usp=sharing"",""เชียงใหม่!J620"")"),0)</f>
        <v>0</v>
      </c>
      <c r="CU16" s="141">
        <f t="shared" ca="1" si="42"/>
        <v>0</v>
      </c>
      <c r="CV16" s="140">
        <f ca="1">IFERROR(__xludf.DUMMYFUNCTION("IMPORTRANGE(""https://docs.google.com/spreadsheets/d/1Jgv0Y7YlHDtsiDawwp-uvifEJ8HVaSn0k2aGHG8-hwM/edit?usp=sharing"",""เชียงใหม่!J621"")"),0)</f>
        <v>0</v>
      </c>
      <c r="CW16" s="141">
        <f t="shared" ca="1" si="22"/>
        <v>0</v>
      </c>
      <c r="CX16" s="63">
        <f ca="1">IFERROR(__xludf.DUMMYFUNCTION("IMPORTRANGE(""https://docs.google.com/spreadsheets/d/1Jgv0Y7YlHDtsiDawwp-uvifEJ8HVaSn0k2aGHG8-hwM/edit?usp=sharing"",""เชียงใหม่!J622"")"),0)</f>
        <v>0</v>
      </c>
      <c r="CY16" s="140">
        <f ca="1">IFERROR(__xludf.DUMMYFUNCTION("IMPORTRANGE(""https://docs.google.com/spreadsheets/d/1Jgv0Y7YlHDtsiDawwp-uvifEJ8HVaSn0k2aGHG8-hwM/edit?usp=sharing"",""เชียงใหม่!J623"")"),0)</f>
        <v>0</v>
      </c>
      <c r="CZ16" s="63">
        <f ca="1">IFERROR(__xludf.DUMMYFUNCTION("IMPORTRANGE(""https://docs.google.com/spreadsheets/d/1Jgv0Y7YlHDtsiDawwp-uvifEJ8HVaSn0k2aGHG8-hwM/edit?usp=sharing"",""เชียงใหม่!J624"")"),0)</f>
        <v>0</v>
      </c>
      <c r="DA16" s="140">
        <f ca="1">IFERROR(__xludf.DUMMYFUNCTION("IMPORTRANGE(""https://docs.google.com/spreadsheets/d/1Jgv0Y7YlHDtsiDawwp-uvifEJ8HVaSn0k2aGHG8-hwM/edit?usp=sharing"",""เชียงใหม่!J625"")"),0)</f>
        <v>0</v>
      </c>
      <c r="DB16" s="63">
        <f ca="1">IFERROR(__xludf.DUMMYFUNCTION("IMPORTRANGE(""https://docs.google.com/spreadsheets/d/1Jgv0Y7YlHDtsiDawwp-uvifEJ8HVaSn0k2aGHG8-hwM/edit?usp=sharing"",""เชียงใหม่!J626"")"),0)</f>
        <v>0</v>
      </c>
      <c r="DC16" s="140">
        <f ca="1">IFERROR(__xludf.DUMMYFUNCTION("IMPORTRANGE(""https://docs.google.com/spreadsheets/d/1Jgv0Y7YlHDtsiDawwp-uvifEJ8HVaSn0k2aGHG8-hwM/edit?usp=sharing"",""เชียงใหม่!J627"")"),0)</f>
        <v>0</v>
      </c>
    </row>
    <row r="17" spans="1:107" ht="24" customHeight="1" x14ac:dyDescent="0.3">
      <c r="A17" s="54">
        <v>4</v>
      </c>
      <c r="B17" s="55" t="s">
        <v>38</v>
      </c>
      <c r="C17" s="56">
        <f t="shared" ca="1" si="55"/>
        <v>373285</v>
      </c>
      <c r="D17" s="57">
        <f ca="1">IFERROR(__xludf.DUMMYFUNCTION("IMPORTRANGE(""https://docs.google.com/spreadsheets/d/1JWG2rZePOz9pe-f-ObA-yDr0VoOX2kSb0qIix2mTUo8/edit?usp=sharing"",""ตาก!L549"")"),373285)</f>
        <v>373285</v>
      </c>
      <c r="E17" s="64">
        <f ca="1">IFERROR(__xludf.DUMMYFUNCTION("IMPORTRANGE(""https://docs.google.com/spreadsheets/d/1JWG2rZePOz9pe-f-ObA-yDr0VoOX2kSb0qIix2mTUo8/edit?usp=sharing"",""ตาก!L557"")"),0)</f>
        <v>0</v>
      </c>
      <c r="F17" s="64">
        <f ca="1">IFERROR(__xludf.DUMMYFUNCTION("IMPORTRANGE(""https://docs.google.com/spreadsheets/d/1JWG2rZePOz9pe-f-ObA-yDr0VoOX2kSb0qIix2mTUo8/edit?usp=sharing"",""ตาก!M549"")"),373285)</f>
        <v>373285</v>
      </c>
      <c r="G17" s="64">
        <f ca="1">IFERROR(__xludf.DUMMYFUNCTION("IMPORTRANGE(""https://docs.google.com/spreadsheets/d/1JWG2rZePOz9pe-f-ObA-yDr0VoOX2kSb0qIix2mTUo8/edit?usp=sharing"",""ตาก!M557"")"),0)</f>
        <v>0</v>
      </c>
      <c r="H17" s="58">
        <f t="shared" ca="1" si="36"/>
        <v>224220.2</v>
      </c>
      <c r="I17" s="59">
        <f t="shared" ca="1" si="1"/>
        <v>60.066758642860016</v>
      </c>
      <c r="J17" s="60">
        <f t="shared" ca="1" si="56"/>
        <v>224220.2</v>
      </c>
      <c r="K17" s="61">
        <f t="shared" ca="1" si="44"/>
        <v>60.066758642860016</v>
      </c>
      <c r="L17" s="61">
        <f t="shared" ca="1" si="45"/>
        <v>60.066758642860016</v>
      </c>
      <c r="M17" s="64">
        <f ca="1">IFERROR(__xludf.DUMMYFUNCTION("IMPORTRANGE(""https://docs.google.com/spreadsheets/d/1JWG2rZePOz9pe-f-ObA-yDr0VoOX2kSb0qIix2mTUo8/edit?usp=sharing"",""ตาก!N550"")"),0)</f>
        <v>0</v>
      </c>
      <c r="N17" s="64">
        <f ca="1">IFERROR(__xludf.DUMMYFUNCTION("IMPORTRANGE(""https://docs.google.com/spreadsheets/d/1JWG2rZePOz9pe-f-ObA-yDr0VoOX2kSb0qIix2mTUo8/edit?usp=sharing"",""ตาก!N551"")"),0)</f>
        <v>0</v>
      </c>
      <c r="O17" s="64">
        <f ca="1">IFERROR(__xludf.DUMMYFUNCTION("IMPORTRANGE(""https://docs.google.com/spreadsheets/d/1JWG2rZePOz9pe-f-ObA-yDr0VoOX2kSb0qIix2mTUo8/edit?usp=sharing"",""ตาก!N552"")"),52000)</f>
        <v>52000</v>
      </c>
      <c r="P17" s="64">
        <f ca="1">IFERROR(__xludf.DUMMYFUNCTION("IMPORTRANGE(""https://docs.google.com/spreadsheets/d/1JWG2rZePOz9pe-f-ObA-yDr0VoOX2kSb0qIix2mTUo8/edit?usp=sharing"",""ตาก!N553"")"),172220.2)</f>
        <v>172220.2</v>
      </c>
      <c r="Q17" s="64">
        <f ca="1">IFERROR(__xludf.DUMMYFUNCTION("IMPORTRANGE(""https://docs.google.com/spreadsheets/d/1JWG2rZePOz9pe-f-ObA-yDr0VoOX2kSb0qIix2mTUo8/edit?usp=sharing"",""ตาก!N554"")"),0)</f>
        <v>0</v>
      </c>
      <c r="R17" s="62">
        <f ca="1">IFERROR(__xludf.DUMMYFUNCTION("IMPORTRANGE(""https://docs.google.com/spreadsheets/d/1JWG2rZePOz9pe-f-ObA-yDr0VoOX2kSb0qIix2mTUo8/edit?usp=sharing"",""ตาก!N557"")"),0)</f>
        <v>0</v>
      </c>
      <c r="S17" s="62">
        <f t="shared" ca="1" si="47"/>
        <v>0</v>
      </c>
      <c r="T17" s="57">
        <f ca="1">IFERROR(__xludf.DUMMYFUNCTION("IMPORTRANGE(""https://docs.google.com/spreadsheets/d/1JWG2rZePOz9pe-f-ObA-yDr0VoOX2kSb0qIix2mTUo8/edit?usp=sharing"",""ตาก!I560"")"),43092)</f>
        <v>43092</v>
      </c>
      <c r="U17" s="57">
        <f ca="1">IFERROR(__xludf.DUMMYFUNCTION("IMPORTRANGE(""https://docs.google.com/spreadsheets/d/1JWG2rZePOz9pe-f-ObA-yDr0VoOX2kSb0qIix2mTUo8/edit?usp=sharing"",""ตาก!I561"")"),5108)</f>
        <v>5108</v>
      </c>
      <c r="V17" s="63">
        <f ca="1">IFERROR(__xludf.DUMMYFUNCTION("IMPORTRANGE(""https://docs.google.com/spreadsheets/d/1JWG2rZePOz9pe-f-ObA-yDr0VoOX2kSb0qIix2mTUo8/edit?usp=sharing"",""ตาก!J560"")"),43092.34)</f>
        <v>43092.34</v>
      </c>
      <c r="W17" s="63">
        <f t="shared" ca="1" si="37"/>
        <v>100.00078900956093</v>
      </c>
      <c r="X17" s="57">
        <f ca="1">IFERROR(__xludf.DUMMYFUNCTION("IMPORTRANGE(""https://docs.google.com/spreadsheets/d/1JWG2rZePOz9pe-f-ObA-yDr0VoOX2kSb0qIix2mTUo8/edit?usp=sharing"",""ตาก!J561"")"),5108)</f>
        <v>5108</v>
      </c>
      <c r="Y17" s="63">
        <f t="shared" ca="1" si="7"/>
        <v>100</v>
      </c>
      <c r="Z17" s="63">
        <f ca="1">IFERROR(__xludf.DUMMYFUNCTION("IMPORTRANGE(""https://docs.google.com/spreadsheets/d/1JWG2rZePOz9pe-f-ObA-yDr0VoOX2kSb0qIix2mTUo8/edit?usp=sharing"",""ตาก!J562"")"),39166)</f>
        <v>39166</v>
      </c>
      <c r="AA17" s="140">
        <f ca="1">IFERROR(__xludf.DUMMYFUNCTION("IMPORTRANGE(""https://docs.google.com/spreadsheets/d/1JWG2rZePOz9pe-f-ObA-yDr0VoOX2kSb0qIix2mTUo8/edit?usp=sharing"",""ตาก!J563"")"),4759)</f>
        <v>4759</v>
      </c>
      <c r="AB17" s="63">
        <f ca="1">IFERROR(__xludf.DUMMYFUNCTION("IMPORTRANGE(""https://docs.google.com/spreadsheets/d/1JWG2rZePOz9pe-f-ObA-yDr0VoOX2kSb0qIix2mTUo8/edit?usp=sharing"",""ตาก!J564"")"),2992)</f>
        <v>2992</v>
      </c>
      <c r="AC17" s="140">
        <f ca="1">IFERROR(__xludf.DUMMYFUNCTION("IMPORTRANGE(""https://docs.google.com/spreadsheets/d/1JWG2rZePOz9pe-f-ObA-yDr0VoOX2kSb0qIix2mTUo8/edit?usp=sharing"",""ตาก!J565"")"),247)</f>
        <v>247</v>
      </c>
      <c r="AD17" s="63">
        <f ca="1">IFERROR(__xludf.DUMMYFUNCTION("IMPORTRANGE(""https://docs.google.com/spreadsheets/d/1JWG2rZePOz9pe-f-ObA-yDr0VoOX2kSb0qIix2mTUo8/edit?usp=sharing"",""ตาก!J566"")"),934.34)</f>
        <v>934.34</v>
      </c>
      <c r="AE17" s="140">
        <f ca="1">IFERROR(__xludf.DUMMYFUNCTION("IMPORTRANGE(""https://docs.google.com/spreadsheets/d/1JWG2rZePOz9pe-f-ObA-yDr0VoOX2kSb0qIix2mTUo8/edit?usp=sharing"",""ตาก!J567"")"),102)</f>
        <v>102</v>
      </c>
      <c r="AF17" s="57">
        <f ca="1">IFERROR(__xludf.DUMMYFUNCTION("IMPORTRANGE(""https://docs.google.com/spreadsheets/d/1JWG2rZePOz9pe-f-ObA-yDr0VoOX2kSb0qIix2mTUo8/edit?usp=sharing"",""ตาก!I568"")"),43092)</f>
        <v>43092</v>
      </c>
      <c r="AG17" s="57">
        <f ca="1">IFERROR(__xludf.DUMMYFUNCTION("IMPORTRANGE(""https://docs.google.com/spreadsheets/d/1JWG2rZePOz9pe-f-ObA-yDr0VoOX2kSb0qIix2mTUo8/edit?usp=sharing"",""ตาก!I569"")"),5108)</f>
        <v>5108</v>
      </c>
      <c r="AH17" s="63">
        <f ca="1">IFERROR(__xludf.DUMMYFUNCTION("IMPORTRANGE(""https://docs.google.com/spreadsheets/d/1JWG2rZePOz9pe-f-ObA-yDr0VoOX2kSb0qIix2mTUo8/edit?usp=sharing"",""ตาก!J568"")"),43092)</f>
        <v>43092</v>
      </c>
      <c r="AI17" s="63">
        <f t="shared" ca="1" si="38"/>
        <v>100</v>
      </c>
      <c r="AJ17" s="57">
        <f ca="1">IFERROR(__xludf.DUMMYFUNCTION("IMPORTRANGE(""https://docs.google.com/spreadsheets/d/1JWG2rZePOz9pe-f-ObA-yDr0VoOX2kSb0qIix2mTUo8/edit?usp=sharing"",""ตาก!J569"")"),5108)</f>
        <v>5108</v>
      </c>
      <c r="AK17" s="63">
        <f t="shared" ca="1" si="10"/>
        <v>100</v>
      </c>
      <c r="AL17" s="63">
        <f ca="1">IFERROR(__xludf.DUMMYFUNCTION("IMPORTRANGE(""https://docs.google.com/spreadsheets/d/1JWG2rZePOz9pe-f-ObA-yDr0VoOX2kSb0qIix2mTUo8/edit?usp=sharing"",""ตาก!J570"")"),39730)</f>
        <v>39730</v>
      </c>
      <c r="AM17" s="140">
        <f ca="1">IFERROR(__xludf.DUMMYFUNCTION("IMPORTRANGE(""https://docs.google.com/spreadsheets/d/1JWG2rZePOz9pe-f-ObA-yDr0VoOX2kSb0qIix2mTUo8/edit?usp=sharing"",""ตาก!J571"")"),4810)</f>
        <v>4810</v>
      </c>
      <c r="AN17" s="63">
        <f ca="1">IFERROR(__xludf.DUMMYFUNCTION("IMPORTRANGE(""https://docs.google.com/spreadsheets/d/1JWG2rZePOz9pe-f-ObA-yDr0VoOX2kSb0qIix2mTUo8/edit?usp=sharing"",""ตาก!J572"")"),2491)</f>
        <v>2491</v>
      </c>
      <c r="AO17" s="140">
        <f ca="1">IFERROR(__xludf.DUMMYFUNCTION("IMPORTRANGE(""https://docs.google.com/spreadsheets/d/1JWG2rZePOz9pe-f-ObA-yDr0VoOX2kSb0qIix2mTUo8/edit?usp=sharing"",""ตาก!J573"")"),197)</f>
        <v>197</v>
      </c>
      <c r="AP17" s="63">
        <f ca="1">IFERROR(__xludf.DUMMYFUNCTION("IMPORTRANGE(""https://docs.google.com/spreadsheets/d/1JWG2rZePOz9pe-f-ObA-yDr0VoOX2kSb0qIix2mTUo8/edit?usp=sharing"",""ตาก!J574"")"),871)</f>
        <v>871</v>
      </c>
      <c r="AQ17" s="140">
        <f ca="1">IFERROR(__xludf.DUMMYFUNCTION("IMPORTRANGE(""https://docs.google.com/spreadsheets/d/1JWG2rZePOz9pe-f-ObA-yDr0VoOX2kSb0qIix2mTUo8/edit?usp=sharing"",""ตาก!J575"")"),101)</f>
        <v>101</v>
      </c>
      <c r="AR17" s="57">
        <f ca="1">IFERROR(__xludf.DUMMYFUNCTION("IMPORTRANGE(""https://docs.google.com/spreadsheets/d/1JWG2rZePOz9pe-f-ObA-yDr0VoOX2kSb0qIix2mTUo8/edit?usp=sharing"",""ตาก!I576"")"),43092)</f>
        <v>43092</v>
      </c>
      <c r="AS17" s="57">
        <f ca="1">IFERROR(__xludf.DUMMYFUNCTION("IMPORTRANGE(""https://docs.google.com/spreadsheets/d/1JWG2rZePOz9pe-f-ObA-yDr0VoOX2kSb0qIix2mTUo8/edit?usp=sharing"",""ตาก!I577"")"),5108)</f>
        <v>5108</v>
      </c>
      <c r="AT17" s="63">
        <f ca="1">IFERROR(__xludf.DUMMYFUNCTION("IMPORTRANGE(""https://docs.google.com/spreadsheets/d/1JWG2rZePOz9pe-f-ObA-yDr0VoOX2kSb0qIix2mTUo8/edit?usp=sharing"",""ตาก!J576"")"),0)</f>
        <v>0</v>
      </c>
      <c r="AU17" s="63">
        <f t="shared" ca="1" si="39"/>
        <v>0</v>
      </c>
      <c r="AV17" s="57">
        <f ca="1">IFERROR(__xludf.DUMMYFUNCTION("IMPORTRANGE(""https://docs.google.com/spreadsheets/d/1JWG2rZePOz9pe-f-ObA-yDr0VoOX2kSb0qIix2mTUo8/edit?usp=sharing"",""ตาก!J577"")"),0)</f>
        <v>0</v>
      </c>
      <c r="AW17" s="63">
        <f t="shared" ca="1" si="13"/>
        <v>0</v>
      </c>
      <c r="AX17" s="63">
        <f ca="1">IFERROR(__xludf.DUMMYFUNCTION("IMPORTRANGE(""https://docs.google.com/spreadsheets/d/1JWG2rZePOz9pe-f-ObA-yDr0VoOX2kSb0qIix2mTUo8/edit?usp=sharing"",""ตาก!J578"")"),0)</f>
        <v>0</v>
      </c>
      <c r="AY17" s="140">
        <f ca="1">IFERROR(__xludf.DUMMYFUNCTION("IMPORTRANGE(""https://docs.google.com/spreadsheets/d/1JWG2rZePOz9pe-f-ObA-yDr0VoOX2kSb0qIix2mTUo8/edit?usp=sharing"",""ตาก!J579"")"),0)</f>
        <v>0</v>
      </c>
      <c r="AZ17" s="63">
        <f ca="1">IFERROR(__xludf.DUMMYFUNCTION("IMPORTRANGE(""https://docs.google.com/spreadsheets/d/1JWG2rZePOz9pe-f-ObA-yDr0VoOX2kSb0qIix2mTUo8/edit?usp=sharing"",""ตาก!J580"")"),0)</f>
        <v>0</v>
      </c>
      <c r="BA17" s="140">
        <f ca="1">IFERROR(__xludf.DUMMYFUNCTION("IMPORTRANGE(""https://docs.google.com/spreadsheets/d/1JWG2rZePOz9pe-f-ObA-yDr0VoOX2kSb0qIix2mTUo8/edit?usp=sharing"",""ตาก!J581"")"),0)</f>
        <v>0</v>
      </c>
      <c r="BB17" s="63">
        <f ca="1">IFERROR(__xludf.DUMMYFUNCTION("IMPORTRANGE(""https://docs.google.com/spreadsheets/d/1JWG2rZePOz9pe-f-ObA-yDr0VoOX2kSb0qIix2mTUo8/edit?usp=sharing"",""ตาก!J582"")"),0)</f>
        <v>0</v>
      </c>
      <c r="BC17" s="140">
        <f ca="1">IFERROR(__xludf.DUMMYFUNCTION("IMPORTRANGE(""https://docs.google.com/spreadsheets/d/1JWG2rZePOz9pe-f-ObA-yDr0VoOX2kSb0qIix2mTUo8/edit?usp=sharing"",""ตาก!J583"")"),0)</f>
        <v>0</v>
      </c>
      <c r="BD17" s="141">
        <f ca="1">IFERROR(__xludf.DUMMYFUNCTION("IMPORTRANGE(""https://docs.google.com/spreadsheets/d/1JWG2rZePOz9pe-f-ObA-yDr0VoOX2kSb0qIix2mTUo8/edit?usp=sharing"",""ตาก!J584"")"),0)</f>
        <v>0</v>
      </c>
      <c r="BE17" s="140">
        <f ca="1">IFERROR(__xludf.DUMMYFUNCTION("IMPORTRANGE(""https://docs.google.com/spreadsheets/d/1JWG2rZePOz9pe-f-ObA-yDr0VoOX2kSb0qIix2mTUo8/edit?usp=sharing"",""ตาก!J585"")"),0)</f>
        <v>0</v>
      </c>
      <c r="BF17" s="141">
        <f ca="1">IFERROR(__xludf.DUMMYFUNCTION("IMPORTRANGE(""https://docs.google.com/spreadsheets/d/1JWG2rZePOz9pe-f-ObA-yDr0VoOX2kSb0qIix2mTUo8/edit?usp=sharing"",""ตาก!J586"")"),0)</f>
        <v>0</v>
      </c>
      <c r="BG17" s="140">
        <f ca="1">IFERROR(__xludf.DUMMYFUNCTION("IMPORTRANGE(""https://docs.google.com/spreadsheets/d/1JWG2rZePOz9pe-f-ObA-yDr0VoOX2kSb0qIix2mTUo8/edit?usp=sharing"",""ตาก!J587"")"),0)</f>
        <v>0</v>
      </c>
      <c r="BH17" s="63">
        <f ca="1">IFERROR(__xludf.DUMMYFUNCTION("IMPORTRANGE(""https://docs.google.com/spreadsheets/d/1JWG2rZePOz9pe-f-ObA-yDr0VoOX2kSb0qIix2mTUo8/edit?usp=sharing"",""ตาก!J588"")"),0)</f>
        <v>0</v>
      </c>
      <c r="BI17" s="140">
        <f ca="1">IFERROR(__xludf.DUMMYFUNCTION("IMPORTRANGE(""https://docs.google.com/spreadsheets/d/1JWG2rZePOz9pe-f-ObA-yDr0VoOX2kSb0qIix2mTUo8/edit?usp=sharing"",""ตาก!J589"")"),0)</f>
        <v>0</v>
      </c>
      <c r="BJ17" s="63">
        <f ca="1">IFERROR(__xludf.DUMMYFUNCTION("IMPORTRANGE(""https://docs.google.com/spreadsheets/d/1JWG2rZePOz9pe-f-ObA-yDr0VoOX2kSb0qIix2mTUo8/edit?usp=sharing"",""ตาก!J590"")"),0)</f>
        <v>0</v>
      </c>
      <c r="BK17" s="140">
        <f ca="1">IFERROR(__xludf.DUMMYFUNCTION("IMPORTRANGE(""https://docs.google.com/spreadsheets/d/1JWG2rZePOz9pe-f-ObA-yDr0VoOX2kSb0qIix2mTUo8/edit?usp=sharing"",""ตาก!J591"")"),0)</f>
        <v>0</v>
      </c>
      <c r="BL17" s="57">
        <f ca="1">IFERROR(__xludf.DUMMYFUNCTION("IMPORTRANGE(""https://docs.google.com/spreadsheets/d/1JWG2rZePOz9pe-f-ObA-yDr0VoOX2kSb0qIix2mTUo8/edit?usp=sharing"",""ตาก!I593"")"),1120.57)</f>
        <v>1120.57</v>
      </c>
      <c r="BM17" s="57">
        <f ca="1">IFERROR(__xludf.DUMMYFUNCTION("IMPORTRANGE(""https://docs.google.com/spreadsheets/d/1JWG2rZePOz9pe-f-ObA-yDr0VoOX2kSb0qIix2mTUo8/edit?usp=sharing"",""ตาก!I594"")"),70)</f>
        <v>70</v>
      </c>
      <c r="BN17" s="63">
        <f ca="1">IFERROR(__xludf.DUMMYFUNCTION("IMPORTRANGE(""https://docs.google.com/spreadsheets/d/1JWG2rZePOz9pe-f-ObA-yDr0VoOX2kSb0qIix2mTUo8/edit?usp=sharing"",""ตาก!J593"")"),0)</f>
        <v>0</v>
      </c>
      <c r="BO17" s="63">
        <f t="shared" ca="1" si="40"/>
        <v>0</v>
      </c>
      <c r="BP17" s="57">
        <f ca="1">IFERROR(__xludf.DUMMYFUNCTION("IMPORTRANGE(""https://docs.google.com/spreadsheets/d/1JWG2rZePOz9pe-f-ObA-yDr0VoOX2kSb0qIix2mTUo8/edit?usp=sharing"",""ตาก!J594"")"),0)</f>
        <v>0</v>
      </c>
      <c r="BQ17" s="63">
        <f t="shared" ca="1" si="16"/>
        <v>0</v>
      </c>
      <c r="BR17" s="63">
        <f ca="1">IFERROR(__xludf.DUMMYFUNCTION("IMPORTRANGE(""https://docs.google.com/spreadsheets/d/1JWG2rZePOz9pe-f-ObA-yDr0VoOX2kSb0qIix2mTUo8/edit?usp=sharing"",""ตาก!J595"")"),0)</f>
        <v>0</v>
      </c>
      <c r="BS17" s="140">
        <f ca="1">IFERROR(__xludf.DUMMYFUNCTION("IMPORTRANGE(""https://docs.google.com/spreadsheets/d/1JWG2rZePOz9pe-f-ObA-yDr0VoOX2kSb0qIix2mTUo8/edit?usp=sharing"",""ตาก!J596"")"),0)</f>
        <v>0</v>
      </c>
      <c r="BT17" s="63">
        <f ca="1">IFERROR(__xludf.DUMMYFUNCTION("IMPORTRANGE(""https://docs.google.com/spreadsheets/d/1JWG2rZePOz9pe-f-ObA-yDr0VoOX2kSb0qIix2mTUo8/edit?usp=sharing"",""ตาก!J597"")"),0)</f>
        <v>0</v>
      </c>
      <c r="BU17" s="140">
        <f ca="1">IFERROR(__xludf.DUMMYFUNCTION("IMPORTRANGE(""https://docs.google.com/spreadsheets/d/1JWG2rZePOz9pe-f-ObA-yDr0VoOX2kSb0qIix2mTUo8/edit?usp=sharing"",""ตาก!J598"")"),0)</f>
        <v>0</v>
      </c>
      <c r="BV17" s="63">
        <f ca="1">IFERROR(__xludf.DUMMYFUNCTION("IMPORTRANGE(""https://docs.google.com/spreadsheets/d/1JWG2rZePOz9pe-f-ObA-yDr0VoOX2kSb0qIix2mTUo8/edit?usp=sharing"",""ตาก!J599"")"),0)</f>
        <v>0</v>
      </c>
      <c r="BW17" s="140">
        <f ca="1">IFERROR(__xludf.DUMMYFUNCTION("IMPORTRANGE(""https://docs.google.com/spreadsheets/d/1JWG2rZePOz9pe-f-ObA-yDr0VoOX2kSb0qIix2mTUo8/edit?usp=sharing"",""ตาก!J600"")"),0)</f>
        <v>0</v>
      </c>
      <c r="BX17" s="141">
        <f ca="1">IFERROR(__xludf.DUMMYFUNCTION("IMPORTRANGE(""https://docs.google.com/spreadsheets/d/1JWG2rZePOz9pe-f-ObA-yDr0VoOX2kSb0qIix2mTUo8/edit?usp=sharing"",""ตาก!J601"")"),0)</f>
        <v>0</v>
      </c>
      <c r="BY17" s="140">
        <f ca="1">IFERROR(__xludf.DUMMYFUNCTION("IMPORTRANGE(""https://docs.google.com/spreadsheets/d/1JWG2rZePOz9pe-f-ObA-yDr0VoOX2kSb0qIix2mTUo8/edit?usp=sharing"",""ตาก!J602"")"),0)</f>
        <v>0</v>
      </c>
      <c r="BZ17" s="63">
        <f ca="1">IFERROR(__xludf.DUMMYFUNCTION("IMPORTRANGE(""https://docs.google.com/spreadsheets/d/1JWG2rZePOz9pe-f-ObA-yDr0VoOX2kSb0qIix2mTUo8/edit?usp=sharing"",""ตาก!J603"")"),0)</f>
        <v>0</v>
      </c>
      <c r="CA17" s="140">
        <f ca="1">IFERROR(__xludf.DUMMYFUNCTION("IMPORTRANGE(""https://docs.google.com/spreadsheets/d/1JWG2rZePOz9pe-f-ObA-yDr0VoOX2kSb0qIix2mTUo8/edit?usp=sharing"",""ตาก!J604"")"),0)</f>
        <v>0</v>
      </c>
      <c r="CB17" s="63">
        <f ca="1">IFERROR(__xludf.DUMMYFUNCTION("IMPORTRANGE(""https://docs.google.com/spreadsheets/d/1JWG2rZePOz9pe-f-ObA-yDr0VoOX2kSb0qIix2mTUo8/edit?usp=sharing"",""ตาก!J605"")"),0)</f>
        <v>0</v>
      </c>
      <c r="CC17" s="140">
        <f ca="1">IFERROR(__xludf.DUMMYFUNCTION("IMPORTRANGE(""https://docs.google.com/spreadsheets/d/1JWG2rZePOz9pe-f-ObA-yDr0VoOX2kSb0qIix2mTUo8/edit?usp=sharing"",""ตาก!J606"")"),0)</f>
        <v>0</v>
      </c>
      <c r="CD17" s="63">
        <f ca="1">IFERROR(__xludf.DUMMYFUNCTION("IMPORTRANGE(""https://docs.google.com/spreadsheets/d/1JWG2rZePOz9pe-f-ObA-yDr0VoOX2kSb0qIix2mTUo8/edit?usp=sharing"",""ตาก!J607"")"),0)</f>
        <v>0</v>
      </c>
      <c r="CE17" s="140">
        <f ca="1">IFERROR(__xludf.DUMMYFUNCTION("IMPORTRANGE(""https://docs.google.com/spreadsheets/d/1JWG2rZePOz9pe-f-ObA-yDr0VoOX2kSb0qIix2mTUo8/edit?usp=sharing"",""ตาก!J608"")"),0)</f>
        <v>0</v>
      </c>
      <c r="CF17" s="63">
        <f ca="1">IFERROR(__xludf.DUMMYFUNCTION("IMPORTRANGE(""https://docs.google.com/spreadsheets/d/1JWG2rZePOz9pe-f-ObA-yDr0VoOX2kSb0qIix2mTUo8/edit?usp=sharing"",""ตาก!J609"")"),0)</f>
        <v>0</v>
      </c>
      <c r="CG17" s="140">
        <f ca="1">IFERROR(__xludf.DUMMYFUNCTION("IMPORTRANGE(""https://docs.google.com/spreadsheets/d/1JWG2rZePOz9pe-f-ObA-yDr0VoOX2kSb0qIix2mTUo8/edit?usp=sharing"",""ตาก!J610"")"),0)</f>
        <v>0</v>
      </c>
      <c r="CH17" s="140">
        <f ca="1">IFERROR(__xludf.DUMMYFUNCTION("IMPORTRANGE(""https://docs.google.com/spreadsheets/d/1JWG2rZePOz9pe-f-ObA-yDr0VoOX2kSb0qIix2mTUo8/edit?usp=sharing"",""ตาก!I612"")"),0)</f>
        <v>0</v>
      </c>
      <c r="CI17" s="140">
        <f ca="1">IFERROR(__xludf.DUMMYFUNCTION("IMPORTRANGE(""https://docs.google.com/spreadsheets/d/1JWG2rZePOz9pe-f-ObA-yDr0VoOX2kSb0qIix2mTUo8/edit?usp=sharing"",""ตาก!I594"")"),70)</f>
        <v>70</v>
      </c>
      <c r="CJ17" s="141">
        <f ca="1">IFERROR(__xludf.DUMMYFUNCTION("IMPORTRANGE(""https://docs.google.com/spreadsheets/d/1JWG2rZePOz9pe-f-ObA-yDr0VoOX2kSb0qIix2mTUo8/edit?usp=sharing"",""ตาก!J612"")"),0)</f>
        <v>0</v>
      </c>
      <c r="CK17" s="141">
        <f t="shared" ca="1" si="41"/>
        <v>0</v>
      </c>
      <c r="CL17" s="140">
        <f ca="1">IFERROR(__xludf.DUMMYFUNCTION("IMPORTRANGE(""https://docs.google.com/spreadsheets/d/1JWG2rZePOz9pe-f-ObA-yDr0VoOX2kSb0qIix2mTUo8/edit?usp=sharing"",""ตาก!J613"")"),0)</f>
        <v>0</v>
      </c>
      <c r="CM17" s="141">
        <f t="shared" ca="1" si="19"/>
        <v>0</v>
      </c>
      <c r="CN17" s="63">
        <f ca="1">IFERROR(__xludf.DUMMYFUNCTION("IMPORTRANGE(""https://docs.google.com/spreadsheets/d/1JWG2rZePOz9pe-f-ObA-yDr0VoOX2kSb0qIix2mTUo8/edit?usp=sharing"",""ตาก!J614"")"),0)</f>
        <v>0</v>
      </c>
      <c r="CO17" s="140">
        <f ca="1">IFERROR(__xludf.DUMMYFUNCTION("IMPORTRANGE(""https://docs.google.com/spreadsheets/d/1JWG2rZePOz9pe-f-ObA-yDr0VoOX2kSb0qIix2mTUo8/edit?usp=sharing"",""ตาก!J615"")"),0)</f>
        <v>0</v>
      </c>
      <c r="CP17" s="63">
        <f ca="1">IFERROR(__xludf.DUMMYFUNCTION("IMPORTRANGE(""https://docs.google.com/spreadsheets/d/1JWG2rZePOz9pe-f-ObA-yDr0VoOX2kSb0qIix2mTUo8/edit?usp=sharing"",""ตาก!J616"")"),0)</f>
        <v>0</v>
      </c>
      <c r="CQ17" s="140">
        <f ca="1">IFERROR(__xludf.DUMMYFUNCTION("IMPORTRANGE(""https://docs.google.com/spreadsheets/d/1JWG2rZePOz9pe-f-ObA-yDr0VoOX2kSb0qIix2mTUo8/edit?usp=sharing"",""ตาก!J617"")"),0)</f>
        <v>0</v>
      </c>
      <c r="CR17" s="140">
        <f ca="1">IFERROR(__xludf.DUMMYFUNCTION("IMPORTRANGE(""https://docs.google.com/spreadsheets/d/1JWG2rZePOz9pe-f-ObA-yDr0VoOX2kSb0qIix2mTUo8/edit?usp=sharing"",""ตาก!I620"")"),139)</f>
        <v>139</v>
      </c>
      <c r="CS17" s="140">
        <f ca="1">IFERROR(__xludf.DUMMYFUNCTION("IMPORTRANGE(""https://docs.google.com/spreadsheets/d/1JWG2rZePOz9pe-f-ObA-yDr0VoOX2kSb0qIix2mTUo8/edit?usp=sharing"",""ตาก!I621"")"),12)</f>
        <v>12</v>
      </c>
      <c r="CT17" s="141">
        <f ca="1">IFERROR(__xludf.DUMMYFUNCTION("IMPORTRANGE(""https://docs.google.com/spreadsheets/d/1JWG2rZePOz9pe-f-ObA-yDr0VoOX2kSb0qIix2mTUo8/edit?usp=sharing"",""ตาก!J620"")"),0)</f>
        <v>0</v>
      </c>
      <c r="CU17" s="141">
        <f t="shared" ca="1" si="42"/>
        <v>0</v>
      </c>
      <c r="CV17" s="140">
        <f ca="1">IFERROR(__xludf.DUMMYFUNCTION("IMPORTRANGE(""https://docs.google.com/spreadsheets/d/1JWG2rZePOz9pe-f-ObA-yDr0VoOX2kSb0qIix2mTUo8/edit?usp=sharing"",""ตาก!J621"")"),0)</f>
        <v>0</v>
      </c>
      <c r="CW17" s="141">
        <f t="shared" ca="1" si="22"/>
        <v>0</v>
      </c>
      <c r="CX17" s="63">
        <f ca="1">IFERROR(__xludf.DUMMYFUNCTION("IMPORTRANGE(""https://docs.google.com/spreadsheets/d/1JWG2rZePOz9pe-f-ObA-yDr0VoOX2kSb0qIix2mTUo8/edit?usp=sharing"",""ตาก!J622"")"),0)</f>
        <v>0</v>
      </c>
      <c r="CY17" s="140">
        <f ca="1">IFERROR(__xludf.DUMMYFUNCTION("IMPORTRANGE(""https://docs.google.com/spreadsheets/d/1JWG2rZePOz9pe-f-ObA-yDr0VoOX2kSb0qIix2mTUo8/edit?usp=sharing"",""ตาก!J623"")"),0)</f>
        <v>0</v>
      </c>
      <c r="CZ17" s="63">
        <f ca="1">IFERROR(__xludf.DUMMYFUNCTION("IMPORTRANGE(""https://docs.google.com/spreadsheets/d/1JWG2rZePOz9pe-f-ObA-yDr0VoOX2kSb0qIix2mTUo8/edit?usp=sharing"",""ตาก!J624"")"),0)</f>
        <v>0</v>
      </c>
      <c r="DA17" s="140">
        <f ca="1">IFERROR(__xludf.DUMMYFUNCTION("IMPORTRANGE(""https://docs.google.com/spreadsheets/d/1JWG2rZePOz9pe-f-ObA-yDr0VoOX2kSb0qIix2mTUo8/edit?usp=sharing"",""ตาก!J625"")"),0)</f>
        <v>0</v>
      </c>
      <c r="DB17" s="63">
        <f ca="1">IFERROR(__xludf.DUMMYFUNCTION("IMPORTRANGE(""https://docs.google.com/spreadsheets/d/1JWG2rZePOz9pe-f-ObA-yDr0VoOX2kSb0qIix2mTUo8/edit?usp=sharing"",""ตาก!J626"")"),0)</f>
        <v>0</v>
      </c>
      <c r="DC17" s="140">
        <f ca="1">IFERROR(__xludf.DUMMYFUNCTION("IMPORTRANGE(""https://docs.google.com/spreadsheets/d/1JWG2rZePOz9pe-f-ObA-yDr0VoOX2kSb0qIix2mTUo8/edit?usp=sharing"",""ตาก!J627"")"),0)</f>
        <v>0</v>
      </c>
    </row>
    <row r="18" spans="1:107" ht="24" customHeight="1" x14ac:dyDescent="0.3">
      <c r="A18" s="54">
        <v>5</v>
      </c>
      <c r="B18" s="55" t="s">
        <v>39</v>
      </c>
      <c r="C18" s="56">
        <f t="shared" ca="1" si="55"/>
        <v>412386</v>
      </c>
      <c r="D18" s="57">
        <f ca="1">IFERROR(__xludf.DUMMYFUNCTION("IMPORTRANGE(""https://docs.google.com/spreadsheets/d/10nSRjK08hx8Y6HgSOQKNw81lyY46Zc7U_Cj72hBMp9U/edit?usp=sharing"",""นครสวรรค์!L549"")"),412386)</f>
        <v>412386</v>
      </c>
      <c r="E18" s="64">
        <f ca="1">IFERROR(__xludf.DUMMYFUNCTION("IMPORTRANGE(""https://docs.google.com/spreadsheets/d/10nSRjK08hx8Y6HgSOQKNw81lyY46Zc7U_Cj72hBMp9U/edit?usp=sharing"",""นครสวรรค์!L557"")"),0)</f>
        <v>0</v>
      </c>
      <c r="F18" s="64">
        <f ca="1">IFERROR(__xludf.DUMMYFUNCTION("IMPORTRANGE(""https://docs.google.com/spreadsheets/d/10nSRjK08hx8Y6HgSOQKNw81lyY46Zc7U_Cj72hBMp9U/edit?usp=sharing"",""นครสวรรค์!M549"")"),412386)</f>
        <v>412386</v>
      </c>
      <c r="G18" s="64">
        <f ca="1">IFERROR(__xludf.DUMMYFUNCTION("IMPORTRANGE(""https://docs.google.com/spreadsheets/d/10nSRjK08hx8Y6HgSOQKNw81lyY46Zc7U_Cj72hBMp9U/edit?usp=sharing"",""นครสวรรค์!M557"")"),0)</f>
        <v>0</v>
      </c>
      <c r="H18" s="58">
        <f t="shared" ca="1" si="36"/>
        <v>187422</v>
      </c>
      <c r="I18" s="59">
        <f t="shared" ca="1" si="1"/>
        <v>45.448196592512836</v>
      </c>
      <c r="J18" s="60">
        <f t="shared" ca="1" si="56"/>
        <v>187422</v>
      </c>
      <c r="K18" s="61">
        <f t="shared" ca="1" si="44"/>
        <v>45.448196592512836</v>
      </c>
      <c r="L18" s="61">
        <f t="shared" ca="1" si="45"/>
        <v>45.448196592512836</v>
      </c>
      <c r="M18" s="64">
        <f ca="1">IFERROR(__xludf.DUMMYFUNCTION("IMPORTRANGE(""https://docs.google.com/spreadsheets/d/10nSRjK08hx8Y6HgSOQKNw81lyY46Zc7U_Cj72hBMp9U/edit?usp=sharing"",""นครสวรรค์!N550"")"),0)</f>
        <v>0</v>
      </c>
      <c r="N18" s="64">
        <f ca="1">IFERROR(__xludf.DUMMYFUNCTION("IMPORTRANGE(""https://docs.google.com/spreadsheets/d/10nSRjK08hx8Y6HgSOQKNw81lyY46Zc7U_Cj72hBMp9U/edit?usp=sharing"",""นครสวรรค์!N551"")"),0)</f>
        <v>0</v>
      </c>
      <c r="O18" s="64">
        <f ca="1">IFERROR(__xludf.DUMMYFUNCTION("IMPORTRANGE(""https://docs.google.com/spreadsheets/d/10nSRjK08hx8Y6HgSOQKNw81lyY46Zc7U_Cj72hBMp9U/edit?usp=sharing"",""นครสวรรค์!N552"")"),50698)</f>
        <v>50698</v>
      </c>
      <c r="P18" s="64">
        <f ca="1">IFERROR(__xludf.DUMMYFUNCTION("IMPORTRANGE(""https://docs.google.com/spreadsheets/d/10nSRjK08hx8Y6HgSOQKNw81lyY46Zc7U_Cj72hBMp9U/edit?usp=sharing"",""นครสวรรค์!N553"")"),136724)</f>
        <v>136724</v>
      </c>
      <c r="Q18" s="64">
        <f ca="1">IFERROR(__xludf.DUMMYFUNCTION("IMPORTRANGE(""https://docs.google.com/spreadsheets/d/10nSRjK08hx8Y6HgSOQKNw81lyY46Zc7U_Cj72hBMp9U/edit?usp=sharing"",""นครสวรรค์!N554"")"),0)</f>
        <v>0</v>
      </c>
      <c r="R18" s="62">
        <f ca="1">IFERROR(__xludf.DUMMYFUNCTION("IMPORTRANGE(""https://docs.google.com/spreadsheets/d/10nSRjK08hx8Y6HgSOQKNw81lyY46Zc7U_Cj72hBMp9U/edit?usp=sharing"",""นครสวรรค์!N557"")"),0)</f>
        <v>0</v>
      </c>
      <c r="S18" s="62">
        <f t="shared" ca="1" si="47"/>
        <v>0</v>
      </c>
      <c r="T18" s="57">
        <f ca="1">IFERROR(__xludf.DUMMYFUNCTION("IMPORTRANGE(""https://docs.google.com/spreadsheets/d/10nSRjK08hx8Y6HgSOQKNw81lyY46Zc7U_Cj72hBMp9U/edit?usp=sharing"",""นครสวรรค์!I560"")"),47776)</f>
        <v>47776</v>
      </c>
      <c r="U18" s="57">
        <f ca="1">IFERROR(__xludf.DUMMYFUNCTION("IMPORTRANGE(""https://docs.google.com/spreadsheets/d/10nSRjK08hx8Y6HgSOQKNw81lyY46Zc7U_Cj72hBMp9U/edit?usp=sharing"",""นครสวรรค์!I561"")"),5415)</f>
        <v>5415</v>
      </c>
      <c r="V18" s="63">
        <f ca="1">IFERROR(__xludf.DUMMYFUNCTION("IMPORTRANGE(""https://docs.google.com/spreadsheets/d/10nSRjK08hx8Y6HgSOQKNw81lyY46Zc7U_Cj72hBMp9U/edit?usp=sharing"",""นครสวรรค์!J560"")"),47776)</f>
        <v>47776</v>
      </c>
      <c r="W18" s="63">
        <f t="shared" ca="1" si="37"/>
        <v>100</v>
      </c>
      <c r="X18" s="57">
        <f ca="1">IFERROR(__xludf.DUMMYFUNCTION("IMPORTRANGE(""https://docs.google.com/spreadsheets/d/10nSRjK08hx8Y6HgSOQKNw81lyY46Zc7U_Cj72hBMp9U/edit?usp=sharing"",""นครสวรรค์!J561"")"),5415)</f>
        <v>5415</v>
      </c>
      <c r="Y18" s="63">
        <f t="shared" ca="1" si="7"/>
        <v>100</v>
      </c>
      <c r="Z18" s="63">
        <f ca="1">IFERROR(__xludf.DUMMYFUNCTION("IMPORTRANGE(""https://docs.google.com/spreadsheets/d/10nSRjK08hx8Y6HgSOQKNw81lyY46Zc7U_Cj72hBMp9U/edit?usp=sharing"",""นครสวรรค์!J562"")"),37681)</f>
        <v>37681</v>
      </c>
      <c r="AA18" s="140">
        <f ca="1">IFERROR(__xludf.DUMMYFUNCTION("IMPORTRANGE(""https://docs.google.com/spreadsheets/d/10nSRjK08hx8Y6HgSOQKNw81lyY46Zc7U_Cj72hBMp9U/edit?usp=sharing"",""นครสวรรค์!J563"")"),4664)</f>
        <v>4664</v>
      </c>
      <c r="AB18" s="63">
        <f ca="1">IFERROR(__xludf.DUMMYFUNCTION("IMPORTRANGE(""https://docs.google.com/spreadsheets/d/10nSRjK08hx8Y6HgSOQKNw81lyY46Zc7U_Cj72hBMp9U/edit?usp=sharing"",""นครสวรรค์!J564"")"),8502)</f>
        <v>8502</v>
      </c>
      <c r="AC18" s="140">
        <f ca="1">IFERROR(__xludf.DUMMYFUNCTION("IMPORTRANGE(""https://docs.google.com/spreadsheets/d/10nSRjK08hx8Y6HgSOQKNw81lyY46Zc7U_Cj72hBMp9U/edit?usp=sharing"",""นครสวรรค์!J565"")"),582)</f>
        <v>582</v>
      </c>
      <c r="AD18" s="63">
        <f ca="1">IFERROR(__xludf.DUMMYFUNCTION("IMPORTRANGE(""https://docs.google.com/spreadsheets/d/10nSRjK08hx8Y6HgSOQKNw81lyY46Zc7U_Cj72hBMp9U/edit?usp=sharing"",""นครสวรรค์!J566"")"),1593)</f>
        <v>1593</v>
      </c>
      <c r="AE18" s="140">
        <f ca="1">IFERROR(__xludf.DUMMYFUNCTION("IMPORTRANGE(""https://docs.google.com/spreadsheets/d/10nSRjK08hx8Y6HgSOQKNw81lyY46Zc7U_Cj72hBMp9U/edit?usp=sharing"",""นครสวรรค์!J567"")"),169)</f>
        <v>169</v>
      </c>
      <c r="AF18" s="57">
        <f ca="1">IFERROR(__xludf.DUMMYFUNCTION("IMPORTRANGE(""https://docs.google.com/spreadsheets/d/10nSRjK08hx8Y6HgSOQKNw81lyY46Zc7U_Cj72hBMp9U/edit?usp=sharing"",""นครสวรรค์!I568"")"),47776)</f>
        <v>47776</v>
      </c>
      <c r="AG18" s="57">
        <f ca="1">IFERROR(__xludf.DUMMYFUNCTION("IMPORTRANGE(""https://docs.google.com/spreadsheets/d/10nSRjK08hx8Y6HgSOQKNw81lyY46Zc7U_Cj72hBMp9U/edit?usp=sharing"",""นครสวรรค์!I569"")"),5415)</f>
        <v>5415</v>
      </c>
      <c r="AH18" s="63">
        <f ca="1">IFERROR(__xludf.DUMMYFUNCTION("IMPORTRANGE(""https://docs.google.com/spreadsheets/d/10nSRjK08hx8Y6HgSOQKNw81lyY46Zc7U_Cj72hBMp9U/edit?usp=sharing"",""นครสวรรค์!J568"")"),47776)</f>
        <v>47776</v>
      </c>
      <c r="AI18" s="63">
        <f t="shared" ca="1" si="38"/>
        <v>100</v>
      </c>
      <c r="AJ18" s="57">
        <f ca="1">IFERROR(__xludf.DUMMYFUNCTION("IMPORTRANGE(""https://docs.google.com/spreadsheets/d/10nSRjK08hx8Y6HgSOQKNw81lyY46Zc7U_Cj72hBMp9U/edit?usp=sharing"",""นครสวรรค์!J569"")"),5415)</f>
        <v>5415</v>
      </c>
      <c r="AK18" s="63">
        <f t="shared" ca="1" si="10"/>
        <v>100</v>
      </c>
      <c r="AL18" s="63">
        <f ca="1">IFERROR(__xludf.DUMMYFUNCTION("IMPORTRANGE(""https://docs.google.com/spreadsheets/d/10nSRjK08hx8Y6HgSOQKNw81lyY46Zc7U_Cj72hBMp9U/edit?usp=sharing"",""นครสวรรค์!J570"")"),37785)</f>
        <v>37785</v>
      </c>
      <c r="AM18" s="140">
        <f ca="1">IFERROR(__xludf.DUMMYFUNCTION("IMPORTRANGE(""https://docs.google.com/spreadsheets/d/10nSRjK08hx8Y6HgSOQKNw81lyY46Zc7U_Cj72hBMp9U/edit?usp=sharing"",""นครสวรรค์!J571"")"),4668)</f>
        <v>4668</v>
      </c>
      <c r="AN18" s="63">
        <f ca="1">IFERROR(__xludf.DUMMYFUNCTION("IMPORTRANGE(""https://docs.google.com/spreadsheets/d/10nSRjK08hx8Y6HgSOQKNw81lyY46Zc7U_Cj72hBMp9U/edit?usp=sharing"",""นครสวรรค์!J572"")"),8515)</f>
        <v>8515</v>
      </c>
      <c r="AO18" s="140">
        <f ca="1">IFERROR(__xludf.DUMMYFUNCTION("IMPORTRANGE(""https://docs.google.com/spreadsheets/d/10nSRjK08hx8Y6HgSOQKNw81lyY46Zc7U_Cj72hBMp9U/edit?usp=sharing"",""นครสวรรค์!J573"")"),581)</f>
        <v>581</v>
      </c>
      <c r="AP18" s="63">
        <f ca="1">IFERROR(__xludf.DUMMYFUNCTION("IMPORTRANGE(""https://docs.google.com/spreadsheets/d/10nSRjK08hx8Y6HgSOQKNw81lyY46Zc7U_Cj72hBMp9U/edit?usp=sharing"",""นครสวรรค์!J574"")"),1476)</f>
        <v>1476</v>
      </c>
      <c r="AQ18" s="140">
        <f ca="1">IFERROR(__xludf.DUMMYFUNCTION("IMPORTRANGE(""https://docs.google.com/spreadsheets/d/10nSRjK08hx8Y6HgSOQKNw81lyY46Zc7U_Cj72hBMp9U/edit?usp=sharing"",""นครสวรรค์!J575"")"),166)</f>
        <v>166</v>
      </c>
      <c r="AR18" s="57">
        <f ca="1">IFERROR(__xludf.DUMMYFUNCTION("IMPORTRANGE(""https://docs.google.com/spreadsheets/d/10nSRjK08hx8Y6HgSOQKNw81lyY46Zc7U_Cj72hBMp9U/edit?usp=sharing"",""นครสวรรค์!I576"")"),47776)</f>
        <v>47776</v>
      </c>
      <c r="AS18" s="57">
        <f ca="1">IFERROR(__xludf.DUMMYFUNCTION("IMPORTRANGE(""https://docs.google.com/spreadsheets/d/10nSRjK08hx8Y6HgSOQKNw81lyY46Zc7U_Cj72hBMp9U/edit?usp=sharing"",""นครสวรรค์!I577"")"),5415)</f>
        <v>5415</v>
      </c>
      <c r="AT18" s="63">
        <f ca="1">IFERROR(__xludf.DUMMYFUNCTION("IMPORTRANGE(""https://docs.google.com/spreadsheets/d/10nSRjK08hx8Y6HgSOQKNw81lyY46Zc7U_Cj72hBMp9U/edit?usp=sharing"",""นครสวรรค์!J576"")"),0)</f>
        <v>0</v>
      </c>
      <c r="AU18" s="63">
        <f t="shared" ca="1" si="39"/>
        <v>0</v>
      </c>
      <c r="AV18" s="57">
        <f ca="1">IFERROR(__xludf.DUMMYFUNCTION("IMPORTRANGE(""https://docs.google.com/spreadsheets/d/10nSRjK08hx8Y6HgSOQKNw81lyY46Zc7U_Cj72hBMp9U/edit?usp=sharing"",""นครสวรรค์!J577"")"),0)</f>
        <v>0</v>
      </c>
      <c r="AW18" s="63">
        <f t="shared" ca="1" si="13"/>
        <v>0</v>
      </c>
      <c r="AX18" s="63">
        <f ca="1">IFERROR(__xludf.DUMMYFUNCTION("IMPORTRANGE(""https://docs.google.com/spreadsheets/d/10nSRjK08hx8Y6HgSOQKNw81lyY46Zc7U_Cj72hBMp9U/edit?usp=sharing"",""นครสวรรค์!J578"")"),0)</f>
        <v>0</v>
      </c>
      <c r="AY18" s="140">
        <f ca="1">IFERROR(__xludf.DUMMYFUNCTION("IMPORTRANGE(""https://docs.google.com/spreadsheets/d/10nSRjK08hx8Y6HgSOQKNw81lyY46Zc7U_Cj72hBMp9U/edit?usp=sharing"",""นครสวรรค์!J579"")"),0)</f>
        <v>0</v>
      </c>
      <c r="AZ18" s="63">
        <f ca="1">IFERROR(__xludf.DUMMYFUNCTION("IMPORTRANGE(""https://docs.google.com/spreadsheets/d/10nSRjK08hx8Y6HgSOQKNw81lyY46Zc7U_Cj72hBMp9U/edit?usp=sharing"",""นครสวรรค์!J580"")"),0)</f>
        <v>0</v>
      </c>
      <c r="BA18" s="140">
        <f ca="1">IFERROR(__xludf.DUMMYFUNCTION("IMPORTRANGE(""https://docs.google.com/spreadsheets/d/10nSRjK08hx8Y6HgSOQKNw81lyY46Zc7U_Cj72hBMp9U/edit?usp=sharing"",""นครสวรรค์!J581"")"),0)</f>
        <v>0</v>
      </c>
      <c r="BB18" s="63">
        <f ca="1">IFERROR(__xludf.DUMMYFUNCTION("IMPORTRANGE(""https://docs.google.com/spreadsheets/d/10nSRjK08hx8Y6HgSOQKNw81lyY46Zc7U_Cj72hBMp9U/edit?usp=sharing"",""นครสวรรค์!J582"")"),0)</f>
        <v>0</v>
      </c>
      <c r="BC18" s="140">
        <f ca="1">IFERROR(__xludf.DUMMYFUNCTION("IMPORTRANGE(""https://docs.google.com/spreadsheets/d/10nSRjK08hx8Y6HgSOQKNw81lyY46Zc7U_Cj72hBMp9U/edit?usp=sharing"",""นครสวรรค์!J583"")"),0)</f>
        <v>0</v>
      </c>
      <c r="BD18" s="141">
        <f ca="1">IFERROR(__xludf.DUMMYFUNCTION("IMPORTRANGE(""https://docs.google.com/spreadsheets/d/10nSRjK08hx8Y6HgSOQKNw81lyY46Zc7U_Cj72hBMp9U/edit?usp=sharing"",""นครสวรรค์!J584"")"),0)</f>
        <v>0</v>
      </c>
      <c r="BE18" s="140">
        <f ca="1">IFERROR(__xludf.DUMMYFUNCTION("IMPORTRANGE(""https://docs.google.com/spreadsheets/d/10nSRjK08hx8Y6HgSOQKNw81lyY46Zc7U_Cj72hBMp9U/edit?usp=sharing"",""นครสวรรค์!J585"")"),0)</f>
        <v>0</v>
      </c>
      <c r="BF18" s="141">
        <f ca="1">IFERROR(__xludf.DUMMYFUNCTION("IMPORTRANGE(""https://docs.google.com/spreadsheets/d/10nSRjK08hx8Y6HgSOQKNw81lyY46Zc7U_Cj72hBMp9U/edit?usp=sharing"",""นครสวรรค์!J586"")"),0)</f>
        <v>0</v>
      </c>
      <c r="BG18" s="140">
        <f ca="1">IFERROR(__xludf.DUMMYFUNCTION("IMPORTRANGE(""https://docs.google.com/spreadsheets/d/10nSRjK08hx8Y6HgSOQKNw81lyY46Zc7U_Cj72hBMp9U/edit?usp=sharing"",""นครสวรรค์!J587"")"),0)</f>
        <v>0</v>
      </c>
      <c r="BH18" s="63">
        <f ca="1">IFERROR(__xludf.DUMMYFUNCTION("IMPORTRANGE(""https://docs.google.com/spreadsheets/d/10nSRjK08hx8Y6HgSOQKNw81lyY46Zc7U_Cj72hBMp9U/edit?usp=sharing"",""นครสวรรค์!J588"")"),0)</f>
        <v>0</v>
      </c>
      <c r="BI18" s="140">
        <f ca="1">IFERROR(__xludf.DUMMYFUNCTION("IMPORTRANGE(""https://docs.google.com/spreadsheets/d/10nSRjK08hx8Y6HgSOQKNw81lyY46Zc7U_Cj72hBMp9U/edit?usp=sharing"",""นครสวรรค์!J589"")"),0)</f>
        <v>0</v>
      </c>
      <c r="BJ18" s="63">
        <f ca="1">IFERROR(__xludf.DUMMYFUNCTION("IMPORTRANGE(""https://docs.google.com/spreadsheets/d/10nSRjK08hx8Y6HgSOQKNw81lyY46Zc7U_Cj72hBMp9U/edit?usp=sharing"",""นครสวรรค์!J590"")"),0)</f>
        <v>0</v>
      </c>
      <c r="BK18" s="140">
        <f ca="1">IFERROR(__xludf.DUMMYFUNCTION("IMPORTRANGE(""https://docs.google.com/spreadsheets/d/10nSRjK08hx8Y6HgSOQKNw81lyY46Zc7U_Cj72hBMp9U/edit?usp=sharing"",""นครสวรรค์!J591"")"),0)</f>
        <v>0</v>
      </c>
      <c r="BL18" s="57">
        <f ca="1">IFERROR(__xludf.DUMMYFUNCTION("IMPORTRANGE(""https://docs.google.com/spreadsheets/d/10nSRjK08hx8Y6HgSOQKNw81lyY46Zc7U_Cj72hBMp9U/edit?usp=sharing"",""นครสวรรค์!I593"")"),4388.22)</f>
        <v>4388.22</v>
      </c>
      <c r="BM18" s="57">
        <f ca="1">IFERROR(__xludf.DUMMYFUNCTION("IMPORTRANGE(""https://docs.google.com/spreadsheets/d/10nSRjK08hx8Y6HgSOQKNw81lyY46Zc7U_Cj72hBMp9U/edit?usp=sharing"",""นครสวรรค์!I594"")"),268)</f>
        <v>268</v>
      </c>
      <c r="BN18" s="63">
        <f ca="1">IFERROR(__xludf.DUMMYFUNCTION("IMPORTRANGE(""https://docs.google.com/spreadsheets/d/10nSRjK08hx8Y6HgSOQKNw81lyY46Zc7U_Cj72hBMp9U/edit?usp=sharing"",""นครสวรรค์!J593"")"),1104)</f>
        <v>1104</v>
      </c>
      <c r="BO18" s="63">
        <f t="shared" ca="1" si="40"/>
        <v>25.158264626659555</v>
      </c>
      <c r="BP18" s="57">
        <f ca="1">IFERROR(__xludf.DUMMYFUNCTION("IMPORTRANGE(""https://docs.google.com/spreadsheets/d/10nSRjK08hx8Y6HgSOQKNw81lyY46Zc7U_Cj72hBMp9U/edit?usp=sharing"",""นครสวรรค์!J594"")"),73)</f>
        <v>73</v>
      </c>
      <c r="BQ18" s="63">
        <f t="shared" ca="1" si="16"/>
        <v>27.238805970149254</v>
      </c>
      <c r="BR18" s="63">
        <f ca="1">IFERROR(__xludf.DUMMYFUNCTION("IMPORTRANGE(""https://docs.google.com/spreadsheets/d/10nSRjK08hx8Y6HgSOQKNw81lyY46Zc7U_Cj72hBMp9U/edit?usp=sharing"",""นครสวรรค์!J595"")"),1081)</f>
        <v>1081</v>
      </c>
      <c r="BS18" s="140">
        <f ca="1">IFERROR(__xludf.DUMMYFUNCTION("IMPORTRANGE(""https://docs.google.com/spreadsheets/d/10nSRjK08hx8Y6HgSOQKNw81lyY46Zc7U_Cj72hBMp9U/edit?usp=sharing"",""นครสวรรค์!J596"")"),70)</f>
        <v>70</v>
      </c>
      <c r="BT18" s="63">
        <f ca="1">IFERROR(__xludf.DUMMYFUNCTION("IMPORTRANGE(""https://docs.google.com/spreadsheets/d/10nSRjK08hx8Y6HgSOQKNw81lyY46Zc7U_Cj72hBMp9U/edit?usp=sharing"",""นครสวรรค์!J597"")"),915)</f>
        <v>915</v>
      </c>
      <c r="BU18" s="140">
        <f ca="1">IFERROR(__xludf.DUMMYFUNCTION("IMPORTRANGE(""https://docs.google.com/spreadsheets/d/10nSRjK08hx8Y6HgSOQKNw81lyY46Zc7U_Cj72hBMp9U/edit?usp=sharing"",""นครสวรรค์!J598"")"),58)</f>
        <v>58</v>
      </c>
      <c r="BV18" s="63">
        <f ca="1">IFERROR(__xludf.DUMMYFUNCTION("IMPORTRANGE(""https://docs.google.com/spreadsheets/d/10nSRjK08hx8Y6HgSOQKNw81lyY46Zc7U_Cj72hBMp9U/edit?usp=sharing"",""นครสวรรค์!J599"")"),166)</f>
        <v>166</v>
      </c>
      <c r="BW18" s="140">
        <f ca="1">IFERROR(__xludf.DUMMYFUNCTION("IMPORTRANGE(""https://docs.google.com/spreadsheets/d/10nSRjK08hx8Y6HgSOQKNw81lyY46Zc7U_Cj72hBMp9U/edit?usp=sharing"",""นครสวรรค์!J600"")"),12)</f>
        <v>12</v>
      </c>
      <c r="BX18" s="141">
        <f ca="1">IFERROR(__xludf.DUMMYFUNCTION("IMPORTRANGE(""https://docs.google.com/spreadsheets/d/10nSRjK08hx8Y6HgSOQKNw81lyY46Zc7U_Cj72hBMp9U/edit?usp=sharing"",""นครสวรรค์!J601"")"),0)</f>
        <v>0</v>
      </c>
      <c r="BY18" s="140">
        <f ca="1">IFERROR(__xludf.DUMMYFUNCTION("IMPORTRANGE(""https://docs.google.com/spreadsheets/d/10nSRjK08hx8Y6HgSOQKNw81lyY46Zc7U_Cj72hBMp9U/edit?usp=sharing"",""นครสวรรค์!J602"")"),0)</f>
        <v>0</v>
      </c>
      <c r="BZ18" s="63">
        <f ca="1">IFERROR(__xludf.DUMMYFUNCTION("IMPORTRANGE(""https://docs.google.com/spreadsheets/d/10nSRjK08hx8Y6HgSOQKNw81lyY46Zc7U_Cj72hBMp9U/edit?usp=sharing"",""นครสวรรค์!J603"")"),23)</f>
        <v>23</v>
      </c>
      <c r="CA18" s="140">
        <f ca="1">IFERROR(__xludf.DUMMYFUNCTION("IMPORTRANGE(""https://docs.google.com/spreadsheets/d/10nSRjK08hx8Y6HgSOQKNw81lyY46Zc7U_Cj72hBMp9U/edit?usp=sharing"",""นครสวรรค์!J604"")"),3)</f>
        <v>3</v>
      </c>
      <c r="CB18" s="63">
        <f ca="1">IFERROR(__xludf.DUMMYFUNCTION("IMPORTRANGE(""https://docs.google.com/spreadsheets/d/10nSRjK08hx8Y6HgSOQKNw81lyY46Zc7U_Cj72hBMp9U/edit?usp=sharing"",""นครสวรรค์!J605"")"),0)</f>
        <v>0</v>
      </c>
      <c r="CC18" s="140">
        <f ca="1">IFERROR(__xludf.DUMMYFUNCTION("IMPORTRANGE(""https://docs.google.com/spreadsheets/d/10nSRjK08hx8Y6HgSOQKNw81lyY46Zc7U_Cj72hBMp9U/edit?usp=sharing"",""นครสวรรค์!J606"")"),0)</f>
        <v>0</v>
      </c>
      <c r="CD18" s="63">
        <f ca="1">IFERROR(__xludf.DUMMYFUNCTION("IMPORTRANGE(""https://docs.google.com/spreadsheets/d/10nSRjK08hx8Y6HgSOQKNw81lyY46Zc7U_Cj72hBMp9U/edit?usp=sharing"",""นครสวรรค์!J607"")"),23)</f>
        <v>23</v>
      </c>
      <c r="CE18" s="140">
        <f ca="1">IFERROR(__xludf.DUMMYFUNCTION("IMPORTRANGE(""https://docs.google.com/spreadsheets/d/10nSRjK08hx8Y6HgSOQKNw81lyY46Zc7U_Cj72hBMp9U/edit?usp=sharing"",""นครสวรรค์!J608"")"),3)</f>
        <v>3</v>
      </c>
      <c r="CF18" s="63">
        <f ca="1">IFERROR(__xludf.DUMMYFUNCTION("IMPORTRANGE(""https://docs.google.com/spreadsheets/d/10nSRjK08hx8Y6HgSOQKNw81lyY46Zc7U_Cj72hBMp9U/edit?usp=sharing"",""นครสวรรค์!J609"")"),0)</f>
        <v>0</v>
      </c>
      <c r="CG18" s="140">
        <f ca="1">IFERROR(__xludf.DUMMYFUNCTION("IMPORTRANGE(""https://docs.google.com/spreadsheets/d/10nSRjK08hx8Y6HgSOQKNw81lyY46Zc7U_Cj72hBMp9U/edit?usp=sharing"",""นครสวรรค์!J610"")"),0)</f>
        <v>0</v>
      </c>
      <c r="CH18" s="140">
        <f ca="1">IFERROR(__xludf.DUMMYFUNCTION("IMPORTRANGE(""https://docs.google.com/spreadsheets/d/10nSRjK08hx8Y6HgSOQKNw81lyY46Zc7U_Cj72hBMp9U/edit?usp=sharing"",""นครสวรรค์!I612"")"),0)</f>
        <v>0</v>
      </c>
      <c r="CI18" s="140">
        <f ca="1">IFERROR(__xludf.DUMMYFUNCTION("IMPORTRANGE(""https://docs.google.com/spreadsheets/d/10nSRjK08hx8Y6HgSOQKNw81lyY46Zc7U_Cj72hBMp9U/edit?usp=sharing"",""นครสวรรค์!I594"")"),268)</f>
        <v>268</v>
      </c>
      <c r="CJ18" s="141">
        <f ca="1">IFERROR(__xludf.DUMMYFUNCTION("IMPORTRANGE(""https://docs.google.com/spreadsheets/d/10nSRjK08hx8Y6HgSOQKNw81lyY46Zc7U_Cj72hBMp9U/edit?usp=sharing"",""นครสวรรค์!J612"")"),0)</f>
        <v>0</v>
      </c>
      <c r="CK18" s="141">
        <f t="shared" ca="1" si="41"/>
        <v>0</v>
      </c>
      <c r="CL18" s="140">
        <f ca="1">IFERROR(__xludf.DUMMYFUNCTION("IMPORTRANGE(""https://docs.google.com/spreadsheets/d/10nSRjK08hx8Y6HgSOQKNw81lyY46Zc7U_Cj72hBMp9U/edit?usp=sharing"",""นครสวรรค์!J613"")"),0)</f>
        <v>0</v>
      </c>
      <c r="CM18" s="141">
        <f t="shared" ca="1" si="19"/>
        <v>0</v>
      </c>
      <c r="CN18" s="63">
        <f ca="1">IFERROR(__xludf.DUMMYFUNCTION("IMPORTRANGE(""https://docs.google.com/spreadsheets/d/10nSRjK08hx8Y6HgSOQKNw81lyY46Zc7U_Cj72hBMp9U/edit?usp=sharing"",""นครสวรรค์!J614"")"),0)</f>
        <v>0</v>
      </c>
      <c r="CO18" s="140">
        <f ca="1">IFERROR(__xludf.DUMMYFUNCTION("IMPORTRANGE(""https://docs.google.com/spreadsheets/d/10nSRjK08hx8Y6HgSOQKNw81lyY46Zc7U_Cj72hBMp9U/edit?usp=sharing"",""นครสวรรค์!J615"")"),0)</f>
        <v>0</v>
      </c>
      <c r="CP18" s="63">
        <f ca="1">IFERROR(__xludf.DUMMYFUNCTION("IMPORTRANGE(""https://docs.google.com/spreadsheets/d/10nSRjK08hx8Y6HgSOQKNw81lyY46Zc7U_Cj72hBMp9U/edit?usp=sharing"",""นครสวรรค์!J616"")"),0)</f>
        <v>0</v>
      </c>
      <c r="CQ18" s="140">
        <f ca="1">IFERROR(__xludf.DUMMYFUNCTION("IMPORTRANGE(""https://docs.google.com/spreadsheets/d/10nSRjK08hx8Y6HgSOQKNw81lyY46Zc7U_Cj72hBMp9U/edit?usp=sharing"",""นครสวรรค์!J617"")"),0)</f>
        <v>0</v>
      </c>
      <c r="CR18" s="140">
        <f ca="1">IFERROR(__xludf.DUMMYFUNCTION("IMPORTRANGE(""https://docs.google.com/spreadsheets/d/10nSRjK08hx8Y6HgSOQKNw81lyY46Zc7U_Cj72hBMp9U/edit?usp=sharing"",""นครสวรรค์!I620"")"),146)</f>
        <v>146</v>
      </c>
      <c r="CS18" s="140">
        <f ca="1">IFERROR(__xludf.DUMMYFUNCTION("IMPORTRANGE(""https://docs.google.com/spreadsheets/d/10nSRjK08hx8Y6HgSOQKNw81lyY46Zc7U_Cj72hBMp9U/edit?usp=sharing"",""นครสวรรค์!I621"")"),20)</f>
        <v>20</v>
      </c>
      <c r="CT18" s="141">
        <f ca="1">IFERROR(__xludf.DUMMYFUNCTION("IMPORTRANGE(""https://docs.google.com/spreadsheets/d/10nSRjK08hx8Y6HgSOQKNw81lyY46Zc7U_Cj72hBMp9U/edit?usp=sharing"",""นครสวรรค์!J620"")"),0)</f>
        <v>0</v>
      </c>
      <c r="CU18" s="141">
        <f t="shared" ca="1" si="42"/>
        <v>0</v>
      </c>
      <c r="CV18" s="140">
        <f ca="1">IFERROR(__xludf.DUMMYFUNCTION("IMPORTRANGE(""https://docs.google.com/spreadsheets/d/10nSRjK08hx8Y6HgSOQKNw81lyY46Zc7U_Cj72hBMp9U/edit?usp=sharing"",""นครสวรรค์!J621"")"),0)</f>
        <v>0</v>
      </c>
      <c r="CW18" s="141">
        <f t="shared" ca="1" si="22"/>
        <v>0</v>
      </c>
      <c r="CX18" s="63">
        <f ca="1">IFERROR(__xludf.DUMMYFUNCTION("IMPORTRANGE(""https://docs.google.com/spreadsheets/d/10nSRjK08hx8Y6HgSOQKNw81lyY46Zc7U_Cj72hBMp9U/edit?usp=sharing"",""นครสวรรค์!J622"")"),0)</f>
        <v>0</v>
      </c>
      <c r="CY18" s="140">
        <f ca="1">IFERROR(__xludf.DUMMYFUNCTION("IMPORTRANGE(""https://docs.google.com/spreadsheets/d/10nSRjK08hx8Y6HgSOQKNw81lyY46Zc7U_Cj72hBMp9U/edit?usp=sharing"",""นครสวรรค์!J623"")"),0)</f>
        <v>0</v>
      </c>
      <c r="CZ18" s="63">
        <f ca="1">IFERROR(__xludf.DUMMYFUNCTION("IMPORTRANGE(""https://docs.google.com/spreadsheets/d/10nSRjK08hx8Y6HgSOQKNw81lyY46Zc7U_Cj72hBMp9U/edit?usp=sharing"",""นครสวรรค์!J624"")"),0)</f>
        <v>0</v>
      </c>
      <c r="DA18" s="140">
        <f ca="1">IFERROR(__xludf.DUMMYFUNCTION("IMPORTRANGE(""https://docs.google.com/spreadsheets/d/10nSRjK08hx8Y6HgSOQKNw81lyY46Zc7U_Cj72hBMp9U/edit?usp=sharing"",""นครสวรรค์!J625"")"),0)</f>
        <v>0</v>
      </c>
      <c r="DB18" s="63">
        <f ca="1">IFERROR(__xludf.DUMMYFUNCTION("IMPORTRANGE(""https://docs.google.com/spreadsheets/d/10nSRjK08hx8Y6HgSOQKNw81lyY46Zc7U_Cj72hBMp9U/edit?usp=sharing"",""นครสวรรค์!J626"")"),0)</f>
        <v>0</v>
      </c>
      <c r="DC18" s="140">
        <f ca="1">IFERROR(__xludf.DUMMYFUNCTION("IMPORTRANGE(""https://docs.google.com/spreadsheets/d/10nSRjK08hx8Y6HgSOQKNw81lyY46Zc7U_Cj72hBMp9U/edit?usp=sharing"",""นครสวรรค์!J627"")"),0)</f>
        <v>0</v>
      </c>
    </row>
    <row r="19" spans="1:107" ht="24" customHeight="1" x14ac:dyDescent="0.3">
      <c r="A19" s="54">
        <v>6</v>
      </c>
      <c r="B19" s="55" t="s">
        <v>40</v>
      </c>
      <c r="C19" s="56">
        <f t="shared" ca="1" si="55"/>
        <v>402414</v>
      </c>
      <c r="D19" s="57">
        <f ca="1">IFERROR(__xludf.DUMMYFUNCTION("IMPORTRANGE(""https://docs.google.com/spreadsheets/d/1gFVb7qd7amutrIxAAoM7lcy35hllxznovot8lyOfvDo/edit?usp=sharing"",""น่าน!L549"")"),402414)</f>
        <v>402414</v>
      </c>
      <c r="E19" s="64">
        <f ca="1">IFERROR(__xludf.DUMMYFUNCTION("IMPORTRANGE(""https://docs.google.com/spreadsheets/d/1gFVb7qd7amutrIxAAoM7lcy35hllxznovot8lyOfvDo/edit?usp=sharing"",""น่าน!L557"")"),0)</f>
        <v>0</v>
      </c>
      <c r="F19" s="64">
        <f ca="1">IFERROR(__xludf.DUMMYFUNCTION("IMPORTRANGE(""https://docs.google.com/spreadsheets/d/1gFVb7qd7amutrIxAAoM7lcy35hllxznovot8lyOfvDo/edit?usp=sharing"",""น่าน!M549"")"),402414)</f>
        <v>402414</v>
      </c>
      <c r="G19" s="64">
        <f ca="1">IFERROR(__xludf.DUMMYFUNCTION("IMPORTRANGE(""https://docs.google.com/spreadsheets/d/1gFVb7qd7amutrIxAAoM7lcy35hllxznovot8lyOfvDo/edit?usp=sharing"",""น่าน!M557"")"),0)</f>
        <v>0</v>
      </c>
      <c r="H19" s="58">
        <f t="shared" ca="1" si="36"/>
        <v>258024</v>
      </c>
      <c r="I19" s="59">
        <f t="shared" ca="1" si="1"/>
        <v>64.119041584040318</v>
      </c>
      <c r="J19" s="60">
        <f t="shared" ca="1" si="56"/>
        <v>258024</v>
      </c>
      <c r="K19" s="61">
        <f t="shared" ca="1" si="44"/>
        <v>64.119041584040318</v>
      </c>
      <c r="L19" s="61">
        <f t="shared" ca="1" si="45"/>
        <v>64.119041584040318</v>
      </c>
      <c r="M19" s="64">
        <f ca="1">IFERROR(__xludf.DUMMYFUNCTION("IMPORTRANGE(""https://docs.google.com/spreadsheets/d/1gFVb7qd7amutrIxAAoM7lcy35hllxznovot8lyOfvDo/edit?usp=sharing"",""น่าน!N550"")"),0)</f>
        <v>0</v>
      </c>
      <c r="N19" s="64">
        <f ca="1">IFERROR(__xludf.DUMMYFUNCTION("IMPORTRANGE(""https://docs.google.com/spreadsheets/d/1gFVb7qd7amutrIxAAoM7lcy35hllxznovot8lyOfvDo/edit?usp=sharing"",""น่าน!N551"")"),0)</f>
        <v>0</v>
      </c>
      <c r="O19" s="64">
        <f ca="1">IFERROR(__xludf.DUMMYFUNCTION("IMPORTRANGE(""https://docs.google.com/spreadsheets/d/1gFVb7qd7amutrIxAAoM7lcy35hllxznovot8lyOfvDo/edit?usp=sharing"",""น่าน!N552"")"),77124)</f>
        <v>77124</v>
      </c>
      <c r="P19" s="64">
        <f ca="1">IFERROR(__xludf.DUMMYFUNCTION("IMPORTRANGE(""https://docs.google.com/spreadsheets/d/1gFVb7qd7amutrIxAAoM7lcy35hllxznovot8lyOfvDo/edit?usp=sharing"",""น่าน!N553"")"),180900)</f>
        <v>180900</v>
      </c>
      <c r="Q19" s="64">
        <f ca="1">IFERROR(__xludf.DUMMYFUNCTION("IMPORTRANGE(""https://docs.google.com/spreadsheets/d/1gFVb7qd7amutrIxAAoM7lcy35hllxznovot8lyOfvDo/edit?usp=sharing"",""น่าน!N554"")"),0)</f>
        <v>0</v>
      </c>
      <c r="R19" s="62">
        <f ca="1">IFERROR(__xludf.DUMMYFUNCTION("IMPORTRANGE(""https://docs.google.com/spreadsheets/d/1gFVb7qd7amutrIxAAoM7lcy35hllxznovot8lyOfvDo/edit?usp=sharing"",""น่าน!N557"")"),0)</f>
        <v>0</v>
      </c>
      <c r="S19" s="62">
        <f t="shared" ca="1" si="47"/>
        <v>0</v>
      </c>
      <c r="T19" s="57">
        <f ca="1">IFERROR(__xludf.DUMMYFUNCTION("IMPORTRANGE(""https://docs.google.com/spreadsheets/d/1gFVb7qd7amutrIxAAoM7lcy35hllxznovot8lyOfvDo/edit?usp=sharing"",""น่าน!I560"")"),41986)</f>
        <v>41986</v>
      </c>
      <c r="U19" s="57">
        <f ca="1">IFERROR(__xludf.DUMMYFUNCTION("IMPORTRANGE(""https://docs.google.com/spreadsheets/d/1gFVb7qd7amutrIxAAoM7lcy35hllxznovot8lyOfvDo/edit?usp=sharing"",""น่าน!I561"")"),12241)</f>
        <v>12241</v>
      </c>
      <c r="V19" s="63">
        <f ca="1">IFERROR(__xludf.DUMMYFUNCTION("IMPORTRANGE(""https://docs.google.com/spreadsheets/d/1gFVb7qd7amutrIxAAoM7lcy35hllxznovot8lyOfvDo/edit?usp=sharing"",""น่าน!J560"")"),34072)</f>
        <v>34072</v>
      </c>
      <c r="W19" s="63">
        <f t="shared" ca="1" si="37"/>
        <v>81.150859810412996</v>
      </c>
      <c r="X19" s="57">
        <f ca="1">IFERROR(__xludf.DUMMYFUNCTION("IMPORTRANGE(""https://docs.google.com/spreadsheets/d/1gFVb7qd7amutrIxAAoM7lcy35hllxznovot8lyOfvDo/edit?usp=sharing"",""น่าน!J561"")"),12032)</f>
        <v>12032</v>
      </c>
      <c r="Y19" s="63">
        <f t="shared" ca="1" si="7"/>
        <v>98.292623151703296</v>
      </c>
      <c r="Z19" s="63">
        <f ca="1">IFERROR(__xludf.DUMMYFUNCTION("IMPORTRANGE(""https://docs.google.com/spreadsheets/d/1gFVb7qd7amutrIxAAoM7lcy35hllxznovot8lyOfvDo/edit?usp=sharing"",""น่าน!J562"")"),30434)</f>
        <v>30434</v>
      </c>
      <c r="AA19" s="140">
        <f ca="1">IFERROR(__xludf.DUMMYFUNCTION("IMPORTRANGE(""https://docs.google.com/spreadsheets/d/1gFVb7qd7amutrIxAAoM7lcy35hllxznovot8lyOfvDo/edit?usp=sharing"",""น่าน!J563"")"),9217)</f>
        <v>9217</v>
      </c>
      <c r="AB19" s="63">
        <f ca="1">IFERROR(__xludf.DUMMYFUNCTION("IMPORTRANGE(""https://docs.google.com/spreadsheets/d/1gFVb7qd7amutrIxAAoM7lcy35hllxznovot8lyOfvDo/edit?usp=sharing"",""น่าน!J564"")"),2931)</f>
        <v>2931</v>
      </c>
      <c r="AC19" s="140">
        <f ca="1">IFERROR(__xludf.DUMMYFUNCTION("IMPORTRANGE(""https://docs.google.com/spreadsheets/d/1gFVb7qd7amutrIxAAoM7lcy35hllxznovot8lyOfvDo/edit?usp=sharing"",""น่าน!J565"")"),557)</f>
        <v>557</v>
      </c>
      <c r="AD19" s="63">
        <f ca="1">IFERROR(__xludf.DUMMYFUNCTION("IMPORTRANGE(""https://docs.google.com/spreadsheets/d/1gFVb7qd7amutrIxAAoM7lcy35hllxznovot8lyOfvDo/edit?usp=sharing"",""น่าน!J566"")"),707)</f>
        <v>707</v>
      </c>
      <c r="AE19" s="140">
        <f ca="1">IFERROR(__xludf.DUMMYFUNCTION("IMPORTRANGE(""https://docs.google.com/spreadsheets/d/1gFVb7qd7amutrIxAAoM7lcy35hllxznovot8lyOfvDo/edit?usp=sharing"",""น่าน!J567"")"),2258)</f>
        <v>2258</v>
      </c>
      <c r="AF19" s="57">
        <f ca="1">IFERROR(__xludf.DUMMYFUNCTION("IMPORTRANGE(""https://docs.google.com/spreadsheets/d/1gFVb7qd7amutrIxAAoM7lcy35hllxznovot8lyOfvDo/edit?usp=sharing"",""น่าน!I568"")"),41986)</f>
        <v>41986</v>
      </c>
      <c r="AG19" s="57">
        <f ca="1">IFERROR(__xludf.DUMMYFUNCTION("IMPORTRANGE(""https://docs.google.com/spreadsheets/d/1gFVb7qd7amutrIxAAoM7lcy35hllxznovot8lyOfvDo/edit?usp=sharing"",""น่าน!I569"")"),12241)</f>
        <v>12241</v>
      </c>
      <c r="AH19" s="63">
        <f ca="1">IFERROR(__xludf.DUMMYFUNCTION("IMPORTRANGE(""https://docs.google.com/spreadsheets/d/1gFVb7qd7amutrIxAAoM7lcy35hllxznovot8lyOfvDo/edit?usp=sharing"",""น่าน!J568"")"),41977)</f>
        <v>41977</v>
      </c>
      <c r="AI19" s="63">
        <f t="shared" ca="1" si="38"/>
        <v>99.978564283332545</v>
      </c>
      <c r="AJ19" s="57">
        <f ca="1">IFERROR(__xludf.DUMMYFUNCTION("IMPORTRANGE(""https://docs.google.com/spreadsheets/d/1gFVb7qd7amutrIxAAoM7lcy35hllxznovot8lyOfvDo/edit?usp=sharing"",""น่าน!J569"")"),12241)</f>
        <v>12241</v>
      </c>
      <c r="AK19" s="63">
        <f t="shared" ca="1" si="10"/>
        <v>100</v>
      </c>
      <c r="AL19" s="63">
        <f ca="1">IFERROR(__xludf.DUMMYFUNCTION("IMPORTRANGE(""https://docs.google.com/spreadsheets/d/1gFVb7qd7amutrIxAAoM7lcy35hllxznovot8lyOfvDo/edit?usp=sharing"",""น่าน!J570"")"),36749)</f>
        <v>36749</v>
      </c>
      <c r="AM19" s="140">
        <f ca="1">IFERROR(__xludf.DUMMYFUNCTION("IMPORTRANGE(""https://docs.google.com/spreadsheets/d/1gFVb7qd7amutrIxAAoM7lcy35hllxznovot8lyOfvDo/edit?usp=sharing"",""น่าน!J571"")"),10861)</f>
        <v>10861</v>
      </c>
      <c r="AN19" s="63">
        <f ca="1">IFERROR(__xludf.DUMMYFUNCTION("IMPORTRANGE(""https://docs.google.com/spreadsheets/d/1gFVb7qd7amutrIxAAoM7lcy35hllxznovot8lyOfvDo/edit?usp=sharing"",""น่าน!J572"")"),2724)</f>
        <v>2724</v>
      </c>
      <c r="AO19" s="140">
        <f ca="1">IFERROR(__xludf.DUMMYFUNCTION("IMPORTRANGE(""https://docs.google.com/spreadsheets/d/1gFVb7qd7amutrIxAAoM7lcy35hllxznovot8lyOfvDo/edit?usp=sharing"",""น่าน!J573"")"),575)</f>
        <v>575</v>
      </c>
      <c r="AP19" s="63">
        <f ca="1">IFERROR(__xludf.DUMMYFUNCTION("IMPORTRANGE(""https://docs.google.com/spreadsheets/d/1gFVb7qd7amutrIxAAoM7lcy35hllxznovot8lyOfvDo/edit?usp=sharing"",""น่าน!J574"")"),2504)</f>
        <v>2504</v>
      </c>
      <c r="AQ19" s="140">
        <f ca="1">IFERROR(__xludf.DUMMYFUNCTION("IMPORTRANGE(""https://docs.google.com/spreadsheets/d/1gFVb7qd7amutrIxAAoM7lcy35hllxznovot8lyOfvDo/edit?usp=sharing"",""น่าน!J575"")"),805)</f>
        <v>805</v>
      </c>
      <c r="AR19" s="57">
        <f ca="1">IFERROR(__xludf.DUMMYFUNCTION("IMPORTRANGE(""https://docs.google.com/spreadsheets/d/1gFVb7qd7amutrIxAAoM7lcy35hllxznovot8lyOfvDo/edit?usp=sharing"",""น่าน!I576"")"),41986)</f>
        <v>41986</v>
      </c>
      <c r="AS19" s="57">
        <f ca="1">IFERROR(__xludf.DUMMYFUNCTION("IMPORTRANGE(""https://docs.google.com/spreadsheets/d/1gFVb7qd7amutrIxAAoM7lcy35hllxznovot8lyOfvDo/edit?usp=sharing"",""น่าน!I577"")"),12241)</f>
        <v>12241</v>
      </c>
      <c r="AT19" s="63">
        <f ca="1">IFERROR(__xludf.DUMMYFUNCTION("IMPORTRANGE(""https://docs.google.com/spreadsheets/d/1gFVb7qd7amutrIxAAoM7lcy35hllxznovot8lyOfvDo/edit?usp=sharing"",""น่าน!J576"")"),41984.2)</f>
        <v>41984.2</v>
      </c>
      <c r="AU19" s="63">
        <f t="shared" ca="1" si="39"/>
        <v>99.995712856666515</v>
      </c>
      <c r="AV19" s="57">
        <f ca="1">IFERROR(__xludf.DUMMYFUNCTION("IMPORTRANGE(""https://docs.google.com/spreadsheets/d/1gFVb7qd7amutrIxAAoM7lcy35hllxznovot8lyOfvDo/edit?usp=sharing"",""น่าน!J577"")"),12241)</f>
        <v>12241</v>
      </c>
      <c r="AW19" s="63">
        <f t="shared" ca="1" si="13"/>
        <v>100</v>
      </c>
      <c r="AX19" s="63">
        <f ca="1">IFERROR(__xludf.DUMMYFUNCTION("IMPORTRANGE(""https://docs.google.com/spreadsheets/d/1gFVb7qd7amutrIxAAoM7lcy35hllxznovot8lyOfvDo/edit?usp=sharing"",""น่าน!J578"")"),36757)</f>
        <v>36757</v>
      </c>
      <c r="AY19" s="140">
        <f ca="1">IFERROR(__xludf.DUMMYFUNCTION("IMPORTRANGE(""https://docs.google.com/spreadsheets/d/1gFVb7qd7amutrIxAAoM7lcy35hllxznovot8lyOfvDo/edit?usp=sharing"",""น่าน!J579"")"),10861)</f>
        <v>10861</v>
      </c>
      <c r="AZ19" s="63">
        <f ca="1">IFERROR(__xludf.DUMMYFUNCTION("IMPORTRANGE(""https://docs.google.com/spreadsheets/d/1gFVb7qd7amutrIxAAoM7lcy35hllxznovot8lyOfvDo/edit?usp=sharing"",""น่าน!J580"")"),2673)</f>
        <v>2673</v>
      </c>
      <c r="BA19" s="140">
        <f ca="1">IFERROR(__xludf.DUMMYFUNCTION("IMPORTRANGE(""https://docs.google.com/spreadsheets/d/1gFVb7qd7amutrIxAAoM7lcy35hllxznovot8lyOfvDo/edit?usp=sharing"",""น่าน!J581"")"),566)</f>
        <v>566</v>
      </c>
      <c r="BB19" s="63">
        <f ca="1">IFERROR(__xludf.DUMMYFUNCTION("IMPORTRANGE(""https://docs.google.com/spreadsheets/d/1gFVb7qd7amutrIxAAoM7lcy35hllxznovot8lyOfvDo/edit?usp=sharing"",""น่าน!J582"")"),2554.2)</f>
        <v>2554.1999999999998</v>
      </c>
      <c r="BC19" s="140">
        <f ca="1">IFERROR(__xludf.DUMMYFUNCTION("IMPORTRANGE(""https://docs.google.com/spreadsheets/d/1gFVb7qd7amutrIxAAoM7lcy35hllxznovot8lyOfvDo/edit?usp=sharing"",""น่าน!J583"")"),814)</f>
        <v>814</v>
      </c>
      <c r="BD19" s="141">
        <f ca="1">IFERROR(__xludf.DUMMYFUNCTION("IMPORTRANGE(""https://docs.google.com/spreadsheets/d/1gFVb7qd7amutrIxAAoM7lcy35hllxznovot8lyOfvDo/edit?usp=sharing"",""น่าน!J584"")"),2504)</f>
        <v>2504</v>
      </c>
      <c r="BE19" s="140">
        <f ca="1">IFERROR(__xludf.DUMMYFUNCTION("IMPORTRANGE(""https://docs.google.com/spreadsheets/d/1gFVb7qd7amutrIxAAoM7lcy35hllxznovot8lyOfvDo/edit?usp=sharing"",""น่าน!J585"")"),805)</f>
        <v>805</v>
      </c>
      <c r="BF19" s="141">
        <f ca="1">IFERROR(__xludf.DUMMYFUNCTION("IMPORTRANGE(""https://docs.google.com/spreadsheets/d/1gFVb7qd7amutrIxAAoM7lcy35hllxznovot8lyOfvDo/edit?usp=sharing"",""น่าน!J586"")"),50.2)</f>
        <v>50.2</v>
      </c>
      <c r="BG19" s="140">
        <f ca="1">IFERROR(__xludf.DUMMYFUNCTION("IMPORTRANGE(""https://docs.google.com/spreadsheets/d/1gFVb7qd7amutrIxAAoM7lcy35hllxznovot8lyOfvDo/edit?usp=sharing"",""น่าน!J587"")"),9)</f>
        <v>9</v>
      </c>
      <c r="BH19" s="63">
        <f ca="1">IFERROR(__xludf.DUMMYFUNCTION("IMPORTRANGE(""https://docs.google.com/spreadsheets/d/1gFVb7qd7amutrIxAAoM7lcy35hllxznovot8lyOfvDo/edit?usp=sharing"",""น่าน!J588"")"),0)</f>
        <v>0</v>
      </c>
      <c r="BI19" s="140">
        <f ca="1">IFERROR(__xludf.DUMMYFUNCTION("IMPORTRANGE(""https://docs.google.com/spreadsheets/d/1gFVb7qd7amutrIxAAoM7lcy35hllxznovot8lyOfvDo/edit?usp=sharing"",""น่าน!J589"")"),0)</f>
        <v>0</v>
      </c>
      <c r="BJ19" s="63">
        <f ca="1">IFERROR(__xludf.DUMMYFUNCTION("IMPORTRANGE(""https://docs.google.com/spreadsheets/d/1gFVb7qd7amutrIxAAoM7lcy35hllxznovot8lyOfvDo/edit?usp=sharing"",""น่าน!J590"")"),0)</f>
        <v>0</v>
      </c>
      <c r="BK19" s="140">
        <f ca="1">IFERROR(__xludf.DUMMYFUNCTION("IMPORTRANGE(""https://docs.google.com/spreadsheets/d/1gFVb7qd7amutrIxAAoM7lcy35hllxznovot8lyOfvDo/edit?usp=sharing"",""น่าน!J591"")"),0)</f>
        <v>0</v>
      </c>
      <c r="BL19" s="57">
        <f ca="1">IFERROR(__xludf.DUMMYFUNCTION("IMPORTRANGE(""https://docs.google.com/spreadsheets/d/1gFVb7qd7amutrIxAAoM7lcy35hllxznovot8lyOfvDo/edit?usp=sharing"",""น่าน!I593"")"),1261.48)</f>
        <v>1261.48</v>
      </c>
      <c r="BM19" s="57">
        <f ca="1">IFERROR(__xludf.DUMMYFUNCTION("IMPORTRANGE(""https://docs.google.com/spreadsheets/d/1gFVb7qd7amutrIxAAoM7lcy35hllxznovot8lyOfvDo/edit?usp=sharing"",""น่าน!I594"")"),190)</f>
        <v>190</v>
      </c>
      <c r="BN19" s="63">
        <f ca="1">IFERROR(__xludf.DUMMYFUNCTION("IMPORTRANGE(""https://docs.google.com/spreadsheets/d/1gFVb7qd7amutrIxAAoM7lcy35hllxznovot8lyOfvDo/edit?usp=sharing"",""น่าน!J593"")"),0)</f>
        <v>0</v>
      </c>
      <c r="BO19" s="63">
        <f t="shared" ca="1" si="40"/>
        <v>0</v>
      </c>
      <c r="BP19" s="57">
        <f ca="1">IFERROR(__xludf.DUMMYFUNCTION("IMPORTRANGE(""https://docs.google.com/spreadsheets/d/1gFVb7qd7amutrIxAAoM7lcy35hllxznovot8lyOfvDo/edit?usp=sharing"",""น่าน!J594"")"),0)</f>
        <v>0</v>
      </c>
      <c r="BQ19" s="63">
        <f t="shared" ca="1" si="16"/>
        <v>0</v>
      </c>
      <c r="BR19" s="63">
        <f ca="1">IFERROR(__xludf.DUMMYFUNCTION("IMPORTRANGE(""https://docs.google.com/spreadsheets/d/1gFVb7qd7amutrIxAAoM7lcy35hllxznovot8lyOfvDo/edit?usp=sharing"",""น่าน!J595"")"),0)</f>
        <v>0</v>
      </c>
      <c r="BS19" s="140">
        <f ca="1">IFERROR(__xludf.DUMMYFUNCTION("IMPORTRANGE(""https://docs.google.com/spreadsheets/d/1gFVb7qd7amutrIxAAoM7lcy35hllxznovot8lyOfvDo/edit?usp=sharing"",""น่าน!J596"")"),0)</f>
        <v>0</v>
      </c>
      <c r="BT19" s="63">
        <f ca="1">IFERROR(__xludf.DUMMYFUNCTION("IMPORTRANGE(""https://docs.google.com/spreadsheets/d/1gFVb7qd7amutrIxAAoM7lcy35hllxznovot8lyOfvDo/edit?usp=sharing"",""น่าน!J597"")"),0)</f>
        <v>0</v>
      </c>
      <c r="BU19" s="140">
        <f ca="1">IFERROR(__xludf.DUMMYFUNCTION("IMPORTRANGE(""https://docs.google.com/spreadsheets/d/1gFVb7qd7amutrIxAAoM7lcy35hllxznovot8lyOfvDo/edit?usp=sharing"",""น่าน!J598"")"),0)</f>
        <v>0</v>
      </c>
      <c r="BV19" s="63">
        <f ca="1">IFERROR(__xludf.DUMMYFUNCTION("IMPORTRANGE(""https://docs.google.com/spreadsheets/d/1gFVb7qd7amutrIxAAoM7lcy35hllxznovot8lyOfvDo/edit?usp=sharing"",""น่าน!J599"")"),0)</f>
        <v>0</v>
      </c>
      <c r="BW19" s="140">
        <f ca="1">IFERROR(__xludf.DUMMYFUNCTION("IMPORTRANGE(""https://docs.google.com/spreadsheets/d/1gFVb7qd7amutrIxAAoM7lcy35hllxznovot8lyOfvDo/edit?usp=sharing"",""น่าน!J600"")"),0)</f>
        <v>0</v>
      </c>
      <c r="BX19" s="141">
        <f ca="1">IFERROR(__xludf.DUMMYFUNCTION("IMPORTRANGE(""https://docs.google.com/spreadsheets/d/1gFVb7qd7amutrIxAAoM7lcy35hllxznovot8lyOfvDo/edit?usp=sharing"",""น่าน!J601"")"),0)</f>
        <v>0</v>
      </c>
      <c r="BY19" s="140">
        <f ca="1">IFERROR(__xludf.DUMMYFUNCTION("IMPORTRANGE(""https://docs.google.com/spreadsheets/d/1gFVb7qd7amutrIxAAoM7lcy35hllxznovot8lyOfvDo/edit?usp=sharing"",""น่าน!J602"")"),0)</f>
        <v>0</v>
      </c>
      <c r="BZ19" s="63">
        <f ca="1">IFERROR(__xludf.DUMMYFUNCTION("IMPORTRANGE(""https://docs.google.com/spreadsheets/d/1gFVb7qd7amutrIxAAoM7lcy35hllxznovot8lyOfvDo/edit?usp=sharing"",""น่าน!J603"")"),0)</f>
        <v>0</v>
      </c>
      <c r="CA19" s="140">
        <f ca="1">IFERROR(__xludf.DUMMYFUNCTION("IMPORTRANGE(""https://docs.google.com/spreadsheets/d/1gFVb7qd7amutrIxAAoM7lcy35hllxznovot8lyOfvDo/edit?usp=sharing"",""น่าน!J604"")"),0)</f>
        <v>0</v>
      </c>
      <c r="CB19" s="63">
        <f ca="1">IFERROR(__xludf.DUMMYFUNCTION("IMPORTRANGE(""https://docs.google.com/spreadsheets/d/1gFVb7qd7amutrIxAAoM7lcy35hllxznovot8lyOfvDo/edit?usp=sharing"",""น่าน!J605"")"),0)</f>
        <v>0</v>
      </c>
      <c r="CC19" s="140">
        <f ca="1">IFERROR(__xludf.DUMMYFUNCTION("IMPORTRANGE(""https://docs.google.com/spreadsheets/d/1gFVb7qd7amutrIxAAoM7lcy35hllxznovot8lyOfvDo/edit?usp=sharing"",""น่าน!J606"")"),0)</f>
        <v>0</v>
      </c>
      <c r="CD19" s="63">
        <f ca="1">IFERROR(__xludf.DUMMYFUNCTION("IMPORTRANGE(""https://docs.google.com/spreadsheets/d/1gFVb7qd7amutrIxAAoM7lcy35hllxznovot8lyOfvDo/edit?usp=sharing"",""น่าน!J607"")"),0)</f>
        <v>0</v>
      </c>
      <c r="CE19" s="140">
        <f ca="1">IFERROR(__xludf.DUMMYFUNCTION("IMPORTRANGE(""https://docs.google.com/spreadsheets/d/1gFVb7qd7amutrIxAAoM7lcy35hllxznovot8lyOfvDo/edit?usp=sharing"",""น่าน!J608"")"),0)</f>
        <v>0</v>
      </c>
      <c r="CF19" s="63">
        <f ca="1">IFERROR(__xludf.DUMMYFUNCTION("IMPORTRANGE(""https://docs.google.com/spreadsheets/d/1gFVb7qd7amutrIxAAoM7lcy35hllxznovot8lyOfvDo/edit?usp=sharing"",""น่าน!J609"")"),0)</f>
        <v>0</v>
      </c>
      <c r="CG19" s="140">
        <f ca="1">IFERROR(__xludf.DUMMYFUNCTION("IMPORTRANGE(""https://docs.google.com/spreadsheets/d/1gFVb7qd7amutrIxAAoM7lcy35hllxznovot8lyOfvDo/edit?usp=sharing"",""น่าน!J610"")"),0)</f>
        <v>0</v>
      </c>
      <c r="CH19" s="140">
        <f ca="1">IFERROR(__xludf.DUMMYFUNCTION("IMPORTRANGE(""https://docs.google.com/spreadsheets/d/1gFVb7qd7amutrIxAAoM7lcy35hllxznovot8lyOfvDo/edit?usp=sharing"",""น่าน!I612"")"),0)</f>
        <v>0</v>
      </c>
      <c r="CI19" s="140">
        <f ca="1">IFERROR(__xludf.DUMMYFUNCTION("IMPORTRANGE(""https://docs.google.com/spreadsheets/d/1gFVb7qd7amutrIxAAoM7lcy35hllxznovot8lyOfvDo/edit?usp=sharing"",""น่าน!I594"")"),190)</f>
        <v>190</v>
      </c>
      <c r="CJ19" s="141">
        <f ca="1">IFERROR(__xludf.DUMMYFUNCTION("IMPORTRANGE(""https://docs.google.com/spreadsheets/d/1gFVb7qd7amutrIxAAoM7lcy35hllxznovot8lyOfvDo/edit?usp=sharing"",""น่าน!J612"")"),0)</f>
        <v>0</v>
      </c>
      <c r="CK19" s="141">
        <f t="shared" ca="1" si="41"/>
        <v>0</v>
      </c>
      <c r="CL19" s="140">
        <f ca="1">IFERROR(__xludf.DUMMYFUNCTION("IMPORTRANGE(""https://docs.google.com/spreadsheets/d/1gFVb7qd7amutrIxAAoM7lcy35hllxznovot8lyOfvDo/edit?usp=sharing"",""น่าน!J613"")"),0)</f>
        <v>0</v>
      </c>
      <c r="CM19" s="141">
        <f t="shared" ca="1" si="19"/>
        <v>0</v>
      </c>
      <c r="CN19" s="63">
        <f ca="1">IFERROR(__xludf.DUMMYFUNCTION("IMPORTRANGE(""https://docs.google.com/spreadsheets/d/1gFVb7qd7amutrIxAAoM7lcy35hllxznovot8lyOfvDo/edit?usp=sharing"",""น่าน!J614"")"),0)</f>
        <v>0</v>
      </c>
      <c r="CO19" s="140">
        <f ca="1">IFERROR(__xludf.DUMMYFUNCTION("IMPORTRANGE(""https://docs.google.com/spreadsheets/d/1gFVb7qd7amutrIxAAoM7lcy35hllxznovot8lyOfvDo/edit?usp=sharing"",""น่าน!J615"")"),0)</f>
        <v>0</v>
      </c>
      <c r="CP19" s="63">
        <f ca="1">IFERROR(__xludf.DUMMYFUNCTION("IMPORTRANGE(""https://docs.google.com/spreadsheets/d/1gFVb7qd7amutrIxAAoM7lcy35hllxznovot8lyOfvDo/edit?usp=sharing"",""น่าน!J616"")"),0)</f>
        <v>0</v>
      </c>
      <c r="CQ19" s="140">
        <f ca="1">IFERROR(__xludf.DUMMYFUNCTION("IMPORTRANGE(""https://docs.google.com/spreadsheets/d/1gFVb7qd7amutrIxAAoM7lcy35hllxznovot8lyOfvDo/edit?usp=sharing"",""น่าน!J617"")"),0)</f>
        <v>0</v>
      </c>
      <c r="CR19" s="140">
        <f ca="1">IFERROR(__xludf.DUMMYFUNCTION("IMPORTRANGE(""https://docs.google.com/spreadsheets/d/1gFVb7qd7amutrIxAAoM7lcy35hllxznovot8lyOfvDo/edit?usp=sharing"",""น่าน!I620"")"),0)</f>
        <v>0</v>
      </c>
      <c r="CS19" s="140">
        <f ca="1">IFERROR(__xludf.DUMMYFUNCTION("IMPORTRANGE(""https://docs.google.com/spreadsheets/d/1gFVb7qd7amutrIxAAoM7lcy35hllxznovot8lyOfvDo/edit?usp=sharing"",""น่าน!I621"")"),0)</f>
        <v>0</v>
      </c>
      <c r="CT19" s="141">
        <f ca="1">IFERROR(__xludf.DUMMYFUNCTION("IMPORTRANGE(""https://docs.google.com/spreadsheets/d/1gFVb7qd7amutrIxAAoM7lcy35hllxznovot8lyOfvDo/edit?usp=sharing"",""น่าน!J620"")"),0)</f>
        <v>0</v>
      </c>
      <c r="CU19" s="141">
        <f t="shared" ca="1" si="42"/>
        <v>0</v>
      </c>
      <c r="CV19" s="140">
        <f ca="1">IFERROR(__xludf.DUMMYFUNCTION("IMPORTRANGE(""https://docs.google.com/spreadsheets/d/1gFVb7qd7amutrIxAAoM7lcy35hllxznovot8lyOfvDo/edit?usp=sharing"",""น่าน!J621"")"),0)</f>
        <v>0</v>
      </c>
      <c r="CW19" s="141">
        <f t="shared" ca="1" si="22"/>
        <v>0</v>
      </c>
      <c r="CX19" s="63">
        <f ca="1">IFERROR(__xludf.DUMMYFUNCTION("IMPORTRANGE(""https://docs.google.com/spreadsheets/d/1gFVb7qd7amutrIxAAoM7lcy35hllxznovot8lyOfvDo/edit?usp=sharing"",""น่าน!J622"")"),0)</f>
        <v>0</v>
      </c>
      <c r="CY19" s="140">
        <f ca="1">IFERROR(__xludf.DUMMYFUNCTION("IMPORTRANGE(""https://docs.google.com/spreadsheets/d/1gFVb7qd7amutrIxAAoM7lcy35hllxznovot8lyOfvDo/edit?usp=sharing"",""น่าน!J623"")"),0)</f>
        <v>0</v>
      </c>
      <c r="CZ19" s="63">
        <f ca="1">IFERROR(__xludf.DUMMYFUNCTION("IMPORTRANGE(""https://docs.google.com/spreadsheets/d/1gFVb7qd7amutrIxAAoM7lcy35hllxznovot8lyOfvDo/edit?usp=sharing"",""น่าน!J624"")"),0)</f>
        <v>0</v>
      </c>
      <c r="DA19" s="140">
        <f ca="1">IFERROR(__xludf.DUMMYFUNCTION("IMPORTRANGE(""https://docs.google.com/spreadsheets/d/1gFVb7qd7amutrIxAAoM7lcy35hllxznovot8lyOfvDo/edit?usp=sharing"",""น่าน!J625"")"),0)</f>
        <v>0</v>
      </c>
      <c r="DB19" s="63">
        <f ca="1">IFERROR(__xludf.DUMMYFUNCTION("IMPORTRANGE(""https://docs.google.com/spreadsheets/d/1gFVb7qd7amutrIxAAoM7lcy35hllxznovot8lyOfvDo/edit?usp=sharing"",""น่าน!J626"")"),0)</f>
        <v>0</v>
      </c>
      <c r="DC19" s="140">
        <f ca="1">IFERROR(__xludf.DUMMYFUNCTION("IMPORTRANGE(""https://docs.google.com/spreadsheets/d/1gFVb7qd7amutrIxAAoM7lcy35hllxznovot8lyOfvDo/edit?usp=sharing"",""น่าน!J627"")"),0)</f>
        <v>0</v>
      </c>
    </row>
    <row r="20" spans="1:107" ht="24" customHeight="1" x14ac:dyDescent="0.3">
      <c r="A20" s="54">
        <v>7</v>
      </c>
      <c r="B20" s="55" t="s">
        <v>41</v>
      </c>
      <c r="C20" s="56">
        <f t="shared" ca="1" si="55"/>
        <v>348546</v>
      </c>
      <c r="D20" s="57">
        <f ca="1">IFERROR(__xludf.DUMMYFUNCTION("IMPORTRANGE(""https://docs.google.com/spreadsheets/d/1K0Aa9s-6EuHE5M0FG1F9aHLXRCOV917xvycTdLdct0w/edit?usp=sharing"",""พะเยา!L549"")"),348546)</f>
        <v>348546</v>
      </c>
      <c r="E20" s="64">
        <f ca="1">IFERROR(__xludf.DUMMYFUNCTION("IMPORTRANGE(""https://docs.google.com/spreadsheets/d/1K0Aa9s-6EuHE5M0FG1F9aHLXRCOV917xvycTdLdct0w/edit?usp=sharing"",""พะเยา!L557"")"),0)</f>
        <v>0</v>
      </c>
      <c r="F20" s="64">
        <f ca="1">IFERROR(__xludf.DUMMYFUNCTION("IMPORTRANGE(""https://docs.google.com/spreadsheets/d/1K0Aa9s-6EuHE5M0FG1F9aHLXRCOV917xvycTdLdct0w/edit?usp=sharing"",""พะเยา!M549"")"),348546)</f>
        <v>348546</v>
      </c>
      <c r="G20" s="64">
        <f ca="1">IFERROR(__xludf.DUMMYFUNCTION("IMPORTRANGE(""https://docs.google.com/spreadsheets/d/1K0Aa9s-6EuHE5M0FG1F9aHLXRCOV917xvycTdLdct0w/edit?usp=sharing"",""พะเยา!M557"")"),0)</f>
        <v>0</v>
      </c>
      <c r="H20" s="58">
        <f t="shared" ca="1" si="36"/>
        <v>197775</v>
      </c>
      <c r="I20" s="59">
        <f t="shared" ca="1" si="1"/>
        <v>56.74286894699695</v>
      </c>
      <c r="J20" s="60">
        <f t="shared" ca="1" si="56"/>
        <v>197775</v>
      </c>
      <c r="K20" s="61">
        <f t="shared" ca="1" si="44"/>
        <v>56.74286894699695</v>
      </c>
      <c r="L20" s="61">
        <f t="shared" ca="1" si="45"/>
        <v>56.74286894699695</v>
      </c>
      <c r="M20" s="64">
        <f ca="1">IFERROR(__xludf.DUMMYFUNCTION("IMPORTRANGE(""https://docs.google.com/spreadsheets/d/1K0Aa9s-6EuHE5M0FG1F9aHLXRCOV917xvycTdLdct0w/edit?usp=sharing"",""พะเยา!N550"")"),0)</f>
        <v>0</v>
      </c>
      <c r="N20" s="64">
        <f ca="1">IFERROR(__xludf.DUMMYFUNCTION("IMPORTRANGE(""https://docs.google.com/spreadsheets/d/1K0Aa9s-6EuHE5M0FG1F9aHLXRCOV917xvycTdLdct0w/edit?usp=sharing"",""พะเยา!N551"")"),0)</f>
        <v>0</v>
      </c>
      <c r="O20" s="64">
        <f ca="1">IFERROR(__xludf.DUMMYFUNCTION("IMPORTRANGE(""https://docs.google.com/spreadsheets/d/1K0Aa9s-6EuHE5M0FG1F9aHLXRCOV917xvycTdLdct0w/edit?usp=sharing"",""พะเยา!N552"")"),76264)</f>
        <v>76264</v>
      </c>
      <c r="P20" s="64">
        <f ca="1">IFERROR(__xludf.DUMMYFUNCTION("IMPORTRANGE(""https://docs.google.com/spreadsheets/d/1K0Aa9s-6EuHE5M0FG1F9aHLXRCOV917xvycTdLdct0w/edit?usp=sharing"",""พะเยา!N553"")"),121511)</f>
        <v>121511</v>
      </c>
      <c r="Q20" s="64">
        <f ca="1">IFERROR(__xludf.DUMMYFUNCTION("IMPORTRANGE(""https://docs.google.com/spreadsheets/d/1K0Aa9s-6EuHE5M0FG1F9aHLXRCOV917xvycTdLdct0w/edit?usp=sharing"",""พะเยา!N554"")"),0)</f>
        <v>0</v>
      </c>
      <c r="R20" s="62">
        <f ca="1">IFERROR(__xludf.DUMMYFUNCTION("IMPORTRANGE(""https://docs.google.com/spreadsheets/d/1K0Aa9s-6EuHE5M0FG1F9aHLXRCOV917xvycTdLdct0w/edit?usp=sharing"",""พะเยา!N557"")"),0)</f>
        <v>0</v>
      </c>
      <c r="S20" s="62">
        <f t="shared" ca="1" si="47"/>
        <v>0</v>
      </c>
      <c r="T20" s="57">
        <f ca="1">IFERROR(__xludf.DUMMYFUNCTION("IMPORTRANGE(""https://docs.google.com/spreadsheets/d/1K0Aa9s-6EuHE5M0FG1F9aHLXRCOV917xvycTdLdct0w/edit?usp=sharing"",""พะเยา!I560"")"),25837)</f>
        <v>25837</v>
      </c>
      <c r="U20" s="57">
        <f ca="1">IFERROR(__xludf.DUMMYFUNCTION("IMPORTRANGE(""https://docs.google.com/spreadsheets/d/1K0Aa9s-6EuHE5M0FG1F9aHLXRCOV917xvycTdLdct0w/edit?usp=sharing"",""พะเยา!I561"")"),4200)</f>
        <v>4200</v>
      </c>
      <c r="V20" s="63">
        <f ca="1">IFERROR(__xludf.DUMMYFUNCTION("IMPORTRANGE(""https://docs.google.com/spreadsheets/d/1K0Aa9s-6EuHE5M0FG1F9aHLXRCOV917xvycTdLdct0w/edit?usp=sharing"",""พะเยา!J560"")"),25837.94)</f>
        <v>25837.94</v>
      </c>
      <c r="W20" s="63">
        <f t="shared" ca="1" si="37"/>
        <v>100.00363819328869</v>
      </c>
      <c r="X20" s="57">
        <f ca="1">IFERROR(__xludf.DUMMYFUNCTION("IMPORTRANGE(""https://docs.google.com/spreadsheets/d/1K0Aa9s-6EuHE5M0FG1F9aHLXRCOV917xvycTdLdct0w/edit?usp=sharing"",""พะเยา!J561"")"),4200)</f>
        <v>4200</v>
      </c>
      <c r="Y20" s="63">
        <f t="shared" ca="1" si="7"/>
        <v>100</v>
      </c>
      <c r="Z20" s="63">
        <f ca="1">IFERROR(__xludf.DUMMYFUNCTION("IMPORTRANGE(""https://docs.google.com/spreadsheets/d/1K0Aa9s-6EuHE5M0FG1F9aHLXRCOV917xvycTdLdct0w/edit?usp=sharing"",""พะเยา!J562"")"),21337.6)</f>
        <v>21337.599999999999</v>
      </c>
      <c r="AA20" s="140">
        <f ca="1">IFERROR(__xludf.DUMMYFUNCTION("IMPORTRANGE(""https://docs.google.com/spreadsheets/d/1K0Aa9s-6EuHE5M0FG1F9aHLXRCOV917xvycTdLdct0w/edit?usp=sharing"",""พะเยา!J563"")"),3517)</f>
        <v>3517</v>
      </c>
      <c r="AB20" s="63">
        <f ca="1">IFERROR(__xludf.DUMMYFUNCTION("IMPORTRANGE(""https://docs.google.com/spreadsheets/d/1K0Aa9s-6EuHE5M0FG1F9aHLXRCOV917xvycTdLdct0w/edit?usp=sharing"",""พะเยา!J564"")"),4281)</f>
        <v>4281</v>
      </c>
      <c r="AC20" s="140">
        <f ca="1">IFERROR(__xludf.DUMMYFUNCTION("IMPORTRANGE(""https://docs.google.com/spreadsheets/d/1K0Aa9s-6EuHE5M0FG1F9aHLXRCOV917xvycTdLdct0w/edit?usp=sharing"",""พะเยา!J565"")"),651)</f>
        <v>651</v>
      </c>
      <c r="AD20" s="63">
        <f ca="1">IFERROR(__xludf.DUMMYFUNCTION("IMPORTRANGE(""https://docs.google.com/spreadsheets/d/1K0Aa9s-6EuHE5M0FG1F9aHLXRCOV917xvycTdLdct0w/edit?usp=sharing"",""พะเยา!J566"")"),219.34)</f>
        <v>219.34</v>
      </c>
      <c r="AE20" s="140">
        <f ca="1">IFERROR(__xludf.DUMMYFUNCTION("IMPORTRANGE(""https://docs.google.com/spreadsheets/d/1K0Aa9s-6EuHE5M0FG1F9aHLXRCOV917xvycTdLdct0w/edit?usp=sharing"",""พะเยา!J567"")"),32)</f>
        <v>32</v>
      </c>
      <c r="AF20" s="57">
        <f ca="1">IFERROR(__xludf.DUMMYFUNCTION("IMPORTRANGE(""https://docs.google.com/spreadsheets/d/1K0Aa9s-6EuHE5M0FG1F9aHLXRCOV917xvycTdLdct0w/edit?usp=sharing"",""พะเยา!I568"")"),25837)</f>
        <v>25837</v>
      </c>
      <c r="AG20" s="57">
        <f ca="1">IFERROR(__xludf.DUMMYFUNCTION("IMPORTRANGE(""https://docs.google.com/spreadsheets/d/1K0Aa9s-6EuHE5M0FG1F9aHLXRCOV917xvycTdLdct0w/edit?usp=sharing"",""พะเยา!I569"")"),4200)</f>
        <v>4200</v>
      </c>
      <c r="AH20" s="63">
        <f ca="1">IFERROR(__xludf.DUMMYFUNCTION("IMPORTRANGE(""https://docs.google.com/spreadsheets/d/1K0Aa9s-6EuHE5M0FG1F9aHLXRCOV917xvycTdLdct0w/edit?usp=sharing"",""พะเยา!J568"")"),25838)</f>
        <v>25838</v>
      </c>
      <c r="AI20" s="63">
        <f t="shared" ca="1" si="38"/>
        <v>100.00387041839222</v>
      </c>
      <c r="AJ20" s="57">
        <f ca="1">IFERROR(__xludf.DUMMYFUNCTION("IMPORTRANGE(""https://docs.google.com/spreadsheets/d/1K0Aa9s-6EuHE5M0FG1F9aHLXRCOV917xvycTdLdct0w/edit?usp=sharing"",""พะเยา!J569"")"),4200)</f>
        <v>4200</v>
      </c>
      <c r="AK20" s="63">
        <f t="shared" ca="1" si="10"/>
        <v>100</v>
      </c>
      <c r="AL20" s="63">
        <f ca="1">IFERROR(__xludf.DUMMYFUNCTION("IMPORTRANGE(""https://docs.google.com/spreadsheets/d/1K0Aa9s-6EuHE5M0FG1F9aHLXRCOV917xvycTdLdct0w/edit?usp=sharing"",""พะเยา!J570"")"),22489)</f>
        <v>22489</v>
      </c>
      <c r="AM20" s="140">
        <f ca="1">IFERROR(__xludf.DUMMYFUNCTION("IMPORTRANGE(""https://docs.google.com/spreadsheets/d/1K0Aa9s-6EuHE5M0FG1F9aHLXRCOV917xvycTdLdct0w/edit?usp=sharing"",""พะเยา!J571"")"),3709)</f>
        <v>3709</v>
      </c>
      <c r="AN20" s="63">
        <f ca="1">IFERROR(__xludf.DUMMYFUNCTION("IMPORTRANGE(""https://docs.google.com/spreadsheets/d/1K0Aa9s-6EuHE5M0FG1F9aHLXRCOV917xvycTdLdct0w/edit?usp=sharing"",""พะเยา!J572"")"),2238)</f>
        <v>2238</v>
      </c>
      <c r="AO20" s="140">
        <f ca="1">IFERROR(__xludf.DUMMYFUNCTION("IMPORTRANGE(""https://docs.google.com/spreadsheets/d/1K0Aa9s-6EuHE5M0FG1F9aHLXRCOV917xvycTdLdct0w/edit?usp=sharing"",""พะเยา!J573"")"),335)</f>
        <v>335</v>
      </c>
      <c r="AP20" s="63">
        <f ca="1">IFERROR(__xludf.DUMMYFUNCTION("IMPORTRANGE(""https://docs.google.com/spreadsheets/d/1K0Aa9s-6EuHE5M0FG1F9aHLXRCOV917xvycTdLdct0w/edit?usp=sharing"",""พะเยา!J574"")"),1111)</f>
        <v>1111</v>
      </c>
      <c r="AQ20" s="140">
        <f ca="1">IFERROR(__xludf.DUMMYFUNCTION("IMPORTRANGE(""https://docs.google.com/spreadsheets/d/1K0Aa9s-6EuHE5M0FG1F9aHLXRCOV917xvycTdLdct0w/edit?usp=sharing"",""พะเยา!J575"")"),156)</f>
        <v>156</v>
      </c>
      <c r="AR20" s="57">
        <f ca="1">IFERROR(__xludf.DUMMYFUNCTION("IMPORTRANGE(""https://docs.google.com/spreadsheets/d/1K0Aa9s-6EuHE5M0FG1F9aHLXRCOV917xvycTdLdct0w/edit?usp=sharing"",""พะเยา!I576"")"),25837)</f>
        <v>25837</v>
      </c>
      <c r="AS20" s="57">
        <f ca="1">IFERROR(__xludf.DUMMYFUNCTION("IMPORTRANGE(""https://docs.google.com/spreadsheets/d/1K0Aa9s-6EuHE5M0FG1F9aHLXRCOV917xvycTdLdct0w/edit?usp=sharing"",""พะเยา!I577"")"),4200)</f>
        <v>4200</v>
      </c>
      <c r="AT20" s="63">
        <f ca="1">IFERROR(__xludf.DUMMYFUNCTION("IMPORTRANGE(""https://docs.google.com/spreadsheets/d/1K0Aa9s-6EuHE5M0FG1F9aHLXRCOV917xvycTdLdct0w/edit?usp=sharing"",""พะเยา!J576"")"),0)</f>
        <v>0</v>
      </c>
      <c r="AU20" s="63">
        <f t="shared" ca="1" si="39"/>
        <v>0</v>
      </c>
      <c r="AV20" s="57">
        <f ca="1">IFERROR(__xludf.DUMMYFUNCTION("IMPORTRANGE(""https://docs.google.com/spreadsheets/d/1K0Aa9s-6EuHE5M0FG1F9aHLXRCOV917xvycTdLdct0w/edit?usp=sharing"",""พะเยา!J577"")"),0)</f>
        <v>0</v>
      </c>
      <c r="AW20" s="63">
        <f t="shared" ca="1" si="13"/>
        <v>0</v>
      </c>
      <c r="AX20" s="63">
        <f ca="1">IFERROR(__xludf.DUMMYFUNCTION("IMPORTRANGE(""https://docs.google.com/spreadsheets/d/1K0Aa9s-6EuHE5M0FG1F9aHLXRCOV917xvycTdLdct0w/edit?usp=sharing"",""พะเยา!J578"")"),0)</f>
        <v>0</v>
      </c>
      <c r="AY20" s="140">
        <f ca="1">IFERROR(__xludf.DUMMYFUNCTION("IMPORTRANGE(""https://docs.google.com/spreadsheets/d/1K0Aa9s-6EuHE5M0FG1F9aHLXRCOV917xvycTdLdct0w/edit?usp=sharing"",""พะเยา!J579"")"),0)</f>
        <v>0</v>
      </c>
      <c r="AZ20" s="63">
        <f ca="1">IFERROR(__xludf.DUMMYFUNCTION("IMPORTRANGE(""https://docs.google.com/spreadsheets/d/1K0Aa9s-6EuHE5M0FG1F9aHLXRCOV917xvycTdLdct0w/edit?usp=sharing"",""พะเยา!J580"")"),0)</f>
        <v>0</v>
      </c>
      <c r="BA20" s="140">
        <f ca="1">IFERROR(__xludf.DUMMYFUNCTION("IMPORTRANGE(""https://docs.google.com/spreadsheets/d/1K0Aa9s-6EuHE5M0FG1F9aHLXRCOV917xvycTdLdct0w/edit?usp=sharing"",""พะเยา!J581"")"),0)</f>
        <v>0</v>
      </c>
      <c r="BB20" s="63">
        <f ca="1">IFERROR(__xludf.DUMMYFUNCTION("IMPORTRANGE(""https://docs.google.com/spreadsheets/d/1K0Aa9s-6EuHE5M0FG1F9aHLXRCOV917xvycTdLdct0w/edit?usp=sharing"",""พะเยา!J582"")"),0)</f>
        <v>0</v>
      </c>
      <c r="BC20" s="140">
        <f ca="1">IFERROR(__xludf.DUMMYFUNCTION("IMPORTRANGE(""https://docs.google.com/spreadsheets/d/1K0Aa9s-6EuHE5M0FG1F9aHLXRCOV917xvycTdLdct0w/edit?usp=sharing"",""พะเยา!J583"")"),0)</f>
        <v>0</v>
      </c>
      <c r="BD20" s="141">
        <f ca="1">IFERROR(__xludf.DUMMYFUNCTION("IMPORTRANGE(""https://docs.google.com/spreadsheets/d/1K0Aa9s-6EuHE5M0FG1F9aHLXRCOV917xvycTdLdct0w/edit?usp=sharing"",""พะเยา!J584"")"),0)</f>
        <v>0</v>
      </c>
      <c r="BE20" s="140">
        <f ca="1">IFERROR(__xludf.DUMMYFUNCTION("IMPORTRANGE(""https://docs.google.com/spreadsheets/d/1K0Aa9s-6EuHE5M0FG1F9aHLXRCOV917xvycTdLdct0w/edit?usp=sharing"",""พะเยา!J585"")"),0)</f>
        <v>0</v>
      </c>
      <c r="BF20" s="141">
        <f ca="1">IFERROR(__xludf.DUMMYFUNCTION("IMPORTRANGE(""https://docs.google.com/spreadsheets/d/1K0Aa9s-6EuHE5M0FG1F9aHLXRCOV917xvycTdLdct0w/edit?usp=sharing"",""พะเยา!J586"")"),0)</f>
        <v>0</v>
      </c>
      <c r="BG20" s="140">
        <f ca="1">IFERROR(__xludf.DUMMYFUNCTION("IMPORTRANGE(""https://docs.google.com/spreadsheets/d/1K0Aa9s-6EuHE5M0FG1F9aHLXRCOV917xvycTdLdct0w/edit?usp=sharing"",""พะเยา!J587"")"),0)</f>
        <v>0</v>
      </c>
      <c r="BH20" s="63">
        <f ca="1">IFERROR(__xludf.DUMMYFUNCTION("IMPORTRANGE(""https://docs.google.com/spreadsheets/d/1K0Aa9s-6EuHE5M0FG1F9aHLXRCOV917xvycTdLdct0w/edit?usp=sharing"",""พะเยา!J588"")"),0)</f>
        <v>0</v>
      </c>
      <c r="BI20" s="140">
        <f ca="1">IFERROR(__xludf.DUMMYFUNCTION("IMPORTRANGE(""https://docs.google.com/spreadsheets/d/1K0Aa9s-6EuHE5M0FG1F9aHLXRCOV917xvycTdLdct0w/edit?usp=sharing"",""พะเยา!J589"")"),0)</f>
        <v>0</v>
      </c>
      <c r="BJ20" s="63">
        <f ca="1">IFERROR(__xludf.DUMMYFUNCTION("IMPORTRANGE(""https://docs.google.com/spreadsheets/d/1K0Aa9s-6EuHE5M0FG1F9aHLXRCOV917xvycTdLdct0w/edit?usp=sharing"",""พะเยา!J590"")"),0)</f>
        <v>0</v>
      </c>
      <c r="BK20" s="140">
        <f ca="1">IFERROR(__xludf.DUMMYFUNCTION("IMPORTRANGE(""https://docs.google.com/spreadsheets/d/1K0Aa9s-6EuHE5M0FG1F9aHLXRCOV917xvycTdLdct0w/edit?usp=sharing"",""พะเยา!J591"")"),0)</f>
        <v>0</v>
      </c>
      <c r="BL20" s="57">
        <f ca="1">IFERROR(__xludf.DUMMYFUNCTION("IMPORTRANGE(""https://docs.google.com/spreadsheets/d/1K0Aa9s-6EuHE5M0FG1F9aHLXRCOV917xvycTdLdct0w/edit?usp=sharing"",""พะเยา!I593"")"),795.13)</f>
        <v>795.13</v>
      </c>
      <c r="BM20" s="57">
        <f ca="1">IFERROR(__xludf.DUMMYFUNCTION("IMPORTRANGE(""https://docs.google.com/spreadsheets/d/1K0Aa9s-6EuHE5M0FG1F9aHLXRCOV917xvycTdLdct0w/edit?usp=sharing"",""พะเยา!I594"")"),89)</f>
        <v>89</v>
      </c>
      <c r="BN20" s="63">
        <f ca="1">IFERROR(__xludf.DUMMYFUNCTION("IMPORTRANGE(""https://docs.google.com/spreadsheets/d/1K0Aa9s-6EuHE5M0FG1F9aHLXRCOV917xvycTdLdct0w/edit?usp=sharing"",""พะเยา!J593"")"),0)</f>
        <v>0</v>
      </c>
      <c r="BO20" s="63">
        <f t="shared" ca="1" si="40"/>
        <v>0</v>
      </c>
      <c r="BP20" s="57">
        <f ca="1">IFERROR(__xludf.DUMMYFUNCTION("IMPORTRANGE(""https://docs.google.com/spreadsheets/d/1K0Aa9s-6EuHE5M0FG1F9aHLXRCOV917xvycTdLdct0w/edit?usp=sharing"",""พะเยา!J594"")"),0)</f>
        <v>0</v>
      </c>
      <c r="BQ20" s="63">
        <f t="shared" ca="1" si="16"/>
        <v>0</v>
      </c>
      <c r="BR20" s="63">
        <f ca="1">IFERROR(__xludf.DUMMYFUNCTION("IMPORTRANGE(""https://docs.google.com/spreadsheets/d/1K0Aa9s-6EuHE5M0FG1F9aHLXRCOV917xvycTdLdct0w/edit?usp=sharing"",""พะเยา!J595"")"),0)</f>
        <v>0</v>
      </c>
      <c r="BS20" s="140">
        <f ca="1">IFERROR(__xludf.DUMMYFUNCTION("IMPORTRANGE(""https://docs.google.com/spreadsheets/d/1K0Aa9s-6EuHE5M0FG1F9aHLXRCOV917xvycTdLdct0w/edit?usp=sharing"",""พะเยา!J596"")"),0)</f>
        <v>0</v>
      </c>
      <c r="BT20" s="63">
        <f ca="1">IFERROR(__xludf.DUMMYFUNCTION("IMPORTRANGE(""https://docs.google.com/spreadsheets/d/1K0Aa9s-6EuHE5M0FG1F9aHLXRCOV917xvycTdLdct0w/edit?usp=sharing"",""พะเยา!J597"")"),0)</f>
        <v>0</v>
      </c>
      <c r="BU20" s="140">
        <f ca="1">IFERROR(__xludf.DUMMYFUNCTION("IMPORTRANGE(""https://docs.google.com/spreadsheets/d/1K0Aa9s-6EuHE5M0FG1F9aHLXRCOV917xvycTdLdct0w/edit?usp=sharing"",""พะเยา!J598"")"),0)</f>
        <v>0</v>
      </c>
      <c r="BV20" s="63">
        <f ca="1">IFERROR(__xludf.DUMMYFUNCTION("IMPORTRANGE(""https://docs.google.com/spreadsheets/d/1K0Aa9s-6EuHE5M0FG1F9aHLXRCOV917xvycTdLdct0w/edit?usp=sharing"",""พะเยา!J599"")"),0)</f>
        <v>0</v>
      </c>
      <c r="BW20" s="140">
        <f ca="1">IFERROR(__xludf.DUMMYFUNCTION("IMPORTRANGE(""https://docs.google.com/spreadsheets/d/1K0Aa9s-6EuHE5M0FG1F9aHLXRCOV917xvycTdLdct0w/edit?usp=sharing"",""พะเยา!J600"")"),0)</f>
        <v>0</v>
      </c>
      <c r="BX20" s="141">
        <f ca="1">IFERROR(__xludf.DUMMYFUNCTION("IMPORTRANGE(""https://docs.google.com/spreadsheets/d/1K0Aa9s-6EuHE5M0FG1F9aHLXRCOV917xvycTdLdct0w/edit?usp=sharing"",""พะเยา!J601"")"),0)</f>
        <v>0</v>
      </c>
      <c r="BY20" s="140">
        <f ca="1">IFERROR(__xludf.DUMMYFUNCTION("IMPORTRANGE(""https://docs.google.com/spreadsheets/d/1K0Aa9s-6EuHE5M0FG1F9aHLXRCOV917xvycTdLdct0w/edit?usp=sharing"",""พะเยา!J602"")"),0)</f>
        <v>0</v>
      </c>
      <c r="BZ20" s="63">
        <f ca="1">IFERROR(__xludf.DUMMYFUNCTION("IMPORTRANGE(""https://docs.google.com/spreadsheets/d/1K0Aa9s-6EuHE5M0FG1F9aHLXRCOV917xvycTdLdct0w/edit?usp=sharing"",""พะเยา!J603"")"),0)</f>
        <v>0</v>
      </c>
      <c r="CA20" s="140">
        <f ca="1">IFERROR(__xludf.DUMMYFUNCTION("IMPORTRANGE(""https://docs.google.com/spreadsheets/d/1K0Aa9s-6EuHE5M0FG1F9aHLXRCOV917xvycTdLdct0w/edit?usp=sharing"",""พะเยา!J604"")"),0)</f>
        <v>0</v>
      </c>
      <c r="CB20" s="63">
        <f ca="1">IFERROR(__xludf.DUMMYFUNCTION("IMPORTRANGE(""https://docs.google.com/spreadsheets/d/1K0Aa9s-6EuHE5M0FG1F9aHLXRCOV917xvycTdLdct0w/edit?usp=sharing"",""พะเยา!J605"")"),0)</f>
        <v>0</v>
      </c>
      <c r="CC20" s="140">
        <f ca="1">IFERROR(__xludf.DUMMYFUNCTION("IMPORTRANGE(""https://docs.google.com/spreadsheets/d/1K0Aa9s-6EuHE5M0FG1F9aHLXRCOV917xvycTdLdct0w/edit?usp=sharing"",""พะเยา!J606"")"),0)</f>
        <v>0</v>
      </c>
      <c r="CD20" s="63">
        <f ca="1">IFERROR(__xludf.DUMMYFUNCTION("IMPORTRANGE(""https://docs.google.com/spreadsheets/d/1K0Aa9s-6EuHE5M0FG1F9aHLXRCOV917xvycTdLdct0w/edit?usp=sharing"",""พะเยา!J607"")"),0)</f>
        <v>0</v>
      </c>
      <c r="CE20" s="140">
        <f ca="1">IFERROR(__xludf.DUMMYFUNCTION("IMPORTRANGE(""https://docs.google.com/spreadsheets/d/1K0Aa9s-6EuHE5M0FG1F9aHLXRCOV917xvycTdLdct0w/edit?usp=sharing"",""พะเยา!J608"")"),0)</f>
        <v>0</v>
      </c>
      <c r="CF20" s="63">
        <f ca="1">IFERROR(__xludf.DUMMYFUNCTION("IMPORTRANGE(""https://docs.google.com/spreadsheets/d/1K0Aa9s-6EuHE5M0FG1F9aHLXRCOV917xvycTdLdct0w/edit?usp=sharing"",""พะเยา!J609"")"),0)</f>
        <v>0</v>
      </c>
      <c r="CG20" s="140">
        <f ca="1">IFERROR(__xludf.DUMMYFUNCTION("IMPORTRANGE(""https://docs.google.com/spreadsheets/d/1K0Aa9s-6EuHE5M0FG1F9aHLXRCOV917xvycTdLdct0w/edit?usp=sharing"",""พะเยา!J610"")"),0)</f>
        <v>0</v>
      </c>
      <c r="CH20" s="140">
        <f ca="1">IFERROR(__xludf.DUMMYFUNCTION("IMPORTRANGE(""https://docs.google.com/spreadsheets/d/1K0Aa9s-6EuHE5M0FG1F9aHLXRCOV917xvycTdLdct0w/edit?usp=sharing"",""พะเยา!I612"")"),0)</f>
        <v>0</v>
      </c>
      <c r="CI20" s="140">
        <f ca="1">IFERROR(__xludf.DUMMYFUNCTION("IMPORTRANGE(""https://docs.google.com/spreadsheets/d/1K0Aa9s-6EuHE5M0FG1F9aHLXRCOV917xvycTdLdct0w/edit?usp=sharing"",""พะเยา!I594"")"),89)</f>
        <v>89</v>
      </c>
      <c r="CJ20" s="141">
        <f ca="1">IFERROR(__xludf.DUMMYFUNCTION("IMPORTRANGE(""https://docs.google.com/spreadsheets/d/1K0Aa9s-6EuHE5M0FG1F9aHLXRCOV917xvycTdLdct0w/edit?usp=sharing"",""พะเยา!J612"")"),0)</f>
        <v>0</v>
      </c>
      <c r="CK20" s="141">
        <f t="shared" ca="1" si="41"/>
        <v>0</v>
      </c>
      <c r="CL20" s="140">
        <f ca="1">IFERROR(__xludf.DUMMYFUNCTION("IMPORTRANGE(""https://docs.google.com/spreadsheets/d/1K0Aa9s-6EuHE5M0FG1F9aHLXRCOV917xvycTdLdct0w/edit?usp=sharing"",""พะเยา!J613"")"),0)</f>
        <v>0</v>
      </c>
      <c r="CM20" s="141">
        <f t="shared" ca="1" si="19"/>
        <v>0</v>
      </c>
      <c r="CN20" s="63">
        <f ca="1">IFERROR(__xludf.DUMMYFUNCTION("IMPORTRANGE(""https://docs.google.com/spreadsheets/d/1K0Aa9s-6EuHE5M0FG1F9aHLXRCOV917xvycTdLdct0w/edit?usp=sharing"",""พะเยา!J614"")"),0)</f>
        <v>0</v>
      </c>
      <c r="CO20" s="140">
        <f ca="1">IFERROR(__xludf.DUMMYFUNCTION("IMPORTRANGE(""https://docs.google.com/spreadsheets/d/1K0Aa9s-6EuHE5M0FG1F9aHLXRCOV917xvycTdLdct0w/edit?usp=sharing"",""พะเยา!J615"")"),0)</f>
        <v>0</v>
      </c>
      <c r="CP20" s="63">
        <f ca="1">IFERROR(__xludf.DUMMYFUNCTION("IMPORTRANGE(""https://docs.google.com/spreadsheets/d/1K0Aa9s-6EuHE5M0FG1F9aHLXRCOV917xvycTdLdct0w/edit?usp=sharing"",""พะเยา!J616"")"),0)</f>
        <v>0</v>
      </c>
      <c r="CQ20" s="140">
        <f ca="1">IFERROR(__xludf.DUMMYFUNCTION("IMPORTRANGE(""https://docs.google.com/spreadsheets/d/1K0Aa9s-6EuHE5M0FG1F9aHLXRCOV917xvycTdLdct0w/edit?usp=sharing"",""พะเยา!J617"")"),0)</f>
        <v>0</v>
      </c>
      <c r="CR20" s="140">
        <f ca="1">IFERROR(__xludf.DUMMYFUNCTION("IMPORTRANGE(""https://docs.google.com/spreadsheets/d/1K0Aa9s-6EuHE5M0FG1F9aHLXRCOV917xvycTdLdct0w/edit?usp=sharing"",""พะเยา!I620"")"),173)</f>
        <v>173</v>
      </c>
      <c r="CS20" s="140">
        <f ca="1">IFERROR(__xludf.DUMMYFUNCTION("IMPORTRANGE(""https://docs.google.com/spreadsheets/d/1K0Aa9s-6EuHE5M0FG1F9aHLXRCOV917xvycTdLdct0w/edit?usp=sharing"",""พะเยา!I621"")"),19)</f>
        <v>19</v>
      </c>
      <c r="CT20" s="141">
        <f ca="1">IFERROR(__xludf.DUMMYFUNCTION("IMPORTRANGE(""https://docs.google.com/spreadsheets/d/1K0Aa9s-6EuHE5M0FG1F9aHLXRCOV917xvycTdLdct0w/edit?usp=sharing"",""พะเยา!J620"")"),0)</f>
        <v>0</v>
      </c>
      <c r="CU20" s="141">
        <f t="shared" ca="1" si="42"/>
        <v>0</v>
      </c>
      <c r="CV20" s="140">
        <f ca="1">IFERROR(__xludf.DUMMYFUNCTION("IMPORTRANGE(""https://docs.google.com/spreadsheets/d/1K0Aa9s-6EuHE5M0FG1F9aHLXRCOV917xvycTdLdct0w/edit?usp=sharing"",""พะเยา!J621"")"),0)</f>
        <v>0</v>
      </c>
      <c r="CW20" s="141">
        <f t="shared" ca="1" si="22"/>
        <v>0</v>
      </c>
      <c r="CX20" s="63">
        <f ca="1">IFERROR(__xludf.DUMMYFUNCTION("IMPORTRANGE(""https://docs.google.com/spreadsheets/d/1K0Aa9s-6EuHE5M0FG1F9aHLXRCOV917xvycTdLdct0w/edit?usp=sharing"",""พะเยา!J622"")"),0)</f>
        <v>0</v>
      </c>
      <c r="CY20" s="140">
        <f ca="1">IFERROR(__xludf.DUMMYFUNCTION("IMPORTRANGE(""https://docs.google.com/spreadsheets/d/1K0Aa9s-6EuHE5M0FG1F9aHLXRCOV917xvycTdLdct0w/edit?usp=sharing"",""พะเยา!J623"")"),0)</f>
        <v>0</v>
      </c>
      <c r="CZ20" s="63">
        <f ca="1">IFERROR(__xludf.DUMMYFUNCTION("IMPORTRANGE(""https://docs.google.com/spreadsheets/d/1K0Aa9s-6EuHE5M0FG1F9aHLXRCOV917xvycTdLdct0w/edit?usp=sharing"",""พะเยา!J624"")"),0)</f>
        <v>0</v>
      </c>
      <c r="DA20" s="140">
        <f ca="1">IFERROR(__xludf.DUMMYFUNCTION("IMPORTRANGE(""https://docs.google.com/spreadsheets/d/1K0Aa9s-6EuHE5M0FG1F9aHLXRCOV917xvycTdLdct0w/edit?usp=sharing"",""พะเยา!J625"")"),0)</f>
        <v>0</v>
      </c>
      <c r="DB20" s="63">
        <f ca="1">IFERROR(__xludf.DUMMYFUNCTION("IMPORTRANGE(""https://docs.google.com/spreadsheets/d/1K0Aa9s-6EuHE5M0FG1F9aHLXRCOV917xvycTdLdct0w/edit?usp=sharing"",""พะเยา!J626"")"),0)</f>
        <v>0</v>
      </c>
      <c r="DC20" s="140">
        <f ca="1">IFERROR(__xludf.DUMMYFUNCTION("IMPORTRANGE(""https://docs.google.com/spreadsheets/d/1K0Aa9s-6EuHE5M0FG1F9aHLXRCOV917xvycTdLdct0w/edit?usp=sharing"",""พะเยา!J627"")"),0)</f>
        <v>0</v>
      </c>
    </row>
    <row r="21" spans="1:107" ht="24" customHeight="1" x14ac:dyDescent="0.3">
      <c r="A21" s="54">
        <v>8</v>
      </c>
      <c r="B21" s="55" t="s">
        <v>42</v>
      </c>
      <c r="C21" s="56">
        <f t="shared" ca="1" si="55"/>
        <v>365626</v>
      </c>
      <c r="D21" s="57">
        <f ca="1">IFERROR(__xludf.DUMMYFUNCTION("IMPORTRANGE(""https://docs.google.com/spreadsheets/d/1Y9LPKx95PyL5OKy09d-KbKJSuuEZCFdkhYjwC0XQjBA/edit?usp=sharing"",""พิจิตร!L549"")"),365626)</f>
        <v>365626</v>
      </c>
      <c r="E21" s="64">
        <f ca="1">IFERROR(__xludf.DUMMYFUNCTION("IMPORTRANGE(""https://docs.google.com/spreadsheets/d/1Y9LPKx95PyL5OKy09d-KbKJSuuEZCFdkhYjwC0XQjBA/edit?usp=sharing"",""พิจิตร!L557"")"),0)</f>
        <v>0</v>
      </c>
      <c r="F21" s="64">
        <f ca="1">IFERROR(__xludf.DUMMYFUNCTION("IMPORTRANGE(""https://docs.google.com/spreadsheets/d/1Y9LPKx95PyL5OKy09d-KbKJSuuEZCFdkhYjwC0XQjBA/edit?usp=sharing"",""พิจิตร!M549"")"),365626)</f>
        <v>365626</v>
      </c>
      <c r="G21" s="64">
        <f ca="1">IFERROR(__xludf.DUMMYFUNCTION("IMPORTRANGE(""https://docs.google.com/spreadsheets/d/1Y9LPKx95PyL5OKy09d-KbKJSuuEZCFdkhYjwC0XQjBA/edit?usp=sharing"",""พิจิตร!M557"")"),0)</f>
        <v>0</v>
      </c>
      <c r="H21" s="58">
        <f t="shared" ca="1" si="36"/>
        <v>104001.67</v>
      </c>
      <c r="I21" s="59">
        <f t="shared" ca="1" si="1"/>
        <v>28.444823398773611</v>
      </c>
      <c r="J21" s="60">
        <f t="shared" ca="1" si="56"/>
        <v>104001.67</v>
      </c>
      <c r="K21" s="61">
        <f t="shared" ca="1" si="44"/>
        <v>28.444823398773611</v>
      </c>
      <c r="L21" s="61">
        <f t="shared" ca="1" si="45"/>
        <v>28.444823398773611</v>
      </c>
      <c r="M21" s="64">
        <f ca="1">IFERROR(__xludf.DUMMYFUNCTION("IMPORTRANGE(""https://docs.google.com/spreadsheets/d/1Y9LPKx95PyL5OKy09d-KbKJSuuEZCFdkhYjwC0XQjBA/edit?usp=sharing"",""พิจิตร!N550"")"),0)</f>
        <v>0</v>
      </c>
      <c r="N21" s="64">
        <f ca="1">IFERROR(__xludf.DUMMYFUNCTION("IMPORTRANGE(""https://docs.google.com/spreadsheets/d/1Y9LPKx95PyL5OKy09d-KbKJSuuEZCFdkhYjwC0XQjBA/edit?usp=sharing"",""พิจิตร!N551"")"),0)</f>
        <v>0</v>
      </c>
      <c r="O21" s="64">
        <f ca="1">IFERROR(__xludf.DUMMYFUNCTION("IMPORTRANGE(""https://docs.google.com/spreadsheets/d/1Y9LPKx95PyL5OKy09d-KbKJSuuEZCFdkhYjwC0XQjBA/edit?usp=sharing"",""พิจิตร!N552"")"),65646.67)</f>
        <v>65646.67</v>
      </c>
      <c r="P21" s="64">
        <f ca="1">IFERROR(__xludf.DUMMYFUNCTION("IMPORTRANGE(""https://docs.google.com/spreadsheets/d/1Y9LPKx95PyL5OKy09d-KbKJSuuEZCFdkhYjwC0XQjBA/edit?usp=sharing"",""พิจิตร!N553"")"),38355)</f>
        <v>38355</v>
      </c>
      <c r="Q21" s="64">
        <f ca="1">IFERROR(__xludf.DUMMYFUNCTION("IMPORTRANGE(""https://docs.google.com/spreadsheets/d/1Y9LPKx95PyL5OKy09d-KbKJSuuEZCFdkhYjwC0XQjBA/edit?usp=sharing"",""พิจิตร!N554"")"),0)</f>
        <v>0</v>
      </c>
      <c r="R21" s="62">
        <f ca="1">IFERROR(__xludf.DUMMYFUNCTION("IMPORTRANGE(""https://docs.google.com/spreadsheets/d/1Y9LPKx95PyL5OKy09d-KbKJSuuEZCFdkhYjwC0XQjBA/edit?usp=sharing"",""พิจิตร!N557"")"),0)</f>
        <v>0</v>
      </c>
      <c r="S21" s="62">
        <f t="shared" ca="1" si="47"/>
        <v>0</v>
      </c>
      <c r="T21" s="57">
        <f ca="1">IFERROR(__xludf.DUMMYFUNCTION("IMPORTRANGE(""https://docs.google.com/spreadsheets/d/1Y9LPKx95PyL5OKy09d-KbKJSuuEZCFdkhYjwC0XQjBA/edit?usp=sharing"",""พิจิตร!I560"")"),2373)</f>
        <v>2373</v>
      </c>
      <c r="U21" s="57">
        <f ca="1">IFERROR(__xludf.DUMMYFUNCTION("IMPORTRANGE(""https://docs.google.com/spreadsheets/d/1Y9LPKx95PyL5OKy09d-KbKJSuuEZCFdkhYjwC0XQjBA/edit?usp=sharing"",""พิจิตร!I561"")"),118)</f>
        <v>118</v>
      </c>
      <c r="V21" s="63">
        <f ca="1">IFERROR(__xludf.DUMMYFUNCTION("IMPORTRANGE(""https://docs.google.com/spreadsheets/d/1Y9LPKx95PyL5OKy09d-KbKJSuuEZCFdkhYjwC0XQjBA/edit?usp=sharing"",""พิจิตร!J560"")"),2373)</f>
        <v>2373</v>
      </c>
      <c r="W21" s="63">
        <f t="shared" ca="1" si="37"/>
        <v>100</v>
      </c>
      <c r="X21" s="57">
        <f ca="1">IFERROR(__xludf.DUMMYFUNCTION("IMPORTRANGE(""https://docs.google.com/spreadsheets/d/1Y9LPKx95PyL5OKy09d-KbKJSuuEZCFdkhYjwC0XQjBA/edit?usp=sharing"",""พิจิตร!J561"")"),118)</f>
        <v>118</v>
      </c>
      <c r="Y21" s="63">
        <f t="shared" ca="1" si="7"/>
        <v>100</v>
      </c>
      <c r="Z21" s="63">
        <f ca="1">IFERROR(__xludf.DUMMYFUNCTION("IMPORTRANGE(""https://docs.google.com/spreadsheets/d/1Y9LPKx95PyL5OKy09d-KbKJSuuEZCFdkhYjwC0XQjBA/edit?usp=sharing"",""พิจิตร!J562"")"),1870)</f>
        <v>1870</v>
      </c>
      <c r="AA21" s="140">
        <f ca="1">IFERROR(__xludf.DUMMYFUNCTION("IMPORTRANGE(""https://docs.google.com/spreadsheets/d/1Y9LPKx95PyL5OKy09d-KbKJSuuEZCFdkhYjwC0XQjBA/edit?usp=sharing"",""พิจิตร!J563"")"),97)</f>
        <v>97</v>
      </c>
      <c r="AB21" s="63">
        <f ca="1">IFERROR(__xludf.DUMMYFUNCTION("IMPORTRANGE(""https://docs.google.com/spreadsheets/d/1Y9LPKx95PyL5OKy09d-KbKJSuuEZCFdkhYjwC0XQjBA/edit?usp=sharing"",""พิจิตร!J564"")"),418)</f>
        <v>418</v>
      </c>
      <c r="AC21" s="140">
        <f ca="1">IFERROR(__xludf.DUMMYFUNCTION("IMPORTRANGE(""https://docs.google.com/spreadsheets/d/1Y9LPKx95PyL5OKy09d-KbKJSuuEZCFdkhYjwC0XQjBA/edit?usp=sharing"",""พิจิตร!J565"")"),17)</f>
        <v>17</v>
      </c>
      <c r="AD21" s="63">
        <f ca="1">IFERROR(__xludf.DUMMYFUNCTION("IMPORTRANGE(""https://docs.google.com/spreadsheets/d/1Y9LPKx95PyL5OKy09d-KbKJSuuEZCFdkhYjwC0XQjBA/edit?usp=sharing"",""พิจิตร!J566"")"),85)</f>
        <v>85</v>
      </c>
      <c r="AE21" s="140">
        <f ca="1">IFERROR(__xludf.DUMMYFUNCTION("IMPORTRANGE(""https://docs.google.com/spreadsheets/d/1Y9LPKx95PyL5OKy09d-KbKJSuuEZCFdkhYjwC0XQjBA/edit?usp=sharing"",""พิจิตร!J567"")"),4)</f>
        <v>4</v>
      </c>
      <c r="AF21" s="57">
        <f ca="1">IFERROR(__xludf.DUMMYFUNCTION("IMPORTRANGE(""https://docs.google.com/spreadsheets/d/1Y9LPKx95PyL5OKy09d-KbKJSuuEZCFdkhYjwC0XQjBA/edit?usp=sharing"",""พิจิตร!I568"")"),2373)</f>
        <v>2373</v>
      </c>
      <c r="AG21" s="57">
        <f ca="1">IFERROR(__xludf.DUMMYFUNCTION("IMPORTRANGE(""https://docs.google.com/spreadsheets/d/1Y9LPKx95PyL5OKy09d-KbKJSuuEZCFdkhYjwC0XQjBA/edit?usp=sharing"",""พิจิตร!I569"")"),118)</f>
        <v>118</v>
      </c>
      <c r="AH21" s="63">
        <f ca="1">IFERROR(__xludf.DUMMYFUNCTION("IMPORTRANGE(""https://docs.google.com/spreadsheets/d/1Y9LPKx95PyL5OKy09d-KbKJSuuEZCFdkhYjwC0XQjBA/edit?usp=sharing"",""พิจิตร!J568"")"),2373)</f>
        <v>2373</v>
      </c>
      <c r="AI21" s="63">
        <f t="shared" ca="1" si="38"/>
        <v>100</v>
      </c>
      <c r="AJ21" s="57">
        <f ca="1">IFERROR(__xludf.DUMMYFUNCTION("IMPORTRANGE(""https://docs.google.com/spreadsheets/d/1Y9LPKx95PyL5OKy09d-KbKJSuuEZCFdkhYjwC0XQjBA/edit?usp=sharing"",""พิจิตร!J569"")"),118)</f>
        <v>118</v>
      </c>
      <c r="AK21" s="63">
        <f t="shared" ca="1" si="10"/>
        <v>100</v>
      </c>
      <c r="AL21" s="63">
        <f ca="1">IFERROR(__xludf.DUMMYFUNCTION("IMPORTRANGE(""https://docs.google.com/spreadsheets/d/1Y9LPKx95PyL5OKy09d-KbKJSuuEZCFdkhYjwC0XQjBA/edit?usp=sharing"",""พิจิตร!J570"")"),1870)</f>
        <v>1870</v>
      </c>
      <c r="AM21" s="140">
        <f ca="1">IFERROR(__xludf.DUMMYFUNCTION("IMPORTRANGE(""https://docs.google.com/spreadsheets/d/1Y9LPKx95PyL5OKy09d-KbKJSuuEZCFdkhYjwC0XQjBA/edit?usp=sharing"",""พิจิตร!J571"")"),97)</f>
        <v>97</v>
      </c>
      <c r="AN21" s="63">
        <f ca="1">IFERROR(__xludf.DUMMYFUNCTION("IMPORTRANGE(""https://docs.google.com/spreadsheets/d/1Y9LPKx95PyL5OKy09d-KbKJSuuEZCFdkhYjwC0XQjBA/edit?usp=sharing"",""พิจิตร!J572"")"),418)</f>
        <v>418</v>
      </c>
      <c r="AO21" s="140">
        <f ca="1">IFERROR(__xludf.DUMMYFUNCTION("IMPORTRANGE(""https://docs.google.com/spreadsheets/d/1Y9LPKx95PyL5OKy09d-KbKJSuuEZCFdkhYjwC0XQjBA/edit?usp=sharing"",""พิจิตร!J573"")"),17)</f>
        <v>17</v>
      </c>
      <c r="AP21" s="63">
        <f ca="1">IFERROR(__xludf.DUMMYFUNCTION("IMPORTRANGE(""https://docs.google.com/spreadsheets/d/1Y9LPKx95PyL5OKy09d-KbKJSuuEZCFdkhYjwC0XQjBA/edit?usp=sharing"",""พิจิตร!J574"")"),85)</f>
        <v>85</v>
      </c>
      <c r="AQ21" s="140">
        <f ca="1">IFERROR(__xludf.DUMMYFUNCTION("IMPORTRANGE(""https://docs.google.com/spreadsheets/d/1Y9LPKx95PyL5OKy09d-KbKJSuuEZCFdkhYjwC0XQjBA/edit?usp=sharing"",""พิจิตร!J575"")"),4)</f>
        <v>4</v>
      </c>
      <c r="AR21" s="57">
        <f ca="1">IFERROR(__xludf.DUMMYFUNCTION("IMPORTRANGE(""https://docs.google.com/spreadsheets/d/1Y9LPKx95PyL5OKy09d-KbKJSuuEZCFdkhYjwC0XQjBA/edit?usp=sharing"",""พิจิตร!I576"")"),2373)</f>
        <v>2373</v>
      </c>
      <c r="AS21" s="57">
        <f ca="1">IFERROR(__xludf.DUMMYFUNCTION("IMPORTRANGE(""https://docs.google.com/spreadsheets/d/1Y9LPKx95PyL5OKy09d-KbKJSuuEZCFdkhYjwC0XQjBA/edit?usp=sharing"",""พิจิตร!I577"")"),118)</f>
        <v>118</v>
      </c>
      <c r="AT21" s="63">
        <f ca="1">IFERROR(__xludf.DUMMYFUNCTION("IMPORTRANGE(""https://docs.google.com/spreadsheets/d/1Y9LPKx95PyL5OKy09d-KbKJSuuEZCFdkhYjwC0XQjBA/edit?usp=sharing"",""พิจิตร!J576"")"),0)</f>
        <v>0</v>
      </c>
      <c r="AU21" s="63">
        <f t="shared" ca="1" si="39"/>
        <v>0</v>
      </c>
      <c r="AV21" s="57">
        <f ca="1">IFERROR(__xludf.DUMMYFUNCTION("IMPORTRANGE(""https://docs.google.com/spreadsheets/d/1Y9LPKx95PyL5OKy09d-KbKJSuuEZCFdkhYjwC0XQjBA/edit?usp=sharing"",""พิจิตร!J577"")"),0)</f>
        <v>0</v>
      </c>
      <c r="AW21" s="63">
        <f t="shared" ca="1" si="13"/>
        <v>0</v>
      </c>
      <c r="AX21" s="63">
        <f ca="1">IFERROR(__xludf.DUMMYFUNCTION("IMPORTRANGE(""https://docs.google.com/spreadsheets/d/1Y9LPKx95PyL5OKy09d-KbKJSuuEZCFdkhYjwC0XQjBA/edit?usp=sharing"",""พิจิตร!J578"")"),0)</f>
        <v>0</v>
      </c>
      <c r="AY21" s="140">
        <f ca="1">IFERROR(__xludf.DUMMYFUNCTION("IMPORTRANGE(""https://docs.google.com/spreadsheets/d/1Y9LPKx95PyL5OKy09d-KbKJSuuEZCFdkhYjwC0XQjBA/edit?usp=sharing"",""พิจิตร!J579"")"),0)</f>
        <v>0</v>
      </c>
      <c r="AZ21" s="63">
        <f ca="1">IFERROR(__xludf.DUMMYFUNCTION("IMPORTRANGE(""https://docs.google.com/spreadsheets/d/1Y9LPKx95PyL5OKy09d-KbKJSuuEZCFdkhYjwC0XQjBA/edit?usp=sharing"",""พิจิตร!J580"")"),0)</f>
        <v>0</v>
      </c>
      <c r="BA21" s="140">
        <f ca="1">IFERROR(__xludf.DUMMYFUNCTION("IMPORTRANGE(""https://docs.google.com/spreadsheets/d/1Y9LPKx95PyL5OKy09d-KbKJSuuEZCFdkhYjwC0XQjBA/edit?usp=sharing"",""พิจิตร!J581"")"),0)</f>
        <v>0</v>
      </c>
      <c r="BB21" s="63">
        <f ca="1">IFERROR(__xludf.DUMMYFUNCTION("IMPORTRANGE(""https://docs.google.com/spreadsheets/d/1Y9LPKx95PyL5OKy09d-KbKJSuuEZCFdkhYjwC0XQjBA/edit?usp=sharing"",""พิจิตร!J582"")"),0)</f>
        <v>0</v>
      </c>
      <c r="BC21" s="140">
        <f ca="1">IFERROR(__xludf.DUMMYFUNCTION("IMPORTRANGE(""https://docs.google.com/spreadsheets/d/1Y9LPKx95PyL5OKy09d-KbKJSuuEZCFdkhYjwC0XQjBA/edit?usp=sharing"",""พิจิตร!J583"")"),0)</f>
        <v>0</v>
      </c>
      <c r="BD21" s="141">
        <f ca="1">IFERROR(__xludf.DUMMYFUNCTION("IMPORTRANGE(""https://docs.google.com/spreadsheets/d/1Y9LPKx95PyL5OKy09d-KbKJSuuEZCFdkhYjwC0XQjBA/edit?usp=sharing"",""พิจิตร!J584"")"),0)</f>
        <v>0</v>
      </c>
      <c r="BE21" s="140">
        <f ca="1">IFERROR(__xludf.DUMMYFUNCTION("IMPORTRANGE(""https://docs.google.com/spreadsheets/d/1Y9LPKx95PyL5OKy09d-KbKJSuuEZCFdkhYjwC0XQjBA/edit?usp=sharing"",""พิจิตร!J585"")"),0)</f>
        <v>0</v>
      </c>
      <c r="BF21" s="141">
        <f ca="1">IFERROR(__xludf.DUMMYFUNCTION("IMPORTRANGE(""https://docs.google.com/spreadsheets/d/1Y9LPKx95PyL5OKy09d-KbKJSuuEZCFdkhYjwC0XQjBA/edit?usp=sharing"",""พิจิตร!J586"")"),0)</f>
        <v>0</v>
      </c>
      <c r="BG21" s="140">
        <f ca="1">IFERROR(__xludf.DUMMYFUNCTION("IMPORTRANGE(""https://docs.google.com/spreadsheets/d/1Y9LPKx95PyL5OKy09d-KbKJSuuEZCFdkhYjwC0XQjBA/edit?usp=sharing"",""พิจิตร!J587"")"),0)</f>
        <v>0</v>
      </c>
      <c r="BH21" s="63">
        <f ca="1">IFERROR(__xludf.DUMMYFUNCTION("IMPORTRANGE(""https://docs.google.com/spreadsheets/d/1Y9LPKx95PyL5OKy09d-KbKJSuuEZCFdkhYjwC0XQjBA/edit?usp=sharing"",""พิจิตร!J588"")"),0)</f>
        <v>0</v>
      </c>
      <c r="BI21" s="140">
        <f ca="1">IFERROR(__xludf.DUMMYFUNCTION("IMPORTRANGE(""https://docs.google.com/spreadsheets/d/1Y9LPKx95PyL5OKy09d-KbKJSuuEZCFdkhYjwC0XQjBA/edit?usp=sharing"",""พิจิตร!J589"")"),0)</f>
        <v>0</v>
      </c>
      <c r="BJ21" s="63">
        <f ca="1">IFERROR(__xludf.DUMMYFUNCTION("IMPORTRANGE(""https://docs.google.com/spreadsheets/d/1Y9LPKx95PyL5OKy09d-KbKJSuuEZCFdkhYjwC0XQjBA/edit?usp=sharing"",""พิจิตร!J590"")"),0)</f>
        <v>0</v>
      </c>
      <c r="BK21" s="140">
        <f ca="1">IFERROR(__xludf.DUMMYFUNCTION("IMPORTRANGE(""https://docs.google.com/spreadsheets/d/1Y9LPKx95PyL5OKy09d-KbKJSuuEZCFdkhYjwC0XQjBA/edit?usp=sharing"",""พิจิตร!J591"")"),0)</f>
        <v>0</v>
      </c>
      <c r="BL21" s="57">
        <f ca="1">IFERROR(__xludf.DUMMYFUNCTION("IMPORTRANGE(""https://docs.google.com/spreadsheets/d/1Y9LPKx95PyL5OKy09d-KbKJSuuEZCFdkhYjwC0XQjBA/edit?usp=sharing"",""พิจิตร!I593"")"),6935.73)</f>
        <v>6935.73</v>
      </c>
      <c r="BM21" s="57">
        <f ca="1">IFERROR(__xludf.DUMMYFUNCTION("IMPORTRANGE(""https://docs.google.com/spreadsheets/d/1Y9LPKx95PyL5OKy09d-KbKJSuuEZCFdkhYjwC0XQjBA/edit?usp=sharing"",""พิจิตร!I594"")"),458)</f>
        <v>458</v>
      </c>
      <c r="BN21" s="63">
        <f ca="1">IFERROR(__xludf.DUMMYFUNCTION("IMPORTRANGE(""https://docs.google.com/spreadsheets/d/1Y9LPKx95PyL5OKy09d-KbKJSuuEZCFdkhYjwC0XQjBA/edit?usp=sharing"",""พิจิตร!J593"")"),2396)</f>
        <v>2396</v>
      </c>
      <c r="BO21" s="63">
        <f t="shared" ca="1" si="40"/>
        <v>34.545750771728429</v>
      </c>
      <c r="BP21" s="57">
        <f ca="1">IFERROR(__xludf.DUMMYFUNCTION("IMPORTRANGE(""https://docs.google.com/spreadsheets/d/1Y9LPKx95PyL5OKy09d-KbKJSuuEZCFdkhYjwC0XQjBA/edit?usp=sharing"",""พิจิตร!J594"")"),156)</f>
        <v>156</v>
      </c>
      <c r="BQ21" s="63">
        <f t="shared" ca="1" si="16"/>
        <v>34.061135371179041</v>
      </c>
      <c r="BR21" s="63">
        <f ca="1">IFERROR(__xludf.DUMMYFUNCTION("IMPORTRANGE(""https://docs.google.com/spreadsheets/d/1Y9LPKx95PyL5OKy09d-KbKJSuuEZCFdkhYjwC0XQjBA/edit?usp=sharing"",""พิจิตร!J595"")"),2159)</f>
        <v>2159</v>
      </c>
      <c r="BS21" s="140">
        <f ca="1">IFERROR(__xludf.DUMMYFUNCTION("IMPORTRANGE(""https://docs.google.com/spreadsheets/d/1Y9LPKx95PyL5OKy09d-KbKJSuuEZCFdkhYjwC0XQjBA/edit?usp=sharing"",""พิจิตร!J596"")"),143)</f>
        <v>143</v>
      </c>
      <c r="BT21" s="63">
        <f ca="1">IFERROR(__xludf.DUMMYFUNCTION("IMPORTRANGE(""https://docs.google.com/spreadsheets/d/1Y9LPKx95PyL5OKy09d-KbKJSuuEZCFdkhYjwC0XQjBA/edit?usp=sharing"",""พิจิตร!J597"")"),1608)</f>
        <v>1608</v>
      </c>
      <c r="BU21" s="140">
        <f ca="1">IFERROR(__xludf.DUMMYFUNCTION("IMPORTRANGE(""https://docs.google.com/spreadsheets/d/1Y9LPKx95PyL5OKy09d-KbKJSuuEZCFdkhYjwC0XQjBA/edit?usp=sharing"",""พิจิตร!J598"")"),112)</f>
        <v>112</v>
      </c>
      <c r="BV21" s="63">
        <f ca="1">IFERROR(__xludf.DUMMYFUNCTION("IMPORTRANGE(""https://docs.google.com/spreadsheets/d/1Y9LPKx95PyL5OKy09d-KbKJSuuEZCFdkhYjwC0XQjBA/edit?usp=sharing"",""พิจิตร!J599"")"),551)</f>
        <v>551</v>
      </c>
      <c r="BW21" s="140">
        <f ca="1">IFERROR(__xludf.DUMMYFUNCTION("IMPORTRANGE(""https://docs.google.com/spreadsheets/d/1Y9LPKx95PyL5OKy09d-KbKJSuuEZCFdkhYjwC0XQjBA/edit?usp=sharing"",""พิจิตร!J600"")"),31)</f>
        <v>31</v>
      </c>
      <c r="BX21" s="141">
        <f ca="1">IFERROR(__xludf.DUMMYFUNCTION("IMPORTRANGE(""https://docs.google.com/spreadsheets/d/1Y9LPKx95PyL5OKy09d-KbKJSuuEZCFdkhYjwC0XQjBA/edit?usp=sharing"",""พิจิตร!J601"")"),0)</f>
        <v>0</v>
      </c>
      <c r="BY21" s="140">
        <f ca="1">IFERROR(__xludf.DUMMYFUNCTION("IMPORTRANGE(""https://docs.google.com/spreadsheets/d/1Y9LPKx95PyL5OKy09d-KbKJSuuEZCFdkhYjwC0XQjBA/edit?usp=sharing"",""พิจิตร!J602"")"),0)</f>
        <v>0</v>
      </c>
      <c r="BZ21" s="63">
        <f ca="1">IFERROR(__xludf.DUMMYFUNCTION("IMPORTRANGE(""https://docs.google.com/spreadsheets/d/1Y9LPKx95PyL5OKy09d-KbKJSuuEZCFdkhYjwC0XQjBA/edit?usp=sharing"",""พิจิตร!J603"")"),237)</f>
        <v>237</v>
      </c>
      <c r="CA21" s="140">
        <f ca="1">IFERROR(__xludf.DUMMYFUNCTION("IMPORTRANGE(""https://docs.google.com/spreadsheets/d/1Y9LPKx95PyL5OKy09d-KbKJSuuEZCFdkhYjwC0XQjBA/edit?usp=sharing"",""พิจิตร!J604"")"),13)</f>
        <v>13</v>
      </c>
      <c r="CB21" s="63">
        <f ca="1">IFERROR(__xludf.DUMMYFUNCTION("IMPORTRANGE(""https://docs.google.com/spreadsheets/d/1Y9LPKx95PyL5OKy09d-KbKJSuuEZCFdkhYjwC0XQjBA/edit?usp=sharing"",""พิจิตร!J605"")"),215)</f>
        <v>215</v>
      </c>
      <c r="CC21" s="140">
        <f ca="1">IFERROR(__xludf.DUMMYFUNCTION("IMPORTRANGE(""https://docs.google.com/spreadsheets/d/1Y9LPKx95PyL5OKy09d-KbKJSuuEZCFdkhYjwC0XQjBA/edit?usp=sharing"",""พิจิตร!J606"")"),12)</f>
        <v>12</v>
      </c>
      <c r="CD21" s="63">
        <f ca="1">IFERROR(__xludf.DUMMYFUNCTION("IMPORTRANGE(""https://docs.google.com/spreadsheets/d/1Y9LPKx95PyL5OKy09d-KbKJSuuEZCFdkhYjwC0XQjBA/edit?usp=sharing"",""พิจิตร!J607"")"),22)</f>
        <v>22</v>
      </c>
      <c r="CE21" s="140">
        <f ca="1">IFERROR(__xludf.DUMMYFUNCTION("IMPORTRANGE(""https://docs.google.com/spreadsheets/d/1Y9LPKx95PyL5OKy09d-KbKJSuuEZCFdkhYjwC0XQjBA/edit?usp=sharing"",""พิจิตร!J608"")"),1)</f>
        <v>1</v>
      </c>
      <c r="CF21" s="63">
        <f ca="1">IFERROR(__xludf.DUMMYFUNCTION("IMPORTRANGE(""https://docs.google.com/spreadsheets/d/1Y9LPKx95PyL5OKy09d-KbKJSuuEZCFdkhYjwC0XQjBA/edit?usp=sharing"",""พิจิตร!J609"")"),0)</f>
        <v>0</v>
      </c>
      <c r="CG21" s="140">
        <f ca="1">IFERROR(__xludf.DUMMYFUNCTION("IMPORTRANGE(""https://docs.google.com/spreadsheets/d/1Y9LPKx95PyL5OKy09d-KbKJSuuEZCFdkhYjwC0XQjBA/edit?usp=sharing"",""พิจิตร!J610"")"),0)</f>
        <v>0</v>
      </c>
      <c r="CH21" s="140">
        <f ca="1">IFERROR(__xludf.DUMMYFUNCTION("IMPORTRANGE(""https://docs.google.com/spreadsheets/d/1Y9LPKx95PyL5OKy09d-KbKJSuuEZCFdkhYjwC0XQjBA/edit?usp=sharing"",""พิจิตร!I612"")"),0)</f>
        <v>0</v>
      </c>
      <c r="CI21" s="140">
        <f ca="1">IFERROR(__xludf.DUMMYFUNCTION("IMPORTRANGE(""https://docs.google.com/spreadsheets/d/1Y9LPKx95PyL5OKy09d-KbKJSuuEZCFdkhYjwC0XQjBA/edit?usp=sharing"",""พิจิตร!I594"")"),458)</f>
        <v>458</v>
      </c>
      <c r="CJ21" s="141">
        <f ca="1">IFERROR(__xludf.DUMMYFUNCTION("IMPORTRANGE(""https://docs.google.com/spreadsheets/d/1Y9LPKx95PyL5OKy09d-KbKJSuuEZCFdkhYjwC0XQjBA/edit?usp=sharing"",""พิจิตร!J612"")"),0)</f>
        <v>0</v>
      </c>
      <c r="CK21" s="141">
        <f t="shared" ca="1" si="41"/>
        <v>0</v>
      </c>
      <c r="CL21" s="140">
        <f ca="1">IFERROR(__xludf.DUMMYFUNCTION("IMPORTRANGE(""https://docs.google.com/spreadsheets/d/1Y9LPKx95PyL5OKy09d-KbKJSuuEZCFdkhYjwC0XQjBA/edit?usp=sharing"",""พิจิตร!J613"")"),0)</f>
        <v>0</v>
      </c>
      <c r="CM21" s="141">
        <f t="shared" ca="1" si="19"/>
        <v>0</v>
      </c>
      <c r="CN21" s="63">
        <f ca="1">IFERROR(__xludf.DUMMYFUNCTION("IMPORTRANGE(""https://docs.google.com/spreadsheets/d/1Y9LPKx95PyL5OKy09d-KbKJSuuEZCFdkhYjwC0XQjBA/edit?usp=sharing"",""พิจิตร!J614"")"),0)</f>
        <v>0</v>
      </c>
      <c r="CO21" s="140">
        <f ca="1">IFERROR(__xludf.DUMMYFUNCTION("IMPORTRANGE(""https://docs.google.com/spreadsheets/d/1Y9LPKx95PyL5OKy09d-KbKJSuuEZCFdkhYjwC0XQjBA/edit?usp=sharing"",""พิจิตร!J615"")"),0)</f>
        <v>0</v>
      </c>
      <c r="CP21" s="63">
        <f ca="1">IFERROR(__xludf.DUMMYFUNCTION("IMPORTRANGE(""https://docs.google.com/spreadsheets/d/1Y9LPKx95PyL5OKy09d-KbKJSuuEZCFdkhYjwC0XQjBA/edit?usp=sharing"",""พิจิตร!J616"")"),0)</f>
        <v>0</v>
      </c>
      <c r="CQ21" s="140">
        <f ca="1">IFERROR(__xludf.DUMMYFUNCTION("IMPORTRANGE(""https://docs.google.com/spreadsheets/d/1Y9LPKx95PyL5OKy09d-KbKJSuuEZCFdkhYjwC0XQjBA/edit?usp=sharing"",""พิจิตร!J617"")"),0)</f>
        <v>0</v>
      </c>
      <c r="CR21" s="140">
        <f ca="1">IFERROR(__xludf.DUMMYFUNCTION("IMPORTRANGE(""https://docs.google.com/spreadsheets/d/1Y9LPKx95PyL5OKy09d-KbKJSuuEZCFdkhYjwC0XQjBA/edit?usp=sharing"",""พิจิตร!I620"")"),0)</f>
        <v>0</v>
      </c>
      <c r="CS21" s="140">
        <f ca="1">IFERROR(__xludf.DUMMYFUNCTION("IMPORTRANGE(""https://docs.google.com/spreadsheets/d/1Y9LPKx95PyL5OKy09d-KbKJSuuEZCFdkhYjwC0XQjBA/edit?usp=sharing"",""พิจิตร!I621"")"),0)</f>
        <v>0</v>
      </c>
      <c r="CT21" s="141">
        <f ca="1">IFERROR(__xludf.DUMMYFUNCTION("IMPORTRANGE(""https://docs.google.com/spreadsheets/d/1Y9LPKx95PyL5OKy09d-KbKJSuuEZCFdkhYjwC0XQjBA/edit?usp=sharing"",""พิจิตร!J620"")"),0)</f>
        <v>0</v>
      </c>
      <c r="CU21" s="141">
        <f t="shared" ca="1" si="42"/>
        <v>0</v>
      </c>
      <c r="CV21" s="140">
        <f ca="1">IFERROR(__xludf.DUMMYFUNCTION("IMPORTRANGE(""https://docs.google.com/spreadsheets/d/1Y9LPKx95PyL5OKy09d-KbKJSuuEZCFdkhYjwC0XQjBA/edit?usp=sharing"",""พิจิตร!J621"")"),0)</f>
        <v>0</v>
      </c>
      <c r="CW21" s="141">
        <f t="shared" ca="1" si="22"/>
        <v>0</v>
      </c>
      <c r="CX21" s="63">
        <f ca="1">IFERROR(__xludf.DUMMYFUNCTION("IMPORTRANGE(""https://docs.google.com/spreadsheets/d/1Y9LPKx95PyL5OKy09d-KbKJSuuEZCFdkhYjwC0XQjBA/edit?usp=sharing"",""พิจิตร!J622"")"),0)</f>
        <v>0</v>
      </c>
      <c r="CY21" s="140">
        <f ca="1">IFERROR(__xludf.DUMMYFUNCTION("IMPORTRANGE(""https://docs.google.com/spreadsheets/d/1Y9LPKx95PyL5OKy09d-KbKJSuuEZCFdkhYjwC0XQjBA/edit?usp=sharing"",""พิจิตร!J623"")"),0)</f>
        <v>0</v>
      </c>
      <c r="CZ21" s="63">
        <f ca="1">IFERROR(__xludf.DUMMYFUNCTION("IMPORTRANGE(""https://docs.google.com/spreadsheets/d/1Y9LPKx95PyL5OKy09d-KbKJSuuEZCFdkhYjwC0XQjBA/edit?usp=sharing"",""พิจิตร!J624"")"),0)</f>
        <v>0</v>
      </c>
      <c r="DA21" s="140">
        <f ca="1">IFERROR(__xludf.DUMMYFUNCTION("IMPORTRANGE(""https://docs.google.com/spreadsheets/d/1Y9LPKx95PyL5OKy09d-KbKJSuuEZCFdkhYjwC0XQjBA/edit?usp=sharing"",""พิจิตร!J625"")"),0)</f>
        <v>0</v>
      </c>
      <c r="DB21" s="63">
        <f ca="1">IFERROR(__xludf.DUMMYFUNCTION("IMPORTRANGE(""https://docs.google.com/spreadsheets/d/1Y9LPKx95PyL5OKy09d-KbKJSuuEZCFdkhYjwC0XQjBA/edit?usp=sharing"",""พิจิตร!J626"")"),0)</f>
        <v>0</v>
      </c>
      <c r="DC21" s="140">
        <f ca="1">IFERROR(__xludf.DUMMYFUNCTION("IMPORTRANGE(""https://docs.google.com/spreadsheets/d/1Y9LPKx95PyL5OKy09d-KbKJSuuEZCFdkhYjwC0XQjBA/edit?usp=sharing"",""พิจิตร!J627"")"),0)</f>
        <v>0</v>
      </c>
    </row>
    <row r="22" spans="1:107" ht="24" customHeight="1" x14ac:dyDescent="0.3">
      <c r="A22" s="54">
        <v>9</v>
      </c>
      <c r="B22" s="55" t="s">
        <v>43</v>
      </c>
      <c r="C22" s="56">
        <f t="shared" ca="1" si="55"/>
        <v>365169</v>
      </c>
      <c r="D22" s="57">
        <f ca="1">IFERROR(__xludf.DUMMYFUNCTION("IMPORTRANGE(""https://docs.google.com/spreadsheets/d/16OMuOwy2eVqZcYWOouQtTpa8X1L23h4660uVHc0C8os/edit?usp=sharing"",""พิษณุโลก!L549"")"),365169)</f>
        <v>365169</v>
      </c>
      <c r="E22" s="64">
        <f ca="1">IFERROR(__xludf.DUMMYFUNCTION("IMPORTRANGE(""https://docs.google.com/spreadsheets/d/16OMuOwy2eVqZcYWOouQtTpa8X1L23h4660uVHc0C8os/edit?usp=sharing"",""พิษณุโลก!L557"")"),0)</f>
        <v>0</v>
      </c>
      <c r="F22" s="64">
        <f ca="1">IFERROR(__xludf.DUMMYFUNCTION("IMPORTRANGE(""https://docs.google.com/spreadsheets/d/16OMuOwy2eVqZcYWOouQtTpa8X1L23h4660uVHc0C8os/edit?usp=sharing"",""พิษณุโลก!M549"")"),365169)</f>
        <v>365169</v>
      </c>
      <c r="G22" s="64">
        <f ca="1">IFERROR(__xludf.DUMMYFUNCTION("IMPORTRANGE(""https://docs.google.com/spreadsheets/d/16OMuOwy2eVqZcYWOouQtTpa8X1L23h4660uVHc0C8os/edit?usp=sharing"",""พิษณุโลก!M557"")"),0)</f>
        <v>0</v>
      </c>
      <c r="H22" s="58">
        <f t="shared" ca="1" si="36"/>
        <v>186976.01</v>
      </c>
      <c r="I22" s="59">
        <f t="shared" ca="1" si="1"/>
        <v>51.202596605955051</v>
      </c>
      <c r="J22" s="60">
        <f t="shared" ca="1" si="56"/>
        <v>186976.01</v>
      </c>
      <c r="K22" s="61">
        <f t="shared" ca="1" si="44"/>
        <v>51.202596605955051</v>
      </c>
      <c r="L22" s="61">
        <f t="shared" ca="1" si="45"/>
        <v>51.202596605955051</v>
      </c>
      <c r="M22" s="64">
        <f ca="1">IFERROR(__xludf.DUMMYFUNCTION("IMPORTRANGE(""https://docs.google.com/spreadsheets/d/16OMuOwy2eVqZcYWOouQtTpa8X1L23h4660uVHc0C8os/edit?usp=sharing"",""พิษณุโลก!N550"")"),0)</f>
        <v>0</v>
      </c>
      <c r="N22" s="64">
        <f ca="1">IFERROR(__xludf.DUMMYFUNCTION("IMPORTRANGE(""https://docs.google.com/spreadsheets/d/16OMuOwy2eVqZcYWOouQtTpa8X1L23h4660uVHc0C8os/edit?usp=sharing"",""พิษณุโลก!N551"")"),0)</f>
        <v>0</v>
      </c>
      <c r="O22" s="64">
        <f ca="1">IFERROR(__xludf.DUMMYFUNCTION("IMPORTRANGE(""https://docs.google.com/spreadsheets/d/16OMuOwy2eVqZcYWOouQtTpa8X1L23h4660uVHc0C8os/edit?usp=sharing"",""พิษณุโลก!N552"")"),64566.67)</f>
        <v>64566.67</v>
      </c>
      <c r="P22" s="64">
        <f ca="1">IFERROR(__xludf.DUMMYFUNCTION("IMPORTRANGE(""https://docs.google.com/spreadsheets/d/16OMuOwy2eVqZcYWOouQtTpa8X1L23h4660uVHc0C8os/edit?usp=sharing"",""พิษณุโลก!N553"")"),122409.34)</f>
        <v>122409.34</v>
      </c>
      <c r="Q22" s="64">
        <f ca="1">IFERROR(__xludf.DUMMYFUNCTION("IMPORTRANGE(""https://docs.google.com/spreadsheets/d/16OMuOwy2eVqZcYWOouQtTpa8X1L23h4660uVHc0C8os/edit?usp=sharing"",""พิษณุโลก!N554"")"),0)</f>
        <v>0</v>
      </c>
      <c r="R22" s="62">
        <f ca="1">IFERROR(__xludf.DUMMYFUNCTION("IMPORTRANGE(""https://docs.google.com/spreadsheets/d/16OMuOwy2eVqZcYWOouQtTpa8X1L23h4660uVHc0C8os/edit?usp=sharing"",""พิษณุโลก!N557"")"),0)</f>
        <v>0</v>
      </c>
      <c r="S22" s="62">
        <f t="shared" ca="1" si="47"/>
        <v>0</v>
      </c>
      <c r="T22" s="57">
        <f ca="1">IFERROR(__xludf.DUMMYFUNCTION("IMPORTRANGE(""https://docs.google.com/spreadsheets/d/16OMuOwy2eVqZcYWOouQtTpa8X1L23h4660uVHc0C8os/edit?usp=sharing"",""พิษณุโลก!I560"")"),37505)</f>
        <v>37505</v>
      </c>
      <c r="U22" s="57">
        <f ca="1">IFERROR(__xludf.DUMMYFUNCTION("IMPORTRANGE(""https://docs.google.com/spreadsheets/d/16OMuOwy2eVqZcYWOouQtTpa8X1L23h4660uVHc0C8os/edit?usp=sharing"",""พิษณุโลก!I561"")"),4678)</f>
        <v>4678</v>
      </c>
      <c r="V22" s="63">
        <f ca="1">IFERROR(__xludf.DUMMYFUNCTION("IMPORTRANGE(""https://docs.google.com/spreadsheets/d/16OMuOwy2eVqZcYWOouQtTpa8X1L23h4660uVHc0C8os/edit?usp=sharing"",""พิษณุโลก!J560"")"),37506)</f>
        <v>37506</v>
      </c>
      <c r="W22" s="63">
        <f t="shared" ca="1" si="37"/>
        <v>100.00266631115851</v>
      </c>
      <c r="X22" s="57">
        <f ca="1">IFERROR(__xludf.DUMMYFUNCTION("IMPORTRANGE(""https://docs.google.com/spreadsheets/d/16OMuOwy2eVqZcYWOouQtTpa8X1L23h4660uVHc0C8os/edit?usp=sharing"",""พิษณุโลก!J561"")"),4678)</f>
        <v>4678</v>
      </c>
      <c r="Y22" s="63">
        <f t="shared" ca="1" si="7"/>
        <v>100</v>
      </c>
      <c r="Z22" s="63">
        <f ca="1">IFERROR(__xludf.DUMMYFUNCTION("IMPORTRANGE(""https://docs.google.com/spreadsheets/d/16OMuOwy2eVqZcYWOouQtTpa8X1L23h4660uVHc0C8os/edit?usp=sharing"",""พิษณุโลก!J562"")"),33238)</f>
        <v>33238</v>
      </c>
      <c r="AA22" s="140">
        <f ca="1">IFERROR(__xludf.DUMMYFUNCTION("IMPORTRANGE(""https://docs.google.com/spreadsheets/d/16OMuOwy2eVqZcYWOouQtTpa8X1L23h4660uVHc0C8os/edit?usp=sharing"",""พิษณุโลก!J563"")"),4314)</f>
        <v>4314</v>
      </c>
      <c r="AB22" s="63">
        <f ca="1">IFERROR(__xludf.DUMMYFUNCTION("IMPORTRANGE(""https://docs.google.com/spreadsheets/d/16OMuOwy2eVqZcYWOouQtTpa8X1L23h4660uVHc0C8os/edit?usp=sharing"",""พิษณุโลก!J564"")"),3447)</f>
        <v>3447</v>
      </c>
      <c r="AC22" s="140">
        <f ca="1">IFERROR(__xludf.DUMMYFUNCTION("IMPORTRANGE(""https://docs.google.com/spreadsheets/d/16OMuOwy2eVqZcYWOouQtTpa8X1L23h4660uVHc0C8os/edit?usp=sharing"",""พิษณุโลก!J565"")"),276)</f>
        <v>276</v>
      </c>
      <c r="AD22" s="63">
        <f ca="1">IFERROR(__xludf.DUMMYFUNCTION("IMPORTRANGE(""https://docs.google.com/spreadsheets/d/16OMuOwy2eVqZcYWOouQtTpa8X1L23h4660uVHc0C8os/edit?usp=sharing"",""พิษณุโลก!J566"")"),821)</f>
        <v>821</v>
      </c>
      <c r="AE22" s="140">
        <f ca="1">IFERROR(__xludf.DUMMYFUNCTION("IMPORTRANGE(""https://docs.google.com/spreadsheets/d/16OMuOwy2eVqZcYWOouQtTpa8X1L23h4660uVHc0C8os/edit?usp=sharing"",""พิษณุโลก!J567"")"),88)</f>
        <v>88</v>
      </c>
      <c r="AF22" s="57">
        <f ca="1">IFERROR(__xludf.DUMMYFUNCTION("IMPORTRANGE(""https://docs.google.com/spreadsheets/d/16OMuOwy2eVqZcYWOouQtTpa8X1L23h4660uVHc0C8os/edit?usp=sharing"",""พิษณุโลก!I568"")"),37505)</f>
        <v>37505</v>
      </c>
      <c r="AG22" s="57">
        <f ca="1">IFERROR(__xludf.DUMMYFUNCTION("IMPORTRANGE(""https://docs.google.com/spreadsheets/d/16OMuOwy2eVqZcYWOouQtTpa8X1L23h4660uVHc0C8os/edit?usp=sharing"",""พิษณุโลก!I569"")"),4678)</f>
        <v>4678</v>
      </c>
      <c r="AH22" s="63">
        <f ca="1">IFERROR(__xludf.DUMMYFUNCTION("IMPORTRANGE(""https://docs.google.com/spreadsheets/d/16OMuOwy2eVqZcYWOouQtTpa8X1L23h4660uVHc0C8os/edit?usp=sharing"",""พิษณุโลก!J568"")"),37506)</f>
        <v>37506</v>
      </c>
      <c r="AI22" s="63">
        <f t="shared" ca="1" si="38"/>
        <v>100.00266631115851</v>
      </c>
      <c r="AJ22" s="57">
        <f ca="1">IFERROR(__xludf.DUMMYFUNCTION("IMPORTRANGE(""https://docs.google.com/spreadsheets/d/16OMuOwy2eVqZcYWOouQtTpa8X1L23h4660uVHc0C8os/edit?usp=sharing"",""พิษณุโลก!J569"")"),4678)</f>
        <v>4678</v>
      </c>
      <c r="AK22" s="63">
        <f t="shared" ca="1" si="10"/>
        <v>100</v>
      </c>
      <c r="AL22" s="63">
        <f ca="1">IFERROR(__xludf.DUMMYFUNCTION("IMPORTRANGE(""https://docs.google.com/spreadsheets/d/16OMuOwy2eVqZcYWOouQtTpa8X1L23h4660uVHc0C8os/edit?usp=sharing"",""พิษณุโลก!J570"")"),34281)</f>
        <v>34281</v>
      </c>
      <c r="AM22" s="140">
        <f ca="1">IFERROR(__xludf.DUMMYFUNCTION("IMPORTRANGE(""https://docs.google.com/spreadsheets/d/16OMuOwy2eVqZcYWOouQtTpa8X1L23h4660uVHc0C8os/edit?usp=sharing"",""พิษณุโลก!J571"")"),4348)</f>
        <v>4348</v>
      </c>
      <c r="AN22" s="63">
        <f ca="1">IFERROR(__xludf.DUMMYFUNCTION("IMPORTRANGE(""https://docs.google.com/spreadsheets/d/16OMuOwy2eVqZcYWOouQtTpa8X1L23h4660uVHc0C8os/edit?usp=sharing"",""พิษณุโลก!J572"")"),2555)</f>
        <v>2555</v>
      </c>
      <c r="AO22" s="140">
        <f ca="1">IFERROR(__xludf.DUMMYFUNCTION("IMPORTRANGE(""https://docs.google.com/spreadsheets/d/16OMuOwy2eVqZcYWOouQtTpa8X1L23h4660uVHc0C8os/edit?usp=sharing"",""พิษณุโลก!J573"")"),235)</f>
        <v>235</v>
      </c>
      <c r="AP22" s="63">
        <f ca="1">IFERROR(__xludf.DUMMYFUNCTION("IMPORTRANGE(""https://docs.google.com/spreadsheets/d/16OMuOwy2eVqZcYWOouQtTpa8X1L23h4660uVHc0C8os/edit?usp=sharing"",""พิษณุโลก!J574"")"),670)</f>
        <v>670</v>
      </c>
      <c r="AQ22" s="140">
        <f ca="1">IFERROR(__xludf.DUMMYFUNCTION("IMPORTRANGE(""https://docs.google.com/spreadsheets/d/16OMuOwy2eVqZcYWOouQtTpa8X1L23h4660uVHc0C8os/edit?usp=sharing"",""พิษณุโลก!J575"")"),95)</f>
        <v>95</v>
      </c>
      <c r="AR22" s="57">
        <f ca="1">IFERROR(__xludf.DUMMYFUNCTION("IMPORTRANGE(""https://docs.google.com/spreadsheets/d/16OMuOwy2eVqZcYWOouQtTpa8X1L23h4660uVHc0C8os/edit?usp=sharing"",""พิษณุโลก!I576"")"),37505)</f>
        <v>37505</v>
      </c>
      <c r="AS22" s="57">
        <f ca="1">IFERROR(__xludf.DUMMYFUNCTION("IMPORTRANGE(""https://docs.google.com/spreadsheets/d/16OMuOwy2eVqZcYWOouQtTpa8X1L23h4660uVHc0C8os/edit?usp=sharing"",""พิษณุโลก!I577"")"),4678)</f>
        <v>4678</v>
      </c>
      <c r="AT22" s="63">
        <f ca="1">IFERROR(__xludf.DUMMYFUNCTION("IMPORTRANGE(""https://docs.google.com/spreadsheets/d/16OMuOwy2eVqZcYWOouQtTpa8X1L23h4660uVHc0C8os/edit?usp=sharing"",""พิษณุโลก!J576"")"),0)</f>
        <v>0</v>
      </c>
      <c r="AU22" s="63">
        <f t="shared" ca="1" si="39"/>
        <v>0</v>
      </c>
      <c r="AV22" s="57">
        <f ca="1">IFERROR(__xludf.DUMMYFUNCTION("IMPORTRANGE(""https://docs.google.com/spreadsheets/d/16OMuOwy2eVqZcYWOouQtTpa8X1L23h4660uVHc0C8os/edit?usp=sharing"",""พิษณุโลก!J577"")"),0)</f>
        <v>0</v>
      </c>
      <c r="AW22" s="63">
        <f t="shared" ca="1" si="13"/>
        <v>0</v>
      </c>
      <c r="AX22" s="63">
        <f ca="1">IFERROR(__xludf.DUMMYFUNCTION("IMPORTRANGE(""https://docs.google.com/spreadsheets/d/16OMuOwy2eVqZcYWOouQtTpa8X1L23h4660uVHc0C8os/edit?usp=sharing"",""พิษณุโลก!J578"")"),0)</f>
        <v>0</v>
      </c>
      <c r="AY22" s="140">
        <f ca="1">IFERROR(__xludf.DUMMYFUNCTION("IMPORTRANGE(""https://docs.google.com/spreadsheets/d/16OMuOwy2eVqZcYWOouQtTpa8X1L23h4660uVHc0C8os/edit?usp=sharing"",""พิษณุโลก!J579"")"),0)</f>
        <v>0</v>
      </c>
      <c r="AZ22" s="63">
        <f ca="1">IFERROR(__xludf.DUMMYFUNCTION("IMPORTRANGE(""https://docs.google.com/spreadsheets/d/16OMuOwy2eVqZcYWOouQtTpa8X1L23h4660uVHc0C8os/edit?usp=sharing"",""พิษณุโลก!J580"")"),0)</f>
        <v>0</v>
      </c>
      <c r="BA22" s="140">
        <f ca="1">IFERROR(__xludf.DUMMYFUNCTION("IMPORTRANGE(""https://docs.google.com/spreadsheets/d/16OMuOwy2eVqZcYWOouQtTpa8X1L23h4660uVHc0C8os/edit?usp=sharing"",""พิษณุโลก!J581"")"),0)</f>
        <v>0</v>
      </c>
      <c r="BB22" s="63">
        <f ca="1">IFERROR(__xludf.DUMMYFUNCTION("IMPORTRANGE(""https://docs.google.com/spreadsheets/d/16OMuOwy2eVqZcYWOouQtTpa8X1L23h4660uVHc0C8os/edit?usp=sharing"",""พิษณุโลก!J582"")"),0)</f>
        <v>0</v>
      </c>
      <c r="BC22" s="140">
        <f ca="1">IFERROR(__xludf.DUMMYFUNCTION("IMPORTRANGE(""https://docs.google.com/spreadsheets/d/16OMuOwy2eVqZcYWOouQtTpa8X1L23h4660uVHc0C8os/edit?usp=sharing"",""พิษณุโลก!J583"")"),0)</f>
        <v>0</v>
      </c>
      <c r="BD22" s="141">
        <f ca="1">IFERROR(__xludf.DUMMYFUNCTION("IMPORTRANGE(""https://docs.google.com/spreadsheets/d/16OMuOwy2eVqZcYWOouQtTpa8X1L23h4660uVHc0C8os/edit?usp=sharing"",""พิษณุโลก!J584"")"),0)</f>
        <v>0</v>
      </c>
      <c r="BE22" s="140">
        <f ca="1">IFERROR(__xludf.DUMMYFUNCTION("IMPORTRANGE(""https://docs.google.com/spreadsheets/d/16OMuOwy2eVqZcYWOouQtTpa8X1L23h4660uVHc0C8os/edit?usp=sharing"",""พิษณุโลก!J585"")"),0)</f>
        <v>0</v>
      </c>
      <c r="BF22" s="141">
        <f ca="1">IFERROR(__xludf.DUMMYFUNCTION("IMPORTRANGE(""https://docs.google.com/spreadsheets/d/16OMuOwy2eVqZcYWOouQtTpa8X1L23h4660uVHc0C8os/edit?usp=sharing"",""พิษณุโลก!J586"")"),0)</f>
        <v>0</v>
      </c>
      <c r="BG22" s="140">
        <f ca="1">IFERROR(__xludf.DUMMYFUNCTION("IMPORTRANGE(""https://docs.google.com/spreadsheets/d/16OMuOwy2eVqZcYWOouQtTpa8X1L23h4660uVHc0C8os/edit?usp=sharing"",""พิษณุโลก!J587"")"),0)</f>
        <v>0</v>
      </c>
      <c r="BH22" s="63">
        <f ca="1">IFERROR(__xludf.DUMMYFUNCTION("IMPORTRANGE(""https://docs.google.com/spreadsheets/d/16OMuOwy2eVqZcYWOouQtTpa8X1L23h4660uVHc0C8os/edit?usp=sharing"",""พิษณุโลก!J588"")"),0)</f>
        <v>0</v>
      </c>
      <c r="BI22" s="140">
        <f ca="1">IFERROR(__xludf.DUMMYFUNCTION("IMPORTRANGE(""https://docs.google.com/spreadsheets/d/16OMuOwy2eVqZcYWOouQtTpa8X1L23h4660uVHc0C8os/edit?usp=sharing"",""พิษณุโลก!J589"")"),0)</f>
        <v>0</v>
      </c>
      <c r="BJ22" s="63">
        <f ca="1">IFERROR(__xludf.DUMMYFUNCTION("IMPORTRANGE(""https://docs.google.com/spreadsheets/d/16OMuOwy2eVqZcYWOouQtTpa8X1L23h4660uVHc0C8os/edit?usp=sharing"",""พิษณุโลก!J590"")"),0)</f>
        <v>0</v>
      </c>
      <c r="BK22" s="140">
        <f ca="1">IFERROR(__xludf.DUMMYFUNCTION("IMPORTRANGE(""https://docs.google.com/spreadsheets/d/16OMuOwy2eVqZcYWOouQtTpa8X1L23h4660uVHc0C8os/edit?usp=sharing"",""พิษณุโลก!J591"")"),0)</f>
        <v>0</v>
      </c>
      <c r="BL22" s="57">
        <f ca="1">IFERROR(__xludf.DUMMYFUNCTION("IMPORTRANGE(""https://docs.google.com/spreadsheets/d/16OMuOwy2eVqZcYWOouQtTpa8X1L23h4660uVHc0C8os/edit?usp=sharing"",""พิษณุโลก!I593"")"),3059.22)</f>
        <v>3059.22</v>
      </c>
      <c r="BM22" s="57">
        <f ca="1">IFERROR(__xludf.DUMMYFUNCTION("IMPORTRANGE(""https://docs.google.com/spreadsheets/d/16OMuOwy2eVqZcYWOouQtTpa8X1L23h4660uVHc0C8os/edit?usp=sharing"",""พิษณุโลก!I594"")"),202)</f>
        <v>202</v>
      </c>
      <c r="BN22" s="63">
        <f ca="1">IFERROR(__xludf.DUMMYFUNCTION("IMPORTRANGE(""https://docs.google.com/spreadsheets/d/16OMuOwy2eVqZcYWOouQtTpa8X1L23h4660uVHc0C8os/edit?usp=sharing"",""พิษณุโลก!J593"")"),0)</f>
        <v>0</v>
      </c>
      <c r="BO22" s="63">
        <f t="shared" ca="1" si="40"/>
        <v>0</v>
      </c>
      <c r="BP22" s="57">
        <f ca="1">IFERROR(__xludf.DUMMYFUNCTION("IMPORTRANGE(""https://docs.google.com/spreadsheets/d/16OMuOwy2eVqZcYWOouQtTpa8X1L23h4660uVHc0C8os/edit?usp=sharing"",""พิษณุโลก!J594"")"),0)</f>
        <v>0</v>
      </c>
      <c r="BQ22" s="63">
        <f t="shared" ca="1" si="16"/>
        <v>0</v>
      </c>
      <c r="BR22" s="63">
        <f ca="1">IFERROR(__xludf.DUMMYFUNCTION("IMPORTRANGE(""https://docs.google.com/spreadsheets/d/16OMuOwy2eVqZcYWOouQtTpa8X1L23h4660uVHc0C8os/edit?usp=sharing"",""พิษณุโลก!J595"")"),0)</f>
        <v>0</v>
      </c>
      <c r="BS22" s="140">
        <f ca="1">IFERROR(__xludf.DUMMYFUNCTION("IMPORTRANGE(""https://docs.google.com/spreadsheets/d/16OMuOwy2eVqZcYWOouQtTpa8X1L23h4660uVHc0C8os/edit?usp=sharing"",""พิษณุโลก!J596"")"),0)</f>
        <v>0</v>
      </c>
      <c r="BT22" s="63">
        <f ca="1">IFERROR(__xludf.DUMMYFUNCTION("IMPORTRANGE(""https://docs.google.com/spreadsheets/d/16OMuOwy2eVqZcYWOouQtTpa8X1L23h4660uVHc0C8os/edit?usp=sharing"",""พิษณุโลก!J597"")"),0)</f>
        <v>0</v>
      </c>
      <c r="BU22" s="140">
        <f ca="1">IFERROR(__xludf.DUMMYFUNCTION("IMPORTRANGE(""https://docs.google.com/spreadsheets/d/16OMuOwy2eVqZcYWOouQtTpa8X1L23h4660uVHc0C8os/edit?usp=sharing"",""พิษณุโลก!J598"")"),0)</f>
        <v>0</v>
      </c>
      <c r="BV22" s="63">
        <f ca="1">IFERROR(__xludf.DUMMYFUNCTION("IMPORTRANGE(""https://docs.google.com/spreadsheets/d/16OMuOwy2eVqZcYWOouQtTpa8X1L23h4660uVHc0C8os/edit?usp=sharing"",""พิษณุโลก!J599"")"),0)</f>
        <v>0</v>
      </c>
      <c r="BW22" s="140">
        <f ca="1">IFERROR(__xludf.DUMMYFUNCTION("IMPORTRANGE(""https://docs.google.com/spreadsheets/d/16OMuOwy2eVqZcYWOouQtTpa8X1L23h4660uVHc0C8os/edit?usp=sharing"",""พิษณุโลก!J600"")"),0)</f>
        <v>0</v>
      </c>
      <c r="BX22" s="141">
        <f ca="1">IFERROR(__xludf.DUMMYFUNCTION("IMPORTRANGE(""https://docs.google.com/spreadsheets/d/16OMuOwy2eVqZcYWOouQtTpa8X1L23h4660uVHc0C8os/edit?usp=sharing"",""พิษณุโลก!J601"")"),0)</f>
        <v>0</v>
      </c>
      <c r="BY22" s="140">
        <f ca="1">IFERROR(__xludf.DUMMYFUNCTION("IMPORTRANGE(""https://docs.google.com/spreadsheets/d/16OMuOwy2eVqZcYWOouQtTpa8X1L23h4660uVHc0C8os/edit?usp=sharing"",""พิษณุโลก!J602"")"),0)</f>
        <v>0</v>
      </c>
      <c r="BZ22" s="63">
        <f ca="1">IFERROR(__xludf.DUMMYFUNCTION("IMPORTRANGE(""https://docs.google.com/spreadsheets/d/16OMuOwy2eVqZcYWOouQtTpa8X1L23h4660uVHc0C8os/edit?usp=sharing"",""พิษณุโลก!J603"")"),0)</f>
        <v>0</v>
      </c>
      <c r="CA22" s="140">
        <f ca="1">IFERROR(__xludf.DUMMYFUNCTION("IMPORTRANGE(""https://docs.google.com/spreadsheets/d/16OMuOwy2eVqZcYWOouQtTpa8X1L23h4660uVHc0C8os/edit?usp=sharing"",""พิษณุโลก!J604"")"),0)</f>
        <v>0</v>
      </c>
      <c r="CB22" s="63">
        <f ca="1">IFERROR(__xludf.DUMMYFUNCTION("IMPORTRANGE(""https://docs.google.com/spreadsheets/d/16OMuOwy2eVqZcYWOouQtTpa8X1L23h4660uVHc0C8os/edit?usp=sharing"",""พิษณุโลก!J605"")"),0)</f>
        <v>0</v>
      </c>
      <c r="CC22" s="140">
        <f ca="1">IFERROR(__xludf.DUMMYFUNCTION("IMPORTRANGE(""https://docs.google.com/spreadsheets/d/16OMuOwy2eVqZcYWOouQtTpa8X1L23h4660uVHc0C8os/edit?usp=sharing"",""พิษณุโลก!J606"")"),0)</f>
        <v>0</v>
      </c>
      <c r="CD22" s="63">
        <f ca="1">IFERROR(__xludf.DUMMYFUNCTION("IMPORTRANGE(""https://docs.google.com/spreadsheets/d/16OMuOwy2eVqZcYWOouQtTpa8X1L23h4660uVHc0C8os/edit?usp=sharing"",""พิษณุโลก!J607"")"),0)</f>
        <v>0</v>
      </c>
      <c r="CE22" s="140">
        <f ca="1">IFERROR(__xludf.DUMMYFUNCTION("IMPORTRANGE(""https://docs.google.com/spreadsheets/d/16OMuOwy2eVqZcYWOouQtTpa8X1L23h4660uVHc0C8os/edit?usp=sharing"",""พิษณุโลก!J608"")"),0)</f>
        <v>0</v>
      </c>
      <c r="CF22" s="63">
        <f ca="1">IFERROR(__xludf.DUMMYFUNCTION("IMPORTRANGE(""https://docs.google.com/spreadsheets/d/16OMuOwy2eVqZcYWOouQtTpa8X1L23h4660uVHc0C8os/edit?usp=sharing"",""พิษณุโลก!J609"")"),0)</f>
        <v>0</v>
      </c>
      <c r="CG22" s="140">
        <f ca="1">IFERROR(__xludf.DUMMYFUNCTION("IMPORTRANGE(""https://docs.google.com/spreadsheets/d/16OMuOwy2eVqZcYWOouQtTpa8X1L23h4660uVHc0C8os/edit?usp=sharing"",""พิษณุโลก!J610"")"),0)</f>
        <v>0</v>
      </c>
      <c r="CH22" s="140">
        <f ca="1">IFERROR(__xludf.DUMMYFUNCTION("IMPORTRANGE(""https://docs.google.com/spreadsheets/d/16OMuOwy2eVqZcYWOouQtTpa8X1L23h4660uVHc0C8os/edit?usp=sharing"",""พิษณุโลก!I612"")"),0)</f>
        <v>0</v>
      </c>
      <c r="CI22" s="140">
        <f ca="1">IFERROR(__xludf.DUMMYFUNCTION("IMPORTRANGE(""https://docs.google.com/spreadsheets/d/16OMuOwy2eVqZcYWOouQtTpa8X1L23h4660uVHc0C8os/edit?usp=sharing"",""พิษณุโลก!I594"")"),202)</f>
        <v>202</v>
      </c>
      <c r="CJ22" s="141">
        <f ca="1">IFERROR(__xludf.DUMMYFUNCTION("IMPORTRANGE(""https://docs.google.com/spreadsheets/d/16OMuOwy2eVqZcYWOouQtTpa8X1L23h4660uVHc0C8os/edit?usp=sharing"",""พิษณุโลก!J612"")"),0)</f>
        <v>0</v>
      </c>
      <c r="CK22" s="141">
        <f t="shared" ca="1" si="41"/>
        <v>0</v>
      </c>
      <c r="CL22" s="140">
        <f ca="1">IFERROR(__xludf.DUMMYFUNCTION("IMPORTRANGE(""https://docs.google.com/spreadsheets/d/16OMuOwy2eVqZcYWOouQtTpa8X1L23h4660uVHc0C8os/edit?usp=sharing"",""พิษณุโลก!J613"")"),0)</f>
        <v>0</v>
      </c>
      <c r="CM22" s="141">
        <f t="shared" ca="1" si="19"/>
        <v>0</v>
      </c>
      <c r="CN22" s="63">
        <f ca="1">IFERROR(__xludf.DUMMYFUNCTION("IMPORTRANGE(""https://docs.google.com/spreadsheets/d/16OMuOwy2eVqZcYWOouQtTpa8X1L23h4660uVHc0C8os/edit?usp=sharing"",""พิษณุโลก!J614"")"),0)</f>
        <v>0</v>
      </c>
      <c r="CO22" s="140">
        <f ca="1">IFERROR(__xludf.DUMMYFUNCTION("IMPORTRANGE(""https://docs.google.com/spreadsheets/d/16OMuOwy2eVqZcYWOouQtTpa8X1L23h4660uVHc0C8os/edit?usp=sharing"",""พิษณุโลก!J615"")"),0)</f>
        <v>0</v>
      </c>
      <c r="CP22" s="63">
        <f ca="1">IFERROR(__xludf.DUMMYFUNCTION("IMPORTRANGE(""https://docs.google.com/spreadsheets/d/16OMuOwy2eVqZcYWOouQtTpa8X1L23h4660uVHc0C8os/edit?usp=sharing"",""พิษณุโลก!J616"")"),0)</f>
        <v>0</v>
      </c>
      <c r="CQ22" s="140">
        <f ca="1">IFERROR(__xludf.DUMMYFUNCTION("IMPORTRANGE(""https://docs.google.com/spreadsheets/d/16OMuOwy2eVqZcYWOouQtTpa8X1L23h4660uVHc0C8os/edit?usp=sharing"",""พิษณุโลก!J617"")"),0)</f>
        <v>0</v>
      </c>
      <c r="CR22" s="140">
        <f ca="1">IFERROR(__xludf.DUMMYFUNCTION("IMPORTRANGE(""https://docs.google.com/spreadsheets/d/16OMuOwy2eVqZcYWOouQtTpa8X1L23h4660uVHc0C8os/edit?usp=sharing"",""พิษณุโลก!I620"")"),6)</f>
        <v>6</v>
      </c>
      <c r="CS22" s="140">
        <f ca="1">IFERROR(__xludf.DUMMYFUNCTION("IMPORTRANGE(""https://docs.google.com/spreadsheets/d/16OMuOwy2eVqZcYWOouQtTpa8X1L23h4660uVHc0C8os/edit?usp=sharing"",""พิษณุโลก!I621"")"),2)</f>
        <v>2</v>
      </c>
      <c r="CT22" s="141">
        <f ca="1">IFERROR(__xludf.DUMMYFUNCTION("IMPORTRANGE(""https://docs.google.com/spreadsheets/d/16OMuOwy2eVqZcYWOouQtTpa8X1L23h4660uVHc0C8os/edit?usp=sharing"",""พิษณุโลก!J620"")"),0)</f>
        <v>0</v>
      </c>
      <c r="CU22" s="141">
        <f t="shared" ca="1" si="42"/>
        <v>0</v>
      </c>
      <c r="CV22" s="140">
        <f ca="1">IFERROR(__xludf.DUMMYFUNCTION("IMPORTRANGE(""https://docs.google.com/spreadsheets/d/16OMuOwy2eVqZcYWOouQtTpa8X1L23h4660uVHc0C8os/edit?usp=sharing"",""พิษณุโลก!J621"")"),0)</f>
        <v>0</v>
      </c>
      <c r="CW22" s="141">
        <f t="shared" ca="1" si="22"/>
        <v>0</v>
      </c>
      <c r="CX22" s="63">
        <f ca="1">IFERROR(__xludf.DUMMYFUNCTION("IMPORTRANGE(""https://docs.google.com/spreadsheets/d/16OMuOwy2eVqZcYWOouQtTpa8X1L23h4660uVHc0C8os/edit?usp=sharing"",""พิษณุโลก!J622"")"),0)</f>
        <v>0</v>
      </c>
      <c r="CY22" s="140">
        <f ca="1">IFERROR(__xludf.DUMMYFUNCTION("IMPORTRANGE(""https://docs.google.com/spreadsheets/d/16OMuOwy2eVqZcYWOouQtTpa8X1L23h4660uVHc0C8os/edit?usp=sharing"",""พิษณุโลก!J623"")"),0)</f>
        <v>0</v>
      </c>
      <c r="CZ22" s="63">
        <f ca="1">IFERROR(__xludf.DUMMYFUNCTION("IMPORTRANGE(""https://docs.google.com/spreadsheets/d/16OMuOwy2eVqZcYWOouQtTpa8X1L23h4660uVHc0C8os/edit?usp=sharing"",""พิษณุโลก!J624"")"),0)</f>
        <v>0</v>
      </c>
      <c r="DA22" s="140">
        <f ca="1">IFERROR(__xludf.DUMMYFUNCTION("IMPORTRANGE(""https://docs.google.com/spreadsheets/d/16OMuOwy2eVqZcYWOouQtTpa8X1L23h4660uVHc0C8os/edit?usp=sharing"",""พิษณุโลก!J625"")"),0)</f>
        <v>0</v>
      </c>
      <c r="DB22" s="63">
        <f ca="1">IFERROR(__xludf.DUMMYFUNCTION("IMPORTRANGE(""https://docs.google.com/spreadsheets/d/16OMuOwy2eVqZcYWOouQtTpa8X1L23h4660uVHc0C8os/edit?usp=sharing"",""พิษณุโลก!J626"")"),0)</f>
        <v>0</v>
      </c>
      <c r="DC22" s="140">
        <f ca="1">IFERROR(__xludf.DUMMYFUNCTION("IMPORTRANGE(""https://docs.google.com/spreadsheets/d/16OMuOwy2eVqZcYWOouQtTpa8X1L23h4660uVHc0C8os/edit?usp=sharing"",""พิษณุโลก!J627"")"),0)</f>
        <v>0</v>
      </c>
    </row>
    <row r="23" spans="1:107" ht="24" customHeight="1" x14ac:dyDescent="0.3">
      <c r="A23" s="54">
        <v>10</v>
      </c>
      <c r="B23" s="55" t="s">
        <v>44</v>
      </c>
      <c r="C23" s="56">
        <f t="shared" ca="1" si="55"/>
        <v>618295</v>
      </c>
      <c r="D23" s="57">
        <f ca="1">IFERROR(__xludf.DUMMYFUNCTION("IMPORTRANGE(""https://docs.google.com/spreadsheets/d/1GfgTldLG6k77HXaMQzaafODklYuucJZQNs_GAPEfZyY/edit?usp=sharing"",""เพชรบูรณ์!L549"")"),618295)</f>
        <v>618295</v>
      </c>
      <c r="E23" s="64">
        <f ca="1">IFERROR(__xludf.DUMMYFUNCTION("IMPORTRANGE(""https://docs.google.com/spreadsheets/d/1GfgTldLG6k77HXaMQzaafODklYuucJZQNs_GAPEfZyY/edit?usp=sharing"",""เพชรบูรณ์!L557"")"),0)</f>
        <v>0</v>
      </c>
      <c r="F23" s="64">
        <f ca="1">IFERROR(__xludf.DUMMYFUNCTION("IMPORTRANGE(""https://docs.google.com/spreadsheets/d/1GfgTldLG6k77HXaMQzaafODklYuucJZQNs_GAPEfZyY/edit?usp=sharing"",""เพชรบูรณ์!M549"")"),618295)</f>
        <v>618295</v>
      </c>
      <c r="G23" s="64">
        <f ca="1">IFERROR(__xludf.DUMMYFUNCTION("IMPORTRANGE(""https://docs.google.com/spreadsheets/d/1GfgTldLG6k77HXaMQzaafODklYuucJZQNs_GAPEfZyY/edit?usp=sharing"",""เพชรบูรณ์!M557"")"),0)</f>
        <v>0</v>
      </c>
      <c r="H23" s="58">
        <f t="shared" ca="1" si="36"/>
        <v>234181.55</v>
      </c>
      <c r="I23" s="59">
        <f t="shared" ca="1" si="1"/>
        <v>37.875375023249418</v>
      </c>
      <c r="J23" s="60">
        <f t="shared" ca="1" si="56"/>
        <v>234181.55</v>
      </c>
      <c r="K23" s="61">
        <f t="shared" ca="1" si="44"/>
        <v>37.875375023249418</v>
      </c>
      <c r="L23" s="61">
        <f t="shared" ca="1" si="45"/>
        <v>37.875375023249418</v>
      </c>
      <c r="M23" s="64">
        <f ca="1">IFERROR(__xludf.DUMMYFUNCTION("IMPORTRANGE(""https://docs.google.com/spreadsheets/d/1GfgTldLG6k77HXaMQzaafODklYuucJZQNs_GAPEfZyY/edit?usp=sharing"",""เพชรบูรณ์!N550"")"),0)</f>
        <v>0</v>
      </c>
      <c r="N23" s="64">
        <f ca="1">IFERROR(__xludf.DUMMYFUNCTION("IMPORTRANGE(""https://docs.google.com/spreadsheets/d/1GfgTldLG6k77HXaMQzaafODklYuucJZQNs_GAPEfZyY/edit?usp=sharing"",""เพชรบูรณ์!N551"")"),71969.3)</f>
        <v>71969.3</v>
      </c>
      <c r="O23" s="64">
        <f ca="1">IFERROR(__xludf.DUMMYFUNCTION("IMPORTRANGE(""https://docs.google.com/spreadsheets/d/1GfgTldLG6k77HXaMQzaafODklYuucJZQNs_GAPEfZyY/edit?usp=sharing"",""เพชรบูรณ์!N552"")"),78000)</f>
        <v>78000</v>
      </c>
      <c r="P23" s="64">
        <f ca="1">IFERROR(__xludf.DUMMYFUNCTION("IMPORTRANGE(""https://docs.google.com/spreadsheets/d/1GfgTldLG6k77HXaMQzaafODklYuucJZQNs_GAPEfZyY/edit?usp=sharing"",""เพชรบูรณ์!N553"")"),84212.25)</f>
        <v>84212.25</v>
      </c>
      <c r="Q23" s="64">
        <f ca="1">IFERROR(__xludf.DUMMYFUNCTION("IMPORTRANGE(""https://docs.google.com/spreadsheets/d/1GfgTldLG6k77HXaMQzaafODklYuucJZQNs_GAPEfZyY/edit?usp=sharing"",""เพชรบูรณ์!N554"")"),0)</f>
        <v>0</v>
      </c>
      <c r="R23" s="62">
        <f ca="1">IFERROR(__xludf.DUMMYFUNCTION("IMPORTRANGE(""https://docs.google.com/spreadsheets/d/1GfgTldLG6k77HXaMQzaafODklYuucJZQNs_GAPEfZyY/edit?usp=sharing"",""เพชรบูรณ์!N557"")"),0)</f>
        <v>0</v>
      </c>
      <c r="S23" s="62">
        <f t="shared" ca="1" si="47"/>
        <v>0</v>
      </c>
      <c r="T23" s="57">
        <f ca="1">IFERROR(__xludf.DUMMYFUNCTION("IMPORTRANGE(""https://docs.google.com/spreadsheets/d/1GfgTldLG6k77HXaMQzaafODklYuucJZQNs_GAPEfZyY/edit?usp=sharing"",""เพชรบูรณ์!I560"")"),133053)</f>
        <v>133053</v>
      </c>
      <c r="U23" s="57">
        <f ca="1">IFERROR(__xludf.DUMMYFUNCTION("IMPORTRANGE(""https://docs.google.com/spreadsheets/d/1GfgTldLG6k77HXaMQzaafODklYuucJZQNs_GAPEfZyY/edit?usp=sharing"",""เพชรบูรณ์!I561"")"),7593)</f>
        <v>7593</v>
      </c>
      <c r="V23" s="63">
        <f ca="1">IFERROR(__xludf.DUMMYFUNCTION("IMPORTRANGE(""https://docs.google.com/spreadsheets/d/1GfgTldLG6k77HXaMQzaafODklYuucJZQNs_GAPEfZyY/edit?usp=sharing"",""เพชรบูรณ์!J560"")"),133053)</f>
        <v>133053</v>
      </c>
      <c r="W23" s="63">
        <f t="shared" ca="1" si="37"/>
        <v>100</v>
      </c>
      <c r="X23" s="57">
        <f ca="1">IFERROR(__xludf.DUMMYFUNCTION("IMPORTRANGE(""https://docs.google.com/spreadsheets/d/1GfgTldLG6k77HXaMQzaafODklYuucJZQNs_GAPEfZyY/edit?usp=sharing"",""เพชรบูรณ์!J561"")"),7593)</f>
        <v>7593</v>
      </c>
      <c r="Y23" s="63">
        <f t="shared" ca="1" si="7"/>
        <v>100</v>
      </c>
      <c r="Z23" s="63">
        <f ca="1">IFERROR(__xludf.DUMMYFUNCTION("IMPORTRANGE(""https://docs.google.com/spreadsheets/d/1GfgTldLG6k77HXaMQzaafODklYuucJZQNs_GAPEfZyY/edit?usp=sharing"",""เพชรบูรณ์!J562"")"),88330)</f>
        <v>88330</v>
      </c>
      <c r="AA23" s="140">
        <f ca="1">IFERROR(__xludf.DUMMYFUNCTION("IMPORTRANGE(""https://docs.google.com/spreadsheets/d/1GfgTldLG6k77HXaMQzaafODklYuucJZQNs_GAPEfZyY/edit?usp=sharing"",""เพชรบูรณ์!J563"")"),5462)</f>
        <v>5462</v>
      </c>
      <c r="AB23" s="63">
        <f ca="1">IFERROR(__xludf.DUMMYFUNCTION("IMPORTRANGE(""https://docs.google.com/spreadsheets/d/1GfgTldLG6k77HXaMQzaafODklYuucJZQNs_GAPEfZyY/edit?usp=sharing"",""เพชรบูรณ์!J564"")"),39824)</f>
        <v>39824</v>
      </c>
      <c r="AC23" s="140">
        <f ca="1">IFERROR(__xludf.DUMMYFUNCTION("IMPORTRANGE(""https://docs.google.com/spreadsheets/d/1GfgTldLG6k77HXaMQzaafODklYuucJZQNs_GAPEfZyY/edit?usp=sharing"",""เพชรบูรณ์!J565"")"),1887)</f>
        <v>1887</v>
      </c>
      <c r="AD23" s="63">
        <f ca="1">IFERROR(__xludf.DUMMYFUNCTION("IMPORTRANGE(""https://docs.google.com/spreadsheets/d/1GfgTldLG6k77HXaMQzaafODklYuucJZQNs_GAPEfZyY/edit?usp=sharing"",""เพชรบูรณ์!J566"")"),4899)</f>
        <v>4899</v>
      </c>
      <c r="AE23" s="140">
        <f ca="1">IFERROR(__xludf.DUMMYFUNCTION("IMPORTRANGE(""https://docs.google.com/spreadsheets/d/1GfgTldLG6k77HXaMQzaafODklYuucJZQNs_GAPEfZyY/edit?usp=sharing"",""เพชรบูรณ์!J567"")"),244)</f>
        <v>244</v>
      </c>
      <c r="AF23" s="57">
        <f ca="1">IFERROR(__xludf.DUMMYFUNCTION("IMPORTRANGE(""https://docs.google.com/spreadsheets/d/1GfgTldLG6k77HXaMQzaafODklYuucJZQNs_GAPEfZyY/edit?usp=sharing"",""เพชรบูรณ์!I568"")"),133053)</f>
        <v>133053</v>
      </c>
      <c r="AG23" s="57">
        <f ca="1">IFERROR(__xludf.DUMMYFUNCTION("IMPORTRANGE(""https://docs.google.com/spreadsheets/d/1GfgTldLG6k77HXaMQzaafODklYuucJZQNs_GAPEfZyY/edit?usp=sharing"",""เพชรบูรณ์!I569"")"),7593)</f>
        <v>7593</v>
      </c>
      <c r="AH23" s="63">
        <f ca="1">IFERROR(__xludf.DUMMYFUNCTION("IMPORTRANGE(""https://docs.google.com/spreadsheets/d/1GfgTldLG6k77HXaMQzaafODklYuucJZQNs_GAPEfZyY/edit?usp=sharing"",""เพชรบูรณ์!J568"")"),133052.8)</f>
        <v>133052.79999999999</v>
      </c>
      <c r="AI23" s="63">
        <f t="shared" ca="1" si="38"/>
        <v>99.99984968396052</v>
      </c>
      <c r="AJ23" s="57">
        <f ca="1">IFERROR(__xludf.DUMMYFUNCTION("IMPORTRANGE(""https://docs.google.com/spreadsheets/d/1GfgTldLG6k77HXaMQzaafODklYuucJZQNs_GAPEfZyY/edit?usp=sharing"",""เพชรบูรณ์!J569"")"),7593)</f>
        <v>7593</v>
      </c>
      <c r="AK23" s="63">
        <f t="shared" ca="1" si="10"/>
        <v>100</v>
      </c>
      <c r="AL23" s="63">
        <f ca="1">IFERROR(__xludf.DUMMYFUNCTION("IMPORTRANGE(""https://docs.google.com/spreadsheets/d/1GfgTldLG6k77HXaMQzaafODklYuucJZQNs_GAPEfZyY/edit?usp=sharing"",""เพชรบูรณ์!J570"")"),112062.8)</f>
        <v>112062.8</v>
      </c>
      <c r="AM23" s="140">
        <f ca="1">IFERROR(__xludf.DUMMYFUNCTION("IMPORTRANGE(""https://docs.google.com/spreadsheets/d/1GfgTldLG6k77HXaMQzaafODklYuucJZQNs_GAPEfZyY/edit?usp=sharing"",""เพชรบูรณ์!J571"")"),6595)</f>
        <v>6595</v>
      </c>
      <c r="AN23" s="63">
        <f ca="1">IFERROR(__xludf.DUMMYFUNCTION("IMPORTRANGE(""https://docs.google.com/spreadsheets/d/1GfgTldLG6k77HXaMQzaafODklYuucJZQNs_GAPEfZyY/edit?usp=sharing"",""เพชรบูรณ์!J572"")"),15260)</f>
        <v>15260</v>
      </c>
      <c r="AO23" s="140">
        <f ca="1">IFERROR(__xludf.DUMMYFUNCTION("IMPORTRANGE(""https://docs.google.com/spreadsheets/d/1GfgTldLG6k77HXaMQzaafODklYuucJZQNs_GAPEfZyY/edit?usp=sharing"",""เพชรบูรณ์!J573"")"),714)</f>
        <v>714</v>
      </c>
      <c r="AP23" s="63">
        <f ca="1">IFERROR(__xludf.DUMMYFUNCTION("IMPORTRANGE(""https://docs.google.com/spreadsheets/d/1GfgTldLG6k77HXaMQzaafODklYuucJZQNs_GAPEfZyY/edit?usp=sharing"",""เพชรบูรณ์!J574"")"),5730)</f>
        <v>5730</v>
      </c>
      <c r="AQ23" s="140">
        <f ca="1">IFERROR(__xludf.DUMMYFUNCTION("IMPORTRANGE(""https://docs.google.com/spreadsheets/d/1GfgTldLG6k77HXaMQzaafODklYuucJZQNs_GAPEfZyY/edit?usp=sharing"",""เพชรบูรณ์!J575"")"),284)</f>
        <v>284</v>
      </c>
      <c r="AR23" s="57">
        <f ca="1">IFERROR(__xludf.DUMMYFUNCTION("IMPORTRANGE(""https://docs.google.com/spreadsheets/d/1GfgTldLG6k77HXaMQzaafODklYuucJZQNs_GAPEfZyY/edit?usp=sharing"",""เพชรบูรณ์!I576"")"),133053)</f>
        <v>133053</v>
      </c>
      <c r="AS23" s="57">
        <f ca="1">IFERROR(__xludf.DUMMYFUNCTION("IMPORTRANGE(""https://docs.google.com/spreadsheets/d/1GfgTldLG6k77HXaMQzaafODklYuucJZQNs_GAPEfZyY/edit?usp=sharing"",""เพชรบูรณ์!I577"")"),7593)</f>
        <v>7593</v>
      </c>
      <c r="AT23" s="63">
        <f ca="1">IFERROR(__xludf.DUMMYFUNCTION("IMPORTRANGE(""https://docs.google.com/spreadsheets/d/1GfgTldLG6k77HXaMQzaafODklYuucJZQNs_GAPEfZyY/edit?usp=sharing"",""เพชรบูรณ์!J576"")"),0)</f>
        <v>0</v>
      </c>
      <c r="AU23" s="63">
        <f t="shared" ca="1" si="39"/>
        <v>0</v>
      </c>
      <c r="AV23" s="57">
        <f ca="1">IFERROR(__xludf.DUMMYFUNCTION("IMPORTRANGE(""https://docs.google.com/spreadsheets/d/1GfgTldLG6k77HXaMQzaafODklYuucJZQNs_GAPEfZyY/edit?usp=sharing"",""เพชรบูรณ์!J577"")"),0)</f>
        <v>0</v>
      </c>
      <c r="AW23" s="63">
        <f t="shared" ca="1" si="13"/>
        <v>0</v>
      </c>
      <c r="AX23" s="63">
        <f ca="1">IFERROR(__xludf.DUMMYFUNCTION("IMPORTRANGE(""https://docs.google.com/spreadsheets/d/1GfgTldLG6k77HXaMQzaafODklYuucJZQNs_GAPEfZyY/edit?usp=sharing"",""เพชรบูรณ์!J578"")"),0)</f>
        <v>0</v>
      </c>
      <c r="AY23" s="140">
        <f ca="1">IFERROR(__xludf.DUMMYFUNCTION("IMPORTRANGE(""https://docs.google.com/spreadsheets/d/1GfgTldLG6k77HXaMQzaafODklYuucJZQNs_GAPEfZyY/edit?usp=sharing"",""เพชรบูรณ์!J579"")"),0)</f>
        <v>0</v>
      </c>
      <c r="AZ23" s="63">
        <f ca="1">IFERROR(__xludf.DUMMYFUNCTION("IMPORTRANGE(""https://docs.google.com/spreadsheets/d/1GfgTldLG6k77HXaMQzaafODklYuucJZQNs_GAPEfZyY/edit?usp=sharing"",""เพชรบูรณ์!J580"")"),0)</f>
        <v>0</v>
      </c>
      <c r="BA23" s="140">
        <f ca="1">IFERROR(__xludf.DUMMYFUNCTION("IMPORTRANGE(""https://docs.google.com/spreadsheets/d/1GfgTldLG6k77HXaMQzaafODklYuucJZQNs_GAPEfZyY/edit?usp=sharing"",""เพชรบูรณ์!J581"")"),0)</f>
        <v>0</v>
      </c>
      <c r="BB23" s="63">
        <f ca="1">IFERROR(__xludf.DUMMYFUNCTION("IMPORTRANGE(""https://docs.google.com/spreadsheets/d/1GfgTldLG6k77HXaMQzaafODklYuucJZQNs_GAPEfZyY/edit?usp=sharing"",""เพชรบูรณ์!J582"")"),0)</f>
        <v>0</v>
      </c>
      <c r="BC23" s="140">
        <f ca="1">IFERROR(__xludf.DUMMYFUNCTION("IMPORTRANGE(""https://docs.google.com/spreadsheets/d/1GfgTldLG6k77HXaMQzaafODklYuucJZQNs_GAPEfZyY/edit?usp=sharing"",""เพชรบูรณ์!J583"")"),0)</f>
        <v>0</v>
      </c>
      <c r="BD23" s="141">
        <f ca="1">IFERROR(__xludf.DUMMYFUNCTION("IMPORTRANGE(""https://docs.google.com/spreadsheets/d/1GfgTldLG6k77HXaMQzaafODklYuucJZQNs_GAPEfZyY/edit?usp=sharing"",""เพชรบูรณ์!J584"")"),0)</f>
        <v>0</v>
      </c>
      <c r="BE23" s="140">
        <f ca="1">IFERROR(__xludf.DUMMYFUNCTION("IMPORTRANGE(""https://docs.google.com/spreadsheets/d/1GfgTldLG6k77HXaMQzaafODklYuucJZQNs_GAPEfZyY/edit?usp=sharing"",""เพชรบูรณ์!J585"")"),0)</f>
        <v>0</v>
      </c>
      <c r="BF23" s="141">
        <f ca="1">IFERROR(__xludf.DUMMYFUNCTION("IMPORTRANGE(""https://docs.google.com/spreadsheets/d/1GfgTldLG6k77HXaMQzaafODklYuucJZQNs_GAPEfZyY/edit?usp=sharing"",""เพชรบูรณ์!J586"")"),0)</f>
        <v>0</v>
      </c>
      <c r="BG23" s="140">
        <f ca="1">IFERROR(__xludf.DUMMYFUNCTION("IMPORTRANGE(""https://docs.google.com/spreadsheets/d/1GfgTldLG6k77HXaMQzaafODklYuucJZQNs_GAPEfZyY/edit?usp=sharing"",""เพชรบูรณ์!J587"")"),0)</f>
        <v>0</v>
      </c>
      <c r="BH23" s="63">
        <f ca="1">IFERROR(__xludf.DUMMYFUNCTION("IMPORTRANGE(""https://docs.google.com/spreadsheets/d/1GfgTldLG6k77HXaMQzaafODklYuucJZQNs_GAPEfZyY/edit?usp=sharing"",""เพชรบูรณ์!J588"")"),0)</f>
        <v>0</v>
      </c>
      <c r="BI23" s="140">
        <f ca="1">IFERROR(__xludf.DUMMYFUNCTION("IMPORTRANGE(""https://docs.google.com/spreadsheets/d/1GfgTldLG6k77HXaMQzaafODklYuucJZQNs_GAPEfZyY/edit?usp=sharing"",""เพชรบูรณ์!J589"")"),0)</f>
        <v>0</v>
      </c>
      <c r="BJ23" s="63">
        <f ca="1">IFERROR(__xludf.DUMMYFUNCTION("IMPORTRANGE(""https://docs.google.com/spreadsheets/d/1GfgTldLG6k77HXaMQzaafODklYuucJZQNs_GAPEfZyY/edit?usp=sharing"",""เพชรบูรณ์!J590"")"),0)</f>
        <v>0</v>
      </c>
      <c r="BK23" s="140">
        <f ca="1">IFERROR(__xludf.DUMMYFUNCTION("IMPORTRANGE(""https://docs.google.com/spreadsheets/d/1GfgTldLG6k77HXaMQzaafODklYuucJZQNs_GAPEfZyY/edit?usp=sharing"",""เพชรบูรณ์!J591"")"),0)</f>
        <v>0</v>
      </c>
      <c r="BL23" s="57">
        <f ca="1">IFERROR(__xludf.DUMMYFUNCTION("IMPORTRANGE(""https://docs.google.com/spreadsheets/d/1GfgTldLG6k77HXaMQzaafODklYuucJZQNs_GAPEfZyY/edit?usp=sharing"",""เพชรบูรณ์!I593"")"),7886.87)</f>
        <v>7886.87</v>
      </c>
      <c r="BM23" s="57">
        <f ca="1">IFERROR(__xludf.DUMMYFUNCTION("IMPORTRANGE(""https://docs.google.com/spreadsheets/d/1GfgTldLG6k77HXaMQzaafODklYuucJZQNs_GAPEfZyY/edit?usp=sharing"",""เพชรบูรณ์!I594"")"),382)</f>
        <v>382</v>
      </c>
      <c r="BN23" s="63">
        <f ca="1">IFERROR(__xludf.DUMMYFUNCTION("IMPORTRANGE(""https://docs.google.com/spreadsheets/d/1GfgTldLG6k77HXaMQzaafODklYuucJZQNs_GAPEfZyY/edit?usp=sharing"",""เพชรบูรณ์!J593"")"),222)</f>
        <v>222</v>
      </c>
      <c r="BO23" s="63">
        <f t="shared" ca="1" si="40"/>
        <v>2.8148048592153794</v>
      </c>
      <c r="BP23" s="57">
        <f ca="1">IFERROR(__xludf.DUMMYFUNCTION("IMPORTRANGE(""https://docs.google.com/spreadsheets/d/1GfgTldLG6k77HXaMQzaafODklYuucJZQNs_GAPEfZyY/edit?usp=sharing"",""เพชรบูรณ์!J594"")"),19)</f>
        <v>19</v>
      </c>
      <c r="BQ23" s="63">
        <f t="shared" ca="1" si="16"/>
        <v>4.9738219895287958</v>
      </c>
      <c r="BR23" s="63">
        <f ca="1">IFERROR(__xludf.DUMMYFUNCTION("IMPORTRANGE(""https://docs.google.com/spreadsheets/d/1GfgTldLG6k77HXaMQzaafODklYuucJZQNs_GAPEfZyY/edit?usp=sharing"",""เพชรบูรณ์!J595"")"),154)</f>
        <v>154</v>
      </c>
      <c r="BS23" s="140">
        <f ca="1">IFERROR(__xludf.DUMMYFUNCTION("IMPORTRANGE(""https://docs.google.com/spreadsheets/d/1GfgTldLG6k77HXaMQzaafODklYuucJZQNs_GAPEfZyY/edit?usp=sharing"",""เพชรบูรณ์!J596"")"),16)</f>
        <v>16</v>
      </c>
      <c r="BT23" s="63" t="str">
        <f ca="1">IFERROR(__xludf.DUMMYFUNCTION("IMPORTRANGE(""https://docs.google.com/spreadsheets/d/1GfgTldLG6k77HXaMQzaafODklYuucJZQNs_GAPEfZyY/edit?usp=sharing"",""เพชรบูรณ์!J597"")"),"")</f>
        <v/>
      </c>
      <c r="BU23" s="140">
        <f ca="1">IFERROR(__xludf.DUMMYFUNCTION("IMPORTRANGE(""https://docs.google.com/spreadsheets/d/1GfgTldLG6k77HXaMQzaafODklYuucJZQNs_GAPEfZyY/edit?usp=sharing"",""เพชรบูรณ์!J598"")"),16)</f>
        <v>16</v>
      </c>
      <c r="BV23" s="63">
        <f ca="1">IFERROR(__xludf.DUMMYFUNCTION("IMPORTRANGE(""https://docs.google.com/spreadsheets/d/1GfgTldLG6k77HXaMQzaafODklYuucJZQNs_GAPEfZyY/edit?usp=sharing"",""เพชรบูรณ์!J599"")"),154)</f>
        <v>154</v>
      </c>
      <c r="BW23" s="140">
        <f ca="1">IFERROR(__xludf.DUMMYFUNCTION("IMPORTRANGE(""https://docs.google.com/spreadsheets/d/1GfgTldLG6k77HXaMQzaafODklYuucJZQNs_GAPEfZyY/edit?usp=sharing"",""เพชรบูรณ์!J600"")"),0)</f>
        <v>0</v>
      </c>
      <c r="BX23" s="141">
        <f ca="1">IFERROR(__xludf.DUMMYFUNCTION("IMPORTRANGE(""https://docs.google.com/spreadsheets/d/1GfgTldLG6k77HXaMQzaafODklYuucJZQNs_GAPEfZyY/edit?usp=sharing"",""เพชรบูรณ์!J601"")"),0)</f>
        <v>0</v>
      </c>
      <c r="BY23" s="140">
        <f ca="1">IFERROR(__xludf.DUMMYFUNCTION("IMPORTRANGE(""https://docs.google.com/spreadsheets/d/1GfgTldLG6k77HXaMQzaafODklYuucJZQNs_GAPEfZyY/edit?usp=sharing"",""เพชรบูรณ์!J602"")"),0)</f>
        <v>0</v>
      </c>
      <c r="BZ23" s="63">
        <f ca="1">IFERROR(__xludf.DUMMYFUNCTION("IMPORTRANGE(""https://docs.google.com/spreadsheets/d/1GfgTldLG6k77HXaMQzaafODklYuucJZQNs_GAPEfZyY/edit?usp=sharing"",""เพชรบูรณ์!J603"")"),68)</f>
        <v>68</v>
      </c>
      <c r="CA23" s="140">
        <f ca="1">IFERROR(__xludf.DUMMYFUNCTION("IMPORTRANGE(""https://docs.google.com/spreadsheets/d/1GfgTldLG6k77HXaMQzaafODklYuucJZQNs_GAPEfZyY/edit?usp=sharing"",""เพชรบูรณ์!J604"")"),3)</f>
        <v>3</v>
      </c>
      <c r="CB23" s="63">
        <f ca="1">IFERROR(__xludf.DUMMYFUNCTION("IMPORTRANGE(""https://docs.google.com/spreadsheets/d/1GfgTldLG6k77HXaMQzaafODklYuucJZQNs_GAPEfZyY/edit?usp=sharing"",""เพชรบูรณ์!J605"")"),68)</f>
        <v>68</v>
      </c>
      <c r="CC23" s="140">
        <f ca="1">IFERROR(__xludf.DUMMYFUNCTION("IMPORTRANGE(""https://docs.google.com/spreadsheets/d/1GfgTldLG6k77HXaMQzaafODklYuucJZQNs_GAPEfZyY/edit?usp=sharing"",""เพชรบูรณ์!J606"")"),3)</f>
        <v>3</v>
      </c>
      <c r="CD23" s="63">
        <f ca="1">IFERROR(__xludf.DUMMYFUNCTION("IMPORTRANGE(""https://docs.google.com/spreadsheets/d/1GfgTldLG6k77HXaMQzaafODklYuucJZQNs_GAPEfZyY/edit?usp=sharing"",""เพชรบูรณ์!J607"")"),0)</f>
        <v>0</v>
      </c>
      <c r="CE23" s="140">
        <f ca="1">IFERROR(__xludf.DUMMYFUNCTION("IMPORTRANGE(""https://docs.google.com/spreadsheets/d/1GfgTldLG6k77HXaMQzaafODklYuucJZQNs_GAPEfZyY/edit?usp=sharing"",""เพชรบูรณ์!J608"")"),0)</f>
        <v>0</v>
      </c>
      <c r="CF23" s="63">
        <f ca="1">IFERROR(__xludf.DUMMYFUNCTION("IMPORTRANGE(""https://docs.google.com/spreadsheets/d/1GfgTldLG6k77HXaMQzaafODklYuucJZQNs_GAPEfZyY/edit?usp=sharing"",""เพชรบูรณ์!J609"")"),0)</f>
        <v>0</v>
      </c>
      <c r="CG23" s="140">
        <f ca="1">IFERROR(__xludf.DUMMYFUNCTION("IMPORTRANGE(""https://docs.google.com/spreadsheets/d/1GfgTldLG6k77HXaMQzaafODklYuucJZQNs_GAPEfZyY/edit?usp=sharing"",""เพชรบูรณ์!J610"")"),0)</f>
        <v>0</v>
      </c>
      <c r="CH23" s="140">
        <f ca="1">IFERROR(__xludf.DUMMYFUNCTION("IMPORTRANGE(""https://docs.google.com/spreadsheets/d/1GfgTldLG6k77HXaMQzaafODklYuucJZQNs_GAPEfZyY/edit?usp=sharing"",""เพชรบูรณ์!I612"")"),0)</f>
        <v>0</v>
      </c>
      <c r="CI23" s="140">
        <f ca="1">IFERROR(__xludf.DUMMYFUNCTION("IMPORTRANGE(""https://docs.google.com/spreadsheets/d/1GfgTldLG6k77HXaMQzaafODklYuucJZQNs_GAPEfZyY/edit?usp=sharing"",""เพชรบูรณ์!I594"")"),382)</f>
        <v>382</v>
      </c>
      <c r="CJ23" s="141">
        <f ca="1">IFERROR(__xludf.DUMMYFUNCTION("IMPORTRANGE(""https://docs.google.com/spreadsheets/d/1GfgTldLG6k77HXaMQzaafODklYuucJZQNs_GAPEfZyY/edit?usp=sharing"",""เพชรบูรณ์!J612"")"),0)</f>
        <v>0</v>
      </c>
      <c r="CK23" s="141">
        <f t="shared" ca="1" si="41"/>
        <v>0</v>
      </c>
      <c r="CL23" s="140">
        <f ca="1">IFERROR(__xludf.DUMMYFUNCTION("IMPORTRANGE(""https://docs.google.com/spreadsheets/d/1GfgTldLG6k77HXaMQzaafODklYuucJZQNs_GAPEfZyY/edit?usp=sharing"",""เพชรบูรณ์!J613"")"),0)</f>
        <v>0</v>
      </c>
      <c r="CM23" s="141">
        <f t="shared" ca="1" si="19"/>
        <v>0</v>
      </c>
      <c r="CN23" s="63">
        <f ca="1">IFERROR(__xludf.DUMMYFUNCTION("IMPORTRANGE(""https://docs.google.com/spreadsheets/d/1GfgTldLG6k77HXaMQzaafODklYuucJZQNs_GAPEfZyY/edit?usp=sharing"",""เพชรบูรณ์!J614"")"),0)</f>
        <v>0</v>
      </c>
      <c r="CO23" s="140">
        <f ca="1">IFERROR(__xludf.DUMMYFUNCTION("IMPORTRANGE(""https://docs.google.com/spreadsheets/d/1GfgTldLG6k77HXaMQzaafODklYuucJZQNs_GAPEfZyY/edit?usp=sharing"",""เพชรบูรณ์!J615"")"),0)</f>
        <v>0</v>
      </c>
      <c r="CP23" s="63">
        <f ca="1">IFERROR(__xludf.DUMMYFUNCTION("IMPORTRANGE(""https://docs.google.com/spreadsheets/d/1GfgTldLG6k77HXaMQzaafODklYuucJZQNs_GAPEfZyY/edit?usp=sharing"",""เพชรบูรณ์!J616"")"),0)</f>
        <v>0</v>
      </c>
      <c r="CQ23" s="140">
        <f ca="1">IFERROR(__xludf.DUMMYFUNCTION("IMPORTRANGE(""https://docs.google.com/spreadsheets/d/1GfgTldLG6k77HXaMQzaafODklYuucJZQNs_GAPEfZyY/edit?usp=sharing"",""เพชรบูรณ์!J617"")"),0)</f>
        <v>0</v>
      </c>
      <c r="CR23" s="140">
        <f ca="1">IFERROR(__xludf.DUMMYFUNCTION("IMPORTRANGE(""https://docs.google.com/spreadsheets/d/1GfgTldLG6k77HXaMQzaafODklYuucJZQNs_GAPEfZyY/edit?usp=sharing"",""เพชรบูรณ์!I620"")"),506)</f>
        <v>506</v>
      </c>
      <c r="CS23" s="140">
        <f ca="1">IFERROR(__xludf.DUMMYFUNCTION("IMPORTRANGE(""https://docs.google.com/spreadsheets/d/1GfgTldLG6k77HXaMQzaafODklYuucJZQNs_GAPEfZyY/edit?usp=sharing"",""เพชรบูรณ์!I621"")"),15)</f>
        <v>15</v>
      </c>
      <c r="CT23" s="141">
        <f ca="1">IFERROR(__xludf.DUMMYFUNCTION("IMPORTRANGE(""https://docs.google.com/spreadsheets/d/1GfgTldLG6k77HXaMQzaafODklYuucJZQNs_GAPEfZyY/edit?usp=sharing"",""เพชรบูรณ์!J620"")"),0)</f>
        <v>0</v>
      </c>
      <c r="CU23" s="141">
        <f t="shared" ca="1" si="42"/>
        <v>0</v>
      </c>
      <c r="CV23" s="140">
        <f ca="1">IFERROR(__xludf.DUMMYFUNCTION("IMPORTRANGE(""https://docs.google.com/spreadsheets/d/1GfgTldLG6k77HXaMQzaafODklYuucJZQNs_GAPEfZyY/edit?usp=sharing"",""เพชรบูรณ์!J621"")"),0)</f>
        <v>0</v>
      </c>
      <c r="CW23" s="141">
        <f t="shared" ca="1" si="22"/>
        <v>0</v>
      </c>
      <c r="CX23" s="63">
        <f ca="1">IFERROR(__xludf.DUMMYFUNCTION("IMPORTRANGE(""https://docs.google.com/spreadsheets/d/1GfgTldLG6k77HXaMQzaafODklYuucJZQNs_GAPEfZyY/edit?usp=sharing"",""เพชรบูรณ์!J622"")"),0)</f>
        <v>0</v>
      </c>
      <c r="CY23" s="140">
        <f ca="1">IFERROR(__xludf.DUMMYFUNCTION("IMPORTRANGE(""https://docs.google.com/spreadsheets/d/1GfgTldLG6k77HXaMQzaafODklYuucJZQNs_GAPEfZyY/edit?usp=sharing"",""เพชรบูรณ์!J623"")"),0)</f>
        <v>0</v>
      </c>
      <c r="CZ23" s="63">
        <f ca="1">IFERROR(__xludf.DUMMYFUNCTION("IMPORTRANGE(""https://docs.google.com/spreadsheets/d/1GfgTldLG6k77HXaMQzaafODklYuucJZQNs_GAPEfZyY/edit?usp=sharing"",""เพชรบูรณ์!J624"")"),0)</f>
        <v>0</v>
      </c>
      <c r="DA23" s="140">
        <f ca="1">IFERROR(__xludf.DUMMYFUNCTION("IMPORTRANGE(""https://docs.google.com/spreadsheets/d/1GfgTldLG6k77HXaMQzaafODklYuucJZQNs_GAPEfZyY/edit?usp=sharing"",""เพชรบูรณ์!J625"")"),0)</f>
        <v>0</v>
      </c>
      <c r="DB23" s="63">
        <f ca="1">IFERROR(__xludf.DUMMYFUNCTION("IMPORTRANGE(""https://docs.google.com/spreadsheets/d/1GfgTldLG6k77HXaMQzaafODklYuucJZQNs_GAPEfZyY/edit?usp=sharing"",""เพชรบูรณ์!J626"")"),0)</f>
        <v>0</v>
      </c>
      <c r="DC23" s="140">
        <f ca="1">IFERROR(__xludf.DUMMYFUNCTION("IMPORTRANGE(""https://docs.google.com/spreadsheets/d/1GfgTldLG6k77HXaMQzaafODklYuucJZQNs_GAPEfZyY/edit?usp=sharing"",""เพชรบูรณ์!J627"")"),0)</f>
        <v>0</v>
      </c>
    </row>
    <row r="24" spans="1:107" ht="24" customHeight="1" x14ac:dyDescent="0.3">
      <c r="A24" s="54">
        <v>11</v>
      </c>
      <c r="B24" s="55" t="s">
        <v>45</v>
      </c>
      <c r="C24" s="56">
        <f t="shared" ca="1" si="55"/>
        <v>481114</v>
      </c>
      <c r="D24" s="57">
        <f ca="1">IFERROR(__xludf.DUMMYFUNCTION("IMPORTRANGE(""https://docs.google.com/spreadsheets/d/1gvTMYAnm7v1yG1BKWFtr0DnaTsq59oW9dwWvFgq6hs0/edit?usp=sharing"",""แพร่!L549"")"),481114)</f>
        <v>481114</v>
      </c>
      <c r="E24" s="64">
        <f ca="1">IFERROR(__xludf.DUMMYFUNCTION("IMPORTRANGE(""https://docs.google.com/spreadsheets/d/1gvTMYAnm7v1yG1BKWFtr0DnaTsq59oW9dwWvFgq6hs0/edit?usp=sharing"",""แพร่!L557"")"),0)</f>
        <v>0</v>
      </c>
      <c r="F24" s="64">
        <f ca="1">IFERROR(__xludf.DUMMYFUNCTION("IMPORTRANGE(""https://docs.google.com/spreadsheets/d/1gvTMYAnm7v1yG1BKWFtr0DnaTsq59oW9dwWvFgq6hs0/edit?usp=sharing"",""แพร่!M549"")"),481114)</f>
        <v>481114</v>
      </c>
      <c r="G24" s="64">
        <f ca="1">IFERROR(__xludf.DUMMYFUNCTION("IMPORTRANGE(""https://docs.google.com/spreadsheets/d/1gvTMYAnm7v1yG1BKWFtr0DnaTsq59oW9dwWvFgq6hs0/edit?usp=sharing"",""แพร่!M557"")"),0)</f>
        <v>0</v>
      </c>
      <c r="H24" s="58">
        <f t="shared" ca="1" si="36"/>
        <v>183284.47</v>
      </c>
      <c r="I24" s="59">
        <f t="shared" ca="1" si="1"/>
        <v>38.095850463715458</v>
      </c>
      <c r="J24" s="60">
        <f t="shared" ca="1" si="56"/>
        <v>183284.47</v>
      </c>
      <c r="K24" s="61">
        <f t="shared" ca="1" si="44"/>
        <v>38.095850463715458</v>
      </c>
      <c r="L24" s="61">
        <f t="shared" ca="1" si="45"/>
        <v>38.095850463715458</v>
      </c>
      <c r="M24" s="64">
        <f ca="1">IFERROR(__xludf.DUMMYFUNCTION("IMPORTRANGE(""https://docs.google.com/spreadsheets/d/1gvTMYAnm7v1yG1BKWFtr0DnaTsq59oW9dwWvFgq6hs0/edit?usp=sharing"",""แพร่!N550"")"),0)</f>
        <v>0</v>
      </c>
      <c r="N24" s="64">
        <f ca="1">IFERROR(__xludf.DUMMYFUNCTION("IMPORTRANGE(""https://docs.google.com/spreadsheets/d/1gvTMYAnm7v1yG1BKWFtr0DnaTsq59oW9dwWvFgq6hs0/edit?usp=sharing"",""แพร่!N551"")"),0)</f>
        <v>0</v>
      </c>
      <c r="O24" s="64">
        <f ca="1">IFERROR(__xludf.DUMMYFUNCTION("IMPORTRANGE(""https://docs.google.com/spreadsheets/d/1gvTMYAnm7v1yG1BKWFtr0DnaTsq59oW9dwWvFgq6hs0/edit?usp=sharing"",""แพร่!N552"")"),63701)</f>
        <v>63701</v>
      </c>
      <c r="P24" s="64">
        <f ca="1">IFERROR(__xludf.DUMMYFUNCTION("IMPORTRANGE(""https://docs.google.com/spreadsheets/d/1gvTMYAnm7v1yG1BKWFtr0DnaTsq59oW9dwWvFgq6hs0/edit?usp=sharing"",""แพร่!N553"")"),119583.47)</f>
        <v>119583.47</v>
      </c>
      <c r="Q24" s="64">
        <f ca="1">IFERROR(__xludf.DUMMYFUNCTION("IMPORTRANGE(""https://docs.google.com/spreadsheets/d/1gvTMYAnm7v1yG1BKWFtr0DnaTsq59oW9dwWvFgq6hs0/edit?usp=sharing"",""แพร่!N554"")"),0)</f>
        <v>0</v>
      </c>
      <c r="R24" s="62">
        <f ca="1">IFERROR(__xludf.DUMMYFUNCTION("IMPORTRANGE(""https://docs.google.com/spreadsheets/d/1gvTMYAnm7v1yG1BKWFtr0DnaTsq59oW9dwWvFgq6hs0/edit?usp=sharing"",""แพร่!N557"")"),0)</f>
        <v>0</v>
      </c>
      <c r="S24" s="62">
        <f t="shared" ca="1" si="47"/>
        <v>0</v>
      </c>
      <c r="T24" s="57">
        <f ca="1">IFERROR(__xludf.DUMMYFUNCTION("IMPORTRANGE(""https://docs.google.com/spreadsheets/d/1gvTMYAnm7v1yG1BKWFtr0DnaTsq59oW9dwWvFgq6hs0/edit?usp=sharing"",""แพร่!I560"")"),54558)</f>
        <v>54558</v>
      </c>
      <c r="U24" s="57">
        <f ca="1">IFERROR(__xludf.DUMMYFUNCTION("IMPORTRANGE(""https://docs.google.com/spreadsheets/d/1gvTMYAnm7v1yG1BKWFtr0DnaTsq59oW9dwWvFgq6hs0/edit?usp=sharing"",""แพร่!I561"")"),7999)</f>
        <v>7999</v>
      </c>
      <c r="V24" s="63">
        <f ca="1">IFERROR(__xludf.DUMMYFUNCTION("IMPORTRANGE(""https://docs.google.com/spreadsheets/d/1gvTMYAnm7v1yG1BKWFtr0DnaTsq59oW9dwWvFgq6hs0/edit?usp=sharing"",""แพร่!J560"")"),54558.2)</f>
        <v>54558.2</v>
      </c>
      <c r="W24" s="63">
        <f t="shared" ca="1" si="37"/>
        <v>100.00036658235273</v>
      </c>
      <c r="X24" s="57">
        <f ca="1">IFERROR(__xludf.DUMMYFUNCTION("IMPORTRANGE(""https://docs.google.com/spreadsheets/d/1gvTMYAnm7v1yG1BKWFtr0DnaTsq59oW9dwWvFgq6hs0/edit?usp=sharing"",""แพร่!J561"")"),7999)</f>
        <v>7999</v>
      </c>
      <c r="Y24" s="63">
        <f t="shared" ca="1" si="7"/>
        <v>100</v>
      </c>
      <c r="Z24" s="63">
        <f ca="1">IFERROR(__xludf.DUMMYFUNCTION("IMPORTRANGE(""https://docs.google.com/spreadsheets/d/1gvTMYAnm7v1yG1BKWFtr0DnaTsq59oW9dwWvFgq6hs0/edit?usp=sharing"",""แพร่!J562"")"),43084.6)</f>
        <v>43084.6</v>
      </c>
      <c r="AA24" s="140">
        <f ca="1">IFERROR(__xludf.DUMMYFUNCTION("IMPORTRANGE(""https://docs.google.com/spreadsheets/d/1gvTMYAnm7v1yG1BKWFtr0DnaTsq59oW9dwWvFgq6hs0/edit?usp=sharing"",""แพร่!J563"")"),6613)</f>
        <v>6613</v>
      </c>
      <c r="AB24" s="63">
        <f ca="1">IFERROR(__xludf.DUMMYFUNCTION("IMPORTRANGE(""https://docs.google.com/spreadsheets/d/1gvTMYAnm7v1yG1BKWFtr0DnaTsq59oW9dwWvFgq6hs0/edit?usp=sharing"",""แพร่!J564"")"),11473.6)</f>
        <v>11473.6</v>
      </c>
      <c r="AC24" s="140">
        <f ca="1">IFERROR(__xludf.DUMMYFUNCTION("IMPORTRANGE(""https://docs.google.com/spreadsheets/d/1gvTMYAnm7v1yG1BKWFtr0DnaTsq59oW9dwWvFgq6hs0/edit?usp=sharing"",""แพร่!J565"")"),1386)</f>
        <v>1386</v>
      </c>
      <c r="AD24" s="63">
        <f ca="1">IFERROR(__xludf.DUMMYFUNCTION("IMPORTRANGE(""https://docs.google.com/spreadsheets/d/1gvTMYAnm7v1yG1BKWFtr0DnaTsq59oW9dwWvFgq6hs0/edit?usp=sharing"",""แพร่!J566"")"),0)</f>
        <v>0</v>
      </c>
      <c r="AE24" s="140">
        <f ca="1">IFERROR(__xludf.DUMMYFUNCTION("IMPORTRANGE(""https://docs.google.com/spreadsheets/d/1gvTMYAnm7v1yG1BKWFtr0DnaTsq59oW9dwWvFgq6hs0/edit?usp=sharing"",""แพร่!J567"")"),0)</f>
        <v>0</v>
      </c>
      <c r="AF24" s="57">
        <f ca="1">IFERROR(__xludf.DUMMYFUNCTION("IMPORTRANGE(""https://docs.google.com/spreadsheets/d/1gvTMYAnm7v1yG1BKWFtr0DnaTsq59oW9dwWvFgq6hs0/edit?usp=sharing"",""แพร่!I568"")"),54558)</f>
        <v>54558</v>
      </c>
      <c r="AG24" s="57">
        <f ca="1">IFERROR(__xludf.DUMMYFUNCTION("IMPORTRANGE(""https://docs.google.com/spreadsheets/d/1gvTMYAnm7v1yG1BKWFtr0DnaTsq59oW9dwWvFgq6hs0/edit?usp=sharing"",""แพร่!I569"")"),7999)</f>
        <v>7999</v>
      </c>
      <c r="AH24" s="63">
        <f ca="1">IFERROR(__xludf.DUMMYFUNCTION("IMPORTRANGE(""https://docs.google.com/spreadsheets/d/1gvTMYAnm7v1yG1BKWFtr0DnaTsq59oW9dwWvFgq6hs0/edit?usp=sharing"",""แพร่!J568"")"),54557.9)</f>
        <v>54557.9</v>
      </c>
      <c r="AI24" s="63">
        <f t="shared" ca="1" si="38"/>
        <v>99.999816708823644</v>
      </c>
      <c r="AJ24" s="57">
        <f ca="1">IFERROR(__xludf.DUMMYFUNCTION("IMPORTRANGE(""https://docs.google.com/spreadsheets/d/1gvTMYAnm7v1yG1BKWFtr0DnaTsq59oW9dwWvFgq6hs0/edit?usp=sharing"",""แพร่!J569"")"),7999)</f>
        <v>7999</v>
      </c>
      <c r="AK24" s="63">
        <f t="shared" ca="1" si="10"/>
        <v>100</v>
      </c>
      <c r="AL24" s="63">
        <f ca="1">IFERROR(__xludf.DUMMYFUNCTION("IMPORTRANGE(""https://docs.google.com/spreadsheets/d/1gvTMYAnm7v1yG1BKWFtr0DnaTsq59oW9dwWvFgq6hs0/edit?usp=sharing"",""แพร่!J570"")"),44922)</f>
        <v>44922</v>
      </c>
      <c r="AM24" s="140">
        <f ca="1">IFERROR(__xludf.DUMMYFUNCTION("IMPORTRANGE(""https://docs.google.com/spreadsheets/d/1gvTMYAnm7v1yG1BKWFtr0DnaTsq59oW9dwWvFgq6hs0/edit?usp=sharing"",""แพร่!J571"")"),6903)</f>
        <v>6903</v>
      </c>
      <c r="AN24" s="63">
        <f ca="1">IFERROR(__xludf.DUMMYFUNCTION("IMPORTRANGE(""https://docs.google.com/spreadsheets/d/1gvTMYAnm7v1yG1BKWFtr0DnaTsq59oW9dwWvFgq6hs0/edit?usp=sharing"",""แพร่!J572"")"),8702.5)</f>
        <v>8702.5</v>
      </c>
      <c r="AO24" s="140">
        <f ca="1">IFERROR(__xludf.DUMMYFUNCTION("IMPORTRANGE(""https://docs.google.com/spreadsheets/d/1gvTMYAnm7v1yG1BKWFtr0DnaTsq59oW9dwWvFgq6hs0/edit?usp=sharing"",""แพร่!J573"")"),972)</f>
        <v>972</v>
      </c>
      <c r="AP24" s="63">
        <f ca="1">IFERROR(__xludf.DUMMYFUNCTION("IMPORTRANGE(""https://docs.google.com/spreadsheets/d/1gvTMYAnm7v1yG1BKWFtr0DnaTsq59oW9dwWvFgq6hs0/edit?usp=sharing"",""แพร่!J574"")"),933.4)</f>
        <v>933.4</v>
      </c>
      <c r="AQ24" s="140">
        <f ca="1">IFERROR(__xludf.DUMMYFUNCTION("IMPORTRANGE(""https://docs.google.com/spreadsheets/d/1gvTMYAnm7v1yG1BKWFtr0DnaTsq59oW9dwWvFgq6hs0/edit?usp=sharing"",""แพร่!J575"")"),124)</f>
        <v>124</v>
      </c>
      <c r="AR24" s="57">
        <f ca="1">IFERROR(__xludf.DUMMYFUNCTION("IMPORTRANGE(""https://docs.google.com/spreadsheets/d/1gvTMYAnm7v1yG1BKWFtr0DnaTsq59oW9dwWvFgq6hs0/edit?usp=sharing"",""แพร่!I576"")"),54558)</f>
        <v>54558</v>
      </c>
      <c r="AS24" s="57">
        <f ca="1">IFERROR(__xludf.DUMMYFUNCTION("IMPORTRANGE(""https://docs.google.com/spreadsheets/d/1gvTMYAnm7v1yG1BKWFtr0DnaTsq59oW9dwWvFgq6hs0/edit?usp=sharing"",""แพร่!I577"")"),7999)</f>
        <v>7999</v>
      </c>
      <c r="AT24" s="63">
        <f ca="1">IFERROR(__xludf.DUMMYFUNCTION("IMPORTRANGE(""https://docs.google.com/spreadsheets/d/1gvTMYAnm7v1yG1BKWFtr0DnaTsq59oW9dwWvFgq6hs0/edit?usp=sharing"",""แพร่!J576"")"),0)</f>
        <v>0</v>
      </c>
      <c r="AU24" s="63">
        <f t="shared" ca="1" si="39"/>
        <v>0</v>
      </c>
      <c r="AV24" s="57">
        <f ca="1">IFERROR(__xludf.DUMMYFUNCTION("IMPORTRANGE(""https://docs.google.com/spreadsheets/d/1gvTMYAnm7v1yG1BKWFtr0DnaTsq59oW9dwWvFgq6hs0/edit?usp=sharing"",""แพร่!J577"")"),0)</f>
        <v>0</v>
      </c>
      <c r="AW24" s="63">
        <f t="shared" ca="1" si="13"/>
        <v>0</v>
      </c>
      <c r="AX24" s="63" t="str">
        <f ca="1">IFERROR(__xludf.DUMMYFUNCTION("IMPORTRANGE(""https://docs.google.com/spreadsheets/d/1gvTMYAnm7v1yG1BKWFtr0DnaTsq59oW9dwWvFgq6hs0/edit?usp=sharing"",""แพร่!J578"")"),"")</f>
        <v/>
      </c>
      <c r="AY24" s="140" t="str">
        <f ca="1">IFERROR(__xludf.DUMMYFUNCTION("IMPORTRANGE(""https://docs.google.com/spreadsheets/d/1gvTMYAnm7v1yG1BKWFtr0DnaTsq59oW9dwWvFgq6hs0/edit?usp=sharing"",""แพร่!J579"")"),"")</f>
        <v/>
      </c>
      <c r="AZ24" s="63">
        <f ca="1">IFERROR(__xludf.DUMMYFUNCTION("IMPORTRANGE(""https://docs.google.com/spreadsheets/d/1gvTMYAnm7v1yG1BKWFtr0DnaTsq59oW9dwWvFgq6hs0/edit?usp=sharing"",""แพร่!J580"")"),0)</f>
        <v>0</v>
      </c>
      <c r="BA24" s="140">
        <f ca="1">IFERROR(__xludf.DUMMYFUNCTION("IMPORTRANGE(""https://docs.google.com/spreadsheets/d/1gvTMYAnm7v1yG1BKWFtr0DnaTsq59oW9dwWvFgq6hs0/edit?usp=sharing"",""แพร่!J581"")"),0)</f>
        <v>0</v>
      </c>
      <c r="BB24" s="63">
        <f ca="1">IFERROR(__xludf.DUMMYFUNCTION("IMPORTRANGE(""https://docs.google.com/spreadsheets/d/1gvTMYAnm7v1yG1BKWFtr0DnaTsq59oW9dwWvFgq6hs0/edit?usp=sharing"",""แพร่!J582"")"),0)</f>
        <v>0</v>
      </c>
      <c r="BC24" s="140">
        <f ca="1">IFERROR(__xludf.DUMMYFUNCTION("IMPORTRANGE(""https://docs.google.com/spreadsheets/d/1gvTMYAnm7v1yG1BKWFtr0DnaTsq59oW9dwWvFgq6hs0/edit?usp=sharing"",""แพร่!J583"")"),0)</f>
        <v>0</v>
      </c>
      <c r="BD24" s="141" t="str">
        <f ca="1">IFERROR(__xludf.DUMMYFUNCTION("IMPORTRANGE(""https://docs.google.com/spreadsheets/d/1gvTMYAnm7v1yG1BKWFtr0DnaTsq59oW9dwWvFgq6hs0/edit?usp=sharing"",""แพร่!J584"")"),"")</f>
        <v/>
      </c>
      <c r="BE24" s="140" t="str">
        <f ca="1">IFERROR(__xludf.DUMMYFUNCTION("IMPORTRANGE(""https://docs.google.com/spreadsheets/d/1gvTMYAnm7v1yG1BKWFtr0DnaTsq59oW9dwWvFgq6hs0/edit?usp=sharing"",""แพร่!J585"")"),"")</f>
        <v/>
      </c>
      <c r="BF24" s="141">
        <f ca="1">IFERROR(__xludf.DUMMYFUNCTION("IMPORTRANGE(""https://docs.google.com/spreadsheets/d/1gvTMYAnm7v1yG1BKWFtr0DnaTsq59oW9dwWvFgq6hs0/edit?usp=sharing"",""แพร่!J586"")"),0)</f>
        <v>0</v>
      </c>
      <c r="BG24" s="140">
        <f ca="1">IFERROR(__xludf.DUMMYFUNCTION("IMPORTRANGE(""https://docs.google.com/spreadsheets/d/1gvTMYAnm7v1yG1BKWFtr0DnaTsq59oW9dwWvFgq6hs0/edit?usp=sharing"",""แพร่!J587"")"),0)</f>
        <v>0</v>
      </c>
      <c r="BH24" s="63">
        <f ca="1">IFERROR(__xludf.DUMMYFUNCTION("IMPORTRANGE(""https://docs.google.com/spreadsheets/d/1gvTMYAnm7v1yG1BKWFtr0DnaTsq59oW9dwWvFgq6hs0/edit?usp=sharing"",""แพร่!J588"")"),0)</f>
        <v>0</v>
      </c>
      <c r="BI24" s="140">
        <f ca="1">IFERROR(__xludf.DUMMYFUNCTION("IMPORTRANGE(""https://docs.google.com/spreadsheets/d/1gvTMYAnm7v1yG1BKWFtr0DnaTsq59oW9dwWvFgq6hs0/edit?usp=sharing"",""แพร่!J589"")"),0)</f>
        <v>0</v>
      </c>
      <c r="BJ24" s="63">
        <f ca="1">IFERROR(__xludf.DUMMYFUNCTION("IMPORTRANGE(""https://docs.google.com/spreadsheets/d/1gvTMYAnm7v1yG1BKWFtr0DnaTsq59oW9dwWvFgq6hs0/edit?usp=sharing"",""แพร่!J590"")"),0)</f>
        <v>0</v>
      </c>
      <c r="BK24" s="140">
        <f ca="1">IFERROR(__xludf.DUMMYFUNCTION("IMPORTRANGE(""https://docs.google.com/spreadsheets/d/1gvTMYAnm7v1yG1BKWFtr0DnaTsq59oW9dwWvFgq6hs0/edit?usp=sharing"",""แพร่!J591"")"),0)</f>
        <v>0</v>
      </c>
      <c r="BL24" s="57">
        <f ca="1">IFERROR(__xludf.DUMMYFUNCTION("IMPORTRANGE(""https://docs.google.com/spreadsheets/d/1gvTMYAnm7v1yG1BKWFtr0DnaTsq59oW9dwWvFgq6hs0/edit?usp=sharing"",""แพร่!I593"")"),1861.83)</f>
        <v>1861.83</v>
      </c>
      <c r="BM24" s="57">
        <f ca="1">IFERROR(__xludf.DUMMYFUNCTION("IMPORTRANGE(""https://docs.google.com/spreadsheets/d/1gvTMYAnm7v1yG1BKWFtr0DnaTsq59oW9dwWvFgq6hs0/edit?usp=sharing"",""แพร่!I594"")"),313)</f>
        <v>313</v>
      </c>
      <c r="BN24" s="63">
        <f ca="1">IFERROR(__xludf.DUMMYFUNCTION("IMPORTRANGE(""https://docs.google.com/spreadsheets/d/1gvTMYAnm7v1yG1BKWFtr0DnaTsq59oW9dwWvFgq6hs0/edit?usp=sharing"",""แพร่!J593"")"),0)</f>
        <v>0</v>
      </c>
      <c r="BO24" s="63">
        <f t="shared" ca="1" si="40"/>
        <v>0</v>
      </c>
      <c r="BP24" s="57">
        <f ca="1">IFERROR(__xludf.DUMMYFUNCTION("IMPORTRANGE(""https://docs.google.com/spreadsheets/d/1gvTMYAnm7v1yG1BKWFtr0DnaTsq59oW9dwWvFgq6hs0/edit?usp=sharing"",""แพร่!J594"")"),0)</f>
        <v>0</v>
      </c>
      <c r="BQ24" s="63">
        <f t="shared" ca="1" si="16"/>
        <v>0</v>
      </c>
      <c r="BR24" s="63">
        <f ca="1">IFERROR(__xludf.DUMMYFUNCTION("IMPORTRANGE(""https://docs.google.com/spreadsheets/d/1gvTMYAnm7v1yG1BKWFtr0DnaTsq59oW9dwWvFgq6hs0/edit?usp=sharing"",""แพร่!J595"")"),0)</f>
        <v>0</v>
      </c>
      <c r="BS24" s="140">
        <f ca="1">IFERROR(__xludf.DUMMYFUNCTION("IMPORTRANGE(""https://docs.google.com/spreadsheets/d/1gvTMYAnm7v1yG1BKWFtr0DnaTsq59oW9dwWvFgq6hs0/edit?usp=sharing"",""แพร่!J596"")"),0)</f>
        <v>0</v>
      </c>
      <c r="BT24" s="63">
        <f ca="1">IFERROR(__xludf.DUMMYFUNCTION("IMPORTRANGE(""https://docs.google.com/spreadsheets/d/1gvTMYAnm7v1yG1BKWFtr0DnaTsq59oW9dwWvFgq6hs0/edit?usp=sharing"",""แพร่!J597"")"),0)</f>
        <v>0</v>
      </c>
      <c r="BU24" s="140">
        <f ca="1">IFERROR(__xludf.DUMMYFUNCTION("IMPORTRANGE(""https://docs.google.com/spreadsheets/d/1gvTMYAnm7v1yG1BKWFtr0DnaTsq59oW9dwWvFgq6hs0/edit?usp=sharing"",""แพร่!J598"")"),0)</f>
        <v>0</v>
      </c>
      <c r="BV24" s="63">
        <f ca="1">IFERROR(__xludf.DUMMYFUNCTION("IMPORTRANGE(""https://docs.google.com/spreadsheets/d/1gvTMYAnm7v1yG1BKWFtr0DnaTsq59oW9dwWvFgq6hs0/edit?usp=sharing"",""แพร่!J599"")"),0)</f>
        <v>0</v>
      </c>
      <c r="BW24" s="140">
        <f ca="1">IFERROR(__xludf.DUMMYFUNCTION("IMPORTRANGE(""https://docs.google.com/spreadsheets/d/1gvTMYAnm7v1yG1BKWFtr0DnaTsq59oW9dwWvFgq6hs0/edit?usp=sharing"",""แพร่!J600"")"),0)</f>
        <v>0</v>
      </c>
      <c r="BX24" s="141">
        <f ca="1">IFERROR(__xludf.DUMMYFUNCTION("IMPORTRANGE(""https://docs.google.com/spreadsheets/d/1gvTMYAnm7v1yG1BKWFtr0DnaTsq59oW9dwWvFgq6hs0/edit?usp=sharing"",""แพร่!J601"")"),0)</f>
        <v>0</v>
      </c>
      <c r="BY24" s="140">
        <f ca="1">IFERROR(__xludf.DUMMYFUNCTION("IMPORTRANGE(""https://docs.google.com/spreadsheets/d/1gvTMYAnm7v1yG1BKWFtr0DnaTsq59oW9dwWvFgq6hs0/edit?usp=sharing"",""แพร่!J602"")"),0)</f>
        <v>0</v>
      </c>
      <c r="BZ24" s="63">
        <f ca="1">IFERROR(__xludf.DUMMYFUNCTION("IMPORTRANGE(""https://docs.google.com/spreadsheets/d/1gvTMYAnm7v1yG1BKWFtr0DnaTsq59oW9dwWvFgq6hs0/edit?usp=sharing"",""แพร่!J603"")"),0)</f>
        <v>0</v>
      </c>
      <c r="CA24" s="140">
        <f ca="1">IFERROR(__xludf.DUMMYFUNCTION("IMPORTRANGE(""https://docs.google.com/spreadsheets/d/1gvTMYAnm7v1yG1BKWFtr0DnaTsq59oW9dwWvFgq6hs0/edit?usp=sharing"",""แพร่!J604"")"),0)</f>
        <v>0</v>
      </c>
      <c r="CB24" s="63">
        <f ca="1">IFERROR(__xludf.DUMMYFUNCTION("IMPORTRANGE(""https://docs.google.com/spreadsheets/d/1gvTMYAnm7v1yG1BKWFtr0DnaTsq59oW9dwWvFgq6hs0/edit?usp=sharing"",""แพร่!J605"")"),0)</f>
        <v>0</v>
      </c>
      <c r="CC24" s="140">
        <f ca="1">IFERROR(__xludf.DUMMYFUNCTION("IMPORTRANGE(""https://docs.google.com/spreadsheets/d/1gvTMYAnm7v1yG1BKWFtr0DnaTsq59oW9dwWvFgq6hs0/edit?usp=sharing"",""แพร่!J606"")"),0)</f>
        <v>0</v>
      </c>
      <c r="CD24" s="63">
        <f ca="1">IFERROR(__xludf.DUMMYFUNCTION("IMPORTRANGE(""https://docs.google.com/spreadsheets/d/1gvTMYAnm7v1yG1BKWFtr0DnaTsq59oW9dwWvFgq6hs0/edit?usp=sharing"",""แพร่!J607"")"),0)</f>
        <v>0</v>
      </c>
      <c r="CE24" s="140">
        <f ca="1">IFERROR(__xludf.DUMMYFUNCTION("IMPORTRANGE(""https://docs.google.com/spreadsheets/d/1gvTMYAnm7v1yG1BKWFtr0DnaTsq59oW9dwWvFgq6hs0/edit?usp=sharing"",""แพร่!J608"")"),0)</f>
        <v>0</v>
      </c>
      <c r="CF24" s="63">
        <f ca="1">IFERROR(__xludf.DUMMYFUNCTION("IMPORTRANGE(""https://docs.google.com/spreadsheets/d/1gvTMYAnm7v1yG1BKWFtr0DnaTsq59oW9dwWvFgq6hs0/edit?usp=sharing"",""แพร่!J609"")"),0)</f>
        <v>0</v>
      </c>
      <c r="CG24" s="140">
        <f ca="1">IFERROR(__xludf.DUMMYFUNCTION("IMPORTRANGE(""https://docs.google.com/spreadsheets/d/1gvTMYAnm7v1yG1BKWFtr0DnaTsq59oW9dwWvFgq6hs0/edit?usp=sharing"",""แพร่!J610"")"),0)</f>
        <v>0</v>
      </c>
      <c r="CH24" s="140">
        <f ca="1">IFERROR(__xludf.DUMMYFUNCTION("IMPORTRANGE(""https://docs.google.com/spreadsheets/d/1gvTMYAnm7v1yG1BKWFtr0DnaTsq59oW9dwWvFgq6hs0/edit?usp=sharing"",""แพร่!I612"")"),0)</f>
        <v>0</v>
      </c>
      <c r="CI24" s="140">
        <f ca="1">IFERROR(__xludf.DUMMYFUNCTION("IMPORTRANGE(""https://docs.google.com/spreadsheets/d/1gvTMYAnm7v1yG1BKWFtr0DnaTsq59oW9dwWvFgq6hs0/edit?usp=sharing"",""แพร่!I594"")"),313)</f>
        <v>313</v>
      </c>
      <c r="CJ24" s="141">
        <f ca="1">IFERROR(__xludf.DUMMYFUNCTION("IMPORTRANGE(""https://docs.google.com/spreadsheets/d/1gvTMYAnm7v1yG1BKWFtr0DnaTsq59oW9dwWvFgq6hs0/edit?usp=sharing"",""แพร่!J612"")"),0)</f>
        <v>0</v>
      </c>
      <c r="CK24" s="141">
        <f t="shared" ca="1" si="41"/>
        <v>0</v>
      </c>
      <c r="CL24" s="140">
        <f ca="1">IFERROR(__xludf.DUMMYFUNCTION("IMPORTRANGE(""https://docs.google.com/spreadsheets/d/1gvTMYAnm7v1yG1BKWFtr0DnaTsq59oW9dwWvFgq6hs0/edit?usp=sharing"",""แพร่!J613"")"),0)</f>
        <v>0</v>
      </c>
      <c r="CM24" s="141">
        <f t="shared" ca="1" si="19"/>
        <v>0</v>
      </c>
      <c r="CN24" s="63">
        <f ca="1">IFERROR(__xludf.DUMMYFUNCTION("IMPORTRANGE(""https://docs.google.com/spreadsheets/d/1gvTMYAnm7v1yG1BKWFtr0DnaTsq59oW9dwWvFgq6hs0/edit?usp=sharing"",""แพร่!J614"")"),0)</f>
        <v>0</v>
      </c>
      <c r="CO24" s="140">
        <f ca="1">IFERROR(__xludf.DUMMYFUNCTION("IMPORTRANGE(""https://docs.google.com/spreadsheets/d/1gvTMYAnm7v1yG1BKWFtr0DnaTsq59oW9dwWvFgq6hs0/edit?usp=sharing"",""แพร่!J615"")"),0)</f>
        <v>0</v>
      </c>
      <c r="CP24" s="63">
        <f ca="1">IFERROR(__xludf.DUMMYFUNCTION("IMPORTRANGE(""https://docs.google.com/spreadsheets/d/1gvTMYAnm7v1yG1BKWFtr0DnaTsq59oW9dwWvFgq6hs0/edit?usp=sharing"",""แพร่!J616"")"),0)</f>
        <v>0</v>
      </c>
      <c r="CQ24" s="140">
        <f ca="1">IFERROR(__xludf.DUMMYFUNCTION("IMPORTRANGE(""https://docs.google.com/spreadsheets/d/1gvTMYAnm7v1yG1BKWFtr0DnaTsq59oW9dwWvFgq6hs0/edit?usp=sharing"",""แพร่!J617"")"),0)</f>
        <v>0</v>
      </c>
      <c r="CR24" s="140">
        <f ca="1">IFERROR(__xludf.DUMMYFUNCTION("IMPORTRANGE(""https://docs.google.com/spreadsheets/d/1gvTMYAnm7v1yG1BKWFtr0DnaTsq59oW9dwWvFgq6hs0/edit?usp=sharing"",""แพร่!I620"")"),57)</f>
        <v>57</v>
      </c>
      <c r="CS24" s="140">
        <f ca="1">IFERROR(__xludf.DUMMYFUNCTION("IMPORTRANGE(""https://docs.google.com/spreadsheets/d/1gvTMYAnm7v1yG1BKWFtr0DnaTsq59oW9dwWvFgq6hs0/edit?usp=sharing"",""แพร่!I621"")"),12)</f>
        <v>12</v>
      </c>
      <c r="CT24" s="141">
        <f ca="1">IFERROR(__xludf.DUMMYFUNCTION("IMPORTRANGE(""https://docs.google.com/spreadsheets/d/1gvTMYAnm7v1yG1BKWFtr0DnaTsq59oW9dwWvFgq6hs0/edit?usp=sharing"",""แพร่!J620"")"),0)</f>
        <v>0</v>
      </c>
      <c r="CU24" s="141">
        <f t="shared" ca="1" si="42"/>
        <v>0</v>
      </c>
      <c r="CV24" s="140">
        <f ca="1">IFERROR(__xludf.DUMMYFUNCTION("IMPORTRANGE(""https://docs.google.com/spreadsheets/d/1gvTMYAnm7v1yG1BKWFtr0DnaTsq59oW9dwWvFgq6hs0/edit?usp=sharing"",""แพร่!J621"")"),0)</f>
        <v>0</v>
      </c>
      <c r="CW24" s="141">
        <f t="shared" ca="1" si="22"/>
        <v>0</v>
      </c>
      <c r="CX24" s="63">
        <f ca="1">IFERROR(__xludf.DUMMYFUNCTION("IMPORTRANGE(""https://docs.google.com/spreadsheets/d/1gvTMYAnm7v1yG1BKWFtr0DnaTsq59oW9dwWvFgq6hs0/edit?usp=sharing"",""แพร่!J622"")"),0)</f>
        <v>0</v>
      </c>
      <c r="CY24" s="140">
        <f ca="1">IFERROR(__xludf.DUMMYFUNCTION("IMPORTRANGE(""https://docs.google.com/spreadsheets/d/1gvTMYAnm7v1yG1BKWFtr0DnaTsq59oW9dwWvFgq6hs0/edit?usp=sharing"",""แพร่!J623"")"),0)</f>
        <v>0</v>
      </c>
      <c r="CZ24" s="63">
        <f ca="1">IFERROR(__xludf.DUMMYFUNCTION("IMPORTRANGE(""https://docs.google.com/spreadsheets/d/1gvTMYAnm7v1yG1BKWFtr0DnaTsq59oW9dwWvFgq6hs0/edit?usp=sharing"",""แพร่!J624"")"),0)</f>
        <v>0</v>
      </c>
      <c r="DA24" s="140">
        <f ca="1">IFERROR(__xludf.DUMMYFUNCTION("IMPORTRANGE(""https://docs.google.com/spreadsheets/d/1gvTMYAnm7v1yG1BKWFtr0DnaTsq59oW9dwWvFgq6hs0/edit?usp=sharing"",""แพร่!J625"")"),0)</f>
        <v>0</v>
      </c>
      <c r="DB24" s="63">
        <f ca="1">IFERROR(__xludf.DUMMYFUNCTION("IMPORTRANGE(""https://docs.google.com/spreadsheets/d/1gvTMYAnm7v1yG1BKWFtr0DnaTsq59oW9dwWvFgq6hs0/edit?usp=sharing"",""แพร่!J626"")"),0)</f>
        <v>0</v>
      </c>
      <c r="DC24" s="140">
        <f ca="1">IFERROR(__xludf.DUMMYFUNCTION("IMPORTRANGE(""https://docs.google.com/spreadsheets/d/1gvTMYAnm7v1yG1BKWFtr0DnaTsq59oW9dwWvFgq6hs0/edit?usp=sharing"",""แพร่!J627"")"),0)</f>
        <v>0</v>
      </c>
    </row>
    <row r="25" spans="1:107" ht="24" customHeight="1" x14ac:dyDescent="0.3">
      <c r="A25" s="54">
        <v>12</v>
      </c>
      <c r="B25" s="55" t="s">
        <v>46</v>
      </c>
      <c r="C25" s="56">
        <f t="shared" ca="1" si="55"/>
        <v>300500</v>
      </c>
      <c r="D25" s="57">
        <f ca="1">IFERROR(__xludf.DUMMYFUNCTION("IMPORTRANGE(""https://docs.google.com/spreadsheets/d/1Wbcosgy-Xa1xXUArJSOenub6EfZHUSzc_bpJFWwQUf0/edit?usp=sharing"",""แม่ฮ่องสอน!L549"")"),300500)</f>
        <v>300500</v>
      </c>
      <c r="E25" s="64">
        <f ca="1">IFERROR(__xludf.DUMMYFUNCTION("IMPORTRANGE(""https://docs.google.com/spreadsheets/d/1Wbcosgy-Xa1xXUArJSOenub6EfZHUSzc_bpJFWwQUf0/edit?usp=sharing"",""แม่ฮ่องสอน!L557"")"),0)</f>
        <v>0</v>
      </c>
      <c r="F25" s="64">
        <f ca="1">IFERROR(__xludf.DUMMYFUNCTION("IMPORTRANGE(""https://docs.google.com/spreadsheets/d/1Wbcosgy-Xa1xXUArJSOenub6EfZHUSzc_bpJFWwQUf0/edit?usp=sharing"",""แม่ฮ่องสอน!M549"")"),300500)</f>
        <v>300500</v>
      </c>
      <c r="G25" s="64">
        <f ca="1">IFERROR(__xludf.DUMMYFUNCTION("IMPORTRANGE(""https://docs.google.com/spreadsheets/d/1Wbcosgy-Xa1xXUArJSOenub6EfZHUSzc_bpJFWwQUf0/edit?usp=sharing"",""แม่ฮ่องสอน!M557"")"),0)</f>
        <v>0</v>
      </c>
      <c r="H25" s="58">
        <f t="shared" ca="1" si="36"/>
        <v>78296</v>
      </c>
      <c r="I25" s="59">
        <f t="shared" ca="1" si="1"/>
        <v>26.055241264559069</v>
      </c>
      <c r="J25" s="60">
        <f t="shared" ca="1" si="56"/>
        <v>78296</v>
      </c>
      <c r="K25" s="61">
        <f t="shared" ca="1" si="44"/>
        <v>26.055241264559069</v>
      </c>
      <c r="L25" s="61">
        <f t="shared" ca="1" si="45"/>
        <v>26.055241264559069</v>
      </c>
      <c r="M25" s="64">
        <f ca="1">IFERROR(__xludf.DUMMYFUNCTION("IMPORTRANGE(""https://docs.google.com/spreadsheets/d/1Wbcosgy-Xa1xXUArJSOenub6EfZHUSzc_bpJFWwQUf0/edit?usp=sharing"",""แม่ฮ่องสอน!N550"")"),0)</f>
        <v>0</v>
      </c>
      <c r="N25" s="64">
        <f ca="1">IFERROR(__xludf.DUMMYFUNCTION("IMPORTRANGE(""https://docs.google.com/spreadsheets/d/1Wbcosgy-Xa1xXUArJSOenub6EfZHUSzc_bpJFWwQUf0/edit?usp=sharing"",""แม่ฮ่องสอน!N551"")"),0)</f>
        <v>0</v>
      </c>
      <c r="O25" s="64">
        <f ca="1">IFERROR(__xludf.DUMMYFUNCTION("IMPORTRANGE(""https://docs.google.com/spreadsheets/d/1Wbcosgy-Xa1xXUArJSOenub6EfZHUSzc_bpJFWwQUf0/edit?usp=sharing"",""แม่ฮ่องสอน!N552"")"),51536)</f>
        <v>51536</v>
      </c>
      <c r="P25" s="64">
        <f ca="1">IFERROR(__xludf.DUMMYFUNCTION("IMPORTRANGE(""https://docs.google.com/spreadsheets/d/1Wbcosgy-Xa1xXUArJSOenub6EfZHUSzc_bpJFWwQUf0/edit?usp=sharing"",""แม่ฮ่องสอน!N553"")"),26760)</f>
        <v>26760</v>
      </c>
      <c r="Q25" s="64">
        <f ca="1">IFERROR(__xludf.DUMMYFUNCTION("IMPORTRANGE(""https://docs.google.com/spreadsheets/d/1Wbcosgy-Xa1xXUArJSOenub6EfZHUSzc_bpJFWwQUf0/edit?usp=sharing"",""แม่ฮ่องสอน!N554"")"),0)</f>
        <v>0</v>
      </c>
      <c r="R25" s="62">
        <f ca="1">IFERROR(__xludf.DUMMYFUNCTION("IMPORTRANGE(""https://docs.google.com/spreadsheets/d/1Wbcosgy-Xa1xXUArJSOenub6EfZHUSzc_bpJFWwQUf0/edit?usp=sharing"",""แม่ฮ่องสอน!N557"")"),0)</f>
        <v>0</v>
      </c>
      <c r="S25" s="62">
        <f t="shared" ca="1" si="47"/>
        <v>0</v>
      </c>
      <c r="T25" s="57">
        <f ca="1">IFERROR(__xludf.DUMMYFUNCTION("IMPORTRANGE(""https://docs.google.com/spreadsheets/d/1Wbcosgy-Xa1xXUArJSOenub6EfZHUSzc_bpJFWwQUf0/edit?usp=sharing"",""แม่ฮ่องสอน!I560"")"),0)</f>
        <v>0</v>
      </c>
      <c r="U25" s="57">
        <f ca="1">IFERROR(__xludf.DUMMYFUNCTION("IMPORTRANGE(""https://docs.google.com/spreadsheets/d/1Wbcosgy-Xa1xXUArJSOenub6EfZHUSzc_bpJFWwQUf0/edit?usp=sharing"",""แม่ฮ่องสอน!I561"")"),0)</f>
        <v>0</v>
      </c>
      <c r="V25" s="63">
        <f ca="1">IFERROR(__xludf.DUMMYFUNCTION("IMPORTRANGE(""https://docs.google.com/spreadsheets/d/1Wbcosgy-Xa1xXUArJSOenub6EfZHUSzc_bpJFWwQUf0/edit?usp=sharing"",""แม่ฮ่องสอน!J560"")"),0)</f>
        <v>0</v>
      </c>
      <c r="W25" s="63">
        <f t="shared" ca="1" si="37"/>
        <v>0</v>
      </c>
      <c r="X25" s="57">
        <f ca="1">IFERROR(__xludf.DUMMYFUNCTION("IMPORTRANGE(""https://docs.google.com/spreadsheets/d/1Wbcosgy-Xa1xXUArJSOenub6EfZHUSzc_bpJFWwQUf0/edit?usp=sharing"",""แม่ฮ่องสอน!J561"")"),0)</f>
        <v>0</v>
      </c>
      <c r="Y25" s="63">
        <f t="shared" ca="1" si="7"/>
        <v>0</v>
      </c>
      <c r="Z25" s="63">
        <f ca="1">IFERROR(__xludf.DUMMYFUNCTION("IMPORTRANGE(""https://docs.google.com/spreadsheets/d/1Wbcosgy-Xa1xXUArJSOenub6EfZHUSzc_bpJFWwQUf0/edit?usp=sharing"",""แม่ฮ่องสอน!J562"")"),0)</f>
        <v>0</v>
      </c>
      <c r="AA25" s="140">
        <f ca="1">IFERROR(__xludf.DUMMYFUNCTION("IMPORTRANGE(""https://docs.google.com/spreadsheets/d/1Wbcosgy-Xa1xXUArJSOenub6EfZHUSzc_bpJFWwQUf0/edit?usp=sharing"",""แม่ฮ่องสอน!J563"")"),0)</f>
        <v>0</v>
      </c>
      <c r="AB25" s="63">
        <f ca="1">IFERROR(__xludf.DUMMYFUNCTION("IMPORTRANGE(""https://docs.google.com/spreadsheets/d/1Wbcosgy-Xa1xXUArJSOenub6EfZHUSzc_bpJFWwQUf0/edit?usp=sharing"",""แม่ฮ่องสอน!J564"")"),0)</f>
        <v>0</v>
      </c>
      <c r="AC25" s="140">
        <f ca="1">IFERROR(__xludf.DUMMYFUNCTION("IMPORTRANGE(""https://docs.google.com/spreadsheets/d/1Wbcosgy-Xa1xXUArJSOenub6EfZHUSzc_bpJFWwQUf0/edit?usp=sharing"",""แม่ฮ่องสอน!J565"")"),0)</f>
        <v>0</v>
      </c>
      <c r="AD25" s="63">
        <f ca="1">IFERROR(__xludf.DUMMYFUNCTION("IMPORTRANGE(""https://docs.google.com/spreadsheets/d/1Wbcosgy-Xa1xXUArJSOenub6EfZHUSzc_bpJFWwQUf0/edit?usp=sharing"",""แม่ฮ่องสอน!J566"")"),0)</f>
        <v>0</v>
      </c>
      <c r="AE25" s="140">
        <f ca="1">IFERROR(__xludf.DUMMYFUNCTION("IMPORTRANGE(""https://docs.google.com/spreadsheets/d/1Wbcosgy-Xa1xXUArJSOenub6EfZHUSzc_bpJFWwQUf0/edit?usp=sharing"",""แม่ฮ่องสอน!J567"")"),0)</f>
        <v>0</v>
      </c>
      <c r="AF25" s="57">
        <f ca="1">IFERROR(__xludf.DUMMYFUNCTION("IMPORTRANGE(""https://docs.google.com/spreadsheets/d/1Wbcosgy-Xa1xXUArJSOenub6EfZHUSzc_bpJFWwQUf0/edit?usp=sharing"",""แม่ฮ่องสอน!I568"")"),0)</f>
        <v>0</v>
      </c>
      <c r="AG25" s="57">
        <f ca="1">IFERROR(__xludf.DUMMYFUNCTION("IMPORTRANGE(""https://docs.google.com/spreadsheets/d/1Wbcosgy-Xa1xXUArJSOenub6EfZHUSzc_bpJFWwQUf0/edit?usp=sharing"",""แม่ฮ่องสอน!I569"")"),0)</f>
        <v>0</v>
      </c>
      <c r="AH25" s="63">
        <f ca="1">IFERROR(__xludf.DUMMYFUNCTION("IMPORTRANGE(""https://docs.google.com/spreadsheets/d/1Wbcosgy-Xa1xXUArJSOenub6EfZHUSzc_bpJFWwQUf0/edit?usp=sharing"",""แม่ฮ่องสอน!J568"")"),0)</f>
        <v>0</v>
      </c>
      <c r="AI25" s="63">
        <f t="shared" ca="1" si="38"/>
        <v>0</v>
      </c>
      <c r="AJ25" s="57">
        <f ca="1">IFERROR(__xludf.DUMMYFUNCTION("IMPORTRANGE(""https://docs.google.com/spreadsheets/d/1Wbcosgy-Xa1xXUArJSOenub6EfZHUSzc_bpJFWwQUf0/edit?usp=sharing"",""แม่ฮ่องสอน!J569"")"),0)</f>
        <v>0</v>
      </c>
      <c r="AK25" s="63">
        <f t="shared" ca="1" si="10"/>
        <v>0</v>
      </c>
      <c r="AL25" s="63">
        <f ca="1">IFERROR(__xludf.DUMMYFUNCTION("IMPORTRANGE(""https://docs.google.com/spreadsheets/d/1Wbcosgy-Xa1xXUArJSOenub6EfZHUSzc_bpJFWwQUf0/edit?usp=sharing"",""แม่ฮ่องสอน!J570"")"),0)</f>
        <v>0</v>
      </c>
      <c r="AM25" s="140">
        <f ca="1">IFERROR(__xludf.DUMMYFUNCTION("IMPORTRANGE(""https://docs.google.com/spreadsheets/d/1Wbcosgy-Xa1xXUArJSOenub6EfZHUSzc_bpJFWwQUf0/edit?usp=sharing"",""แม่ฮ่องสอน!J571"")"),0)</f>
        <v>0</v>
      </c>
      <c r="AN25" s="63">
        <f ca="1">IFERROR(__xludf.DUMMYFUNCTION("IMPORTRANGE(""https://docs.google.com/spreadsheets/d/1Wbcosgy-Xa1xXUArJSOenub6EfZHUSzc_bpJFWwQUf0/edit?usp=sharing"",""แม่ฮ่องสอน!J572"")"),0)</f>
        <v>0</v>
      </c>
      <c r="AO25" s="140">
        <f ca="1">IFERROR(__xludf.DUMMYFUNCTION("IMPORTRANGE(""https://docs.google.com/spreadsheets/d/1Wbcosgy-Xa1xXUArJSOenub6EfZHUSzc_bpJFWwQUf0/edit?usp=sharing"",""แม่ฮ่องสอน!J573"")"),0)</f>
        <v>0</v>
      </c>
      <c r="AP25" s="63">
        <f ca="1">IFERROR(__xludf.DUMMYFUNCTION("IMPORTRANGE(""https://docs.google.com/spreadsheets/d/1Wbcosgy-Xa1xXUArJSOenub6EfZHUSzc_bpJFWwQUf0/edit?usp=sharing"",""แม่ฮ่องสอน!J574"")"),0)</f>
        <v>0</v>
      </c>
      <c r="AQ25" s="140">
        <f ca="1">IFERROR(__xludf.DUMMYFUNCTION("IMPORTRANGE(""https://docs.google.com/spreadsheets/d/1Wbcosgy-Xa1xXUArJSOenub6EfZHUSzc_bpJFWwQUf0/edit?usp=sharing"",""แม่ฮ่องสอน!J575"")"),0)</f>
        <v>0</v>
      </c>
      <c r="AR25" s="57">
        <f ca="1">IFERROR(__xludf.DUMMYFUNCTION("IMPORTRANGE(""https://docs.google.com/spreadsheets/d/1Wbcosgy-Xa1xXUArJSOenub6EfZHUSzc_bpJFWwQUf0/edit?usp=sharing"",""แม่ฮ่องสอน!I576"")"),0)</f>
        <v>0</v>
      </c>
      <c r="AS25" s="57">
        <f ca="1">IFERROR(__xludf.DUMMYFUNCTION("IMPORTRANGE(""https://docs.google.com/spreadsheets/d/1Wbcosgy-Xa1xXUArJSOenub6EfZHUSzc_bpJFWwQUf0/edit?usp=sharing"",""แม่ฮ่องสอน!I577"")"),0)</f>
        <v>0</v>
      </c>
      <c r="AT25" s="63">
        <f ca="1">IFERROR(__xludf.DUMMYFUNCTION("IMPORTRANGE(""https://docs.google.com/spreadsheets/d/1Wbcosgy-Xa1xXUArJSOenub6EfZHUSzc_bpJFWwQUf0/edit?usp=sharing"",""แม่ฮ่องสอน!J576"")"),0)</f>
        <v>0</v>
      </c>
      <c r="AU25" s="63">
        <f t="shared" ca="1" si="39"/>
        <v>0</v>
      </c>
      <c r="AV25" s="57">
        <f ca="1">IFERROR(__xludf.DUMMYFUNCTION("IMPORTRANGE(""https://docs.google.com/spreadsheets/d/1Wbcosgy-Xa1xXUArJSOenub6EfZHUSzc_bpJFWwQUf0/edit?usp=sharing"",""แม่ฮ่องสอน!J577"")"),0)</f>
        <v>0</v>
      </c>
      <c r="AW25" s="63">
        <f t="shared" ca="1" si="13"/>
        <v>0</v>
      </c>
      <c r="AX25" s="63">
        <f ca="1">IFERROR(__xludf.DUMMYFUNCTION("IMPORTRANGE(""https://docs.google.com/spreadsheets/d/1Wbcosgy-Xa1xXUArJSOenub6EfZHUSzc_bpJFWwQUf0/edit?usp=sharing"",""แม่ฮ่องสอน!J578"")"),0)</f>
        <v>0</v>
      </c>
      <c r="AY25" s="140">
        <f ca="1">IFERROR(__xludf.DUMMYFUNCTION("IMPORTRANGE(""https://docs.google.com/spreadsheets/d/1Wbcosgy-Xa1xXUArJSOenub6EfZHUSzc_bpJFWwQUf0/edit?usp=sharing"",""แม่ฮ่องสอน!J579"")"),0)</f>
        <v>0</v>
      </c>
      <c r="AZ25" s="63">
        <f ca="1">IFERROR(__xludf.DUMMYFUNCTION("IMPORTRANGE(""https://docs.google.com/spreadsheets/d/1Wbcosgy-Xa1xXUArJSOenub6EfZHUSzc_bpJFWwQUf0/edit?usp=sharing"",""แม่ฮ่องสอน!J580"")"),0)</f>
        <v>0</v>
      </c>
      <c r="BA25" s="140">
        <f ca="1">IFERROR(__xludf.DUMMYFUNCTION("IMPORTRANGE(""https://docs.google.com/spreadsheets/d/1Wbcosgy-Xa1xXUArJSOenub6EfZHUSzc_bpJFWwQUf0/edit?usp=sharing"",""แม่ฮ่องสอน!J581"")"),0)</f>
        <v>0</v>
      </c>
      <c r="BB25" s="63">
        <f ca="1">IFERROR(__xludf.DUMMYFUNCTION("IMPORTRANGE(""https://docs.google.com/spreadsheets/d/1Wbcosgy-Xa1xXUArJSOenub6EfZHUSzc_bpJFWwQUf0/edit?usp=sharing"",""แม่ฮ่องสอน!J582"")"),0)</f>
        <v>0</v>
      </c>
      <c r="BC25" s="140">
        <f ca="1">IFERROR(__xludf.DUMMYFUNCTION("IMPORTRANGE(""https://docs.google.com/spreadsheets/d/1Wbcosgy-Xa1xXUArJSOenub6EfZHUSzc_bpJFWwQUf0/edit?usp=sharing"",""แม่ฮ่องสอน!J583"")"),0)</f>
        <v>0</v>
      </c>
      <c r="BD25" s="141">
        <f ca="1">IFERROR(__xludf.DUMMYFUNCTION("IMPORTRANGE(""https://docs.google.com/spreadsheets/d/1Wbcosgy-Xa1xXUArJSOenub6EfZHUSzc_bpJFWwQUf0/edit?usp=sharing"",""แม่ฮ่องสอน!J584"")"),0)</f>
        <v>0</v>
      </c>
      <c r="BE25" s="140">
        <f ca="1">IFERROR(__xludf.DUMMYFUNCTION("IMPORTRANGE(""https://docs.google.com/spreadsheets/d/1Wbcosgy-Xa1xXUArJSOenub6EfZHUSzc_bpJFWwQUf0/edit?usp=sharing"",""แม่ฮ่องสอน!J585"")"),0)</f>
        <v>0</v>
      </c>
      <c r="BF25" s="141">
        <f ca="1">IFERROR(__xludf.DUMMYFUNCTION("IMPORTRANGE(""https://docs.google.com/spreadsheets/d/1Wbcosgy-Xa1xXUArJSOenub6EfZHUSzc_bpJFWwQUf0/edit?usp=sharing"",""แม่ฮ่องสอน!J586"")"),0)</f>
        <v>0</v>
      </c>
      <c r="BG25" s="140">
        <f ca="1">IFERROR(__xludf.DUMMYFUNCTION("IMPORTRANGE(""https://docs.google.com/spreadsheets/d/1Wbcosgy-Xa1xXUArJSOenub6EfZHUSzc_bpJFWwQUf0/edit?usp=sharing"",""แม่ฮ่องสอน!J587"")"),0)</f>
        <v>0</v>
      </c>
      <c r="BH25" s="63">
        <f ca="1">IFERROR(__xludf.DUMMYFUNCTION("IMPORTRANGE(""https://docs.google.com/spreadsheets/d/1Wbcosgy-Xa1xXUArJSOenub6EfZHUSzc_bpJFWwQUf0/edit?usp=sharing"",""แม่ฮ่องสอน!J588"")"),0)</f>
        <v>0</v>
      </c>
      <c r="BI25" s="140">
        <f ca="1">IFERROR(__xludf.DUMMYFUNCTION("IMPORTRANGE(""https://docs.google.com/spreadsheets/d/1Wbcosgy-Xa1xXUArJSOenub6EfZHUSzc_bpJFWwQUf0/edit?usp=sharing"",""แม่ฮ่องสอน!J589"")"),0)</f>
        <v>0</v>
      </c>
      <c r="BJ25" s="63">
        <f ca="1">IFERROR(__xludf.DUMMYFUNCTION("IMPORTRANGE(""https://docs.google.com/spreadsheets/d/1Wbcosgy-Xa1xXUArJSOenub6EfZHUSzc_bpJFWwQUf0/edit?usp=sharing"",""แม่ฮ่องสอน!J590"")"),0)</f>
        <v>0</v>
      </c>
      <c r="BK25" s="140">
        <f ca="1">IFERROR(__xludf.DUMMYFUNCTION("IMPORTRANGE(""https://docs.google.com/spreadsheets/d/1Wbcosgy-Xa1xXUArJSOenub6EfZHUSzc_bpJFWwQUf0/edit?usp=sharing"",""แม่ฮ่องสอน!J591"")"),0)</f>
        <v>0</v>
      </c>
      <c r="BL25" s="57">
        <f ca="1">IFERROR(__xludf.DUMMYFUNCTION("IMPORTRANGE(""https://docs.google.com/spreadsheets/d/1Wbcosgy-Xa1xXUArJSOenub6EfZHUSzc_bpJFWwQUf0/edit?usp=sharing"",""แม่ฮ่องสอน!I593"")"),1174.12)</f>
        <v>1174.1199999999999</v>
      </c>
      <c r="BM25" s="57">
        <f ca="1">IFERROR(__xludf.DUMMYFUNCTION("IMPORTRANGE(""https://docs.google.com/spreadsheets/d/1Wbcosgy-Xa1xXUArJSOenub6EfZHUSzc_bpJFWwQUf0/edit?usp=sharing"",""แม่ฮ่องสอน!I594"")"),295)</f>
        <v>295</v>
      </c>
      <c r="BN25" s="63">
        <f ca="1">IFERROR(__xludf.DUMMYFUNCTION("IMPORTRANGE(""https://docs.google.com/spreadsheets/d/1Wbcosgy-Xa1xXUArJSOenub6EfZHUSzc_bpJFWwQUf0/edit?usp=sharing"",""แม่ฮ่องสอน!J593"")"),0)</f>
        <v>0</v>
      </c>
      <c r="BO25" s="63">
        <f t="shared" ca="1" si="40"/>
        <v>0</v>
      </c>
      <c r="BP25" s="57">
        <f ca="1">IFERROR(__xludf.DUMMYFUNCTION("IMPORTRANGE(""https://docs.google.com/spreadsheets/d/1Wbcosgy-Xa1xXUArJSOenub6EfZHUSzc_bpJFWwQUf0/edit?usp=sharing"",""แม่ฮ่องสอน!J594"")"),0)</f>
        <v>0</v>
      </c>
      <c r="BQ25" s="63">
        <f t="shared" ca="1" si="16"/>
        <v>0</v>
      </c>
      <c r="BR25" s="63">
        <f ca="1">IFERROR(__xludf.DUMMYFUNCTION("IMPORTRANGE(""https://docs.google.com/spreadsheets/d/1Wbcosgy-Xa1xXUArJSOenub6EfZHUSzc_bpJFWwQUf0/edit?usp=sharing"",""แม่ฮ่องสอน!J595"")"),0)</f>
        <v>0</v>
      </c>
      <c r="BS25" s="140">
        <f ca="1">IFERROR(__xludf.DUMMYFUNCTION("IMPORTRANGE(""https://docs.google.com/spreadsheets/d/1Wbcosgy-Xa1xXUArJSOenub6EfZHUSzc_bpJFWwQUf0/edit?usp=sharing"",""แม่ฮ่องสอน!J596"")"),0)</f>
        <v>0</v>
      </c>
      <c r="BT25" s="63">
        <f ca="1">IFERROR(__xludf.DUMMYFUNCTION("IMPORTRANGE(""https://docs.google.com/spreadsheets/d/1Wbcosgy-Xa1xXUArJSOenub6EfZHUSzc_bpJFWwQUf0/edit?usp=sharing"",""แม่ฮ่องสอน!J597"")"),0)</f>
        <v>0</v>
      </c>
      <c r="BU25" s="140">
        <f ca="1">IFERROR(__xludf.DUMMYFUNCTION("IMPORTRANGE(""https://docs.google.com/spreadsheets/d/1Wbcosgy-Xa1xXUArJSOenub6EfZHUSzc_bpJFWwQUf0/edit?usp=sharing"",""แม่ฮ่องสอน!J598"")"),0)</f>
        <v>0</v>
      </c>
      <c r="BV25" s="63">
        <f ca="1">IFERROR(__xludf.DUMMYFUNCTION("IMPORTRANGE(""https://docs.google.com/spreadsheets/d/1Wbcosgy-Xa1xXUArJSOenub6EfZHUSzc_bpJFWwQUf0/edit?usp=sharing"",""แม่ฮ่องสอน!J599"")"),0)</f>
        <v>0</v>
      </c>
      <c r="BW25" s="140">
        <f ca="1">IFERROR(__xludf.DUMMYFUNCTION("IMPORTRANGE(""https://docs.google.com/spreadsheets/d/1Wbcosgy-Xa1xXUArJSOenub6EfZHUSzc_bpJFWwQUf0/edit?usp=sharing"",""แม่ฮ่องสอน!J600"")"),0)</f>
        <v>0</v>
      </c>
      <c r="BX25" s="141">
        <f ca="1">IFERROR(__xludf.DUMMYFUNCTION("IMPORTRANGE(""https://docs.google.com/spreadsheets/d/1Wbcosgy-Xa1xXUArJSOenub6EfZHUSzc_bpJFWwQUf0/edit?usp=sharing"",""แม่ฮ่องสอน!J601"")"),0)</f>
        <v>0</v>
      </c>
      <c r="BY25" s="140">
        <f ca="1">IFERROR(__xludf.DUMMYFUNCTION("IMPORTRANGE(""https://docs.google.com/spreadsheets/d/1Wbcosgy-Xa1xXUArJSOenub6EfZHUSzc_bpJFWwQUf0/edit?usp=sharing"",""แม่ฮ่องสอน!J602"")"),0)</f>
        <v>0</v>
      </c>
      <c r="BZ25" s="63">
        <f ca="1">IFERROR(__xludf.DUMMYFUNCTION("IMPORTRANGE(""https://docs.google.com/spreadsheets/d/1Wbcosgy-Xa1xXUArJSOenub6EfZHUSzc_bpJFWwQUf0/edit?usp=sharing"",""แม่ฮ่องสอน!J603"")"),0)</f>
        <v>0</v>
      </c>
      <c r="CA25" s="140">
        <f ca="1">IFERROR(__xludf.DUMMYFUNCTION("IMPORTRANGE(""https://docs.google.com/spreadsheets/d/1Wbcosgy-Xa1xXUArJSOenub6EfZHUSzc_bpJFWwQUf0/edit?usp=sharing"",""แม่ฮ่องสอน!J604"")"),0)</f>
        <v>0</v>
      </c>
      <c r="CB25" s="63">
        <f ca="1">IFERROR(__xludf.DUMMYFUNCTION("IMPORTRANGE(""https://docs.google.com/spreadsheets/d/1Wbcosgy-Xa1xXUArJSOenub6EfZHUSzc_bpJFWwQUf0/edit?usp=sharing"",""แม่ฮ่องสอน!J605"")"),0)</f>
        <v>0</v>
      </c>
      <c r="CC25" s="140">
        <f ca="1">IFERROR(__xludf.DUMMYFUNCTION("IMPORTRANGE(""https://docs.google.com/spreadsheets/d/1Wbcosgy-Xa1xXUArJSOenub6EfZHUSzc_bpJFWwQUf0/edit?usp=sharing"",""แม่ฮ่องสอน!J606"")"),0)</f>
        <v>0</v>
      </c>
      <c r="CD25" s="63">
        <f ca="1">IFERROR(__xludf.DUMMYFUNCTION("IMPORTRANGE(""https://docs.google.com/spreadsheets/d/1Wbcosgy-Xa1xXUArJSOenub6EfZHUSzc_bpJFWwQUf0/edit?usp=sharing"",""แม่ฮ่องสอน!J607"")"),0)</f>
        <v>0</v>
      </c>
      <c r="CE25" s="140">
        <f ca="1">IFERROR(__xludf.DUMMYFUNCTION("IMPORTRANGE(""https://docs.google.com/spreadsheets/d/1Wbcosgy-Xa1xXUArJSOenub6EfZHUSzc_bpJFWwQUf0/edit?usp=sharing"",""แม่ฮ่องสอน!J608"")"),0)</f>
        <v>0</v>
      </c>
      <c r="CF25" s="63">
        <f ca="1">IFERROR(__xludf.DUMMYFUNCTION("IMPORTRANGE(""https://docs.google.com/spreadsheets/d/1Wbcosgy-Xa1xXUArJSOenub6EfZHUSzc_bpJFWwQUf0/edit?usp=sharing"",""แม่ฮ่องสอน!J609"")"),0)</f>
        <v>0</v>
      </c>
      <c r="CG25" s="140">
        <f ca="1">IFERROR(__xludf.DUMMYFUNCTION("IMPORTRANGE(""https://docs.google.com/spreadsheets/d/1Wbcosgy-Xa1xXUArJSOenub6EfZHUSzc_bpJFWwQUf0/edit?usp=sharing"",""แม่ฮ่องสอน!J610"")"),0)</f>
        <v>0</v>
      </c>
      <c r="CH25" s="140">
        <f ca="1">IFERROR(__xludf.DUMMYFUNCTION("IMPORTRANGE(""https://docs.google.com/spreadsheets/d/1Wbcosgy-Xa1xXUArJSOenub6EfZHUSzc_bpJFWwQUf0/edit?usp=sharing"",""แม่ฮ่องสอน!I612"")"),0)</f>
        <v>0</v>
      </c>
      <c r="CI25" s="140">
        <f ca="1">IFERROR(__xludf.DUMMYFUNCTION("IMPORTRANGE(""https://docs.google.com/spreadsheets/d/1Wbcosgy-Xa1xXUArJSOenub6EfZHUSzc_bpJFWwQUf0/edit?usp=sharing"",""แม่ฮ่องสอน!I594"")"),295)</f>
        <v>295</v>
      </c>
      <c r="CJ25" s="141">
        <f ca="1">IFERROR(__xludf.DUMMYFUNCTION("IMPORTRANGE(""https://docs.google.com/spreadsheets/d/1Wbcosgy-Xa1xXUArJSOenub6EfZHUSzc_bpJFWwQUf0/edit?usp=sharing"",""แม่ฮ่องสอน!J612"")"),0)</f>
        <v>0</v>
      </c>
      <c r="CK25" s="141">
        <f t="shared" ca="1" si="41"/>
        <v>0</v>
      </c>
      <c r="CL25" s="140">
        <f ca="1">IFERROR(__xludf.DUMMYFUNCTION("IMPORTRANGE(""https://docs.google.com/spreadsheets/d/1Wbcosgy-Xa1xXUArJSOenub6EfZHUSzc_bpJFWwQUf0/edit?usp=sharing"",""แม่ฮ่องสอน!J613"")"),0)</f>
        <v>0</v>
      </c>
      <c r="CM25" s="141">
        <f t="shared" ca="1" si="19"/>
        <v>0</v>
      </c>
      <c r="CN25" s="63">
        <f ca="1">IFERROR(__xludf.DUMMYFUNCTION("IMPORTRANGE(""https://docs.google.com/spreadsheets/d/1Wbcosgy-Xa1xXUArJSOenub6EfZHUSzc_bpJFWwQUf0/edit?usp=sharing"",""แม่ฮ่องสอน!J614"")"),0)</f>
        <v>0</v>
      </c>
      <c r="CO25" s="140">
        <f ca="1">IFERROR(__xludf.DUMMYFUNCTION("IMPORTRANGE(""https://docs.google.com/spreadsheets/d/1Wbcosgy-Xa1xXUArJSOenub6EfZHUSzc_bpJFWwQUf0/edit?usp=sharing"",""แม่ฮ่องสอน!J615"")"),0)</f>
        <v>0</v>
      </c>
      <c r="CP25" s="63">
        <f ca="1">IFERROR(__xludf.DUMMYFUNCTION("IMPORTRANGE(""https://docs.google.com/spreadsheets/d/1Wbcosgy-Xa1xXUArJSOenub6EfZHUSzc_bpJFWwQUf0/edit?usp=sharing"",""แม่ฮ่องสอน!J616"")"),0)</f>
        <v>0</v>
      </c>
      <c r="CQ25" s="140">
        <f ca="1">IFERROR(__xludf.DUMMYFUNCTION("IMPORTRANGE(""https://docs.google.com/spreadsheets/d/1Wbcosgy-Xa1xXUArJSOenub6EfZHUSzc_bpJFWwQUf0/edit?usp=sharing"",""แม่ฮ่องสอน!J617"")"),0)</f>
        <v>0</v>
      </c>
      <c r="CR25" s="140">
        <f ca="1">IFERROR(__xludf.DUMMYFUNCTION("IMPORTRANGE(""https://docs.google.com/spreadsheets/d/1Wbcosgy-Xa1xXUArJSOenub6EfZHUSzc_bpJFWwQUf0/edit?usp=sharing"",""แม่ฮ่องสอน!I620"")"),0)</f>
        <v>0</v>
      </c>
      <c r="CS25" s="140">
        <f ca="1">IFERROR(__xludf.DUMMYFUNCTION("IMPORTRANGE(""https://docs.google.com/spreadsheets/d/1Wbcosgy-Xa1xXUArJSOenub6EfZHUSzc_bpJFWwQUf0/edit?usp=sharing"",""แม่ฮ่องสอน!I621"")"),0)</f>
        <v>0</v>
      </c>
      <c r="CT25" s="141">
        <f ca="1">IFERROR(__xludf.DUMMYFUNCTION("IMPORTRANGE(""https://docs.google.com/spreadsheets/d/1Wbcosgy-Xa1xXUArJSOenub6EfZHUSzc_bpJFWwQUf0/edit?usp=sharing"",""แม่ฮ่องสอน!J620"")"),0)</f>
        <v>0</v>
      </c>
      <c r="CU25" s="141">
        <f t="shared" ca="1" si="42"/>
        <v>0</v>
      </c>
      <c r="CV25" s="140">
        <f ca="1">IFERROR(__xludf.DUMMYFUNCTION("IMPORTRANGE(""https://docs.google.com/spreadsheets/d/1Wbcosgy-Xa1xXUArJSOenub6EfZHUSzc_bpJFWwQUf0/edit?usp=sharing"",""แม่ฮ่องสอน!J621"")"),0)</f>
        <v>0</v>
      </c>
      <c r="CW25" s="141">
        <f t="shared" ca="1" si="22"/>
        <v>0</v>
      </c>
      <c r="CX25" s="63">
        <f ca="1">IFERROR(__xludf.DUMMYFUNCTION("IMPORTRANGE(""https://docs.google.com/spreadsheets/d/1Wbcosgy-Xa1xXUArJSOenub6EfZHUSzc_bpJFWwQUf0/edit?usp=sharing"",""แม่ฮ่องสอน!J622"")"),0)</f>
        <v>0</v>
      </c>
      <c r="CY25" s="140">
        <f ca="1">IFERROR(__xludf.DUMMYFUNCTION("IMPORTRANGE(""https://docs.google.com/spreadsheets/d/1Wbcosgy-Xa1xXUArJSOenub6EfZHUSzc_bpJFWwQUf0/edit?usp=sharing"",""แม่ฮ่องสอน!J623"")"),0)</f>
        <v>0</v>
      </c>
      <c r="CZ25" s="63">
        <f ca="1">IFERROR(__xludf.DUMMYFUNCTION("IMPORTRANGE(""https://docs.google.com/spreadsheets/d/1Wbcosgy-Xa1xXUArJSOenub6EfZHUSzc_bpJFWwQUf0/edit?usp=sharing"",""แม่ฮ่องสอน!J624"")"),0)</f>
        <v>0</v>
      </c>
      <c r="DA25" s="140">
        <f ca="1">IFERROR(__xludf.DUMMYFUNCTION("IMPORTRANGE(""https://docs.google.com/spreadsheets/d/1Wbcosgy-Xa1xXUArJSOenub6EfZHUSzc_bpJFWwQUf0/edit?usp=sharing"",""แม่ฮ่องสอน!J625"")"),0)</f>
        <v>0</v>
      </c>
      <c r="DB25" s="63">
        <f ca="1">IFERROR(__xludf.DUMMYFUNCTION("IMPORTRANGE(""https://docs.google.com/spreadsheets/d/1Wbcosgy-Xa1xXUArJSOenub6EfZHUSzc_bpJFWwQUf0/edit?usp=sharing"",""แม่ฮ่องสอน!J626"")"),0)</f>
        <v>0</v>
      </c>
      <c r="DC25" s="140">
        <f ca="1">IFERROR(__xludf.DUMMYFUNCTION("IMPORTRANGE(""https://docs.google.com/spreadsheets/d/1Wbcosgy-Xa1xXUArJSOenub6EfZHUSzc_bpJFWwQUf0/edit?usp=sharing"",""แม่ฮ่องสอน!J627"")"),0)</f>
        <v>0</v>
      </c>
    </row>
    <row r="26" spans="1:107" ht="24" customHeight="1" x14ac:dyDescent="0.3">
      <c r="A26" s="54">
        <v>13</v>
      </c>
      <c r="B26" s="55" t="s">
        <v>47</v>
      </c>
      <c r="C26" s="56">
        <f t="shared" ca="1" si="55"/>
        <v>485811</v>
      </c>
      <c r="D26" s="57">
        <f ca="1">IFERROR(__xludf.DUMMYFUNCTION("IMPORTRANGE(""https://docs.google.com/spreadsheets/d/1p7ERhsr0qZeSn-KSOdeHS9r0heI-lHtkcn2OH7hP0jQ/edit?usp=sharing"",""ลำปาง!L549"")"),485811)</f>
        <v>485811</v>
      </c>
      <c r="E26" s="64">
        <f ca="1">IFERROR(__xludf.DUMMYFUNCTION("IMPORTRANGE(""https://docs.google.com/spreadsheets/d/1p7ERhsr0qZeSn-KSOdeHS9r0heI-lHtkcn2OH7hP0jQ/edit?usp=sharing"",""ลำปาง!L557"")"),0)</f>
        <v>0</v>
      </c>
      <c r="F26" s="64">
        <f ca="1">IFERROR(__xludf.DUMMYFUNCTION("IMPORTRANGE(""https://docs.google.com/spreadsheets/d/1p7ERhsr0qZeSn-KSOdeHS9r0heI-lHtkcn2OH7hP0jQ/edit?usp=sharing"",""ลำปาง!M549"")"),485811)</f>
        <v>485811</v>
      </c>
      <c r="G26" s="64">
        <f ca="1">IFERROR(__xludf.DUMMYFUNCTION("IMPORTRANGE(""https://docs.google.com/spreadsheets/d/1p7ERhsr0qZeSn-KSOdeHS9r0heI-lHtkcn2OH7hP0jQ/edit?usp=sharing"",""ลำปาง!M557"")"),0)</f>
        <v>0</v>
      </c>
      <c r="H26" s="58">
        <f t="shared" ca="1" si="36"/>
        <v>200100</v>
      </c>
      <c r="I26" s="59">
        <f t="shared" ca="1" si="1"/>
        <v>41.188857395159843</v>
      </c>
      <c r="J26" s="60">
        <f t="shared" ca="1" si="56"/>
        <v>200100</v>
      </c>
      <c r="K26" s="61">
        <f t="shared" ca="1" si="44"/>
        <v>41.188857395159843</v>
      </c>
      <c r="L26" s="61">
        <f t="shared" ca="1" si="45"/>
        <v>41.188857395159843</v>
      </c>
      <c r="M26" s="64">
        <f ca="1">IFERROR(__xludf.DUMMYFUNCTION("IMPORTRANGE(""https://docs.google.com/spreadsheets/d/1p7ERhsr0qZeSn-KSOdeHS9r0heI-lHtkcn2OH7hP0jQ/edit?usp=sharing"",""ลำปาง!N550"")"),0)</f>
        <v>0</v>
      </c>
      <c r="N26" s="64">
        <f ca="1">IFERROR(__xludf.DUMMYFUNCTION("IMPORTRANGE(""https://docs.google.com/spreadsheets/d/1p7ERhsr0qZeSn-KSOdeHS9r0heI-lHtkcn2OH7hP0jQ/edit?usp=sharing"",""ลำปาง!N551"")"),0)</f>
        <v>0</v>
      </c>
      <c r="O26" s="64">
        <f ca="1">IFERROR(__xludf.DUMMYFUNCTION("IMPORTRANGE(""https://docs.google.com/spreadsheets/d/1p7ERhsr0qZeSn-KSOdeHS9r0heI-lHtkcn2OH7hP0jQ/edit?usp=sharing"",""ลำปาง!N552"")"),52000)</f>
        <v>52000</v>
      </c>
      <c r="P26" s="64">
        <f ca="1">IFERROR(__xludf.DUMMYFUNCTION("IMPORTRANGE(""https://docs.google.com/spreadsheets/d/1p7ERhsr0qZeSn-KSOdeHS9r0heI-lHtkcn2OH7hP0jQ/edit?usp=sharing"",""ลำปาง!N553"")"),148100)</f>
        <v>148100</v>
      </c>
      <c r="Q26" s="64">
        <f ca="1">IFERROR(__xludf.DUMMYFUNCTION("IMPORTRANGE(""https://docs.google.com/spreadsheets/d/1p7ERhsr0qZeSn-KSOdeHS9r0heI-lHtkcn2OH7hP0jQ/edit?usp=sharing"",""ลำปาง!N554"")"),0)</f>
        <v>0</v>
      </c>
      <c r="R26" s="62">
        <f ca="1">IFERROR(__xludf.DUMMYFUNCTION("IMPORTRANGE(""https://docs.google.com/spreadsheets/d/1p7ERhsr0qZeSn-KSOdeHS9r0heI-lHtkcn2OH7hP0jQ/edit?usp=sharing"",""ลำปาง!N557"")"),0)</f>
        <v>0</v>
      </c>
      <c r="S26" s="62">
        <f t="shared" ca="1" si="47"/>
        <v>0</v>
      </c>
      <c r="T26" s="57">
        <f ca="1">IFERROR(__xludf.DUMMYFUNCTION("IMPORTRANGE(""https://docs.google.com/spreadsheets/d/1p7ERhsr0qZeSn-KSOdeHS9r0heI-lHtkcn2OH7hP0jQ/edit?usp=sharing"",""ลำปาง!I560"")"),24651)</f>
        <v>24651</v>
      </c>
      <c r="U26" s="57">
        <f ca="1">IFERROR(__xludf.DUMMYFUNCTION("IMPORTRANGE(""https://docs.google.com/spreadsheets/d/1p7ERhsr0qZeSn-KSOdeHS9r0heI-lHtkcn2OH7hP0jQ/edit?usp=sharing"",""ลำปาง!I561"")"),4817)</f>
        <v>4817</v>
      </c>
      <c r="V26" s="63">
        <f ca="1">IFERROR(__xludf.DUMMYFUNCTION("IMPORTRANGE(""https://docs.google.com/spreadsheets/d/1p7ERhsr0qZeSn-KSOdeHS9r0heI-lHtkcn2OH7hP0jQ/edit?usp=sharing"",""ลำปาง!J560"")"),24651)</f>
        <v>24651</v>
      </c>
      <c r="W26" s="63">
        <f t="shared" ca="1" si="37"/>
        <v>100</v>
      </c>
      <c r="X26" s="57">
        <f ca="1">IFERROR(__xludf.DUMMYFUNCTION("IMPORTRANGE(""https://docs.google.com/spreadsheets/d/1p7ERhsr0qZeSn-KSOdeHS9r0heI-lHtkcn2OH7hP0jQ/edit?usp=sharing"",""ลำปาง!J561"")"),4817)</f>
        <v>4817</v>
      </c>
      <c r="Y26" s="63">
        <f t="shared" ca="1" si="7"/>
        <v>100</v>
      </c>
      <c r="Z26" s="63">
        <f ca="1">IFERROR(__xludf.DUMMYFUNCTION("IMPORTRANGE(""https://docs.google.com/spreadsheets/d/1p7ERhsr0qZeSn-KSOdeHS9r0heI-lHtkcn2OH7hP0jQ/edit?usp=sharing"",""ลำปาง!J562"")"),21972)</f>
        <v>21972</v>
      </c>
      <c r="AA26" s="140">
        <f ca="1">IFERROR(__xludf.DUMMYFUNCTION("IMPORTRANGE(""https://docs.google.com/spreadsheets/d/1p7ERhsr0qZeSn-KSOdeHS9r0heI-lHtkcn2OH7hP0jQ/edit?usp=sharing"",""ลำปาง!J563"")"),4338)</f>
        <v>4338</v>
      </c>
      <c r="AB26" s="63">
        <f ca="1">IFERROR(__xludf.DUMMYFUNCTION("IMPORTRANGE(""https://docs.google.com/spreadsheets/d/1p7ERhsr0qZeSn-KSOdeHS9r0heI-lHtkcn2OH7hP0jQ/edit?usp=sharing"",""ลำปาง!J564"")"),2162)</f>
        <v>2162</v>
      </c>
      <c r="AC26" s="140">
        <f ca="1">IFERROR(__xludf.DUMMYFUNCTION("IMPORTRANGE(""https://docs.google.com/spreadsheets/d/1p7ERhsr0qZeSn-KSOdeHS9r0heI-lHtkcn2OH7hP0jQ/edit?usp=sharing"",""ลำปาง!J565"")"),383)</f>
        <v>383</v>
      </c>
      <c r="AD26" s="63">
        <f ca="1">IFERROR(__xludf.DUMMYFUNCTION("IMPORTRANGE(""https://docs.google.com/spreadsheets/d/1p7ERhsr0qZeSn-KSOdeHS9r0heI-lHtkcn2OH7hP0jQ/edit?usp=sharing"",""ลำปาง!J566"")"),517)</f>
        <v>517</v>
      </c>
      <c r="AE26" s="140">
        <f ca="1">IFERROR(__xludf.DUMMYFUNCTION("IMPORTRANGE(""https://docs.google.com/spreadsheets/d/1p7ERhsr0qZeSn-KSOdeHS9r0heI-lHtkcn2OH7hP0jQ/edit?usp=sharing"",""ลำปาง!J567"")"),96)</f>
        <v>96</v>
      </c>
      <c r="AF26" s="57">
        <f ca="1">IFERROR(__xludf.DUMMYFUNCTION("IMPORTRANGE(""https://docs.google.com/spreadsheets/d/1p7ERhsr0qZeSn-KSOdeHS9r0heI-lHtkcn2OH7hP0jQ/edit?usp=sharing"",""ลำปาง!I568"")"),24651)</f>
        <v>24651</v>
      </c>
      <c r="AG26" s="57">
        <f ca="1">IFERROR(__xludf.DUMMYFUNCTION("IMPORTRANGE(""https://docs.google.com/spreadsheets/d/1p7ERhsr0qZeSn-KSOdeHS9r0heI-lHtkcn2OH7hP0jQ/edit?usp=sharing"",""ลำปาง!I569"")"),4817)</f>
        <v>4817</v>
      </c>
      <c r="AH26" s="63">
        <f ca="1">IFERROR(__xludf.DUMMYFUNCTION("IMPORTRANGE(""https://docs.google.com/spreadsheets/d/1p7ERhsr0qZeSn-KSOdeHS9r0heI-lHtkcn2OH7hP0jQ/edit?usp=sharing"",""ลำปาง!J568"")"),24651.12)</f>
        <v>24651.119999999999</v>
      </c>
      <c r="AI26" s="63">
        <f t="shared" ca="1" si="38"/>
        <v>100.00048679566751</v>
      </c>
      <c r="AJ26" s="57">
        <f ca="1">IFERROR(__xludf.DUMMYFUNCTION("IMPORTRANGE(""https://docs.google.com/spreadsheets/d/1p7ERhsr0qZeSn-KSOdeHS9r0heI-lHtkcn2OH7hP0jQ/edit?usp=sharing"",""ลำปาง!J569"")"),4817)</f>
        <v>4817</v>
      </c>
      <c r="AK26" s="63">
        <f t="shared" ca="1" si="10"/>
        <v>100</v>
      </c>
      <c r="AL26" s="63">
        <f ca="1">IFERROR(__xludf.DUMMYFUNCTION("IMPORTRANGE(""https://docs.google.com/spreadsheets/d/1p7ERhsr0qZeSn-KSOdeHS9r0heI-lHtkcn2OH7hP0jQ/edit?usp=sharing"",""ลำปาง!J570"")"),23124.33)</f>
        <v>23124.33</v>
      </c>
      <c r="AM26" s="140">
        <f ca="1">IFERROR(__xludf.DUMMYFUNCTION("IMPORTRANGE(""https://docs.google.com/spreadsheets/d/1p7ERhsr0qZeSn-KSOdeHS9r0heI-lHtkcn2OH7hP0jQ/edit?usp=sharing"",""ลำปาง!J571"")"),4560)</f>
        <v>4560</v>
      </c>
      <c r="AN26" s="63">
        <f ca="1">IFERROR(__xludf.DUMMYFUNCTION("IMPORTRANGE(""https://docs.google.com/spreadsheets/d/1p7ERhsr0qZeSn-KSOdeHS9r0heI-lHtkcn2OH7hP0jQ/edit?usp=sharing"",""ลำปาง!J572"")"),903.27)</f>
        <v>903.27</v>
      </c>
      <c r="AO26" s="140">
        <f ca="1">IFERROR(__xludf.DUMMYFUNCTION("IMPORTRANGE(""https://docs.google.com/spreadsheets/d/1p7ERhsr0qZeSn-KSOdeHS9r0heI-lHtkcn2OH7hP0jQ/edit?usp=sharing"",""ลำปาง!J573"")"),134)</f>
        <v>134</v>
      </c>
      <c r="AP26" s="63">
        <f ca="1">IFERROR(__xludf.DUMMYFUNCTION("IMPORTRANGE(""https://docs.google.com/spreadsheets/d/1p7ERhsr0qZeSn-KSOdeHS9r0heI-lHtkcn2OH7hP0jQ/edit?usp=sharing"",""ลำปาง!J574"")"),623.52)</f>
        <v>623.52</v>
      </c>
      <c r="AQ26" s="140">
        <f ca="1">IFERROR(__xludf.DUMMYFUNCTION("IMPORTRANGE(""https://docs.google.com/spreadsheets/d/1p7ERhsr0qZeSn-KSOdeHS9r0heI-lHtkcn2OH7hP0jQ/edit?usp=sharing"",""ลำปาง!J575"")"),123)</f>
        <v>123</v>
      </c>
      <c r="AR26" s="57">
        <f ca="1">IFERROR(__xludf.DUMMYFUNCTION("IMPORTRANGE(""https://docs.google.com/spreadsheets/d/1p7ERhsr0qZeSn-KSOdeHS9r0heI-lHtkcn2OH7hP0jQ/edit?usp=sharing"",""ลำปาง!I576"")"),24651)</f>
        <v>24651</v>
      </c>
      <c r="AS26" s="57">
        <f ca="1">IFERROR(__xludf.DUMMYFUNCTION("IMPORTRANGE(""https://docs.google.com/spreadsheets/d/1p7ERhsr0qZeSn-KSOdeHS9r0heI-lHtkcn2OH7hP0jQ/edit?usp=sharing"",""ลำปาง!I577"")"),4817)</f>
        <v>4817</v>
      </c>
      <c r="AT26" s="63">
        <f ca="1">IFERROR(__xludf.DUMMYFUNCTION("IMPORTRANGE(""https://docs.google.com/spreadsheets/d/1p7ERhsr0qZeSn-KSOdeHS9r0heI-lHtkcn2OH7hP0jQ/edit?usp=sharing"",""ลำปาง!J576"")"),0)</f>
        <v>0</v>
      </c>
      <c r="AU26" s="63">
        <f t="shared" ca="1" si="39"/>
        <v>0</v>
      </c>
      <c r="AV26" s="57">
        <f ca="1">IFERROR(__xludf.DUMMYFUNCTION("IMPORTRANGE(""https://docs.google.com/spreadsheets/d/1p7ERhsr0qZeSn-KSOdeHS9r0heI-lHtkcn2OH7hP0jQ/edit?usp=sharing"",""ลำปาง!J577"")"),0)</f>
        <v>0</v>
      </c>
      <c r="AW26" s="63">
        <f t="shared" ca="1" si="13"/>
        <v>0</v>
      </c>
      <c r="AX26" s="63">
        <f ca="1">IFERROR(__xludf.DUMMYFUNCTION("IMPORTRANGE(""https://docs.google.com/spreadsheets/d/1p7ERhsr0qZeSn-KSOdeHS9r0heI-lHtkcn2OH7hP0jQ/edit?usp=sharing"",""ลำปาง!J578"")"),0)</f>
        <v>0</v>
      </c>
      <c r="AY26" s="140">
        <f ca="1">IFERROR(__xludf.DUMMYFUNCTION("IMPORTRANGE(""https://docs.google.com/spreadsheets/d/1p7ERhsr0qZeSn-KSOdeHS9r0heI-lHtkcn2OH7hP0jQ/edit?usp=sharing"",""ลำปาง!J579"")"),0)</f>
        <v>0</v>
      </c>
      <c r="AZ26" s="63">
        <f ca="1">IFERROR(__xludf.DUMMYFUNCTION("IMPORTRANGE(""https://docs.google.com/spreadsheets/d/1p7ERhsr0qZeSn-KSOdeHS9r0heI-lHtkcn2OH7hP0jQ/edit?usp=sharing"",""ลำปาง!J580"")"),0)</f>
        <v>0</v>
      </c>
      <c r="BA26" s="140">
        <f ca="1">IFERROR(__xludf.DUMMYFUNCTION("IMPORTRANGE(""https://docs.google.com/spreadsheets/d/1p7ERhsr0qZeSn-KSOdeHS9r0heI-lHtkcn2OH7hP0jQ/edit?usp=sharing"",""ลำปาง!J581"")"),0)</f>
        <v>0</v>
      </c>
      <c r="BB26" s="63">
        <f ca="1">IFERROR(__xludf.DUMMYFUNCTION("IMPORTRANGE(""https://docs.google.com/spreadsheets/d/1p7ERhsr0qZeSn-KSOdeHS9r0heI-lHtkcn2OH7hP0jQ/edit?usp=sharing"",""ลำปาง!J582"")"),0)</f>
        <v>0</v>
      </c>
      <c r="BC26" s="140">
        <f ca="1">IFERROR(__xludf.DUMMYFUNCTION("IMPORTRANGE(""https://docs.google.com/spreadsheets/d/1p7ERhsr0qZeSn-KSOdeHS9r0heI-lHtkcn2OH7hP0jQ/edit?usp=sharing"",""ลำปาง!J583"")"),0)</f>
        <v>0</v>
      </c>
      <c r="BD26" s="141">
        <f ca="1">IFERROR(__xludf.DUMMYFUNCTION("IMPORTRANGE(""https://docs.google.com/spreadsheets/d/1p7ERhsr0qZeSn-KSOdeHS9r0heI-lHtkcn2OH7hP0jQ/edit?usp=sharing"",""ลำปาง!J584"")"),0)</f>
        <v>0</v>
      </c>
      <c r="BE26" s="140">
        <f ca="1">IFERROR(__xludf.DUMMYFUNCTION("IMPORTRANGE(""https://docs.google.com/spreadsheets/d/1p7ERhsr0qZeSn-KSOdeHS9r0heI-lHtkcn2OH7hP0jQ/edit?usp=sharing"",""ลำปาง!J585"")"),0)</f>
        <v>0</v>
      </c>
      <c r="BF26" s="141">
        <f ca="1">IFERROR(__xludf.DUMMYFUNCTION("IMPORTRANGE(""https://docs.google.com/spreadsheets/d/1p7ERhsr0qZeSn-KSOdeHS9r0heI-lHtkcn2OH7hP0jQ/edit?usp=sharing"",""ลำปาง!J586"")"),0)</f>
        <v>0</v>
      </c>
      <c r="BG26" s="140">
        <f ca="1">IFERROR(__xludf.DUMMYFUNCTION("IMPORTRANGE(""https://docs.google.com/spreadsheets/d/1p7ERhsr0qZeSn-KSOdeHS9r0heI-lHtkcn2OH7hP0jQ/edit?usp=sharing"",""ลำปาง!J587"")"),0)</f>
        <v>0</v>
      </c>
      <c r="BH26" s="63">
        <f ca="1">IFERROR(__xludf.DUMMYFUNCTION("IMPORTRANGE(""https://docs.google.com/spreadsheets/d/1p7ERhsr0qZeSn-KSOdeHS9r0heI-lHtkcn2OH7hP0jQ/edit?usp=sharing"",""ลำปาง!J588"")"),0)</f>
        <v>0</v>
      </c>
      <c r="BI26" s="140">
        <f ca="1">IFERROR(__xludf.DUMMYFUNCTION("IMPORTRANGE(""https://docs.google.com/spreadsheets/d/1p7ERhsr0qZeSn-KSOdeHS9r0heI-lHtkcn2OH7hP0jQ/edit?usp=sharing"",""ลำปาง!J589"")"),0)</f>
        <v>0</v>
      </c>
      <c r="BJ26" s="63">
        <f ca="1">IFERROR(__xludf.DUMMYFUNCTION("IMPORTRANGE(""https://docs.google.com/spreadsheets/d/1p7ERhsr0qZeSn-KSOdeHS9r0heI-lHtkcn2OH7hP0jQ/edit?usp=sharing"",""ลำปาง!J590"")"),0)</f>
        <v>0</v>
      </c>
      <c r="BK26" s="140">
        <f ca="1">IFERROR(__xludf.DUMMYFUNCTION("IMPORTRANGE(""https://docs.google.com/spreadsheets/d/1p7ERhsr0qZeSn-KSOdeHS9r0heI-lHtkcn2OH7hP0jQ/edit?usp=sharing"",""ลำปาง!J591"")"),0)</f>
        <v>0</v>
      </c>
      <c r="BL26" s="57">
        <f ca="1">IFERROR(__xludf.DUMMYFUNCTION("IMPORTRANGE(""https://docs.google.com/spreadsheets/d/1p7ERhsr0qZeSn-KSOdeHS9r0heI-lHtkcn2OH7hP0jQ/edit?usp=sharing"",""ลำปาง!I593"")"),3952.03)</f>
        <v>3952.03</v>
      </c>
      <c r="BM26" s="57">
        <f ca="1">IFERROR(__xludf.DUMMYFUNCTION("IMPORTRANGE(""https://docs.google.com/spreadsheets/d/1p7ERhsr0qZeSn-KSOdeHS9r0heI-lHtkcn2OH7hP0jQ/edit?usp=sharing"",""ลำปาง!I594"")"),599)</f>
        <v>599</v>
      </c>
      <c r="BN26" s="63">
        <f ca="1">IFERROR(__xludf.DUMMYFUNCTION("IMPORTRANGE(""https://docs.google.com/spreadsheets/d/1p7ERhsr0qZeSn-KSOdeHS9r0heI-lHtkcn2OH7hP0jQ/edit?usp=sharing"",""ลำปาง!J593"")"),2834.49)</f>
        <v>2834.49</v>
      </c>
      <c r="BO26" s="63">
        <f t="shared" ca="1" si="40"/>
        <v>71.722380649944455</v>
      </c>
      <c r="BP26" s="57">
        <f ca="1">IFERROR(__xludf.DUMMYFUNCTION("IMPORTRANGE(""https://docs.google.com/spreadsheets/d/1p7ERhsr0qZeSn-KSOdeHS9r0heI-lHtkcn2OH7hP0jQ/edit?usp=sharing"",""ลำปาง!J594"")"),395)</f>
        <v>395</v>
      </c>
      <c r="BQ26" s="63">
        <f t="shared" ca="1" si="16"/>
        <v>65.943238731218699</v>
      </c>
      <c r="BR26" s="63">
        <f ca="1">IFERROR(__xludf.DUMMYFUNCTION("IMPORTRANGE(""https://docs.google.com/spreadsheets/d/1p7ERhsr0qZeSn-KSOdeHS9r0heI-lHtkcn2OH7hP0jQ/edit?usp=sharing"",""ลำปาง!J595"")"),2834.49)</f>
        <v>2834.49</v>
      </c>
      <c r="BS26" s="140">
        <f ca="1">IFERROR(__xludf.DUMMYFUNCTION("IMPORTRANGE(""https://docs.google.com/spreadsheets/d/1p7ERhsr0qZeSn-KSOdeHS9r0heI-lHtkcn2OH7hP0jQ/edit?usp=sharing"",""ลำปาง!J596"")"),395)</f>
        <v>395</v>
      </c>
      <c r="BT26" s="63">
        <f ca="1">IFERROR(__xludf.DUMMYFUNCTION("IMPORTRANGE(""https://docs.google.com/spreadsheets/d/1p7ERhsr0qZeSn-KSOdeHS9r0heI-lHtkcn2OH7hP0jQ/edit?usp=sharing"",""ลำปาง!J597"")"),136)</f>
        <v>136</v>
      </c>
      <c r="BU26" s="140">
        <f ca="1">IFERROR(__xludf.DUMMYFUNCTION("IMPORTRANGE(""https://docs.google.com/spreadsheets/d/1p7ERhsr0qZeSn-KSOdeHS9r0heI-lHtkcn2OH7hP0jQ/edit?usp=sharing"",""ลำปาง!J598"")"),13)</f>
        <v>13</v>
      </c>
      <c r="BV26" s="63">
        <f ca="1">IFERROR(__xludf.DUMMYFUNCTION("IMPORTRANGE(""https://docs.google.com/spreadsheets/d/1p7ERhsr0qZeSn-KSOdeHS9r0heI-lHtkcn2OH7hP0jQ/edit?usp=sharing"",""ลำปาง!J599"")"),2698.49)</f>
        <v>2698.49</v>
      </c>
      <c r="BW26" s="140">
        <f ca="1">IFERROR(__xludf.DUMMYFUNCTION("IMPORTRANGE(""https://docs.google.com/spreadsheets/d/1p7ERhsr0qZeSn-KSOdeHS9r0heI-lHtkcn2OH7hP0jQ/edit?usp=sharing"",""ลำปาง!J600"")"),382)</f>
        <v>382</v>
      </c>
      <c r="BX26" s="141">
        <f ca="1">IFERROR(__xludf.DUMMYFUNCTION("IMPORTRANGE(""https://docs.google.com/spreadsheets/d/1p7ERhsr0qZeSn-KSOdeHS9r0heI-lHtkcn2OH7hP0jQ/edit?usp=sharing"",""ลำปาง!J601"")"),0)</f>
        <v>0</v>
      </c>
      <c r="BY26" s="140">
        <f ca="1">IFERROR(__xludf.DUMMYFUNCTION("IMPORTRANGE(""https://docs.google.com/spreadsheets/d/1p7ERhsr0qZeSn-KSOdeHS9r0heI-lHtkcn2OH7hP0jQ/edit?usp=sharing"",""ลำปาง!J602"")"),0)</f>
        <v>0</v>
      </c>
      <c r="BZ26" s="63">
        <f ca="1">IFERROR(__xludf.DUMMYFUNCTION("IMPORTRANGE(""https://docs.google.com/spreadsheets/d/1p7ERhsr0qZeSn-KSOdeHS9r0heI-lHtkcn2OH7hP0jQ/edit?usp=sharing"",""ลำปาง!J603"")"),0)</f>
        <v>0</v>
      </c>
      <c r="CA26" s="140">
        <f ca="1">IFERROR(__xludf.DUMMYFUNCTION("IMPORTRANGE(""https://docs.google.com/spreadsheets/d/1p7ERhsr0qZeSn-KSOdeHS9r0heI-lHtkcn2OH7hP0jQ/edit?usp=sharing"",""ลำปาง!J604"")"),0)</f>
        <v>0</v>
      </c>
      <c r="CB26" s="63">
        <f ca="1">IFERROR(__xludf.DUMMYFUNCTION("IMPORTRANGE(""https://docs.google.com/spreadsheets/d/1p7ERhsr0qZeSn-KSOdeHS9r0heI-lHtkcn2OH7hP0jQ/edit?usp=sharing"",""ลำปาง!J605"")"),0)</f>
        <v>0</v>
      </c>
      <c r="CC26" s="140">
        <f ca="1">IFERROR(__xludf.DUMMYFUNCTION("IMPORTRANGE(""https://docs.google.com/spreadsheets/d/1p7ERhsr0qZeSn-KSOdeHS9r0heI-lHtkcn2OH7hP0jQ/edit?usp=sharing"",""ลำปาง!J606"")"),0)</f>
        <v>0</v>
      </c>
      <c r="CD26" s="63">
        <f ca="1">IFERROR(__xludf.DUMMYFUNCTION("IMPORTRANGE(""https://docs.google.com/spreadsheets/d/1p7ERhsr0qZeSn-KSOdeHS9r0heI-lHtkcn2OH7hP0jQ/edit?usp=sharing"",""ลำปาง!J607"")"),0)</f>
        <v>0</v>
      </c>
      <c r="CE26" s="140">
        <f ca="1">IFERROR(__xludf.DUMMYFUNCTION("IMPORTRANGE(""https://docs.google.com/spreadsheets/d/1p7ERhsr0qZeSn-KSOdeHS9r0heI-lHtkcn2OH7hP0jQ/edit?usp=sharing"",""ลำปาง!J608"")"),0)</f>
        <v>0</v>
      </c>
      <c r="CF26" s="63">
        <f ca="1">IFERROR(__xludf.DUMMYFUNCTION("IMPORTRANGE(""https://docs.google.com/spreadsheets/d/1p7ERhsr0qZeSn-KSOdeHS9r0heI-lHtkcn2OH7hP0jQ/edit?usp=sharing"",""ลำปาง!J609"")"),0)</f>
        <v>0</v>
      </c>
      <c r="CG26" s="140">
        <f ca="1">IFERROR(__xludf.DUMMYFUNCTION("IMPORTRANGE(""https://docs.google.com/spreadsheets/d/1p7ERhsr0qZeSn-KSOdeHS9r0heI-lHtkcn2OH7hP0jQ/edit?usp=sharing"",""ลำปาง!J610"")"),0)</f>
        <v>0</v>
      </c>
      <c r="CH26" s="140">
        <f ca="1">IFERROR(__xludf.DUMMYFUNCTION("IMPORTRANGE(""https://docs.google.com/spreadsheets/d/1p7ERhsr0qZeSn-KSOdeHS9r0heI-lHtkcn2OH7hP0jQ/edit?usp=sharing"",""ลำปาง!I612"")"),0)</f>
        <v>0</v>
      </c>
      <c r="CI26" s="140">
        <f ca="1">IFERROR(__xludf.DUMMYFUNCTION("IMPORTRANGE(""https://docs.google.com/spreadsheets/d/1p7ERhsr0qZeSn-KSOdeHS9r0heI-lHtkcn2OH7hP0jQ/edit?usp=sharing"",""ลำปาง!I594"")"),599)</f>
        <v>599</v>
      </c>
      <c r="CJ26" s="141">
        <f ca="1">IFERROR(__xludf.DUMMYFUNCTION("IMPORTRANGE(""https://docs.google.com/spreadsheets/d/1p7ERhsr0qZeSn-KSOdeHS9r0heI-lHtkcn2OH7hP0jQ/edit?usp=sharing"",""ลำปาง!J612"")"),0)</f>
        <v>0</v>
      </c>
      <c r="CK26" s="141">
        <f t="shared" ca="1" si="41"/>
        <v>0</v>
      </c>
      <c r="CL26" s="140">
        <f ca="1">IFERROR(__xludf.DUMMYFUNCTION("IMPORTRANGE(""https://docs.google.com/spreadsheets/d/1p7ERhsr0qZeSn-KSOdeHS9r0heI-lHtkcn2OH7hP0jQ/edit?usp=sharing"",""ลำปาง!J613"")"),0)</f>
        <v>0</v>
      </c>
      <c r="CM26" s="141">
        <f t="shared" ca="1" si="19"/>
        <v>0</v>
      </c>
      <c r="CN26" s="63">
        <f ca="1">IFERROR(__xludf.DUMMYFUNCTION("IMPORTRANGE(""https://docs.google.com/spreadsheets/d/1p7ERhsr0qZeSn-KSOdeHS9r0heI-lHtkcn2OH7hP0jQ/edit?usp=sharing"",""ลำปาง!J614"")"),0)</f>
        <v>0</v>
      </c>
      <c r="CO26" s="140">
        <f ca="1">IFERROR(__xludf.DUMMYFUNCTION("IMPORTRANGE(""https://docs.google.com/spreadsheets/d/1p7ERhsr0qZeSn-KSOdeHS9r0heI-lHtkcn2OH7hP0jQ/edit?usp=sharing"",""ลำปาง!J615"")"),0)</f>
        <v>0</v>
      </c>
      <c r="CP26" s="63">
        <f ca="1">IFERROR(__xludf.DUMMYFUNCTION("IMPORTRANGE(""https://docs.google.com/spreadsheets/d/1p7ERhsr0qZeSn-KSOdeHS9r0heI-lHtkcn2OH7hP0jQ/edit?usp=sharing"",""ลำปาง!J616"")"),0)</f>
        <v>0</v>
      </c>
      <c r="CQ26" s="140">
        <f ca="1">IFERROR(__xludf.DUMMYFUNCTION("IMPORTRANGE(""https://docs.google.com/spreadsheets/d/1p7ERhsr0qZeSn-KSOdeHS9r0heI-lHtkcn2OH7hP0jQ/edit?usp=sharing"",""ลำปาง!J617"")"),0)</f>
        <v>0</v>
      </c>
      <c r="CR26" s="140">
        <f ca="1">IFERROR(__xludf.DUMMYFUNCTION("IMPORTRANGE(""https://docs.google.com/spreadsheets/d/1p7ERhsr0qZeSn-KSOdeHS9r0heI-lHtkcn2OH7hP0jQ/edit?usp=sharing"",""ลำปาง!I620"")"),114)</f>
        <v>114</v>
      </c>
      <c r="CS26" s="140">
        <f ca="1">IFERROR(__xludf.DUMMYFUNCTION("IMPORTRANGE(""https://docs.google.com/spreadsheets/d/1p7ERhsr0qZeSn-KSOdeHS9r0heI-lHtkcn2OH7hP0jQ/edit?usp=sharing"",""ลำปาง!I621"")"),13)</f>
        <v>13</v>
      </c>
      <c r="CT26" s="141">
        <f ca="1">IFERROR(__xludf.DUMMYFUNCTION("IMPORTRANGE(""https://docs.google.com/spreadsheets/d/1p7ERhsr0qZeSn-KSOdeHS9r0heI-lHtkcn2OH7hP0jQ/edit?usp=sharing"",""ลำปาง!J620"")"),0)</f>
        <v>0</v>
      </c>
      <c r="CU26" s="141">
        <f t="shared" ca="1" si="42"/>
        <v>0</v>
      </c>
      <c r="CV26" s="140">
        <f ca="1">IFERROR(__xludf.DUMMYFUNCTION("IMPORTRANGE(""https://docs.google.com/spreadsheets/d/1p7ERhsr0qZeSn-KSOdeHS9r0heI-lHtkcn2OH7hP0jQ/edit?usp=sharing"",""ลำปาง!J621"")"),0)</f>
        <v>0</v>
      </c>
      <c r="CW26" s="141">
        <f t="shared" ca="1" si="22"/>
        <v>0</v>
      </c>
      <c r="CX26" s="63">
        <f ca="1">IFERROR(__xludf.DUMMYFUNCTION("IMPORTRANGE(""https://docs.google.com/spreadsheets/d/1p7ERhsr0qZeSn-KSOdeHS9r0heI-lHtkcn2OH7hP0jQ/edit?usp=sharing"",""ลำปาง!J622"")"),0)</f>
        <v>0</v>
      </c>
      <c r="CY26" s="140">
        <f ca="1">IFERROR(__xludf.DUMMYFUNCTION("IMPORTRANGE(""https://docs.google.com/spreadsheets/d/1p7ERhsr0qZeSn-KSOdeHS9r0heI-lHtkcn2OH7hP0jQ/edit?usp=sharing"",""ลำปาง!J623"")"),0)</f>
        <v>0</v>
      </c>
      <c r="CZ26" s="63">
        <f ca="1">IFERROR(__xludf.DUMMYFUNCTION("IMPORTRANGE(""https://docs.google.com/spreadsheets/d/1p7ERhsr0qZeSn-KSOdeHS9r0heI-lHtkcn2OH7hP0jQ/edit?usp=sharing"",""ลำปาง!J624"")"),0)</f>
        <v>0</v>
      </c>
      <c r="DA26" s="140">
        <f ca="1">IFERROR(__xludf.DUMMYFUNCTION("IMPORTRANGE(""https://docs.google.com/spreadsheets/d/1p7ERhsr0qZeSn-KSOdeHS9r0heI-lHtkcn2OH7hP0jQ/edit?usp=sharing"",""ลำปาง!J625"")"),0)</f>
        <v>0</v>
      </c>
      <c r="DB26" s="63">
        <f ca="1">IFERROR(__xludf.DUMMYFUNCTION("IMPORTRANGE(""https://docs.google.com/spreadsheets/d/1p7ERhsr0qZeSn-KSOdeHS9r0heI-lHtkcn2OH7hP0jQ/edit?usp=sharing"",""ลำปาง!J626"")"),0)</f>
        <v>0</v>
      </c>
      <c r="DC26" s="140">
        <f ca="1">IFERROR(__xludf.DUMMYFUNCTION("IMPORTRANGE(""https://docs.google.com/spreadsheets/d/1p7ERhsr0qZeSn-KSOdeHS9r0heI-lHtkcn2OH7hP0jQ/edit?usp=sharing"",""ลำปาง!J627"")"),0)</f>
        <v>0</v>
      </c>
    </row>
    <row r="27" spans="1:107" ht="24" customHeight="1" x14ac:dyDescent="0.3">
      <c r="A27" s="54">
        <v>14</v>
      </c>
      <c r="B27" s="55" t="s">
        <v>48</v>
      </c>
      <c r="C27" s="56">
        <f t="shared" ca="1" si="55"/>
        <v>423266</v>
      </c>
      <c r="D27" s="57">
        <f ca="1">IFERROR(__xludf.DUMMYFUNCTION("IMPORTRANGE(""https://docs.google.com/spreadsheets/d/1-uUXvimVhiU2U0bMN-xi2te0tS4X7DI2GLPnMjzl8cA/edit?usp=sharing"",""ลำพูน!L549"")"),423266)</f>
        <v>423266</v>
      </c>
      <c r="E27" s="64">
        <f ca="1">IFERROR(__xludf.DUMMYFUNCTION("IMPORTRANGE(""https://docs.google.com/spreadsheets/d/1-uUXvimVhiU2U0bMN-xi2te0tS4X7DI2GLPnMjzl8cA/edit?usp=sharing"",""ลำพูน!L557"")"),0)</f>
        <v>0</v>
      </c>
      <c r="F27" s="64">
        <f ca="1">IFERROR(__xludf.DUMMYFUNCTION("IMPORTRANGE(""https://docs.google.com/spreadsheets/d/1-uUXvimVhiU2U0bMN-xi2te0tS4X7DI2GLPnMjzl8cA/edit?usp=sharing"",""ลำพูน!M549"")"),423266)</f>
        <v>423266</v>
      </c>
      <c r="G27" s="64">
        <f ca="1">IFERROR(__xludf.DUMMYFUNCTION("IMPORTRANGE(""https://docs.google.com/spreadsheets/d/1-uUXvimVhiU2U0bMN-xi2te0tS4X7DI2GLPnMjzl8cA/edit?usp=sharing"",""ลำพูน!M557"")"),0)</f>
        <v>0</v>
      </c>
      <c r="H27" s="58">
        <f t="shared" ca="1" si="36"/>
        <v>140150</v>
      </c>
      <c r="I27" s="59">
        <f t="shared" ca="1" si="1"/>
        <v>33.11156577660384</v>
      </c>
      <c r="J27" s="60">
        <f t="shared" ca="1" si="56"/>
        <v>140150</v>
      </c>
      <c r="K27" s="61">
        <f t="shared" ca="1" si="44"/>
        <v>33.11156577660384</v>
      </c>
      <c r="L27" s="61">
        <f t="shared" ca="1" si="45"/>
        <v>33.11156577660384</v>
      </c>
      <c r="M27" s="64">
        <f ca="1">IFERROR(__xludf.DUMMYFUNCTION("IMPORTRANGE(""https://docs.google.com/spreadsheets/d/1-uUXvimVhiU2U0bMN-xi2te0tS4X7DI2GLPnMjzl8cA/edit?usp=sharing"",""ลำพูน!N550"")"),0)</f>
        <v>0</v>
      </c>
      <c r="N27" s="64">
        <f ca="1">IFERROR(__xludf.DUMMYFUNCTION("IMPORTRANGE(""https://docs.google.com/spreadsheets/d/1-uUXvimVhiU2U0bMN-xi2te0tS4X7DI2GLPnMjzl8cA/edit?usp=sharing"",""ลำพูน!N551"")"),0)</f>
        <v>0</v>
      </c>
      <c r="O27" s="64">
        <f ca="1">IFERROR(__xludf.DUMMYFUNCTION("IMPORTRANGE(""https://docs.google.com/spreadsheets/d/1-uUXvimVhiU2U0bMN-xi2te0tS4X7DI2GLPnMjzl8cA/edit?usp=sharing"",""ลำพูน!N552"")"),65000)</f>
        <v>65000</v>
      </c>
      <c r="P27" s="64">
        <f ca="1">IFERROR(__xludf.DUMMYFUNCTION("IMPORTRANGE(""https://docs.google.com/spreadsheets/d/1-uUXvimVhiU2U0bMN-xi2te0tS4X7DI2GLPnMjzl8cA/edit?usp=sharing"",""ลำพูน!N553"")"),75150)</f>
        <v>75150</v>
      </c>
      <c r="Q27" s="64">
        <f ca="1">IFERROR(__xludf.DUMMYFUNCTION("IMPORTRANGE(""https://docs.google.com/spreadsheets/d/1-uUXvimVhiU2U0bMN-xi2te0tS4X7DI2GLPnMjzl8cA/edit?usp=sharing"",""ลำพูน!N554"")"),0)</f>
        <v>0</v>
      </c>
      <c r="R27" s="62">
        <f ca="1">IFERROR(__xludf.DUMMYFUNCTION("IMPORTRANGE(""https://docs.google.com/spreadsheets/d/1-uUXvimVhiU2U0bMN-xi2te0tS4X7DI2GLPnMjzl8cA/edit?usp=sharing"",""ลำพูน!N557"")"),0)</f>
        <v>0</v>
      </c>
      <c r="S27" s="62">
        <f t="shared" ca="1" si="47"/>
        <v>0</v>
      </c>
      <c r="T27" s="57">
        <f ca="1">IFERROR(__xludf.DUMMYFUNCTION("IMPORTRANGE(""https://docs.google.com/spreadsheets/d/1-uUXvimVhiU2U0bMN-xi2te0tS4X7DI2GLPnMjzl8cA/edit?usp=sharing"",""ลำพูน!I560"")"),25487)</f>
        <v>25487</v>
      </c>
      <c r="U27" s="57">
        <f ca="1">IFERROR(__xludf.DUMMYFUNCTION("IMPORTRANGE(""https://docs.google.com/spreadsheets/d/1-uUXvimVhiU2U0bMN-xi2te0tS4X7DI2GLPnMjzl8cA/edit?usp=sharing"",""ลำพูน!I561"")"),3299)</f>
        <v>3299</v>
      </c>
      <c r="V27" s="63">
        <f ca="1">IFERROR(__xludf.DUMMYFUNCTION("IMPORTRANGE(""https://docs.google.com/spreadsheets/d/1-uUXvimVhiU2U0bMN-xi2te0tS4X7DI2GLPnMjzl8cA/edit?usp=sharing"",""ลำพูน!J560"")"),25487)</f>
        <v>25487</v>
      </c>
      <c r="W27" s="63">
        <f t="shared" ca="1" si="37"/>
        <v>100</v>
      </c>
      <c r="X27" s="57">
        <f ca="1">IFERROR(__xludf.DUMMYFUNCTION("IMPORTRANGE(""https://docs.google.com/spreadsheets/d/1-uUXvimVhiU2U0bMN-xi2te0tS4X7DI2GLPnMjzl8cA/edit?usp=sharing"",""ลำพูน!J561"")"),3299)</f>
        <v>3299</v>
      </c>
      <c r="Y27" s="63">
        <f t="shared" ca="1" si="7"/>
        <v>100</v>
      </c>
      <c r="Z27" s="63">
        <f ca="1">IFERROR(__xludf.DUMMYFUNCTION("IMPORTRANGE(""https://docs.google.com/spreadsheets/d/1-uUXvimVhiU2U0bMN-xi2te0tS4X7DI2GLPnMjzl8cA/edit?usp=sharing"",""ลำพูน!J562"")"),17500)</f>
        <v>17500</v>
      </c>
      <c r="AA27" s="140">
        <f ca="1">IFERROR(__xludf.DUMMYFUNCTION("IMPORTRANGE(""https://docs.google.com/spreadsheets/d/1-uUXvimVhiU2U0bMN-xi2te0tS4X7DI2GLPnMjzl8cA/edit?usp=sharing"",""ลำพูน!J563"")"),2410)</f>
        <v>2410</v>
      </c>
      <c r="AB27" s="63">
        <f ca="1">IFERROR(__xludf.DUMMYFUNCTION("IMPORTRANGE(""https://docs.google.com/spreadsheets/d/1-uUXvimVhiU2U0bMN-xi2te0tS4X7DI2GLPnMjzl8cA/edit?usp=sharing"",""ลำพูน!J564"")"),7416)</f>
        <v>7416</v>
      </c>
      <c r="AC27" s="140">
        <f ca="1">IFERROR(__xludf.DUMMYFUNCTION("IMPORTRANGE(""https://docs.google.com/spreadsheets/d/1-uUXvimVhiU2U0bMN-xi2te0tS4X7DI2GLPnMjzl8cA/edit?usp=sharing"",""ลำพูน!J565"")"),806)</f>
        <v>806</v>
      </c>
      <c r="AD27" s="63">
        <f ca="1">IFERROR(__xludf.DUMMYFUNCTION("IMPORTRANGE(""https://docs.google.com/spreadsheets/d/1-uUXvimVhiU2U0bMN-xi2te0tS4X7DI2GLPnMjzl8cA/edit?usp=sharing"",""ลำพูน!J566"")"),571)</f>
        <v>571</v>
      </c>
      <c r="AE27" s="140">
        <f ca="1">IFERROR(__xludf.DUMMYFUNCTION("IMPORTRANGE(""https://docs.google.com/spreadsheets/d/1-uUXvimVhiU2U0bMN-xi2te0tS4X7DI2GLPnMjzl8cA/edit?usp=sharing"",""ลำพูน!J567"")"),83)</f>
        <v>83</v>
      </c>
      <c r="AF27" s="57">
        <f ca="1">IFERROR(__xludf.DUMMYFUNCTION("IMPORTRANGE(""https://docs.google.com/spreadsheets/d/1-uUXvimVhiU2U0bMN-xi2te0tS4X7DI2GLPnMjzl8cA/edit?usp=sharing"",""ลำพูน!I568"")"),25487)</f>
        <v>25487</v>
      </c>
      <c r="AG27" s="57">
        <f ca="1">IFERROR(__xludf.DUMMYFUNCTION("IMPORTRANGE(""https://docs.google.com/spreadsheets/d/1-uUXvimVhiU2U0bMN-xi2te0tS4X7DI2GLPnMjzl8cA/edit?usp=sharing"",""ลำพูน!I569"")"),3299)</f>
        <v>3299</v>
      </c>
      <c r="AH27" s="63">
        <f ca="1">IFERROR(__xludf.DUMMYFUNCTION("IMPORTRANGE(""https://docs.google.com/spreadsheets/d/1-uUXvimVhiU2U0bMN-xi2te0tS4X7DI2GLPnMjzl8cA/edit?usp=sharing"",""ลำพูน!J568"")"),25487)</f>
        <v>25487</v>
      </c>
      <c r="AI27" s="63">
        <f t="shared" ca="1" si="38"/>
        <v>100</v>
      </c>
      <c r="AJ27" s="57">
        <f ca="1">IFERROR(__xludf.DUMMYFUNCTION("IMPORTRANGE(""https://docs.google.com/spreadsheets/d/1-uUXvimVhiU2U0bMN-xi2te0tS4X7DI2GLPnMjzl8cA/edit?usp=sharing"",""ลำพูน!J569"")"),3299)</f>
        <v>3299</v>
      </c>
      <c r="AK27" s="63">
        <f t="shared" ca="1" si="10"/>
        <v>100</v>
      </c>
      <c r="AL27" s="63">
        <f ca="1">IFERROR(__xludf.DUMMYFUNCTION("IMPORTRANGE(""https://docs.google.com/spreadsheets/d/1-uUXvimVhiU2U0bMN-xi2te0tS4X7DI2GLPnMjzl8cA/edit?usp=sharing"",""ลำพูน!J570"")"),19577)</f>
        <v>19577</v>
      </c>
      <c r="AM27" s="140">
        <f ca="1">IFERROR(__xludf.DUMMYFUNCTION("IMPORTRANGE(""https://docs.google.com/spreadsheets/d/1-uUXvimVhiU2U0bMN-xi2te0tS4X7DI2GLPnMjzl8cA/edit?usp=sharing"",""ลำพูน!J571"")"),2659)</f>
        <v>2659</v>
      </c>
      <c r="AN27" s="63">
        <f ca="1">IFERROR(__xludf.DUMMYFUNCTION("IMPORTRANGE(""https://docs.google.com/spreadsheets/d/1-uUXvimVhiU2U0bMN-xi2te0tS4X7DI2GLPnMjzl8cA/edit?usp=sharing"",""ลำพูน!J572"")"),5183)</f>
        <v>5183</v>
      </c>
      <c r="AO27" s="140">
        <f ca="1">IFERROR(__xludf.DUMMYFUNCTION("IMPORTRANGE(""https://docs.google.com/spreadsheets/d/1-uUXvimVhiU2U0bMN-xi2te0tS4X7DI2GLPnMjzl8cA/edit?usp=sharing"",""ลำพูน!J573"")"),541)</f>
        <v>541</v>
      </c>
      <c r="AP27" s="63">
        <f ca="1">IFERROR(__xludf.DUMMYFUNCTION("IMPORTRANGE(""https://docs.google.com/spreadsheets/d/1-uUXvimVhiU2U0bMN-xi2te0tS4X7DI2GLPnMjzl8cA/edit?usp=sharing"",""ลำพูน!J574"")"),727)</f>
        <v>727</v>
      </c>
      <c r="AQ27" s="140">
        <f ca="1">IFERROR(__xludf.DUMMYFUNCTION("IMPORTRANGE(""https://docs.google.com/spreadsheets/d/1-uUXvimVhiU2U0bMN-xi2te0tS4X7DI2GLPnMjzl8cA/edit?usp=sharing"",""ลำพูน!J575"")"),99)</f>
        <v>99</v>
      </c>
      <c r="AR27" s="57">
        <f ca="1">IFERROR(__xludf.DUMMYFUNCTION("IMPORTRANGE(""https://docs.google.com/spreadsheets/d/1-uUXvimVhiU2U0bMN-xi2te0tS4X7DI2GLPnMjzl8cA/edit?usp=sharing"",""ลำพูน!I576"")"),25487)</f>
        <v>25487</v>
      </c>
      <c r="AS27" s="57">
        <f ca="1">IFERROR(__xludf.DUMMYFUNCTION("IMPORTRANGE(""https://docs.google.com/spreadsheets/d/1-uUXvimVhiU2U0bMN-xi2te0tS4X7DI2GLPnMjzl8cA/edit?usp=sharing"",""ลำพูน!I577"")"),3299)</f>
        <v>3299</v>
      </c>
      <c r="AT27" s="63">
        <f ca="1">IFERROR(__xludf.DUMMYFUNCTION("IMPORTRANGE(""https://docs.google.com/spreadsheets/d/1-uUXvimVhiU2U0bMN-xi2te0tS4X7DI2GLPnMjzl8cA/edit?usp=sharing"",""ลำพูน!J576"")"),0)</f>
        <v>0</v>
      </c>
      <c r="AU27" s="63">
        <f t="shared" ca="1" si="39"/>
        <v>0</v>
      </c>
      <c r="AV27" s="57">
        <f ca="1">IFERROR(__xludf.DUMMYFUNCTION("IMPORTRANGE(""https://docs.google.com/spreadsheets/d/1-uUXvimVhiU2U0bMN-xi2te0tS4X7DI2GLPnMjzl8cA/edit?usp=sharing"",""ลำพูน!J577"")"),0)</f>
        <v>0</v>
      </c>
      <c r="AW27" s="63">
        <f t="shared" ca="1" si="13"/>
        <v>0</v>
      </c>
      <c r="AX27" s="63">
        <f ca="1">IFERROR(__xludf.DUMMYFUNCTION("IMPORTRANGE(""https://docs.google.com/spreadsheets/d/1-uUXvimVhiU2U0bMN-xi2te0tS4X7DI2GLPnMjzl8cA/edit?usp=sharing"",""ลำพูน!J578"")"),0)</f>
        <v>0</v>
      </c>
      <c r="AY27" s="140">
        <f ca="1">IFERROR(__xludf.DUMMYFUNCTION("IMPORTRANGE(""https://docs.google.com/spreadsheets/d/1-uUXvimVhiU2U0bMN-xi2te0tS4X7DI2GLPnMjzl8cA/edit?usp=sharing"",""ลำพูน!J579"")"),0)</f>
        <v>0</v>
      </c>
      <c r="AZ27" s="63">
        <f ca="1">IFERROR(__xludf.DUMMYFUNCTION("IMPORTRANGE(""https://docs.google.com/spreadsheets/d/1-uUXvimVhiU2U0bMN-xi2te0tS4X7DI2GLPnMjzl8cA/edit?usp=sharing"",""ลำพูน!J580"")"),0)</f>
        <v>0</v>
      </c>
      <c r="BA27" s="140">
        <f ca="1">IFERROR(__xludf.DUMMYFUNCTION("IMPORTRANGE(""https://docs.google.com/spreadsheets/d/1-uUXvimVhiU2U0bMN-xi2te0tS4X7DI2GLPnMjzl8cA/edit?usp=sharing"",""ลำพูน!J581"")"),0)</f>
        <v>0</v>
      </c>
      <c r="BB27" s="63">
        <f ca="1">IFERROR(__xludf.DUMMYFUNCTION("IMPORTRANGE(""https://docs.google.com/spreadsheets/d/1-uUXvimVhiU2U0bMN-xi2te0tS4X7DI2GLPnMjzl8cA/edit?usp=sharing"",""ลำพูน!J582"")"),0)</f>
        <v>0</v>
      </c>
      <c r="BC27" s="140">
        <f ca="1">IFERROR(__xludf.DUMMYFUNCTION("IMPORTRANGE(""https://docs.google.com/spreadsheets/d/1-uUXvimVhiU2U0bMN-xi2te0tS4X7DI2GLPnMjzl8cA/edit?usp=sharing"",""ลำพูน!J583"")"),0)</f>
        <v>0</v>
      </c>
      <c r="BD27" s="141">
        <f ca="1">IFERROR(__xludf.DUMMYFUNCTION("IMPORTRANGE(""https://docs.google.com/spreadsheets/d/1-uUXvimVhiU2U0bMN-xi2te0tS4X7DI2GLPnMjzl8cA/edit?usp=sharing"",""ลำพูน!J584"")"),0)</f>
        <v>0</v>
      </c>
      <c r="BE27" s="140">
        <f ca="1">IFERROR(__xludf.DUMMYFUNCTION("IMPORTRANGE(""https://docs.google.com/spreadsheets/d/1-uUXvimVhiU2U0bMN-xi2te0tS4X7DI2GLPnMjzl8cA/edit?usp=sharing"",""ลำพูน!J585"")"),0)</f>
        <v>0</v>
      </c>
      <c r="BF27" s="141">
        <f ca="1">IFERROR(__xludf.DUMMYFUNCTION("IMPORTRANGE(""https://docs.google.com/spreadsheets/d/1-uUXvimVhiU2U0bMN-xi2te0tS4X7DI2GLPnMjzl8cA/edit?usp=sharing"",""ลำพูน!J586"")"),0)</f>
        <v>0</v>
      </c>
      <c r="BG27" s="140">
        <f ca="1">IFERROR(__xludf.DUMMYFUNCTION("IMPORTRANGE(""https://docs.google.com/spreadsheets/d/1-uUXvimVhiU2U0bMN-xi2te0tS4X7DI2GLPnMjzl8cA/edit?usp=sharing"",""ลำพูน!J587"")"),0)</f>
        <v>0</v>
      </c>
      <c r="BH27" s="63">
        <f ca="1">IFERROR(__xludf.DUMMYFUNCTION("IMPORTRANGE(""https://docs.google.com/spreadsheets/d/1-uUXvimVhiU2U0bMN-xi2te0tS4X7DI2GLPnMjzl8cA/edit?usp=sharing"",""ลำพูน!J588"")"),0)</f>
        <v>0</v>
      </c>
      <c r="BI27" s="140">
        <f ca="1">IFERROR(__xludf.DUMMYFUNCTION("IMPORTRANGE(""https://docs.google.com/spreadsheets/d/1-uUXvimVhiU2U0bMN-xi2te0tS4X7DI2GLPnMjzl8cA/edit?usp=sharing"",""ลำพูน!J589"")"),0)</f>
        <v>0</v>
      </c>
      <c r="BJ27" s="63">
        <f ca="1">IFERROR(__xludf.DUMMYFUNCTION("IMPORTRANGE(""https://docs.google.com/spreadsheets/d/1-uUXvimVhiU2U0bMN-xi2te0tS4X7DI2GLPnMjzl8cA/edit?usp=sharing"",""ลำพูน!J590"")"),0)</f>
        <v>0</v>
      </c>
      <c r="BK27" s="140">
        <f ca="1">IFERROR(__xludf.DUMMYFUNCTION("IMPORTRANGE(""https://docs.google.com/spreadsheets/d/1-uUXvimVhiU2U0bMN-xi2te0tS4X7DI2GLPnMjzl8cA/edit?usp=sharing"",""ลำพูน!J591"")"),0)</f>
        <v>0</v>
      </c>
      <c r="BL27" s="57">
        <f ca="1">IFERROR(__xludf.DUMMYFUNCTION("IMPORTRANGE(""https://docs.google.com/spreadsheets/d/1-uUXvimVhiU2U0bMN-xi2te0tS4X7DI2GLPnMjzl8cA/edit?usp=sharing"",""ลำพูน!I593"")"),3071.82)</f>
        <v>3071.82</v>
      </c>
      <c r="BM27" s="57">
        <f ca="1">IFERROR(__xludf.DUMMYFUNCTION("IMPORTRANGE(""https://docs.google.com/spreadsheets/d/1-uUXvimVhiU2U0bMN-xi2te0tS4X7DI2GLPnMjzl8cA/edit?usp=sharing"",""ลำพูน!I594"")"),413)</f>
        <v>413</v>
      </c>
      <c r="BN27" s="63">
        <f ca="1">IFERROR(__xludf.DUMMYFUNCTION("IMPORTRANGE(""https://docs.google.com/spreadsheets/d/1-uUXvimVhiU2U0bMN-xi2te0tS4X7DI2GLPnMjzl8cA/edit?usp=sharing"",""ลำพูน!J593"")"),0)</f>
        <v>0</v>
      </c>
      <c r="BO27" s="63">
        <f t="shared" ca="1" si="40"/>
        <v>0</v>
      </c>
      <c r="BP27" s="57">
        <f ca="1">IFERROR(__xludf.DUMMYFUNCTION("IMPORTRANGE(""https://docs.google.com/spreadsheets/d/1-uUXvimVhiU2U0bMN-xi2te0tS4X7DI2GLPnMjzl8cA/edit?usp=sharing"",""ลำพูน!J594"")"),0)</f>
        <v>0</v>
      </c>
      <c r="BQ27" s="63">
        <f t="shared" ca="1" si="16"/>
        <v>0</v>
      </c>
      <c r="BR27" s="63">
        <f ca="1">IFERROR(__xludf.DUMMYFUNCTION("IMPORTRANGE(""https://docs.google.com/spreadsheets/d/1-uUXvimVhiU2U0bMN-xi2te0tS4X7DI2GLPnMjzl8cA/edit?usp=sharing"",""ลำพูน!J595"")"),0)</f>
        <v>0</v>
      </c>
      <c r="BS27" s="140">
        <f ca="1">IFERROR(__xludf.DUMMYFUNCTION("IMPORTRANGE(""https://docs.google.com/spreadsheets/d/1-uUXvimVhiU2U0bMN-xi2te0tS4X7DI2GLPnMjzl8cA/edit?usp=sharing"",""ลำพูน!J596"")"),0)</f>
        <v>0</v>
      </c>
      <c r="BT27" s="63">
        <f ca="1">IFERROR(__xludf.DUMMYFUNCTION("IMPORTRANGE(""https://docs.google.com/spreadsheets/d/1-uUXvimVhiU2U0bMN-xi2te0tS4X7DI2GLPnMjzl8cA/edit?usp=sharing"",""ลำพูน!J597"")"),0)</f>
        <v>0</v>
      </c>
      <c r="BU27" s="140">
        <f ca="1">IFERROR(__xludf.DUMMYFUNCTION("IMPORTRANGE(""https://docs.google.com/spreadsheets/d/1-uUXvimVhiU2U0bMN-xi2te0tS4X7DI2GLPnMjzl8cA/edit?usp=sharing"",""ลำพูน!J598"")"),0)</f>
        <v>0</v>
      </c>
      <c r="BV27" s="63">
        <f ca="1">IFERROR(__xludf.DUMMYFUNCTION("IMPORTRANGE(""https://docs.google.com/spreadsheets/d/1-uUXvimVhiU2U0bMN-xi2te0tS4X7DI2GLPnMjzl8cA/edit?usp=sharing"",""ลำพูน!J599"")"),0)</f>
        <v>0</v>
      </c>
      <c r="BW27" s="140">
        <f ca="1">IFERROR(__xludf.DUMMYFUNCTION("IMPORTRANGE(""https://docs.google.com/spreadsheets/d/1-uUXvimVhiU2U0bMN-xi2te0tS4X7DI2GLPnMjzl8cA/edit?usp=sharing"",""ลำพูน!J600"")"),0)</f>
        <v>0</v>
      </c>
      <c r="BX27" s="141">
        <f ca="1">IFERROR(__xludf.DUMMYFUNCTION("IMPORTRANGE(""https://docs.google.com/spreadsheets/d/1-uUXvimVhiU2U0bMN-xi2te0tS4X7DI2GLPnMjzl8cA/edit?usp=sharing"",""ลำพูน!J601"")"),0)</f>
        <v>0</v>
      </c>
      <c r="BY27" s="140">
        <f ca="1">IFERROR(__xludf.DUMMYFUNCTION("IMPORTRANGE(""https://docs.google.com/spreadsheets/d/1-uUXvimVhiU2U0bMN-xi2te0tS4X7DI2GLPnMjzl8cA/edit?usp=sharing"",""ลำพูน!J602"")"),0)</f>
        <v>0</v>
      </c>
      <c r="BZ27" s="63">
        <f ca="1">IFERROR(__xludf.DUMMYFUNCTION("IMPORTRANGE(""https://docs.google.com/spreadsheets/d/1-uUXvimVhiU2U0bMN-xi2te0tS4X7DI2GLPnMjzl8cA/edit?usp=sharing"",""ลำพูน!J603"")"),0)</f>
        <v>0</v>
      </c>
      <c r="CA27" s="140">
        <f ca="1">IFERROR(__xludf.DUMMYFUNCTION("IMPORTRANGE(""https://docs.google.com/spreadsheets/d/1-uUXvimVhiU2U0bMN-xi2te0tS4X7DI2GLPnMjzl8cA/edit?usp=sharing"",""ลำพูน!J604"")"),0)</f>
        <v>0</v>
      </c>
      <c r="CB27" s="63">
        <f ca="1">IFERROR(__xludf.DUMMYFUNCTION("IMPORTRANGE(""https://docs.google.com/spreadsheets/d/1-uUXvimVhiU2U0bMN-xi2te0tS4X7DI2GLPnMjzl8cA/edit?usp=sharing"",""ลำพูน!J605"")"),0)</f>
        <v>0</v>
      </c>
      <c r="CC27" s="140">
        <f ca="1">IFERROR(__xludf.DUMMYFUNCTION("IMPORTRANGE(""https://docs.google.com/spreadsheets/d/1-uUXvimVhiU2U0bMN-xi2te0tS4X7DI2GLPnMjzl8cA/edit?usp=sharing"",""ลำพูน!J606"")"),0)</f>
        <v>0</v>
      </c>
      <c r="CD27" s="63">
        <f ca="1">IFERROR(__xludf.DUMMYFUNCTION("IMPORTRANGE(""https://docs.google.com/spreadsheets/d/1-uUXvimVhiU2U0bMN-xi2te0tS4X7DI2GLPnMjzl8cA/edit?usp=sharing"",""ลำพูน!J607"")"),0)</f>
        <v>0</v>
      </c>
      <c r="CE27" s="140">
        <f ca="1">IFERROR(__xludf.DUMMYFUNCTION("IMPORTRANGE(""https://docs.google.com/spreadsheets/d/1-uUXvimVhiU2U0bMN-xi2te0tS4X7DI2GLPnMjzl8cA/edit?usp=sharing"",""ลำพูน!J608"")"),0)</f>
        <v>0</v>
      </c>
      <c r="CF27" s="63">
        <f ca="1">IFERROR(__xludf.DUMMYFUNCTION("IMPORTRANGE(""https://docs.google.com/spreadsheets/d/1-uUXvimVhiU2U0bMN-xi2te0tS4X7DI2GLPnMjzl8cA/edit?usp=sharing"",""ลำพูน!J609"")"),0)</f>
        <v>0</v>
      </c>
      <c r="CG27" s="140">
        <f ca="1">IFERROR(__xludf.DUMMYFUNCTION("IMPORTRANGE(""https://docs.google.com/spreadsheets/d/1-uUXvimVhiU2U0bMN-xi2te0tS4X7DI2GLPnMjzl8cA/edit?usp=sharing"",""ลำพูน!J610"")"),0)</f>
        <v>0</v>
      </c>
      <c r="CH27" s="140">
        <f ca="1">IFERROR(__xludf.DUMMYFUNCTION("IMPORTRANGE(""https://docs.google.com/spreadsheets/d/1-uUXvimVhiU2U0bMN-xi2te0tS4X7DI2GLPnMjzl8cA/edit?usp=sharing"",""ลำพูน!I612"")"),0)</f>
        <v>0</v>
      </c>
      <c r="CI27" s="140">
        <f ca="1">IFERROR(__xludf.DUMMYFUNCTION("IMPORTRANGE(""https://docs.google.com/spreadsheets/d/1-uUXvimVhiU2U0bMN-xi2te0tS4X7DI2GLPnMjzl8cA/edit?usp=sharing"",""ลำพูน!I594"")"),413)</f>
        <v>413</v>
      </c>
      <c r="CJ27" s="141">
        <f ca="1">IFERROR(__xludf.DUMMYFUNCTION("IMPORTRANGE(""https://docs.google.com/spreadsheets/d/1-uUXvimVhiU2U0bMN-xi2te0tS4X7DI2GLPnMjzl8cA/edit?usp=sharing"",""ลำพูน!J612"")"),0)</f>
        <v>0</v>
      </c>
      <c r="CK27" s="141">
        <f t="shared" ca="1" si="41"/>
        <v>0</v>
      </c>
      <c r="CL27" s="140">
        <f ca="1">IFERROR(__xludf.DUMMYFUNCTION("IMPORTRANGE(""https://docs.google.com/spreadsheets/d/1-uUXvimVhiU2U0bMN-xi2te0tS4X7DI2GLPnMjzl8cA/edit?usp=sharing"",""ลำพูน!J613"")"),0)</f>
        <v>0</v>
      </c>
      <c r="CM27" s="141">
        <f t="shared" ca="1" si="19"/>
        <v>0</v>
      </c>
      <c r="CN27" s="63">
        <f ca="1">IFERROR(__xludf.DUMMYFUNCTION("IMPORTRANGE(""https://docs.google.com/spreadsheets/d/1-uUXvimVhiU2U0bMN-xi2te0tS4X7DI2GLPnMjzl8cA/edit?usp=sharing"",""ลำพูน!J614"")"),0)</f>
        <v>0</v>
      </c>
      <c r="CO27" s="140">
        <f ca="1">IFERROR(__xludf.DUMMYFUNCTION("IMPORTRANGE(""https://docs.google.com/spreadsheets/d/1-uUXvimVhiU2U0bMN-xi2te0tS4X7DI2GLPnMjzl8cA/edit?usp=sharing"",""ลำพูน!J615"")"),0)</f>
        <v>0</v>
      </c>
      <c r="CP27" s="63">
        <f ca="1">IFERROR(__xludf.DUMMYFUNCTION("IMPORTRANGE(""https://docs.google.com/spreadsheets/d/1-uUXvimVhiU2U0bMN-xi2te0tS4X7DI2GLPnMjzl8cA/edit?usp=sharing"",""ลำพูน!J616"")"),0)</f>
        <v>0</v>
      </c>
      <c r="CQ27" s="140">
        <f ca="1">IFERROR(__xludf.DUMMYFUNCTION("IMPORTRANGE(""https://docs.google.com/spreadsheets/d/1-uUXvimVhiU2U0bMN-xi2te0tS4X7DI2GLPnMjzl8cA/edit?usp=sharing"",""ลำพูน!J617"")"),0)</f>
        <v>0</v>
      </c>
      <c r="CR27" s="140">
        <f ca="1">IFERROR(__xludf.DUMMYFUNCTION("IMPORTRANGE(""https://docs.google.com/spreadsheets/d/1-uUXvimVhiU2U0bMN-xi2te0tS4X7DI2GLPnMjzl8cA/edit?usp=sharing"",""ลำพูน!I620"")"),98)</f>
        <v>98</v>
      </c>
      <c r="CS27" s="140">
        <f ca="1">IFERROR(__xludf.DUMMYFUNCTION("IMPORTRANGE(""https://docs.google.com/spreadsheets/d/1-uUXvimVhiU2U0bMN-xi2te0tS4X7DI2GLPnMjzl8cA/edit?usp=sharing"",""ลำพูน!I621"")"),6)</f>
        <v>6</v>
      </c>
      <c r="CT27" s="141">
        <f ca="1">IFERROR(__xludf.DUMMYFUNCTION("IMPORTRANGE(""https://docs.google.com/spreadsheets/d/1-uUXvimVhiU2U0bMN-xi2te0tS4X7DI2GLPnMjzl8cA/edit?usp=sharing"",""ลำพูน!J620"")"),98)</f>
        <v>98</v>
      </c>
      <c r="CU27" s="141">
        <f t="shared" ca="1" si="42"/>
        <v>100</v>
      </c>
      <c r="CV27" s="140">
        <f ca="1">IFERROR(__xludf.DUMMYFUNCTION("IMPORTRANGE(""https://docs.google.com/spreadsheets/d/1-uUXvimVhiU2U0bMN-xi2te0tS4X7DI2GLPnMjzl8cA/edit?usp=sharing"",""ลำพูน!J621"")"),6)</f>
        <v>6</v>
      </c>
      <c r="CW27" s="141">
        <f t="shared" ca="1" si="22"/>
        <v>100</v>
      </c>
      <c r="CX27" s="63">
        <f ca="1">IFERROR(__xludf.DUMMYFUNCTION("IMPORTRANGE(""https://docs.google.com/spreadsheets/d/1-uUXvimVhiU2U0bMN-xi2te0tS4X7DI2GLPnMjzl8cA/edit?usp=sharing"",""ลำพูน!J622"")"),97)</f>
        <v>97</v>
      </c>
      <c r="CY27" s="140">
        <f ca="1">IFERROR(__xludf.DUMMYFUNCTION("IMPORTRANGE(""https://docs.google.com/spreadsheets/d/1-uUXvimVhiU2U0bMN-xi2te0tS4X7DI2GLPnMjzl8cA/edit?usp=sharing"",""ลำพูน!J623"")"),5)</f>
        <v>5</v>
      </c>
      <c r="CZ27" s="63">
        <f ca="1">IFERROR(__xludf.DUMMYFUNCTION("IMPORTRANGE(""https://docs.google.com/spreadsheets/d/1-uUXvimVhiU2U0bMN-xi2te0tS4X7DI2GLPnMjzl8cA/edit?usp=sharing"",""ลำพูน!J624"")"),1)</f>
        <v>1</v>
      </c>
      <c r="DA27" s="140">
        <f ca="1">IFERROR(__xludf.DUMMYFUNCTION("IMPORTRANGE(""https://docs.google.com/spreadsheets/d/1-uUXvimVhiU2U0bMN-xi2te0tS4X7DI2GLPnMjzl8cA/edit?usp=sharing"",""ลำพูน!J625"")"),1)</f>
        <v>1</v>
      </c>
      <c r="DB27" s="63">
        <f ca="1">IFERROR(__xludf.DUMMYFUNCTION("IMPORTRANGE(""https://docs.google.com/spreadsheets/d/1-uUXvimVhiU2U0bMN-xi2te0tS4X7DI2GLPnMjzl8cA/edit?usp=sharing"",""ลำพูน!J626"")"),0)</f>
        <v>0</v>
      </c>
      <c r="DC27" s="140">
        <f ca="1">IFERROR(__xludf.DUMMYFUNCTION("IMPORTRANGE(""https://docs.google.com/spreadsheets/d/1-uUXvimVhiU2U0bMN-xi2te0tS4X7DI2GLPnMjzl8cA/edit?usp=sharing"",""ลำพูน!J627"")"),0)</f>
        <v>0</v>
      </c>
    </row>
    <row r="28" spans="1:107" ht="24" customHeight="1" x14ac:dyDescent="0.3">
      <c r="A28" s="54">
        <v>15</v>
      </c>
      <c r="B28" s="55" t="s">
        <v>49</v>
      </c>
      <c r="C28" s="56">
        <f t="shared" ca="1" si="55"/>
        <v>478301</v>
      </c>
      <c r="D28" s="57">
        <f ca="1">IFERROR(__xludf.DUMMYFUNCTION("IMPORTRANGE(""https://docs.google.com/spreadsheets/d/17HrOaa5pBUI1onckFfumXB8xlg35qb2uBAFfF1D-Myo/edit?usp=sharing"",""สุโขทัย!L549"")"),478301)</f>
        <v>478301</v>
      </c>
      <c r="E28" s="64">
        <f ca="1">IFERROR(__xludf.DUMMYFUNCTION("IMPORTRANGE(""https://docs.google.com/spreadsheets/d/17HrOaa5pBUI1onckFfumXB8xlg35qb2uBAFfF1D-Myo/edit?usp=sharing"",""สุโขทัย!L557"")"),0)</f>
        <v>0</v>
      </c>
      <c r="F28" s="64">
        <f ca="1">IFERROR(__xludf.DUMMYFUNCTION("IMPORTRANGE(""https://docs.google.com/spreadsheets/d/17HrOaa5pBUI1onckFfumXB8xlg35qb2uBAFfF1D-Myo/edit?usp=sharing"",""สุโขทัย!M549"")"),478301)</f>
        <v>478301</v>
      </c>
      <c r="G28" s="64">
        <f ca="1">IFERROR(__xludf.DUMMYFUNCTION("IMPORTRANGE(""https://docs.google.com/spreadsheets/d/17HrOaa5pBUI1onckFfumXB8xlg35qb2uBAFfF1D-Myo/edit?usp=sharing"",""สุโขทัย!M557"")"),0)</f>
        <v>0</v>
      </c>
      <c r="H28" s="58">
        <f t="shared" ca="1" si="36"/>
        <v>213606.61</v>
      </c>
      <c r="I28" s="59">
        <f t="shared" ca="1" si="1"/>
        <v>44.659452938630693</v>
      </c>
      <c r="J28" s="60">
        <f t="shared" ca="1" si="56"/>
        <v>213606.61</v>
      </c>
      <c r="K28" s="61">
        <f t="shared" ca="1" si="44"/>
        <v>44.659452938630693</v>
      </c>
      <c r="L28" s="61">
        <f t="shared" ca="1" si="45"/>
        <v>44.659452938630693</v>
      </c>
      <c r="M28" s="64">
        <f ca="1">IFERROR(__xludf.DUMMYFUNCTION("IMPORTRANGE(""https://docs.google.com/spreadsheets/d/17HrOaa5pBUI1onckFfumXB8xlg35qb2uBAFfF1D-Myo/edit?usp=sharing"",""สุโขทัย!N550"")"),0)</f>
        <v>0</v>
      </c>
      <c r="N28" s="64">
        <f ca="1">IFERROR(__xludf.DUMMYFUNCTION("IMPORTRANGE(""https://docs.google.com/spreadsheets/d/17HrOaa5pBUI1onckFfumXB8xlg35qb2uBAFfF1D-Myo/edit?usp=sharing"",""สุโขทัย!N551"")"),0)</f>
        <v>0</v>
      </c>
      <c r="O28" s="64">
        <f ca="1">IFERROR(__xludf.DUMMYFUNCTION("IMPORTRANGE(""https://docs.google.com/spreadsheets/d/17HrOaa5pBUI1onckFfumXB8xlg35qb2uBAFfF1D-Myo/edit?usp=sharing"",""สุโขทัย!N552"")"),52000)</f>
        <v>52000</v>
      </c>
      <c r="P28" s="64">
        <f ca="1">IFERROR(__xludf.DUMMYFUNCTION("IMPORTRANGE(""https://docs.google.com/spreadsheets/d/17HrOaa5pBUI1onckFfumXB8xlg35qb2uBAFfF1D-Myo/edit?usp=sharing"",""สุโขทัย!N553"")"),161606.61)</f>
        <v>161606.60999999999</v>
      </c>
      <c r="Q28" s="64">
        <f ca="1">IFERROR(__xludf.DUMMYFUNCTION("IMPORTRANGE(""https://docs.google.com/spreadsheets/d/17HrOaa5pBUI1onckFfumXB8xlg35qb2uBAFfF1D-Myo/edit?usp=sharing"",""สุโขทัย!N554"")"),0)</f>
        <v>0</v>
      </c>
      <c r="R28" s="62">
        <f ca="1">IFERROR(__xludf.DUMMYFUNCTION("IMPORTRANGE(""https://docs.google.com/spreadsheets/d/17HrOaa5pBUI1onckFfumXB8xlg35qb2uBAFfF1D-Myo/edit?usp=sharing"",""สุโขทัย!N557"")"),0)</f>
        <v>0</v>
      </c>
      <c r="S28" s="62">
        <f t="shared" ca="1" si="47"/>
        <v>0</v>
      </c>
      <c r="T28" s="57">
        <f ca="1">IFERROR(__xludf.DUMMYFUNCTION("IMPORTRANGE(""https://docs.google.com/spreadsheets/d/17HrOaa5pBUI1onckFfumXB8xlg35qb2uBAFfF1D-Myo/edit?usp=sharing"",""สุโขทัย!I560"")"),45451)</f>
        <v>45451</v>
      </c>
      <c r="U28" s="57">
        <f ca="1">IFERROR(__xludf.DUMMYFUNCTION("IMPORTRANGE(""https://docs.google.com/spreadsheets/d/17HrOaa5pBUI1onckFfumXB8xlg35qb2uBAFfF1D-Myo/edit?usp=sharing"",""สุโขทัย!I561"")"),5250)</f>
        <v>5250</v>
      </c>
      <c r="V28" s="63">
        <f ca="1">IFERROR(__xludf.DUMMYFUNCTION("IMPORTRANGE(""https://docs.google.com/spreadsheets/d/17HrOaa5pBUI1onckFfumXB8xlg35qb2uBAFfF1D-Myo/edit?usp=sharing"",""สุโขทัย!J560"")"),45451)</f>
        <v>45451</v>
      </c>
      <c r="W28" s="63">
        <f t="shared" ca="1" si="37"/>
        <v>100</v>
      </c>
      <c r="X28" s="57">
        <f ca="1">IFERROR(__xludf.DUMMYFUNCTION("IMPORTRANGE(""https://docs.google.com/spreadsheets/d/17HrOaa5pBUI1onckFfumXB8xlg35qb2uBAFfF1D-Myo/edit?usp=sharing"",""สุโขทัย!J561"")"),5250)</f>
        <v>5250</v>
      </c>
      <c r="Y28" s="63">
        <f t="shared" ca="1" si="7"/>
        <v>100</v>
      </c>
      <c r="Z28" s="63">
        <f ca="1">IFERROR(__xludf.DUMMYFUNCTION("IMPORTRANGE(""https://docs.google.com/spreadsheets/d/17HrOaa5pBUI1onckFfumXB8xlg35qb2uBAFfF1D-Myo/edit?usp=sharing"",""สุโขทัย!J562"")"),34053)</f>
        <v>34053</v>
      </c>
      <c r="AA28" s="140">
        <f ca="1">IFERROR(__xludf.DUMMYFUNCTION("IMPORTRANGE(""https://docs.google.com/spreadsheets/d/17HrOaa5pBUI1onckFfumXB8xlg35qb2uBAFfF1D-Myo/edit?usp=sharing"",""สุโขทัย!J563"")"),4035)</f>
        <v>4035</v>
      </c>
      <c r="AB28" s="63">
        <f ca="1">IFERROR(__xludf.DUMMYFUNCTION("IMPORTRANGE(""https://docs.google.com/spreadsheets/d/17HrOaa5pBUI1onckFfumXB8xlg35qb2uBAFfF1D-Myo/edit?usp=sharing"",""สุโขทัย!J564"")"),10474)</f>
        <v>10474</v>
      </c>
      <c r="AC28" s="140">
        <f ca="1">IFERROR(__xludf.DUMMYFUNCTION("IMPORTRANGE(""https://docs.google.com/spreadsheets/d/17HrOaa5pBUI1onckFfumXB8xlg35qb2uBAFfF1D-Myo/edit?usp=sharing"",""สุโขทัย!J565"")"),1113)</f>
        <v>1113</v>
      </c>
      <c r="AD28" s="63">
        <f ca="1">IFERROR(__xludf.DUMMYFUNCTION("IMPORTRANGE(""https://docs.google.com/spreadsheets/d/17HrOaa5pBUI1onckFfumXB8xlg35qb2uBAFfF1D-Myo/edit?usp=sharing"",""สุโขทัย!J566"")"),924)</f>
        <v>924</v>
      </c>
      <c r="AE28" s="140">
        <f ca="1">IFERROR(__xludf.DUMMYFUNCTION("IMPORTRANGE(""https://docs.google.com/spreadsheets/d/17HrOaa5pBUI1onckFfumXB8xlg35qb2uBAFfF1D-Myo/edit?usp=sharing"",""สุโขทัย!J567"")"),102)</f>
        <v>102</v>
      </c>
      <c r="AF28" s="57">
        <f ca="1">IFERROR(__xludf.DUMMYFUNCTION("IMPORTRANGE(""https://docs.google.com/spreadsheets/d/17HrOaa5pBUI1onckFfumXB8xlg35qb2uBAFfF1D-Myo/edit?usp=sharing"",""สุโขทัย!I568"")"),45451)</f>
        <v>45451</v>
      </c>
      <c r="AG28" s="57">
        <f ca="1">IFERROR(__xludf.DUMMYFUNCTION("IMPORTRANGE(""https://docs.google.com/spreadsheets/d/17HrOaa5pBUI1onckFfumXB8xlg35qb2uBAFfF1D-Myo/edit?usp=sharing"",""สุโขทัย!I569"")"),5250)</f>
        <v>5250</v>
      </c>
      <c r="AH28" s="63">
        <f ca="1">IFERROR(__xludf.DUMMYFUNCTION("IMPORTRANGE(""https://docs.google.com/spreadsheets/d/17HrOaa5pBUI1onckFfumXB8xlg35qb2uBAFfF1D-Myo/edit?usp=sharing"",""สุโขทัย!J568"")"),45453)</f>
        <v>45453</v>
      </c>
      <c r="AI28" s="63">
        <f t="shared" ca="1" si="38"/>
        <v>100.00440034322678</v>
      </c>
      <c r="AJ28" s="57">
        <f ca="1">IFERROR(__xludf.DUMMYFUNCTION("IMPORTRANGE(""https://docs.google.com/spreadsheets/d/17HrOaa5pBUI1onckFfumXB8xlg35qb2uBAFfF1D-Myo/edit?usp=sharing"",""สุโขทัย!J569"")"),5250)</f>
        <v>5250</v>
      </c>
      <c r="AK28" s="63">
        <f t="shared" ca="1" si="10"/>
        <v>100</v>
      </c>
      <c r="AL28" s="63">
        <f ca="1">IFERROR(__xludf.DUMMYFUNCTION("IMPORTRANGE(""https://docs.google.com/spreadsheets/d/17HrOaa5pBUI1onckFfumXB8xlg35qb2uBAFfF1D-Myo/edit?usp=sharing"",""สุโขทัย!J570"")"),39467)</f>
        <v>39467</v>
      </c>
      <c r="AM28" s="140">
        <f ca="1">IFERROR(__xludf.DUMMYFUNCTION("IMPORTRANGE(""https://docs.google.com/spreadsheets/d/17HrOaa5pBUI1onckFfumXB8xlg35qb2uBAFfF1D-Myo/edit?usp=sharing"",""สุโขทัย!J571"")"),4629)</f>
        <v>4629</v>
      </c>
      <c r="AN28" s="63">
        <f ca="1">IFERROR(__xludf.DUMMYFUNCTION("IMPORTRANGE(""https://docs.google.com/spreadsheets/d/17HrOaa5pBUI1onckFfumXB8xlg35qb2uBAFfF1D-Myo/edit?usp=sharing"",""สุโขทัย!J572"")"),4400)</f>
        <v>4400</v>
      </c>
      <c r="AO28" s="140">
        <f ca="1">IFERROR(__xludf.DUMMYFUNCTION("IMPORTRANGE(""https://docs.google.com/spreadsheets/d/17HrOaa5pBUI1onckFfumXB8xlg35qb2uBAFfF1D-Myo/edit?usp=sharing"",""สุโขทัย!J573"")"),443)</f>
        <v>443</v>
      </c>
      <c r="AP28" s="63">
        <f ca="1">IFERROR(__xludf.DUMMYFUNCTION("IMPORTRANGE(""https://docs.google.com/spreadsheets/d/17HrOaa5pBUI1onckFfumXB8xlg35qb2uBAFfF1D-Myo/edit?usp=sharing"",""สุโขทัย!J574"")"),1586)</f>
        <v>1586</v>
      </c>
      <c r="AQ28" s="140">
        <f ca="1">IFERROR(__xludf.DUMMYFUNCTION("IMPORTRANGE(""https://docs.google.com/spreadsheets/d/17HrOaa5pBUI1onckFfumXB8xlg35qb2uBAFfF1D-Myo/edit?usp=sharing"",""สุโขทัย!J575"")"),178)</f>
        <v>178</v>
      </c>
      <c r="AR28" s="57">
        <f ca="1">IFERROR(__xludf.DUMMYFUNCTION("IMPORTRANGE(""https://docs.google.com/spreadsheets/d/17HrOaa5pBUI1onckFfumXB8xlg35qb2uBAFfF1D-Myo/edit?usp=sharing"",""สุโขทัย!I576"")"),45451)</f>
        <v>45451</v>
      </c>
      <c r="AS28" s="57">
        <f ca="1">IFERROR(__xludf.DUMMYFUNCTION("IMPORTRANGE(""https://docs.google.com/spreadsheets/d/17HrOaa5pBUI1onckFfumXB8xlg35qb2uBAFfF1D-Myo/edit?usp=sharing"",""สุโขทัย!I577"")"),5250)</f>
        <v>5250</v>
      </c>
      <c r="AT28" s="63">
        <f ca="1">IFERROR(__xludf.DUMMYFUNCTION("IMPORTRANGE(""https://docs.google.com/spreadsheets/d/17HrOaa5pBUI1onckFfumXB8xlg35qb2uBAFfF1D-Myo/edit?usp=sharing"",""สุโขทัย!J576"")"),41020)</f>
        <v>41020</v>
      </c>
      <c r="AU28" s="63">
        <f t="shared" ca="1" si="39"/>
        <v>90.251039581087326</v>
      </c>
      <c r="AV28" s="57">
        <f ca="1">IFERROR(__xludf.DUMMYFUNCTION("IMPORTRANGE(""https://docs.google.com/spreadsheets/d/17HrOaa5pBUI1onckFfumXB8xlg35qb2uBAFfF1D-Myo/edit?usp=sharing"",""สุโขทัย!J577"")"),4794)</f>
        <v>4794</v>
      </c>
      <c r="AW28" s="63">
        <f t="shared" ca="1" si="13"/>
        <v>91.314285714285717</v>
      </c>
      <c r="AX28" s="63">
        <f ca="1">IFERROR(__xludf.DUMMYFUNCTION("IMPORTRANGE(""https://docs.google.com/spreadsheets/d/17HrOaa5pBUI1onckFfumXB8xlg35qb2uBAFfF1D-Myo/edit?usp=sharing"",""สุโขทัย!J578"")"),39467)</f>
        <v>39467</v>
      </c>
      <c r="AY28" s="140">
        <f ca="1">IFERROR(__xludf.DUMMYFUNCTION("IMPORTRANGE(""https://docs.google.com/spreadsheets/d/17HrOaa5pBUI1onckFfumXB8xlg35qb2uBAFfF1D-Myo/edit?usp=sharing"",""สุโขทัย!J579"")"),4629)</f>
        <v>4629</v>
      </c>
      <c r="AZ28" s="63">
        <f ca="1">IFERROR(__xludf.DUMMYFUNCTION("IMPORTRANGE(""https://docs.google.com/spreadsheets/d/17HrOaa5pBUI1onckFfumXB8xlg35qb2uBAFfF1D-Myo/edit?usp=sharing"",""สุโขทัย!J580"")"),0)</f>
        <v>0</v>
      </c>
      <c r="BA28" s="140">
        <f ca="1">IFERROR(__xludf.DUMMYFUNCTION("IMPORTRANGE(""https://docs.google.com/spreadsheets/d/17HrOaa5pBUI1onckFfumXB8xlg35qb2uBAFfF1D-Myo/edit?usp=sharing"",""สุโขทัย!J581"")"),0)</f>
        <v>0</v>
      </c>
      <c r="BB28" s="63">
        <f ca="1">IFERROR(__xludf.DUMMYFUNCTION("IMPORTRANGE(""https://docs.google.com/spreadsheets/d/17HrOaa5pBUI1onckFfumXB8xlg35qb2uBAFfF1D-Myo/edit?usp=sharing"",""สุโขทัย!J582"")"),1553)</f>
        <v>1553</v>
      </c>
      <c r="BC28" s="140">
        <f ca="1">IFERROR(__xludf.DUMMYFUNCTION("IMPORTRANGE(""https://docs.google.com/spreadsheets/d/17HrOaa5pBUI1onckFfumXB8xlg35qb2uBAFfF1D-Myo/edit?usp=sharing"",""สุโขทัย!J583"")"),165)</f>
        <v>165</v>
      </c>
      <c r="BD28" s="141">
        <f ca="1">IFERROR(__xludf.DUMMYFUNCTION("IMPORTRANGE(""https://docs.google.com/spreadsheets/d/17HrOaa5pBUI1onckFfumXB8xlg35qb2uBAFfF1D-Myo/edit?usp=sharing"",""สุโขทัย!J584"")"),0)</f>
        <v>0</v>
      </c>
      <c r="BE28" s="140">
        <f ca="1">IFERROR(__xludf.DUMMYFUNCTION("IMPORTRANGE(""https://docs.google.com/spreadsheets/d/17HrOaa5pBUI1onckFfumXB8xlg35qb2uBAFfF1D-Myo/edit?usp=sharing"",""สุโขทัย!J585"")"),0)</f>
        <v>0</v>
      </c>
      <c r="BF28" s="141">
        <f ca="1">IFERROR(__xludf.DUMMYFUNCTION("IMPORTRANGE(""https://docs.google.com/spreadsheets/d/17HrOaa5pBUI1onckFfumXB8xlg35qb2uBAFfF1D-Myo/edit?usp=sharing"",""สุโขทัย!J586"")"),1553)</f>
        <v>1553</v>
      </c>
      <c r="BG28" s="140">
        <f ca="1">IFERROR(__xludf.DUMMYFUNCTION("IMPORTRANGE(""https://docs.google.com/spreadsheets/d/17HrOaa5pBUI1onckFfumXB8xlg35qb2uBAFfF1D-Myo/edit?usp=sharing"",""สุโขทัย!J587"")"),165)</f>
        <v>165</v>
      </c>
      <c r="BH28" s="63">
        <f ca="1">IFERROR(__xludf.DUMMYFUNCTION("IMPORTRANGE(""https://docs.google.com/spreadsheets/d/17HrOaa5pBUI1onckFfumXB8xlg35qb2uBAFfF1D-Myo/edit?usp=sharing"",""สุโขทัย!J588"")"),0)</f>
        <v>0</v>
      </c>
      <c r="BI28" s="140">
        <f ca="1">IFERROR(__xludf.DUMMYFUNCTION("IMPORTRANGE(""https://docs.google.com/spreadsheets/d/17HrOaa5pBUI1onckFfumXB8xlg35qb2uBAFfF1D-Myo/edit?usp=sharing"",""สุโขทัย!J589"")"),0)</f>
        <v>0</v>
      </c>
      <c r="BJ28" s="63">
        <f ca="1">IFERROR(__xludf.DUMMYFUNCTION("IMPORTRANGE(""https://docs.google.com/spreadsheets/d/17HrOaa5pBUI1onckFfumXB8xlg35qb2uBAFfF1D-Myo/edit?usp=sharing"",""สุโขทัย!J590"")"),0)</f>
        <v>0</v>
      </c>
      <c r="BK28" s="140">
        <f ca="1">IFERROR(__xludf.DUMMYFUNCTION("IMPORTRANGE(""https://docs.google.com/spreadsheets/d/17HrOaa5pBUI1onckFfumXB8xlg35qb2uBAFfF1D-Myo/edit?usp=sharing"",""สุโขทัย!J591"")"),0)</f>
        <v>0</v>
      </c>
      <c r="BL28" s="57">
        <f ca="1">IFERROR(__xludf.DUMMYFUNCTION("IMPORTRANGE(""https://docs.google.com/spreadsheets/d/17HrOaa5pBUI1onckFfumXB8xlg35qb2uBAFfF1D-Myo/edit?usp=sharing"",""สุโขทัย!I593"")"),4307.33)</f>
        <v>4307.33</v>
      </c>
      <c r="BM28" s="57">
        <f ca="1">IFERROR(__xludf.DUMMYFUNCTION("IMPORTRANGE(""https://docs.google.com/spreadsheets/d/17HrOaa5pBUI1onckFfumXB8xlg35qb2uBAFfF1D-Myo/edit?usp=sharing"",""สุโขทัย!I594"")"),452)</f>
        <v>452</v>
      </c>
      <c r="BN28" s="63">
        <f ca="1">IFERROR(__xludf.DUMMYFUNCTION("IMPORTRANGE(""https://docs.google.com/spreadsheets/d/17HrOaa5pBUI1onckFfumXB8xlg35qb2uBAFfF1D-Myo/edit?usp=sharing"",""สุโขทัย!J593"")"),1726)</f>
        <v>1726</v>
      </c>
      <c r="BO28" s="63">
        <f t="shared" ca="1" si="40"/>
        <v>40.071227419306162</v>
      </c>
      <c r="BP28" s="57">
        <f ca="1">IFERROR(__xludf.DUMMYFUNCTION("IMPORTRANGE(""https://docs.google.com/spreadsheets/d/17HrOaa5pBUI1onckFfumXB8xlg35qb2uBAFfF1D-Myo/edit?usp=sharing"",""สุโขทัย!J594"")"),135)</f>
        <v>135</v>
      </c>
      <c r="BQ28" s="63">
        <f t="shared" ca="1" si="16"/>
        <v>29.86725663716814</v>
      </c>
      <c r="BR28" s="63">
        <f ca="1">IFERROR(__xludf.DUMMYFUNCTION("IMPORTRANGE(""https://docs.google.com/spreadsheets/d/17HrOaa5pBUI1onckFfumXB8xlg35qb2uBAFfF1D-Myo/edit?usp=sharing"",""สุโขทัย!J595"")"),1627)</f>
        <v>1627</v>
      </c>
      <c r="BS28" s="140">
        <f ca="1">IFERROR(__xludf.DUMMYFUNCTION("IMPORTRANGE(""https://docs.google.com/spreadsheets/d/17HrOaa5pBUI1onckFfumXB8xlg35qb2uBAFfF1D-Myo/edit?usp=sharing"",""สุโขทัย!J596"")"),122)</f>
        <v>122</v>
      </c>
      <c r="BT28" s="63">
        <f ca="1">IFERROR(__xludf.DUMMYFUNCTION("IMPORTRANGE(""https://docs.google.com/spreadsheets/d/17HrOaa5pBUI1onckFfumXB8xlg35qb2uBAFfF1D-Myo/edit?usp=sharing"",""สุโขทัย!J597"")"),1627)</f>
        <v>1627</v>
      </c>
      <c r="BU28" s="140">
        <f ca="1">IFERROR(__xludf.DUMMYFUNCTION("IMPORTRANGE(""https://docs.google.com/spreadsheets/d/17HrOaa5pBUI1onckFfumXB8xlg35qb2uBAFfF1D-Myo/edit?usp=sharing"",""สุโขทัย!J598"")"),122)</f>
        <v>122</v>
      </c>
      <c r="BV28" s="63">
        <f ca="1">IFERROR(__xludf.DUMMYFUNCTION("IMPORTRANGE(""https://docs.google.com/spreadsheets/d/17HrOaa5pBUI1onckFfumXB8xlg35qb2uBAFfF1D-Myo/edit?usp=sharing"",""สุโขทัย!J599"")"),0)</f>
        <v>0</v>
      </c>
      <c r="BW28" s="140">
        <f ca="1">IFERROR(__xludf.DUMMYFUNCTION("IMPORTRANGE(""https://docs.google.com/spreadsheets/d/17HrOaa5pBUI1onckFfumXB8xlg35qb2uBAFfF1D-Myo/edit?usp=sharing"",""สุโขทัย!J600"")"),0)</f>
        <v>0</v>
      </c>
      <c r="BX28" s="141">
        <f ca="1">IFERROR(__xludf.DUMMYFUNCTION("IMPORTRANGE(""https://docs.google.com/spreadsheets/d/17HrOaa5pBUI1onckFfumXB8xlg35qb2uBAFfF1D-Myo/edit?usp=sharing"",""สุโขทัย!J601"")"),0)</f>
        <v>0</v>
      </c>
      <c r="BY28" s="140">
        <f ca="1">IFERROR(__xludf.DUMMYFUNCTION("IMPORTRANGE(""https://docs.google.com/spreadsheets/d/17HrOaa5pBUI1onckFfumXB8xlg35qb2uBAFfF1D-Myo/edit?usp=sharing"",""สุโขทัย!J602"")"),0)</f>
        <v>0</v>
      </c>
      <c r="BZ28" s="63">
        <f ca="1">IFERROR(__xludf.DUMMYFUNCTION("IMPORTRANGE(""https://docs.google.com/spreadsheets/d/17HrOaa5pBUI1onckFfumXB8xlg35qb2uBAFfF1D-Myo/edit?usp=sharing"",""สุโขทัย!J603"")"),99)</f>
        <v>99</v>
      </c>
      <c r="CA28" s="140">
        <f ca="1">IFERROR(__xludf.DUMMYFUNCTION("IMPORTRANGE(""https://docs.google.com/spreadsheets/d/17HrOaa5pBUI1onckFfumXB8xlg35qb2uBAFfF1D-Myo/edit?usp=sharing"",""สุโขทัย!J604"")"),13)</f>
        <v>13</v>
      </c>
      <c r="CB28" s="63">
        <f ca="1">IFERROR(__xludf.DUMMYFUNCTION("IMPORTRANGE(""https://docs.google.com/spreadsheets/d/17HrOaa5pBUI1onckFfumXB8xlg35qb2uBAFfF1D-Myo/edit?usp=sharing"",""สุโขทัย!J605"")"),99)</f>
        <v>99</v>
      </c>
      <c r="CC28" s="140">
        <f ca="1">IFERROR(__xludf.DUMMYFUNCTION("IMPORTRANGE(""https://docs.google.com/spreadsheets/d/17HrOaa5pBUI1onckFfumXB8xlg35qb2uBAFfF1D-Myo/edit?usp=sharing"",""สุโขทัย!J606"")"),13)</f>
        <v>13</v>
      </c>
      <c r="CD28" s="63">
        <f ca="1">IFERROR(__xludf.DUMMYFUNCTION("IMPORTRANGE(""https://docs.google.com/spreadsheets/d/17HrOaa5pBUI1onckFfumXB8xlg35qb2uBAFfF1D-Myo/edit?usp=sharing"",""สุโขทัย!J607"")"),0)</f>
        <v>0</v>
      </c>
      <c r="CE28" s="140">
        <f ca="1">IFERROR(__xludf.DUMMYFUNCTION("IMPORTRANGE(""https://docs.google.com/spreadsheets/d/17HrOaa5pBUI1onckFfumXB8xlg35qb2uBAFfF1D-Myo/edit?usp=sharing"",""สุโขทัย!J608"")"),0)</f>
        <v>0</v>
      </c>
      <c r="CF28" s="63">
        <f ca="1">IFERROR(__xludf.DUMMYFUNCTION("IMPORTRANGE(""https://docs.google.com/spreadsheets/d/17HrOaa5pBUI1onckFfumXB8xlg35qb2uBAFfF1D-Myo/edit?usp=sharing"",""สุโขทัย!J609"")"),0)</f>
        <v>0</v>
      </c>
      <c r="CG28" s="140">
        <f ca="1">IFERROR(__xludf.DUMMYFUNCTION("IMPORTRANGE(""https://docs.google.com/spreadsheets/d/17HrOaa5pBUI1onckFfumXB8xlg35qb2uBAFfF1D-Myo/edit?usp=sharing"",""สุโขทัย!J610"")"),0)</f>
        <v>0</v>
      </c>
      <c r="CH28" s="140">
        <f ca="1">IFERROR(__xludf.DUMMYFUNCTION("IMPORTRANGE(""https://docs.google.com/spreadsheets/d/17HrOaa5pBUI1onckFfumXB8xlg35qb2uBAFfF1D-Myo/edit?usp=sharing"",""สุโขทัย!I612"")"),0)</f>
        <v>0</v>
      </c>
      <c r="CI28" s="140">
        <f ca="1">IFERROR(__xludf.DUMMYFUNCTION("IMPORTRANGE(""https://docs.google.com/spreadsheets/d/17HrOaa5pBUI1onckFfumXB8xlg35qb2uBAFfF1D-Myo/edit?usp=sharing"",""สุโขทัย!I594"")"),452)</f>
        <v>452</v>
      </c>
      <c r="CJ28" s="141">
        <f ca="1">IFERROR(__xludf.DUMMYFUNCTION("IMPORTRANGE(""https://docs.google.com/spreadsheets/d/17HrOaa5pBUI1onckFfumXB8xlg35qb2uBAFfF1D-Myo/edit?usp=sharing"",""สุโขทัย!J612"")"),0)</f>
        <v>0</v>
      </c>
      <c r="CK28" s="141">
        <f t="shared" ca="1" si="41"/>
        <v>0</v>
      </c>
      <c r="CL28" s="140">
        <f ca="1">IFERROR(__xludf.DUMMYFUNCTION("IMPORTRANGE(""https://docs.google.com/spreadsheets/d/17HrOaa5pBUI1onckFfumXB8xlg35qb2uBAFfF1D-Myo/edit?usp=sharing"",""สุโขทัย!J613"")"),0)</f>
        <v>0</v>
      </c>
      <c r="CM28" s="141">
        <f t="shared" ca="1" si="19"/>
        <v>0</v>
      </c>
      <c r="CN28" s="63">
        <f ca="1">IFERROR(__xludf.DUMMYFUNCTION("IMPORTRANGE(""https://docs.google.com/spreadsheets/d/17HrOaa5pBUI1onckFfumXB8xlg35qb2uBAFfF1D-Myo/edit?usp=sharing"",""สุโขทัย!J614"")"),0)</f>
        <v>0</v>
      </c>
      <c r="CO28" s="140">
        <f ca="1">IFERROR(__xludf.DUMMYFUNCTION("IMPORTRANGE(""https://docs.google.com/spreadsheets/d/17HrOaa5pBUI1onckFfumXB8xlg35qb2uBAFfF1D-Myo/edit?usp=sharing"",""สุโขทัย!J615"")"),0)</f>
        <v>0</v>
      </c>
      <c r="CP28" s="63">
        <f ca="1">IFERROR(__xludf.DUMMYFUNCTION("IMPORTRANGE(""https://docs.google.com/spreadsheets/d/17HrOaa5pBUI1onckFfumXB8xlg35qb2uBAFfF1D-Myo/edit?usp=sharing"",""สุโขทัย!J616"")"),0)</f>
        <v>0</v>
      </c>
      <c r="CQ28" s="140">
        <f ca="1">IFERROR(__xludf.DUMMYFUNCTION("IMPORTRANGE(""https://docs.google.com/spreadsheets/d/17HrOaa5pBUI1onckFfumXB8xlg35qb2uBAFfF1D-Myo/edit?usp=sharing"",""สุโขทัย!J617"")"),0)</f>
        <v>0</v>
      </c>
      <c r="CR28" s="140">
        <f ca="1">IFERROR(__xludf.DUMMYFUNCTION("IMPORTRANGE(""https://docs.google.com/spreadsheets/d/17HrOaa5pBUI1onckFfumXB8xlg35qb2uBAFfF1D-Myo/edit?usp=sharing"",""สุโขทัย!I620"")"),51)</f>
        <v>51</v>
      </c>
      <c r="CS28" s="140">
        <f ca="1">IFERROR(__xludf.DUMMYFUNCTION("IMPORTRANGE(""https://docs.google.com/spreadsheets/d/17HrOaa5pBUI1onckFfumXB8xlg35qb2uBAFfF1D-Myo/edit?usp=sharing"",""สุโขทัย!I621"")"),3)</f>
        <v>3</v>
      </c>
      <c r="CT28" s="141">
        <f ca="1">IFERROR(__xludf.DUMMYFUNCTION("IMPORTRANGE(""https://docs.google.com/spreadsheets/d/17HrOaa5pBUI1onckFfumXB8xlg35qb2uBAFfF1D-Myo/edit?usp=sharing"",""สุโขทัย!J620"")"),51)</f>
        <v>51</v>
      </c>
      <c r="CU28" s="141">
        <f t="shared" ca="1" si="42"/>
        <v>100</v>
      </c>
      <c r="CV28" s="140">
        <f ca="1">IFERROR(__xludf.DUMMYFUNCTION("IMPORTRANGE(""https://docs.google.com/spreadsheets/d/17HrOaa5pBUI1onckFfumXB8xlg35qb2uBAFfF1D-Myo/edit?usp=sharing"",""สุโขทัย!J621"")"),3)</f>
        <v>3</v>
      </c>
      <c r="CW28" s="141">
        <f t="shared" ca="1" si="22"/>
        <v>100</v>
      </c>
      <c r="CX28" s="63">
        <f ca="1">IFERROR(__xludf.DUMMYFUNCTION("IMPORTRANGE(""https://docs.google.com/spreadsheets/d/17HrOaa5pBUI1onckFfumXB8xlg35qb2uBAFfF1D-Myo/edit?usp=sharing"",""สุโขทัย!J622"")"),0)</f>
        <v>0</v>
      </c>
      <c r="CY28" s="140">
        <f ca="1">IFERROR(__xludf.DUMMYFUNCTION("IMPORTRANGE(""https://docs.google.com/spreadsheets/d/17HrOaa5pBUI1onckFfumXB8xlg35qb2uBAFfF1D-Myo/edit?usp=sharing"",""สุโขทัย!J623"")"),0)</f>
        <v>0</v>
      </c>
      <c r="CZ28" s="63">
        <f ca="1">IFERROR(__xludf.DUMMYFUNCTION("IMPORTRANGE(""https://docs.google.com/spreadsheets/d/17HrOaa5pBUI1onckFfumXB8xlg35qb2uBAFfF1D-Myo/edit?usp=sharing"",""สุโขทัย!J624"")"),0)</f>
        <v>0</v>
      </c>
      <c r="DA28" s="140">
        <f ca="1">IFERROR(__xludf.DUMMYFUNCTION("IMPORTRANGE(""https://docs.google.com/spreadsheets/d/17HrOaa5pBUI1onckFfumXB8xlg35qb2uBAFfF1D-Myo/edit?usp=sharing"",""สุโขทัย!J625"")"),0)</f>
        <v>0</v>
      </c>
      <c r="DB28" s="63">
        <f ca="1">IFERROR(__xludf.DUMMYFUNCTION("IMPORTRANGE(""https://docs.google.com/spreadsheets/d/17HrOaa5pBUI1onckFfumXB8xlg35qb2uBAFfF1D-Myo/edit?usp=sharing"",""สุโขทัย!J626"")"),51)</f>
        <v>51</v>
      </c>
      <c r="DC28" s="140">
        <f ca="1">IFERROR(__xludf.DUMMYFUNCTION("IMPORTRANGE(""https://docs.google.com/spreadsheets/d/17HrOaa5pBUI1onckFfumXB8xlg35qb2uBAFfF1D-Myo/edit?usp=sharing"",""สุโขทัย!J627"")"),3)</f>
        <v>3</v>
      </c>
    </row>
    <row r="29" spans="1:107" ht="24" customHeight="1" x14ac:dyDescent="0.3">
      <c r="A29" s="54">
        <v>16</v>
      </c>
      <c r="B29" s="55" t="s">
        <v>50</v>
      </c>
      <c r="C29" s="56">
        <f t="shared" ca="1" si="55"/>
        <v>368439</v>
      </c>
      <c r="D29" s="57">
        <f ca="1">IFERROR(__xludf.DUMMYFUNCTION("IMPORTRANGE(""https://docs.google.com/spreadsheets/d/1ubs5cl16eYL9gHbdHTJtmtYb9MGzHBs7CAphn8kNCgM/edit?usp=sharing"",""อุตรดิตถ์!L549"")"),368439)</f>
        <v>368439</v>
      </c>
      <c r="E29" s="64">
        <f ca="1">IFERROR(__xludf.DUMMYFUNCTION("IMPORTRANGE(""https://docs.google.com/spreadsheets/d/1ubs5cl16eYL9gHbdHTJtmtYb9MGzHBs7CAphn8kNCgM/edit?usp=sharing"",""อุตรดิตถ์!L557"")"),0)</f>
        <v>0</v>
      </c>
      <c r="F29" s="64">
        <f ca="1">IFERROR(__xludf.DUMMYFUNCTION("IMPORTRANGE(""https://docs.google.com/spreadsheets/d/1ubs5cl16eYL9gHbdHTJtmtYb9MGzHBs7CAphn8kNCgM/edit?usp=sharing"",""อุตรดิตถ์!M549"")"),368439)</f>
        <v>368439</v>
      </c>
      <c r="G29" s="64">
        <f ca="1">IFERROR(__xludf.DUMMYFUNCTION("IMPORTRANGE(""https://docs.google.com/spreadsheets/d/1ubs5cl16eYL9gHbdHTJtmtYb9MGzHBs7CAphn8kNCgM/edit?usp=sharing"",""อุตรดิตถ์!M557"")"),0)</f>
        <v>0</v>
      </c>
      <c r="H29" s="58">
        <f t="shared" ca="1" si="36"/>
        <v>197571</v>
      </c>
      <c r="I29" s="59">
        <f t="shared" ca="1" si="1"/>
        <v>53.6238020405006</v>
      </c>
      <c r="J29" s="60">
        <f t="shared" ca="1" si="56"/>
        <v>197571</v>
      </c>
      <c r="K29" s="61">
        <f t="shared" ca="1" si="44"/>
        <v>53.6238020405006</v>
      </c>
      <c r="L29" s="61">
        <f t="shared" ca="1" si="45"/>
        <v>53.6238020405006</v>
      </c>
      <c r="M29" s="64">
        <f ca="1">IFERROR(__xludf.DUMMYFUNCTION("IMPORTRANGE(""https://docs.google.com/spreadsheets/d/1ubs5cl16eYL9gHbdHTJtmtYb9MGzHBs7CAphn8kNCgM/edit?usp=sharing"",""อุตรดิตถ์!N550"")"),0)</f>
        <v>0</v>
      </c>
      <c r="N29" s="64">
        <f ca="1">IFERROR(__xludf.DUMMYFUNCTION("IMPORTRANGE(""https://docs.google.com/spreadsheets/d/1ubs5cl16eYL9gHbdHTJtmtYb9MGzHBs7CAphn8kNCgM/edit?usp=sharing"",""อุตรดิตถ์!N551"")"),0)</f>
        <v>0</v>
      </c>
      <c r="O29" s="64">
        <f ca="1">IFERROR(__xludf.DUMMYFUNCTION("IMPORTRANGE(""https://docs.google.com/spreadsheets/d/1ubs5cl16eYL9gHbdHTJtmtYb9MGzHBs7CAphn8kNCgM/edit?usp=sharing"",""อุตรดิตถ์!N552"")"),74994)</f>
        <v>74994</v>
      </c>
      <c r="P29" s="64">
        <f ca="1">IFERROR(__xludf.DUMMYFUNCTION("IMPORTRANGE(""https://docs.google.com/spreadsheets/d/1ubs5cl16eYL9gHbdHTJtmtYb9MGzHBs7CAphn8kNCgM/edit?usp=sharing"",""อุตรดิตถ์!N553"")"),122577)</f>
        <v>122577</v>
      </c>
      <c r="Q29" s="64">
        <f ca="1">IFERROR(__xludf.DUMMYFUNCTION("IMPORTRANGE(""https://docs.google.com/spreadsheets/d/1ubs5cl16eYL9gHbdHTJtmtYb9MGzHBs7CAphn8kNCgM/edit?usp=sharing"",""อุตรดิตถ์!N554"")"),0)</f>
        <v>0</v>
      </c>
      <c r="R29" s="62">
        <f ca="1">IFERROR(__xludf.DUMMYFUNCTION("IMPORTRANGE(""https://docs.google.com/spreadsheets/d/1ubs5cl16eYL9gHbdHTJtmtYb9MGzHBs7CAphn8kNCgM/edit?usp=sharing"",""อุตรดิตถ์!N557"")"),0)</f>
        <v>0</v>
      </c>
      <c r="S29" s="62">
        <f t="shared" ca="1" si="47"/>
        <v>0</v>
      </c>
      <c r="T29" s="57">
        <f ca="1">IFERROR(__xludf.DUMMYFUNCTION("IMPORTRANGE(""https://docs.google.com/spreadsheets/d/1ubs5cl16eYL9gHbdHTJtmtYb9MGzHBs7CAphn8kNCgM/edit?usp=sharing"",""อุตรดิตถ์!I560"")"),60744)</f>
        <v>60744</v>
      </c>
      <c r="U29" s="57">
        <f ca="1">IFERROR(__xludf.DUMMYFUNCTION("IMPORTRANGE(""https://docs.google.com/spreadsheets/d/1ubs5cl16eYL9gHbdHTJtmtYb9MGzHBs7CAphn8kNCgM/edit?usp=sharing"",""อุตรดิตถ์!I561"")"),8156)</f>
        <v>8156</v>
      </c>
      <c r="V29" s="63">
        <f ca="1">IFERROR(__xludf.DUMMYFUNCTION("IMPORTRANGE(""https://docs.google.com/spreadsheets/d/1ubs5cl16eYL9gHbdHTJtmtYb9MGzHBs7CAphn8kNCgM/edit?usp=sharing"",""อุตรดิตถ์!J560"")"),60744)</f>
        <v>60744</v>
      </c>
      <c r="W29" s="63">
        <f t="shared" ca="1" si="37"/>
        <v>100</v>
      </c>
      <c r="X29" s="57">
        <f ca="1">IFERROR(__xludf.DUMMYFUNCTION("IMPORTRANGE(""https://docs.google.com/spreadsheets/d/1ubs5cl16eYL9gHbdHTJtmtYb9MGzHBs7CAphn8kNCgM/edit?usp=sharing"",""อุตรดิตถ์!J561"")"),8156)</f>
        <v>8156</v>
      </c>
      <c r="Y29" s="63">
        <f t="shared" ca="1" si="7"/>
        <v>100</v>
      </c>
      <c r="Z29" s="63">
        <f ca="1">IFERROR(__xludf.DUMMYFUNCTION("IMPORTRANGE(""https://docs.google.com/spreadsheets/d/1ubs5cl16eYL9gHbdHTJtmtYb9MGzHBs7CAphn8kNCgM/edit?usp=sharing"",""อุตรดิตถ์!J562"")"),59060)</f>
        <v>59060</v>
      </c>
      <c r="AA29" s="140">
        <f ca="1">IFERROR(__xludf.DUMMYFUNCTION("IMPORTRANGE(""https://docs.google.com/spreadsheets/d/1ubs5cl16eYL9gHbdHTJtmtYb9MGzHBs7CAphn8kNCgM/edit?usp=sharing"",""อุตรดิตถ์!J563"")"),7939)</f>
        <v>7939</v>
      </c>
      <c r="AB29" s="63">
        <f ca="1">IFERROR(__xludf.DUMMYFUNCTION("IMPORTRANGE(""https://docs.google.com/spreadsheets/d/1ubs5cl16eYL9gHbdHTJtmtYb9MGzHBs7CAphn8kNCgM/edit?usp=sharing"",""อุตรดิตถ์!J564"")"),543)</f>
        <v>543</v>
      </c>
      <c r="AC29" s="140">
        <f ca="1">IFERROR(__xludf.DUMMYFUNCTION("IMPORTRANGE(""https://docs.google.com/spreadsheets/d/1ubs5cl16eYL9gHbdHTJtmtYb9MGzHBs7CAphn8kNCgM/edit?usp=sharing"",""อุตรดิตถ์!J565"")"),67)</f>
        <v>67</v>
      </c>
      <c r="AD29" s="63">
        <f ca="1">IFERROR(__xludf.DUMMYFUNCTION("IMPORTRANGE(""https://docs.google.com/spreadsheets/d/1ubs5cl16eYL9gHbdHTJtmtYb9MGzHBs7CAphn8kNCgM/edit?usp=sharing"",""อุตรดิตถ์!J566"")"),1141)</f>
        <v>1141</v>
      </c>
      <c r="AE29" s="140">
        <f ca="1">IFERROR(__xludf.DUMMYFUNCTION("IMPORTRANGE(""https://docs.google.com/spreadsheets/d/1ubs5cl16eYL9gHbdHTJtmtYb9MGzHBs7CAphn8kNCgM/edit?usp=sharing"",""อุตรดิตถ์!J567"")"),150)</f>
        <v>150</v>
      </c>
      <c r="AF29" s="57">
        <f ca="1">IFERROR(__xludf.DUMMYFUNCTION("IMPORTRANGE(""https://docs.google.com/spreadsheets/d/1ubs5cl16eYL9gHbdHTJtmtYb9MGzHBs7CAphn8kNCgM/edit?usp=sharing"",""อุตรดิตถ์!I568"")"),60744)</f>
        <v>60744</v>
      </c>
      <c r="AG29" s="57">
        <f ca="1">IFERROR(__xludf.DUMMYFUNCTION("IMPORTRANGE(""https://docs.google.com/spreadsheets/d/1ubs5cl16eYL9gHbdHTJtmtYb9MGzHBs7CAphn8kNCgM/edit?usp=sharing"",""อุตรดิตถ์!I569"")"),8156)</f>
        <v>8156</v>
      </c>
      <c r="AH29" s="63">
        <f ca="1">IFERROR(__xludf.DUMMYFUNCTION("IMPORTRANGE(""https://docs.google.com/spreadsheets/d/1ubs5cl16eYL9gHbdHTJtmtYb9MGzHBs7CAphn8kNCgM/edit?usp=sharing"",""อุตรดิตถ์!J568"")"),60744)</f>
        <v>60744</v>
      </c>
      <c r="AI29" s="63">
        <f t="shared" ca="1" si="38"/>
        <v>100</v>
      </c>
      <c r="AJ29" s="57">
        <f ca="1">IFERROR(__xludf.DUMMYFUNCTION("IMPORTRANGE(""https://docs.google.com/spreadsheets/d/1ubs5cl16eYL9gHbdHTJtmtYb9MGzHBs7CAphn8kNCgM/edit?usp=sharing"",""อุตรดิตถ์!J569"")"),8156)</f>
        <v>8156</v>
      </c>
      <c r="AK29" s="63">
        <f t="shared" ca="1" si="10"/>
        <v>100</v>
      </c>
      <c r="AL29" s="63">
        <f ca="1">IFERROR(__xludf.DUMMYFUNCTION("IMPORTRANGE(""https://docs.google.com/spreadsheets/d/1ubs5cl16eYL9gHbdHTJtmtYb9MGzHBs7CAphn8kNCgM/edit?usp=sharing"",""อุตรดิตถ์!J570"")"),59126)</f>
        <v>59126</v>
      </c>
      <c r="AM29" s="140">
        <f ca="1">IFERROR(__xludf.DUMMYFUNCTION("IMPORTRANGE(""https://docs.google.com/spreadsheets/d/1ubs5cl16eYL9gHbdHTJtmtYb9MGzHBs7CAphn8kNCgM/edit?usp=sharing"",""อุตรดิตถ์!J571"")"),7945)</f>
        <v>7945</v>
      </c>
      <c r="AN29" s="63">
        <f ca="1">IFERROR(__xludf.DUMMYFUNCTION("IMPORTRANGE(""https://docs.google.com/spreadsheets/d/1ubs5cl16eYL9gHbdHTJtmtYb9MGzHBs7CAphn8kNCgM/edit?usp=sharing"",""อุตรดิตถ์!J572"")"),475)</f>
        <v>475</v>
      </c>
      <c r="AO29" s="140">
        <f ca="1">IFERROR(__xludf.DUMMYFUNCTION("IMPORTRANGE(""https://docs.google.com/spreadsheets/d/1ubs5cl16eYL9gHbdHTJtmtYb9MGzHBs7CAphn8kNCgM/edit?usp=sharing"",""อุตรดิตถ์!J573"")"),60)</f>
        <v>60</v>
      </c>
      <c r="AP29" s="63">
        <f ca="1">IFERROR(__xludf.DUMMYFUNCTION("IMPORTRANGE(""https://docs.google.com/spreadsheets/d/1ubs5cl16eYL9gHbdHTJtmtYb9MGzHBs7CAphn8kNCgM/edit?usp=sharing"",""อุตรดิตถ์!J574"")"),1143)</f>
        <v>1143</v>
      </c>
      <c r="AQ29" s="140">
        <f ca="1">IFERROR(__xludf.DUMMYFUNCTION("IMPORTRANGE(""https://docs.google.com/spreadsheets/d/1ubs5cl16eYL9gHbdHTJtmtYb9MGzHBs7CAphn8kNCgM/edit?usp=sharing"",""อุตรดิตถ์!J575"")"),151)</f>
        <v>151</v>
      </c>
      <c r="AR29" s="57">
        <f ca="1">IFERROR(__xludf.DUMMYFUNCTION("IMPORTRANGE(""https://docs.google.com/spreadsheets/d/1ubs5cl16eYL9gHbdHTJtmtYb9MGzHBs7CAphn8kNCgM/edit?usp=sharing"",""อุตรดิตถ์!I576"")"),60744)</f>
        <v>60744</v>
      </c>
      <c r="AS29" s="57">
        <f ca="1">IFERROR(__xludf.DUMMYFUNCTION("IMPORTRANGE(""https://docs.google.com/spreadsheets/d/1ubs5cl16eYL9gHbdHTJtmtYb9MGzHBs7CAphn8kNCgM/edit?usp=sharing"",""อุตรดิตถ์!I577"")"),8156)</f>
        <v>8156</v>
      </c>
      <c r="AT29" s="63">
        <f ca="1">IFERROR(__xludf.DUMMYFUNCTION("IMPORTRANGE(""https://docs.google.com/spreadsheets/d/1ubs5cl16eYL9gHbdHTJtmtYb9MGzHBs7CAphn8kNCgM/edit?usp=sharing"",""อุตรดิตถ์!J576"")"),0)</f>
        <v>0</v>
      </c>
      <c r="AU29" s="63">
        <f t="shared" ca="1" si="39"/>
        <v>0</v>
      </c>
      <c r="AV29" s="57">
        <f ca="1">IFERROR(__xludf.DUMMYFUNCTION("IMPORTRANGE(""https://docs.google.com/spreadsheets/d/1ubs5cl16eYL9gHbdHTJtmtYb9MGzHBs7CAphn8kNCgM/edit?usp=sharing"",""อุตรดิตถ์!J577"")"),0)</f>
        <v>0</v>
      </c>
      <c r="AW29" s="63">
        <f t="shared" ca="1" si="13"/>
        <v>0</v>
      </c>
      <c r="AX29" s="63">
        <f ca="1">IFERROR(__xludf.DUMMYFUNCTION("IMPORTRANGE(""https://docs.google.com/spreadsheets/d/1ubs5cl16eYL9gHbdHTJtmtYb9MGzHBs7CAphn8kNCgM/edit?usp=sharing"",""อุตรดิตถ์!J578"")"),0)</f>
        <v>0</v>
      </c>
      <c r="AY29" s="140">
        <f ca="1">IFERROR(__xludf.DUMMYFUNCTION("IMPORTRANGE(""https://docs.google.com/spreadsheets/d/1ubs5cl16eYL9gHbdHTJtmtYb9MGzHBs7CAphn8kNCgM/edit?usp=sharing"",""อุตรดิตถ์!J579"")"),0)</f>
        <v>0</v>
      </c>
      <c r="AZ29" s="63">
        <f ca="1">IFERROR(__xludf.DUMMYFUNCTION("IMPORTRANGE(""https://docs.google.com/spreadsheets/d/1ubs5cl16eYL9gHbdHTJtmtYb9MGzHBs7CAphn8kNCgM/edit?usp=sharing"",""อุตรดิตถ์!J580"")"),0)</f>
        <v>0</v>
      </c>
      <c r="BA29" s="140">
        <f ca="1">IFERROR(__xludf.DUMMYFUNCTION("IMPORTRANGE(""https://docs.google.com/spreadsheets/d/1ubs5cl16eYL9gHbdHTJtmtYb9MGzHBs7CAphn8kNCgM/edit?usp=sharing"",""อุตรดิตถ์!J581"")"),0)</f>
        <v>0</v>
      </c>
      <c r="BB29" s="63">
        <f ca="1">IFERROR(__xludf.DUMMYFUNCTION("IMPORTRANGE(""https://docs.google.com/spreadsheets/d/1ubs5cl16eYL9gHbdHTJtmtYb9MGzHBs7CAphn8kNCgM/edit?usp=sharing"",""อุตรดิตถ์!J582"")"),0)</f>
        <v>0</v>
      </c>
      <c r="BC29" s="140">
        <f ca="1">IFERROR(__xludf.DUMMYFUNCTION("IMPORTRANGE(""https://docs.google.com/spreadsheets/d/1ubs5cl16eYL9gHbdHTJtmtYb9MGzHBs7CAphn8kNCgM/edit?usp=sharing"",""อุตรดิตถ์!J583"")"),0)</f>
        <v>0</v>
      </c>
      <c r="BD29" s="141">
        <f ca="1">IFERROR(__xludf.DUMMYFUNCTION("IMPORTRANGE(""https://docs.google.com/spreadsheets/d/1ubs5cl16eYL9gHbdHTJtmtYb9MGzHBs7CAphn8kNCgM/edit?usp=sharing"",""อุตรดิตถ์!J584"")"),0)</f>
        <v>0</v>
      </c>
      <c r="BE29" s="140">
        <f ca="1">IFERROR(__xludf.DUMMYFUNCTION("IMPORTRANGE(""https://docs.google.com/spreadsheets/d/1ubs5cl16eYL9gHbdHTJtmtYb9MGzHBs7CAphn8kNCgM/edit?usp=sharing"",""อุตรดิตถ์!J585"")"),0)</f>
        <v>0</v>
      </c>
      <c r="BF29" s="141">
        <f ca="1">IFERROR(__xludf.DUMMYFUNCTION("IMPORTRANGE(""https://docs.google.com/spreadsheets/d/1ubs5cl16eYL9gHbdHTJtmtYb9MGzHBs7CAphn8kNCgM/edit?usp=sharing"",""อุตรดิตถ์!J586"")"),0)</f>
        <v>0</v>
      </c>
      <c r="BG29" s="140">
        <f ca="1">IFERROR(__xludf.DUMMYFUNCTION("IMPORTRANGE(""https://docs.google.com/spreadsheets/d/1ubs5cl16eYL9gHbdHTJtmtYb9MGzHBs7CAphn8kNCgM/edit?usp=sharing"",""อุตรดิตถ์!J587"")"),0)</f>
        <v>0</v>
      </c>
      <c r="BH29" s="63">
        <f ca="1">IFERROR(__xludf.DUMMYFUNCTION("IMPORTRANGE(""https://docs.google.com/spreadsheets/d/1ubs5cl16eYL9gHbdHTJtmtYb9MGzHBs7CAphn8kNCgM/edit?usp=sharing"",""อุตรดิตถ์!J588"")"),0)</f>
        <v>0</v>
      </c>
      <c r="BI29" s="140">
        <f ca="1">IFERROR(__xludf.DUMMYFUNCTION("IMPORTRANGE(""https://docs.google.com/spreadsheets/d/1ubs5cl16eYL9gHbdHTJtmtYb9MGzHBs7CAphn8kNCgM/edit?usp=sharing"",""อุตรดิตถ์!J589"")"),0)</f>
        <v>0</v>
      </c>
      <c r="BJ29" s="63">
        <f ca="1">IFERROR(__xludf.DUMMYFUNCTION("IMPORTRANGE(""https://docs.google.com/spreadsheets/d/1ubs5cl16eYL9gHbdHTJtmtYb9MGzHBs7CAphn8kNCgM/edit?usp=sharing"",""อุตรดิตถ์!J590"")"),0)</f>
        <v>0</v>
      </c>
      <c r="BK29" s="140">
        <f ca="1">IFERROR(__xludf.DUMMYFUNCTION("IMPORTRANGE(""https://docs.google.com/spreadsheets/d/1ubs5cl16eYL9gHbdHTJtmtYb9MGzHBs7CAphn8kNCgM/edit?usp=sharing"",""อุตรดิตถ์!J591"")"),0)</f>
        <v>0</v>
      </c>
      <c r="BL29" s="57">
        <f ca="1">IFERROR(__xludf.DUMMYFUNCTION("IMPORTRANGE(""https://docs.google.com/spreadsheets/d/1ubs5cl16eYL9gHbdHTJtmtYb9MGzHBs7CAphn8kNCgM/edit?usp=sharing"",""อุตรดิตถ์!I593"")"),316.11)</f>
        <v>316.11</v>
      </c>
      <c r="BM29" s="57">
        <f ca="1">IFERROR(__xludf.DUMMYFUNCTION("IMPORTRANGE(""https://docs.google.com/spreadsheets/d/1ubs5cl16eYL9gHbdHTJtmtYb9MGzHBs7CAphn8kNCgM/edit?usp=sharing"",""อุตรดิตถ์!I594"")"),32)</f>
        <v>32</v>
      </c>
      <c r="BN29" s="63">
        <f ca="1">IFERROR(__xludf.DUMMYFUNCTION("IMPORTRANGE(""https://docs.google.com/spreadsheets/d/1ubs5cl16eYL9gHbdHTJtmtYb9MGzHBs7CAphn8kNCgM/edit?usp=sharing"",""อุตรดิตถ์!J593"")"),0)</f>
        <v>0</v>
      </c>
      <c r="BO29" s="63">
        <f t="shared" ca="1" si="40"/>
        <v>0</v>
      </c>
      <c r="BP29" s="57">
        <f ca="1">IFERROR(__xludf.DUMMYFUNCTION("IMPORTRANGE(""https://docs.google.com/spreadsheets/d/1ubs5cl16eYL9gHbdHTJtmtYb9MGzHBs7CAphn8kNCgM/edit?usp=sharing"",""อุตรดิตถ์!J594"")"),0)</f>
        <v>0</v>
      </c>
      <c r="BQ29" s="63">
        <f t="shared" ca="1" si="16"/>
        <v>0</v>
      </c>
      <c r="BR29" s="63">
        <f ca="1">IFERROR(__xludf.DUMMYFUNCTION("IMPORTRANGE(""https://docs.google.com/spreadsheets/d/1ubs5cl16eYL9gHbdHTJtmtYb9MGzHBs7CAphn8kNCgM/edit?usp=sharing"",""อุตรดิตถ์!J595"")"),0)</f>
        <v>0</v>
      </c>
      <c r="BS29" s="140">
        <f ca="1">IFERROR(__xludf.DUMMYFUNCTION("IMPORTRANGE(""https://docs.google.com/spreadsheets/d/1ubs5cl16eYL9gHbdHTJtmtYb9MGzHBs7CAphn8kNCgM/edit?usp=sharing"",""อุตรดิตถ์!J596"")"),0)</f>
        <v>0</v>
      </c>
      <c r="BT29" s="63">
        <f ca="1">IFERROR(__xludf.DUMMYFUNCTION("IMPORTRANGE(""https://docs.google.com/spreadsheets/d/1ubs5cl16eYL9gHbdHTJtmtYb9MGzHBs7CAphn8kNCgM/edit?usp=sharing"",""อุตรดิตถ์!J597"")"),0)</f>
        <v>0</v>
      </c>
      <c r="BU29" s="140">
        <f ca="1">IFERROR(__xludf.DUMMYFUNCTION("IMPORTRANGE(""https://docs.google.com/spreadsheets/d/1ubs5cl16eYL9gHbdHTJtmtYb9MGzHBs7CAphn8kNCgM/edit?usp=sharing"",""อุตรดิตถ์!J598"")"),0)</f>
        <v>0</v>
      </c>
      <c r="BV29" s="63">
        <f ca="1">IFERROR(__xludf.DUMMYFUNCTION("IMPORTRANGE(""https://docs.google.com/spreadsheets/d/1ubs5cl16eYL9gHbdHTJtmtYb9MGzHBs7CAphn8kNCgM/edit?usp=sharing"",""อุตรดิตถ์!J599"")"),0)</f>
        <v>0</v>
      </c>
      <c r="BW29" s="140">
        <f ca="1">IFERROR(__xludf.DUMMYFUNCTION("IMPORTRANGE(""https://docs.google.com/spreadsheets/d/1ubs5cl16eYL9gHbdHTJtmtYb9MGzHBs7CAphn8kNCgM/edit?usp=sharing"",""อุตรดิตถ์!J600"")"),0)</f>
        <v>0</v>
      </c>
      <c r="BX29" s="141">
        <f ca="1">IFERROR(__xludf.DUMMYFUNCTION("IMPORTRANGE(""https://docs.google.com/spreadsheets/d/1ubs5cl16eYL9gHbdHTJtmtYb9MGzHBs7CAphn8kNCgM/edit?usp=sharing"",""อุตรดิตถ์!J601"")"),0)</f>
        <v>0</v>
      </c>
      <c r="BY29" s="140">
        <f ca="1">IFERROR(__xludf.DUMMYFUNCTION("IMPORTRANGE(""https://docs.google.com/spreadsheets/d/1ubs5cl16eYL9gHbdHTJtmtYb9MGzHBs7CAphn8kNCgM/edit?usp=sharing"",""อุตรดิตถ์!J602"")"),0)</f>
        <v>0</v>
      </c>
      <c r="BZ29" s="63">
        <f ca="1">IFERROR(__xludf.DUMMYFUNCTION("IMPORTRANGE(""https://docs.google.com/spreadsheets/d/1ubs5cl16eYL9gHbdHTJtmtYb9MGzHBs7CAphn8kNCgM/edit?usp=sharing"",""อุตรดิตถ์!J603"")"),0)</f>
        <v>0</v>
      </c>
      <c r="CA29" s="140">
        <f ca="1">IFERROR(__xludf.DUMMYFUNCTION("IMPORTRANGE(""https://docs.google.com/spreadsheets/d/1ubs5cl16eYL9gHbdHTJtmtYb9MGzHBs7CAphn8kNCgM/edit?usp=sharing"",""อุตรดิตถ์!J604"")"),0)</f>
        <v>0</v>
      </c>
      <c r="CB29" s="63">
        <f ca="1">IFERROR(__xludf.DUMMYFUNCTION("IMPORTRANGE(""https://docs.google.com/spreadsheets/d/1ubs5cl16eYL9gHbdHTJtmtYb9MGzHBs7CAphn8kNCgM/edit?usp=sharing"",""อุตรดิตถ์!J605"")"),0)</f>
        <v>0</v>
      </c>
      <c r="CC29" s="140">
        <f ca="1">IFERROR(__xludf.DUMMYFUNCTION("IMPORTRANGE(""https://docs.google.com/spreadsheets/d/1ubs5cl16eYL9gHbdHTJtmtYb9MGzHBs7CAphn8kNCgM/edit?usp=sharing"",""อุตรดิตถ์!J606"")"),0)</f>
        <v>0</v>
      </c>
      <c r="CD29" s="63">
        <f ca="1">IFERROR(__xludf.DUMMYFUNCTION("IMPORTRANGE(""https://docs.google.com/spreadsheets/d/1ubs5cl16eYL9gHbdHTJtmtYb9MGzHBs7CAphn8kNCgM/edit?usp=sharing"",""อุตรดิตถ์!J607"")"),0)</f>
        <v>0</v>
      </c>
      <c r="CE29" s="140">
        <f ca="1">IFERROR(__xludf.DUMMYFUNCTION("IMPORTRANGE(""https://docs.google.com/spreadsheets/d/1ubs5cl16eYL9gHbdHTJtmtYb9MGzHBs7CAphn8kNCgM/edit?usp=sharing"",""อุตรดิตถ์!J608"")"),0)</f>
        <v>0</v>
      </c>
      <c r="CF29" s="63">
        <f ca="1">IFERROR(__xludf.DUMMYFUNCTION("IMPORTRANGE(""https://docs.google.com/spreadsheets/d/1ubs5cl16eYL9gHbdHTJtmtYb9MGzHBs7CAphn8kNCgM/edit?usp=sharing"",""อุตรดิตถ์!J609"")"),0)</f>
        <v>0</v>
      </c>
      <c r="CG29" s="140">
        <f ca="1">IFERROR(__xludf.DUMMYFUNCTION("IMPORTRANGE(""https://docs.google.com/spreadsheets/d/1ubs5cl16eYL9gHbdHTJtmtYb9MGzHBs7CAphn8kNCgM/edit?usp=sharing"",""อุตรดิตถ์!J610"")"),0)</f>
        <v>0</v>
      </c>
      <c r="CH29" s="140">
        <f ca="1">IFERROR(__xludf.DUMMYFUNCTION("IMPORTRANGE(""https://docs.google.com/spreadsheets/d/1ubs5cl16eYL9gHbdHTJtmtYb9MGzHBs7CAphn8kNCgM/edit?usp=sharing"",""อุตรดิตถ์!I612"")"),0)</f>
        <v>0</v>
      </c>
      <c r="CI29" s="140">
        <f ca="1">IFERROR(__xludf.DUMMYFUNCTION("IMPORTRANGE(""https://docs.google.com/spreadsheets/d/1ubs5cl16eYL9gHbdHTJtmtYb9MGzHBs7CAphn8kNCgM/edit?usp=sharing"",""อุตรดิตถ์!I594"")"),32)</f>
        <v>32</v>
      </c>
      <c r="CJ29" s="141">
        <f ca="1">IFERROR(__xludf.DUMMYFUNCTION("IMPORTRANGE(""https://docs.google.com/spreadsheets/d/1ubs5cl16eYL9gHbdHTJtmtYb9MGzHBs7CAphn8kNCgM/edit?usp=sharing"",""อุตรดิตถ์!J612"")"),0)</f>
        <v>0</v>
      </c>
      <c r="CK29" s="141">
        <f t="shared" ca="1" si="41"/>
        <v>0</v>
      </c>
      <c r="CL29" s="140">
        <f ca="1">IFERROR(__xludf.DUMMYFUNCTION("IMPORTRANGE(""https://docs.google.com/spreadsheets/d/1ubs5cl16eYL9gHbdHTJtmtYb9MGzHBs7CAphn8kNCgM/edit?usp=sharing"",""อุตรดิตถ์!J613"")"),0)</f>
        <v>0</v>
      </c>
      <c r="CM29" s="141">
        <f t="shared" ca="1" si="19"/>
        <v>0</v>
      </c>
      <c r="CN29" s="63">
        <f ca="1">IFERROR(__xludf.DUMMYFUNCTION("IMPORTRANGE(""https://docs.google.com/spreadsheets/d/1ubs5cl16eYL9gHbdHTJtmtYb9MGzHBs7CAphn8kNCgM/edit?usp=sharing"",""อุตรดิตถ์!J614"")"),0)</f>
        <v>0</v>
      </c>
      <c r="CO29" s="140">
        <f ca="1">IFERROR(__xludf.DUMMYFUNCTION("IMPORTRANGE(""https://docs.google.com/spreadsheets/d/1ubs5cl16eYL9gHbdHTJtmtYb9MGzHBs7CAphn8kNCgM/edit?usp=sharing"",""อุตรดิตถ์!J615"")"),0)</f>
        <v>0</v>
      </c>
      <c r="CP29" s="63">
        <f ca="1">IFERROR(__xludf.DUMMYFUNCTION("IMPORTRANGE(""https://docs.google.com/spreadsheets/d/1ubs5cl16eYL9gHbdHTJtmtYb9MGzHBs7CAphn8kNCgM/edit?usp=sharing"",""อุตรดิตถ์!J616"")"),0)</f>
        <v>0</v>
      </c>
      <c r="CQ29" s="140">
        <f ca="1">IFERROR(__xludf.DUMMYFUNCTION("IMPORTRANGE(""https://docs.google.com/spreadsheets/d/1ubs5cl16eYL9gHbdHTJtmtYb9MGzHBs7CAphn8kNCgM/edit?usp=sharing"",""อุตรดิตถ์!J617"")"),0)</f>
        <v>0</v>
      </c>
      <c r="CR29" s="140">
        <f ca="1">IFERROR(__xludf.DUMMYFUNCTION("IMPORTRANGE(""https://docs.google.com/spreadsheets/d/1ubs5cl16eYL9gHbdHTJtmtYb9MGzHBs7CAphn8kNCgM/edit?usp=sharing"",""อุตรดิตถ์!I620"")"),631)</f>
        <v>631</v>
      </c>
      <c r="CS29" s="140">
        <f ca="1">IFERROR(__xludf.DUMMYFUNCTION("IMPORTRANGE(""https://docs.google.com/spreadsheets/d/1ubs5cl16eYL9gHbdHTJtmtYb9MGzHBs7CAphn8kNCgM/edit?usp=sharing"",""อุตรดิตถ์!I621"")"),50)</f>
        <v>50</v>
      </c>
      <c r="CT29" s="141">
        <f ca="1">IFERROR(__xludf.DUMMYFUNCTION("IMPORTRANGE(""https://docs.google.com/spreadsheets/d/1ubs5cl16eYL9gHbdHTJtmtYb9MGzHBs7CAphn8kNCgM/edit?usp=sharing"",""อุตรดิตถ์!J620"")"),0)</f>
        <v>0</v>
      </c>
      <c r="CU29" s="141">
        <f t="shared" ca="1" si="42"/>
        <v>0</v>
      </c>
      <c r="CV29" s="140">
        <f ca="1">IFERROR(__xludf.DUMMYFUNCTION("IMPORTRANGE(""https://docs.google.com/spreadsheets/d/1ubs5cl16eYL9gHbdHTJtmtYb9MGzHBs7CAphn8kNCgM/edit?usp=sharing"",""อุตรดิตถ์!J621"")"),0)</f>
        <v>0</v>
      </c>
      <c r="CW29" s="141">
        <f t="shared" ca="1" si="22"/>
        <v>0</v>
      </c>
      <c r="CX29" s="63">
        <f ca="1">IFERROR(__xludf.DUMMYFUNCTION("IMPORTRANGE(""https://docs.google.com/spreadsheets/d/1ubs5cl16eYL9gHbdHTJtmtYb9MGzHBs7CAphn8kNCgM/edit?usp=sharing"",""อุตรดิตถ์!J622"")"),0)</f>
        <v>0</v>
      </c>
      <c r="CY29" s="140">
        <f ca="1">IFERROR(__xludf.DUMMYFUNCTION("IMPORTRANGE(""https://docs.google.com/spreadsheets/d/1ubs5cl16eYL9gHbdHTJtmtYb9MGzHBs7CAphn8kNCgM/edit?usp=sharing"",""อุตรดิตถ์!J623"")"),0)</f>
        <v>0</v>
      </c>
      <c r="CZ29" s="63">
        <f ca="1">IFERROR(__xludf.DUMMYFUNCTION("IMPORTRANGE(""https://docs.google.com/spreadsheets/d/1ubs5cl16eYL9gHbdHTJtmtYb9MGzHBs7CAphn8kNCgM/edit?usp=sharing"",""อุตรดิตถ์!J624"")"),0)</f>
        <v>0</v>
      </c>
      <c r="DA29" s="140">
        <f ca="1">IFERROR(__xludf.DUMMYFUNCTION("IMPORTRANGE(""https://docs.google.com/spreadsheets/d/1ubs5cl16eYL9gHbdHTJtmtYb9MGzHBs7CAphn8kNCgM/edit?usp=sharing"",""อุตรดิตถ์!J625"")"),0)</f>
        <v>0</v>
      </c>
      <c r="DB29" s="63">
        <f ca="1">IFERROR(__xludf.DUMMYFUNCTION("IMPORTRANGE(""https://docs.google.com/spreadsheets/d/1ubs5cl16eYL9gHbdHTJtmtYb9MGzHBs7CAphn8kNCgM/edit?usp=sharing"",""อุตรดิตถ์!J626"")"),0)</f>
        <v>0</v>
      </c>
      <c r="DC29" s="140">
        <f ca="1">IFERROR(__xludf.DUMMYFUNCTION("IMPORTRANGE(""https://docs.google.com/spreadsheets/d/1ubs5cl16eYL9gHbdHTJtmtYb9MGzHBs7CAphn8kNCgM/edit?usp=sharing"",""อุตรดิตถ์!J627"")"),0)</f>
        <v>0</v>
      </c>
    </row>
    <row r="30" spans="1:107" ht="24" customHeight="1" x14ac:dyDescent="0.3">
      <c r="A30" s="65">
        <v>17</v>
      </c>
      <c r="B30" s="66" t="s">
        <v>51</v>
      </c>
      <c r="C30" s="67">
        <f t="shared" ca="1" si="55"/>
        <v>431888</v>
      </c>
      <c r="D30" s="68">
        <f ca="1">IFERROR(__xludf.DUMMYFUNCTION("IMPORTRANGE(""https://docs.google.com/spreadsheets/d/1kII0BjS6CtVrBvI8IrytgPdxDrlyQDyigzMsohRtDMs/edit?usp=sharing"",""อุทัยธานี!L549"")"),431888)</f>
        <v>431888</v>
      </c>
      <c r="E30" s="69">
        <f ca="1">IFERROR(__xludf.DUMMYFUNCTION("IMPORTRANGE(""https://docs.google.com/spreadsheets/d/1kII0BjS6CtVrBvI8IrytgPdxDrlyQDyigzMsohRtDMs/edit?usp=sharing"",""อุทัยธานี!L557"")"),0)</f>
        <v>0</v>
      </c>
      <c r="F30" s="69">
        <f ca="1">IFERROR(__xludf.DUMMYFUNCTION("IMPORTRANGE(""https://docs.google.com/spreadsheets/d/1kII0BjS6CtVrBvI8IrytgPdxDrlyQDyigzMsohRtDMs/edit?usp=sharing"",""อุทัยธานี!M549"")"),431888)</f>
        <v>431888</v>
      </c>
      <c r="G30" s="69">
        <f ca="1">IFERROR(__xludf.DUMMYFUNCTION("IMPORTRANGE(""https://docs.google.com/spreadsheets/d/1kII0BjS6CtVrBvI8IrytgPdxDrlyQDyigzMsohRtDMs/edit?usp=sharing"",""อุทัยธานี!M557"")"),0)</f>
        <v>0</v>
      </c>
      <c r="H30" s="70">
        <f t="shared" ca="1" si="36"/>
        <v>162309</v>
      </c>
      <c r="I30" s="71">
        <f t="shared" ca="1" si="1"/>
        <v>37.581271070277481</v>
      </c>
      <c r="J30" s="72">
        <f t="shared" ca="1" si="56"/>
        <v>162309</v>
      </c>
      <c r="K30" s="73">
        <f t="shared" ca="1" si="44"/>
        <v>37.581271070277481</v>
      </c>
      <c r="L30" s="73">
        <f t="shared" ca="1" si="45"/>
        <v>37.581271070277481</v>
      </c>
      <c r="M30" s="69">
        <f ca="1">IFERROR(__xludf.DUMMYFUNCTION("IMPORTRANGE(""https://docs.google.com/spreadsheets/d/1kII0BjS6CtVrBvI8IrytgPdxDrlyQDyigzMsohRtDMs/edit?usp=sharing"",""อุทัยธานี!N550"")"),0)</f>
        <v>0</v>
      </c>
      <c r="N30" s="69">
        <f ca="1">IFERROR(__xludf.DUMMYFUNCTION("IMPORTRANGE(""https://docs.google.com/spreadsheets/d/1kII0BjS6CtVrBvI8IrytgPdxDrlyQDyigzMsohRtDMs/edit?usp=sharing"",""อุทัยธานี!N551"")"),0)</f>
        <v>0</v>
      </c>
      <c r="O30" s="69">
        <f ca="1">IFERROR(__xludf.DUMMYFUNCTION("IMPORTRANGE(""https://docs.google.com/spreadsheets/d/1kII0BjS6CtVrBvI8IrytgPdxDrlyQDyigzMsohRtDMs/edit?usp=sharing"",""อุทัยธานี!N552"")"),51115)</f>
        <v>51115</v>
      </c>
      <c r="P30" s="69">
        <f ca="1">IFERROR(__xludf.DUMMYFUNCTION("IMPORTRANGE(""https://docs.google.com/spreadsheets/d/1kII0BjS6CtVrBvI8IrytgPdxDrlyQDyigzMsohRtDMs/edit?usp=sharing"",""อุทัยธานี!N553"")"),111194)</f>
        <v>111194</v>
      </c>
      <c r="Q30" s="69">
        <f ca="1">IFERROR(__xludf.DUMMYFUNCTION("IMPORTRANGE(""https://docs.google.com/spreadsheets/d/1kII0BjS6CtVrBvI8IrytgPdxDrlyQDyigzMsohRtDMs/edit?usp=sharing"",""อุทัยธานี!N554"")"),0)</f>
        <v>0</v>
      </c>
      <c r="R30" s="74">
        <f ca="1">IFERROR(__xludf.DUMMYFUNCTION("IMPORTRANGE(""https://docs.google.com/spreadsheets/d/1kII0BjS6CtVrBvI8IrytgPdxDrlyQDyigzMsohRtDMs/edit?usp=sharing"",""อุทัยธานี!N557"")"),0)</f>
        <v>0</v>
      </c>
      <c r="S30" s="74">
        <f t="shared" ca="1" si="47"/>
        <v>0</v>
      </c>
      <c r="T30" s="68">
        <f ca="1">IFERROR(__xludf.DUMMYFUNCTION("IMPORTRANGE(""https://docs.google.com/spreadsheets/d/1kII0BjS6CtVrBvI8IrytgPdxDrlyQDyigzMsohRtDMs/edit?usp=sharing"",""อุทัยธานี!I560"")"),53985)</f>
        <v>53985</v>
      </c>
      <c r="U30" s="68">
        <f ca="1">IFERROR(__xludf.DUMMYFUNCTION("IMPORTRANGE(""https://docs.google.com/spreadsheets/d/1kII0BjS6CtVrBvI8IrytgPdxDrlyQDyigzMsohRtDMs/edit?usp=sharing"",""อุทัยธานี!I561"")"),4693)</f>
        <v>4693</v>
      </c>
      <c r="V30" s="75">
        <f ca="1">IFERROR(__xludf.DUMMYFUNCTION("IMPORTRANGE(""https://docs.google.com/spreadsheets/d/1kII0BjS6CtVrBvI8IrytgPdxDrlyQDyigzMsohRtDMs/edit?usp=sharing"",""อุทัยธานี!J560"")"),53986)</f>
        <v>53986</v>
      </c>
      <c r="W30" s="75">
        <f t="shared" ca="1" si="37"/>
        <v>100.00185236639807</v>
      </c>
      <c r="X30" s="68">
        <f ca="1">IFERROR(__xludf.DUMMYFUNCTION("IMPORTRANGE(""https://docs.google.com/spreadsheets/d/1kII0BjS6CtVrBvI8IrytgPdxDrlyQDyigzMsohRtDMs/edit?usp=sharing"",""อุทัยธานี!J561"")"),4693)</f>
        <v>4693</v>
      </c>
      <c r="Y30" s="75">
        <f t="shared" ca="1" si="7"/>
        <v>100</v>
      </c>
      <c r="Z30" s="75">
        <f ca="1">IFERROR(__xludf.DUMMYFUNCTION("IMPORTRANGE(""https://docs.google.com/spreadsheets/d/1kII0BjS6CtVrBvI8IrytgPdxDrlyQDyigzMsohRtDMs/edit?usp=sharing"",""อุทัยธานี!J562"")"),38901)</f>
        <v>38901</v>
      </c>
      <c r="AA30" s="142">
        <f ca="1">IFERROR(__xludf.DUMMYFUNCTION("IMPORTRANGE(""https://docs.google.com/spreadsheets/d/1kII0BjS6CtVrBvI8IrytgPdxDrlyQDyigzMsohRtDMs/edit?usp=sharing"",""อุทัยธานี!J563"")"),3674)</f>
        <v>3674</v>
      </c>
      <c r="AB30" s="75">
        <f ca="1">IFERROR(__xludf.DUMMYFUNCTION("IMPORTRANGE(""https://docs.google.com/spreadsheets/d/1kII0BjS6CtVrBvI8IrytgPdxDrlyQDyigzMsohRtDMs/edit?usp=sharing"",""อุทัยธานี!J564"")"),12047)</f>
        <v>12047</v>
      </c>
      <c r="AC30" s="142">
        <f ca="1">IFERROR(__xludf.DUMMYFUNCTION("IMPORTRANGE(""https://docs.google.com/spreadsheets/d/1kII0BjS6CtVrBvI8IrytgPdxDrlyQDyigzMsohRtDMs/edit?usp=sharing"",""อุทัยธานี!J565"")"),796)</f>
        <v>796</v>
      </c>
      <c r="AD30" s="75">
        <f ca="1">IFERROR(__xludf.DUMMYFUNCTION("IMPORTRANGE(""https://docs.google.com/spreadsheets/d/1kII0BjS6CtVrBvI8IrytgPdxDrlyQDyigzMsohRtDMs/edit?usp=sharing"",""อุทัยธานี!J566"")"),3038)</f>
        <v>3038</v>
      </c>
      <c r="AE30" s="142">
        <f ca="1">IFERROR(__xludf.DUMMYFUNCTION("IMPORTRANGE(""https://docs.google.com/spreadsheets/d/1kII0BjS6CtVrBvI8IrytgPdxDrlyQDyigzMsohRtDMs/edit?usp=sharing"",""อุทัยธานี!J567"")"),223)</f>
        <v>223</v>
      </c>
      <c r="AF30" s="68">
        <f ca="1">IFERROR(__xludf.DUMMYFUNCTION("IMPORTRANGE(""https://docs.google.com/spreadsheets/d/1kII0BjS6CtVrBvI8IrytgPdxDrlyQDyigzMsohRtDMs/edit?usp=sharing"",""อุทัยธานี!I568"")"),53985)</f>
        <v>53985</v>
      </c>
      <c r="AG30" s="68">
        <f ca="1">IFERROR(__xludf.DUMMYFUNCTION("IMPORTRANGE(""https://docs.google.com/spreadsheets/d/1kII0BjS6CtVrBvI8IrytgPdxDrlyQDyigzMsohRtDMs/edit?usp=sharing"",""อุทัยธานี!I569"")"),4693)</f>
        <v>4693</v>
      </c>
      <c r="AH30" s="75">
        <f ca="1">IFERROR(__xludf.DUMMYFUNCTION("IMPORTRANGE(""https://docs.google.com/spreadsheets/d/1kII0BjS6CtVrBvI8IrytgPdxDrlyQDyigzMsohRtDMs/edit?usp=sharing"",""อุทัยธานี!J568"")"),53986)</f>
        <v>53986</v>
      </c>
      <c r="AI30" s="75">
        <f t="shared" ca="1" si="38"/>
        <v>100.00185236639807</v>
      </c>
      <c r="AJ30" s="68">
        <f ca="1">IFERROR(__xludf.DUMMYFUNCTION("IMPORTRANGE(""https://docs.google.com/spreadsheets/d/1kII0BjS6CtVrBvI8IrytgPdxDrlyQDyigzMsohRtDMs/edit?usp=sharing"",""อุทัยธานี!J569"")"),4693)</f>
        <v>4693</v>
      </c>
      <c r="AK30" s="75">
        <f t="shared" ca="1" si="10"/>
        <v>100</v>
      </c>
      <c r="AL30" s="75">
        <f ca="1">IFERROR(__xludf.DUMMYFUNCTION("IMPORTRANGE(""https://docs.google.com/spreadsheets/d/1kII0BjS6CtVrBvI8IrytgPdxDrlyQDyigzMsohRtDMs/edit?usp=sharing"",""อุทัยธานี!J570"")"),38901)</f>
        <v>38901</v>
      </c>
      <c r="AM30" s="142">
        <f ca="1">IFERROR(__xludf.DUMMYFUNCTION("IMPORTRANGE(""https://docs.google.com/spreadsheets/d/1kII0BjS6CtVrBvI8IrytgPdxDrlyQDyigzMsohRtDMs/edit?usp=sharing"",""อุทัยธานี!J571"")"),3674)</f>
        <v>3674</v>
      </c>
      <c r="AN30" s="75">
        <f ca="1">IFERROR(__xludf.DUMMYFUNCTION("IMPORTRANGE(""https://docs.google.com/spreadsheets/d/1kII0BjS6CtVrBvI8IrytgPdxDrlyQDyigzMsohRtDMs/edit?usp=sharing"",""อุทัยธานี!J572"")"),12047)</f>
        <v>12047</v>
      </c>
      <c r="AO30" s="142">
        <f ca="1">IFERROR(__xludf.DUMMYFUNCTION("IMPORTRANGE(""https://docs.google.com/spreadsheets/d/1kII0BjS6CtVrBvI8IrytgPdxDrlyQDyigzMsohRtDMs/edit?usp=sharing"",""อุทัยธานี!J573"")"),796)</f>
        <v>796</v>
      </c>
      <c r="AP30" s="75">
        <f ca="1">IFERROR(__xludf.DUMMYFUNCTION("IMPORTRANGE(""https://docs.google.com/spreadsheets/d/1kII0BjS6CtVrBvI8IrytgPdxDrlyQDyigzMsohRtDMs/edit?usp=sharing"",""อุทัยธานี!J574"")"),3038)</f>
        <v>3038</v>
      </c>
      <c r="AQ30" s="142">
        <f ca="1">IFERROR(__xludf.DUMMYFUNCTION("IMPORTRANGE(""https://docs.google.com/spreadsheets/d/1kII0BjS6CtVrBvI8IrytgPdxDrlyQDyigzMsohRtDMs/edit?usp=sharing"",""อุทัยธานี!J575"")"),223)</f>
        <v>223</v>
      </c>
      <c r="AR30" s="68">
        <f ca="1">IFERROR(__xludf.DUMMYFUNCTION("IMPORTRANGE(""https://docs.google.com/spreadsheets/d/1kII0BjS6CtVrBvI8IrytgPdxDrlyQDyigzMsohRtDMs/edit?usp=sharing"",""อุทัยธานี!I576"")"),53985)</f>
        <v>53985</v>
      </c>
      <c r="AS30" s="68">
        <f ca="1">IFERROR(__xludf.DUMMYFUNCTION("IMPORTRANGE(""https://docs.google.com/spreadsheets/d/1kII0BjS6CtVrBvI8IrytgPdxDrlyQDyigzMsohRtDMs/edit?usp=sharing"",""อุทัยธานี!I577"")"),4693)</f>
        <v>4693</v>
      </c>
      <c r="AT30" s="75">
        <f ca="1">IFERROR(__xludf.DUMMYFUNCTION("IMPORTRANGE(""https://docs.google.com/spreadsheets/d/1kII0BjS6CtVrBvI8IrytgPdxDrlyQDyigzMsohRtDMs/edit?usp=sharing"",""อุทัยธานี!J576"")"),53986)</f>
        <v>53986</v>
      </c>
      <c r="AU30" s="75">
        <f t="shared" ca="1" si="39"/>
        <v>100.00185236639807</v>
      </c>
      <c r="AV30" s="68">
        <f ca="1">IFERROR(__xludf.DUMMYFUNCTION("IMPORTRANGE(""https://docs.google.com/spreadsheets/d/1kII0BjS6CtVrBvI8IrytgPdxDrlyQDyigzMsohRtDMs/edit?usp=sharing"",""อุทัยธานี!J577"")"),4693)</f>
        <v>4693</v>
      </c>
      <c r="AW30" s="75">
        <f t="shared" ca="1" si="13"/>
        <v>100</v>
      </c>
      <c r="AX30" s="75">
        <f ca="1">IFERROR(__xludf.DUMMYFUNCTION("IMPORTRANGE(""https://docs.google.com/spreadsheets/d/1kII0BjS6CtVrBvI8IrytgPdxDrlyQDyigzMsohRtDMs/edit?usp=sharing"",""อุทัยธานี!J578"")"),38901)</f>
        <v>38901</v>
      </c>
      <c r="AY30" s="142">
        <f ca="1">IFERROR(__xludf.DUMMYFUNCTION("IMPORTRANGE(""https://docs.google.com/spreadsheets/d/1kII0BjS6CtVrBvI8IrytgPdxDrlyQDyigzMsohRtDMs/edit?usp=sharing"",""อุทัยธานี!J579"")"),3674)</f>
        <v>3674</v>
      </c>
      <c r="AZ30" s="75">
        <f ca="1">IFERROR(__xludf.DUMMYFUNCTION("IMPORTRANGE(""https://docs.google.com/spreadsheets/d/1kII0BjS6CtVrBvI8IrytgPdxDrlyQDyigzMsohRtDMs/edit?usp=sharing"",""อุทัยธานี!J580"")"),12047)</f>
        <v>12047</v>
      </c>
      <c r="BA30" s="142">
        <f ca="1">IFERROR(__xludf.DUMMYFUNCTION("IMPORTRANGE(""https://docs.google.com/spreadsheets/d/1kII0BjS6CtVrBvI8IrytgPdxDrlyQDyigzMsohRtDMs/edit?usp=sharing"",""อุทัยธานี!J581"")"),796)</f>
        <v>796</v>
      </c>
      <c r="BB30" s="75">
        <f ca="1">IFERROR(__xludf.DUMMYFUNCTION("IMPORTRANGE(""https://docs.google.com/spreadsheets/d/1kII0BjS6CtVrBvI8IrytgPdxDrlyQDyigzMsohRtDMs/edit?usp=sharing"",""อุทัยธานี!J582"")"),3038)</f>
        <v>3038</v>
      </c>
      <c r="BC30" s="142">
        <f ca="1">IFERROR(__xludf.DUMMYFUNCTION("IMPORTRANGE(""https://docs.google.com/spreadsheets/d/1kII0BjS6CtVrBvI8IrytgPdxDrlyQDyigzMsohRtDMs/edit?usp=sharing"",""อุทัยธานี!J583"")"),223)</f>
        <v>223</v>
      </c>
      <c r="BD30" s="143">
        <f ca="1">IFERROR(__xludf.DUMMYFUNCTION("IMPORTRANGE(""https://docs.google.com/spreadsheets/d/1kII0BjS6CtVrBvI8IrytgPdxDrlyQDyigzMsohRtDMs/edit?usp=sharing"",""อุทัยธานี!J584"")"),2367)</f>
        <v>2367</v>
      </c>
      <c r="BE30" s="142">
        <f ca="1">IFERROR(__xludf.DUMMYFUNCTION("IMPORTRANGE(""https://docs.google.com/spreadsheets/d/1kII0BjS6CtVrBvI8IrytgPdxDrlyQDyigzMsohRtDMs/edit?usp=sharing"",""อุทัยธานี!J585"")"),178)</f>
        <v>178</v>
      </c>
      <c r="BF30" s="143">
        <f ca="1">IFERROR(__xludf.DUMMYFUNCTION("IMPORTRANGE(""https://docs.google.com/spreadsheets/d/1kII0BjS6CtVrBvI8IrytgPdxDrlyQDyigzMsohRtDMs/edit?usp=sharing"",""อุทัยธานี!J586"")"),671)</f>
        <v>671</v>
      </c>
      <c r="BG30" s="142">
        <f ca="1">IFERROR(__xludf.DUMMYFUNCTION("IMPORTRANGE(""https://docs.google.com/spreadsheets/d/1kII0BjS6CtVrBvI8IrytgPdxDrlyQDyigzMsohRtDMs/edit?usp=sharing"",""อุทัยธานี!J587"")"),45)</f>
        <v>45</v>
      </c>
      <c r="BH30" s="75">
        <f ca="1">IFERROR(__xludf.DUMMYFUNCTION("IMPORTRANGE(""https://docs.google.com/spreadsheets/d/1kII0BjS6CtVrBvI8IrytgPdxDrlyQDyigzMsohRtDMs/edit?usp=sharing"",""อุทัยธานี!J588"")"),0)</f>
        <v>0</v>
      </c>
      <c r="BI30" s="142">
        <f ca="1">IFERROR(__xludf.DUMMYFUNCTION("IMPORTRANGE(""https://docs.google.com/spreadsheets/d/1kII0BjS6CtVrBvI8IrytgPdxDrlyQDyigzMsohRtDMs/edit?usp=sharing"",""อุทัยธานี!J589"")"),0)</f>
        <v>0</v>
      </c>
      <c r="BJ30" s="75">
        <f ca="1">IFERROR(__xludf.DUMMYFUNCTION("IMPORTRANGE(""https://docs.google.com/spreadsheets/d/1kII0BjS6CtVrBvI8IrytgPdxDrlyQDyigzMsohRtDMs/edit?usp=sharing"",""อุทัยธานี!J590"")"),0)</f>
        <v>0</v>
      </c>
      <c r="BK30" s="142">
        <f ca="1">IFERROR(__xludf.DUMMYFUNCTION("IMPORTRANGE(""https://docs.google.com/spreadsheets/d/1kII0BjS6CtVrBvI8IrytgPdxDrlyQDyigzMsohRtDMs/edit?usp=sharing"",""อุทัยธานี!J591"")"),0)</f>
        <v>0</v>
      </c>
      <c r="BL30" s="68">
        <f ca="1">IFERROR(__xludf.DUMMYFUNCTION("IMPORTRANGE(""https://docs.google.com/spreadsheets/d/1kII0BjS6CtVrBvI8IrytgPdxDrlyQDyigzMsohRtDMs/edit?usp=sharing"",""อุทัยธานี!I593"")"),6005.77)</f>
        <v>6005.77</v>
      </c>
      <c r="BM30" s="68">
        <f ca="1">IFERROR(__xludf.DUMMYFUNCTION("IMPORTRANGE(""https://docs.google.com/spreadsheets/d/1kII0BjS6CtVrBvI8IrytgPdxDrlyQDyigzMsohRtDMs/edit?usp=sharing"",""อุทัยธานี!I594"")"),358)</f>
        <v>358</v>
      </c>
      <c r="BN30" s="75">
        <f ca="1">IFERROR(__xludf.DUMMYFUNCTION("IMPORTRANGE(""https://docs.google.com/spreadsheets/d/1kII0BjS6CtVrBvI8IrytgPdxDrlyQDyigzMsohRtDMs/edit?usp=sharing"",""อุทัยธานี!J593"")"),344)</f>
        <v>344</v>
      </c>
      <c r="BO30" s="75">
        <f t="shared" ca="1" si="40"/>
        <v>5.7278250748863169</v>
      </c>
      <c r="BP30" s="68">
        <f ca="1">IFERROR(__xludf.DUMMYFUNCTION("IMPORTRANGE(""https://docs.google.com/spreadsheets/d/1kII0BjS6CtVrBvI8IrytgPdxDrlyQDyigzMsohRtDMs/edit?usp=sharing"",""อุทัยธานี!J594"")"),16)</f>
        <v>16</v>
      </c>
      <c r="BQ30" s="75">
        <f t="shared" ca="1" si="16"/>
        <v>4.4692737430167595</v>
      </c>
      <c r="BR30" s="75">
        <f ca="1">IFERROR(__xludf.DUMMYFUNCTION("IMPORTRANGE(""https://docs.google.com/spreadsheets/d/1kII0BjS6CtVrBvI8IrytgPdxDrlyQDyigzMsohRtDMs/edit?usp=sharing"",""อุทัยธานี!J595"")"),287)</f>
        <v>287</v>
      </c>
      <c r="BS30" s="142">
        <f ca="1">IFERROR(__xludf.DUMMYFUNCTION("IMPORTRANGE(""https://docs.google.com/spreadsheets/d/1kII0BjS6CtVrBvI8IrytgPdxDrlyQDyigzMsohRtDMs/edit?usp=sharing"",""อุทัยธานี!J596"")"),13)</f>
        <v>13</v>
      </c>
      <c r="BT30" s="75">
        <f ca="1">IFERROR(__xludf.DUMMYFUNCTION("IMPORTRANGE(""https://docs.google.com/spreadsheets/d/1kII0BjS6CtVrBvI8IrytgPdxDrlyQDyigzMsohRtDMs/edit?usp=sharing"",""อุทัยธานี!J597"")"),287)</f>
        <v>287</v>
      </c>
      <c r="BU30" s="142">
        <f ca="1">IFERROR(__xludf.DUMMYFUNCTION("IMPORTRANGE(""https://docs.google.com/spreadsheets/d/1kII0BjS6CtVrBvI8IrytgPdxDrlyQDyigzMsohRtDMs/edit?usp=sharing"",""อุทัยธานี!J598"")"),13)</f>
        <v>13</v>
      </c>
      <c r="BV30" s="75">
        <f ca="1">IFERROR(__xludf.DUMMYFUNCTION("IMPORTRANGE(""https://docs.google.com/spreadsheets/d/1kII0BjS6CtVrBvI8IrytgPdxDrlyQDyigzMsohRtDMs/edit?usp=sharing"",""อุทัยธานี!J599"")"),0)</f>
        <v>0</v>
      </c>
      <c r="BW30" s="142">
        <f ca="1">IFERROR(__xludf.DUMMYFUNCTION("IMPORTRANGE(""https://docs.google.com/spreadsheets/d/1kII0BjS6CtVrBvI8IrytgPdxDrlyQDyigzMsohRtDMs/edit?usp=sharing"",""อุทัยธานี!J600"")"),0)</f>
        <v>0</v>
      </c>
      <c r="BX30" s="143">
        <f ca="1">IFERROR(__xludf.DUMMYFUNCTION("IMPORTRANGE(""https://docs.google.com/spreadsheets/d/1kII0BjS6CtVrBvI8IrytgPdxDrlyQDyigzMsohRtDMs/edit?usp=sharing"",""อุทัยธานี!J601"")"),0)</f>
        <v>0</v>
      </c>
      <c r="BY30" s="142">
        <f ca="1">IFERROR(__xludf.DUMMYFUNCTION("IMPORTRANGE(""https://docs.google.com/spreadsheets/d/1kII0BjS6CtVrBvI8IrytgPdxDrlyQDyigzMsohRtDMs/edit?usp=sharing"",""อุทัยธานี!J602"")"),0)</f>
        <v>0</v>
      </c>
      <c r="BZ30" s="75">
        <f ca="1">IFERROR(__xludf.DUMMYFUNCTION("IMPORTRANGE(""https://docs.google.com/spreadsheets/d/1kII0BjS6CtVrBvI8IrytgPdxDrlyQDyigzMsohRtDMs/edit?usp=sharing"",""อุทัยธานี!J603"")"),57)</f>
        <v>57</v>
      </c>
      <c r="CA30" s="142">
        <f ca="1">IFERROR(__xludf.DUMMYFUNCTION("IMPORTRANGE(""https://docs.google.com/spreadsheets/d/1kII0BjS6CtVrBvI8IrytgPdxDrlyQDyigzMsohRtDMs/edit?usp=sharing"",""อุทัยธานี!J604"")"),3)</f>
        <v>3</v>
      </c>
      <c r="CB30" s="75">
        <f ca="1">IFERROR(__xludf.DUMMYFUNCTION("IMPORTRANGE(""https://docs.google.com/spreadsheets/d/1kII0BjS6CtVrBvI8IrytgPdxDrlyQDyigzMsohRtDMs/edit?usp=sharing"",""อุทัยธานี!J605"")"),39)</f>
        <v>39</v>
      </c>
      <c r="CC30" s="142">
        <f ca="1">IFERROR(__xludf.DUMMYFUNCTION("IMPORTRANGE(""https://docs.google.com/spreadsheets/d/1kII0BjS6CtVrBvI8IrytgPdxDrlyQDyigzMsohRtDMs/edit?usp=sharing"",""อุทัยธานี!J606"")"),2)</f>
        <v>2</v>
      </c>
      <c r="CD30" s="75">
        <f ca="1">IFERROR(__xludf.DUMMYFUNCTION("IMPORTRANGE(""https://docs.google.com/spreadsheets/d/1kII0BjS6CtVrBvI8IrytgPdxDrlyQDyigzMsohRtDMs/edit?usp=sharing"",""อุทัยธานี!J607"")"),18)</f>
        <v>18</v>
      </c>
      <c r="CE30" s="142">
        <f ca="1">IFERROR(__xludf.DUMMYFUNCTION("IMPORTRANGE(""https://docs.google.com/spreadsheets/d/1kII0BjS6CtVrBvI8IrytgPdxDrlyQDyigzMsohRtDMs/edit?usp=sharing"",""อุทัยธานี!J608"")"),1)</f>
        <v>1</v>
      </c>
      <c r="CF30" s="75">
        <f ca="1">IFERROR(__xludf.DUMMYFUNCTION("IMPORTRANGE(""https://docs.google.com/spreadsheets/d/1kII0BjS6CtVrBvI8IrytgPdxDrlyQDyigzMsohRtDMs/edit?usp=sharing"",""อุทัยธานี!J609"")"),0)</f>
        <v>0</v>
      </c>
      <c r="CG30" s="142">
        <f ca="1">IFERROR(__xludf.DUMMYFUNCTION("IMPORTRANGE(""https://docs.google.com/spreadsheets/d/1kII0BjS6CtVrBvI8IrytgPdxDrlyQDyigzMsohRtDMs/edit?usp=sharing"",""อุทัยธานี!J610"")"),0)</f>
        <v>0</v>
      </c>
      <c r="CH30" s="142">
        <f ca="1">IFERROR(__xludf.DUMMYFUNCTION("IMPORTRANGE(""https://docs.google.com/spreadsheets/d/1kII0BjS6CtVrBvI8IrytgPdxDrlyQDyigzMsohRtDMs/edit?usp=sharing"",""อุทัยธานี!I612"")"),0)</f>
        <v>0</v>
      </c>
      <c r="CI30" s="142">
        <f ca="1">IFERROR(__xludf.DUMMYFUNCTION("IMPORTRANGE(""https://docs.google.com/spreadsheets/d/1kII0BjS6CtVrBvI8IrytgPdxDrlyQDyigzMsohRtDMs/edit?usp=sharing"",""อุทัยธานี!I594"")"),358)</f>
        <v>358</v>
      </c>
      <c r="CJ30" s="143">
        <f ca="1">IFERROR(__xludf.DUMMYFUNCTION("IMPORTRANGE(""https://docs.google.com/spreadsheets/d/1kII0BjS6CtVrBvI8IrytgPdxDrlyQDyigzMsohRtDMs/edit?usp=sharing"",""อุทัยธานี!J612"")"),0)</f>
        <v>0</v>
      </c>
      <c r="CK30" s="143">
        <f t="shared" ca="1" si="41"/>
        <v>0</v>
      </c>
      <c r="CL30" s="142">
        <f ca="1">IFERROR(__xludf.DUMMYFUNCTION("IMPORTRANGE(""https://docs.google.com/spreadsheets/d/1kII0BjS6CtVrBvI8IrytgPdxDrlyQDyigzMsohRtDMs/edit?usp=sharing"",""อุทัยธานี!J613"")"),0)</f>
        <v>0</v>
      </c>
      <c r="CM30" s="143">
        <f t="shared" ca="1" si="19"/>
        <v>0</v>
      </c>
      <c r="CN30" s="75">
        <f ca="1">IFERROR(__xludf.DUMMYFUNCTION("IMPORTRANGE(""https://docs.google.com/spreadsheets/d/1kII0BjS6CtVrBvI8IrytgPdxDrlyQDyigzMsohRtDMs/edit?usp=sharing"",""อุทัยธานี!J614"")"),0)</f>
        <v>0</v>
      </c>
      <c r="CO30" s="142">
        <f ca="1">IFERROR(__xludf.DUMMYFUNCTION("IMPORTRANGE(""https://docs.google.com/spreadsheets/d/1kII0BjS6CtVrBvI8IrytgPdxDrlyQDyigzMsohRtDMs/edit?usp=sharing"",""อุทัยธานี!J615"")"),0)</f>
        <v>0</v>
      </c>
      <c r="CP30" s="75">
        <f ca="1">IFERROR(__xludf.DUMMYFUNCTION("IMPORTRANGE(""https://docs.google.com/spreadsheets/d/1kII0BjS6CtVrBvI8IrytgPdxDrlyQDyigzMsohRtDMs/edit?usp=sharing"",""อุทัยธานี!J616"")"),0)</f>
        <v>0</v>
      </c>
      <c r="CQ30" s="142">
        <f ca="1">IFERROR(__xludf.DUMMYFUNCTION("IMPORTRANGE(""https://docs.google.com/spreadsheets/d/1kII0BjS6CtVrBvI8IrytgPdxDrlyQDyigzMsohRtDMs/edit?usp=sharing"",""อุทัยธานี!J617"")"),0)</f>
        <v>0</v>
      </c>
      <c r="CR30" s="142">
        <f ca="1">IFERROR(__xludf.DUMMYFUNCTION("IMPORTRANGE(""https://docs.google.com/spreadsheets/d/1kII0BjS6CtVrBvI8IrytgPdxDrlyQDyigzMsohRtDMs/edit?usp=sharing"",""อุทัยธานี!I620"")"),369)</f>
        <v>369</v>
      </c>
      <c r="CS30" s="142">
        <f ca="1">IFERROR(__xludf.DUMMYFUNCTION("IMPORTRANGE(""https://docs.google.com/spreadsheets/d/1kII0BjS6CtVrBvI8IrytgPdxDrlyQDyigzMsohRtDMs/edit?usp=sharing"",""อุทัยธานี!I621"")"),11)</f>
        <v>11</v>
      </c>
      <c r="CT30" s="143">
        <f ca="1">IFERROR(__xludf.DUMMYFUNCTION("IMPORTRANGE(""https://docs.google.com/spreadsheets/d/1kII0BjS6CtVrBvI8IrytgPdxDrlyQDyigzMsohRtDMs/edit?usp=sharing"",""อุทัยธานี!J620"")"),169)</f>
        <v>169</v>
      </c>
      <c r="CU30" s="143">
        <f t="shared" ca="1" si="42"/>
        <v>45.799457994579946</v>
      </c>
      <c r="CV30" s="142">
        <f ca="1">IFERROR(__xludf.DUMMYFUNCTION("IMPORTRANGE(""https://docs.google.com/spreadsheets/d/1kII0BjS6CtVrBvI8IrytgPdxDrlyQDyigzMsohRtDMs/edit?usp=sharing"",""อุทัยธานี!J621"")"),4)</f>
        <v>4</v>
      </c>
      <c r="CW30" s="143">
        <f t="shared" ca="1" si="22"/>
        <v>36.363636363636367</v>
      </c>
      <c r="CX30" s="75">
        <f ca="1">IFERROR(__xludf.DUMMYFUNCTION("IMPORTRANGE(""https://docs.google.com/spreadsheets/d/1kII0BjS6CtVrBvI8IrytgPdxDrlyQDyigzMsohRtDMs/edit?usp=sharing"",""อุทัยธานี!J622"")"),169)</f>
        <v>169</v>
      </c>
      <c r="CY30" s="142">
        <f ca="1">IFERROR(__xludf.DUMMYFUNCTION("IMPORTRANGE(""https://docs.google.com/spreadsheets/d/1kII0BjS6CtVrBvI8IrytgPdxDrlyQDyigzMsohRtDMs/edit?usp=sharing"",""อุทัยธานี!J623"")"),4)</f>
        <v>4</v>
      </c>
      <c r="CZ30" s="75">
        <f ca="1">IFERROR(__xludf.DUMMYFUNCTION("IMPORTRANGE(""https://docs.google.com/spreadsheets/d/1kII0BjS6CtVrBvI8IrytgPdxDrlyQDyigzMsohRtDMs/edit?usp=sharing"",""อุทัยธานี!J624"")"),0)</f>
        <v>0</v>
      </c>
      <c r="DA30" s="142">
        <f ca="1">IFERROR(__xludf.DUMMYFUNCTION("IMPORTRANGE(""https://docs.google.com/spreadsheets/d/1kII0BjS6CtVrBvI8IrytgPdxDrlyQDyigzMsohRtDMs/edit?usp=sharing"",""อุทัยธานี!J625"")"),0)</f>
        <v>0</v>
      </c>
      <c r="DB30" s="75">
        <f ca="1">IFERROR(__xludf.DUMMYFUNCTION("IMPORTRANGE(""https://docs.google.com/spreadsheets/d/1kII0BjS6CtVrBvI8IrytgPdxDrlyQDyigzMsohRtDMs/edit?usp=sharing"",""อุทัยธานี!J626"")"),0)</f>
        <v>0</v>
      </c>
      <c r="DC30" s="142">
        <f ca="1">IFERROR(__xludf.DUMMYFUNCTION("IMPORTRANGE(""https://docs.google.com/spreadsheets/d/1kII0BjS6CtVrBvI8IrytgPdxDrlyQDyigzMsohRtDMs/edit?usp=sharing"",""อุทัยธานี!J627"")"),0)</f>
        <v>0</v>
      </c>
    </row>
    <row r="31" spans="1:107" ht="21" customHeight="1" x14ac:dyDescent="0.3">
      <c r="A31" s="177" t="s">
        <v>52</v>
      </c>
      <c r="B31" s="178"/>
      <c r="C31" s="76">
        <f t="shared" ref="C31:G31" ca="1" si="57">SUM(C32:C51)</f>
        <v>9848653</v>
      </c>
      <c r="D31" s="34">
        <f t="shared" ca="1" si="57"/>
        <v>9848653</v>
      </c>
      <c r="E31" s="34">
        <f t="shared" ca="1" si="57"/>
        <v>0</v>
      </c>
      <c r="F31" s="34">
        <f t="shared" ca="1" si="57"/>
        <v>9848653</v>
      </c>
      <c r="G31" s="34">
        <f t="shared" ca="1" si="57"/>
        <v>0</v>
      </c>
      <c r="H31" s="34">
        <f t="shared" ca="1" si="36"/>
        <v>4898921.6399999997</v>
      </c>
      <c r="I31" s="35">
        <f t="shared" ca="1" si="1"/>
        <v>49.742047364243611</v>
      </c>
      <c r="J31" s="34">
        <f ca="1">SUM(J32:J51)</f>
        <v>4898921.6399999997</v>
      </c>
      <c r="K31" s="35">
        <f t="shared" ca="1" si="44"/>
        <v>49.742047364243611</v>
      </c>
      <c r="L31" s="35">
        <f t="shared" ca="1" si="45"/>
        <v>49.742047364243611</v>
      </c>
      <c r="M31" s="34">
        <f t="shared" ref="M31:R31" ca="1" si="58">SUM(M32:M51)</f>
        <v>0</v>
      </c>
      <c r="N31" s="34">
        <f t="shared" ca="1" si="58"/>
        <v>44990</v>
      </c>
      <c r="O31" s="34">
        <f t="shared" ca="1" si="58"/>
        <v>1350413.52</v>
      </c>
      <c r="P31" s="34">
        <f t="shared" ca="1" si="58"/>
        <v>3486801.12</v>
      </c>
      <c r="Q31" s="34">
        <f t="shared" ca="1" si="58"/>
        <v>16717</v>
      </c>
      <c r="R31" s="36">
        <f t="shared" ca="1" si="58"/>
        <v>0</v>
      </c>
      <c r="S31" s="36">
        <f t="shared" ca="1" si="47"/>
        <v>0</v>
      </c>
      <c r="T31" s="34">
        <f t="shared" ref="T31:V31" ca="1" si="59">SUM(T32:T51)</f>
        <v>1172953</v>
      </c>
      <c r="U31" s="34">
        <f t="shared" ca="1" si="59"/>
        <v>126167</v>
      </c>
      <c r="V31" s="37">
        <f t="shared" ca="1" si="59"/>
        <v>1173146.5699999998</v>
      </c>
      <c r="W31" s="37">
        <f t="shared" ca="1" si="37"/>
        <v>100.01650279252449</v>
      </c>
      <c r="X31" s="34">
        <f ca="1">SUM(X32:X51)</f>
        <v>126190</v>
      </c>
      <c r="Y31" s="37">
        <f t="shared" ca="1" si="7"/>
        <v>100.01822980652626</v>
      </c>
      <c r="Z31" s="37">
        <f t="shared" ref="Z31:AH31" ca="1" si="60">SUM(Z32:Z51)</f>
        <v>930045.8899999999</v>
      </c>
      <c r="AA31" s="113">
        <f t="shared" ca="1" si="60"/>
        <v>105007</v>
      </c>
      <c r="AB31" s="37">
        <f t="shared" ca="1" si="60"/>
        <v>203884.97500000001</v>
      </c>
      <c r="AC31" s="113">
        <f t="shared" ca="1" si="60"/>
        <v>17194</v>
      </c>
      <c r="AD31" s="37">
        <f t="shared" ca="1" si="60"/>
        <v>39215.705000000002</v>
      </c>
      <c r="AE31" s="113">
        <f t="shared" ca="1" si="60"/>
        <v>3989</v>
      </c>
      <c r="AF31" s="34">
        <f t="shared" ca="1" si="60"/>
        <v>1172953</v>
      </c>
      <c r="AG31" s="34">
        <f t="shared" ca="1" si="60"/>
        <v>126167</v>
      </c>
      <c r="AH31" s="37">
        <f t="shared" ca="1" si="60"/>
        <v>1150823.3795</v>
      </c>
      <c r="AI31" s="37">
        <f t="shared" ca="1" si="38"/>
        <v>98.113341242146959</v>
      </c>
      <c r="AJ31" s="34">
        <f ca="1">SUM(AJ32:AJ51)</f>
        <v>124347</v>
      </c>
      <c r="AK31" s="37">
        <f t="shared" ca="1" si="10"/>
        <v>98.557467483573362</v>
      </c>
      <c r="AL31" s="37">
        <f t="shared" ref="AL31:AT31" ca="1" si="61">SUM(AL32:AL51)</f>
        <v>949665.54349999991</v>
      </c>
      <c r="AM31" s="113">
        <f t="shared" ca="1" si="61"/>
        <v>107020</v>
      </c>
      <c r="AN31" s="37">
        <f t="shared" ca="1" si="61"/>
        <v>159588.60799999998</v>
      </c>
      <c r="AO31" s="113">
        <f t="shared" ca="1" si="61"/>
        <v>12992</v>
      </c>
      <c r="AP31" s="37">
        <f t="shared" ca="1" si="61"/>
        <v>41569.227999999996</v>
      </c>
      <c r="AQ31" s="113">
        <f t="shared" ca="1" si="61"/>
        <v>4335</v>
      </c>
      <c r="AR31" s="34">
        <f t="shared" ca="1" si="61"/>
        <v>1172953</v>
      </c>
      <c r="AS31" s="34">
        <f t="shared" ca="1" si="61"/>
        <v>126167</v>
      </c>
      <c r="AT31" s="37">
        <f t="shared" ca="1" si="61"/>
        <v>606611.01899999997</v>
      </c>
      <c r="AU31" s="37">
        <f t="shared" ca="1" si="39"/>
        <v>51.716566563195627</v>
      </c>
      <c r="AV31" s="34">
        <f ca="1">SUM(AV32:AV51)</f>
        <v>60260</v>
      </c>
      <c r="AW31" s="37">
        <f t="shared" ca="1" si="13"/>
        <v>47.762093098829332</v>
      </c>
      <c r="AX31" s="37">
        <f t="shared" ref="AX31:BN31" ca="1" si="62">SUM(AX32:AX51)</f>
        <v>509343.96100000001</v>
      </c>
      <c r="AY31" s="113">
        <f t="shared" ca="1" si="62"/>
        <v>52605</v>
      </c>
      <c r="AZ31" s="37">
        <f t="shared" ca="1" si="62"/>
        <v>77692.285000000003</v>
      </c>
      <c r="BA31" s="113">
        <f t="shared" ca="1" si="62"/>
        <v>5890</v>
      </c>
      <c r="BB31" s="37">
        <f t="shared" ca="1" si="62"/>
        <v>19476.77299999999</v>
      </c>
      <c r="BC31" s="113">
        <f t="shared" ca="1" si="62"/>
        <v>1737</v>
      </c>
      <c r="BD31" s="135">
        <f t="shared" ca="1" si="62"/>
        <v>19275.940499999997</v>
      </c>
      <c r="BE31" s="113">
        <f t="shared" ca="1" si="62"/>
        <v>1719</v>
      </c>
      <c r="BF31" s="135">
        <f t="shared" ca="1" si="62"/>
        <v>200.83250000000001</v>
      </c>
      <c r="BG31" s="113">
        <f t="shared" ca="1" si="62"/>
        <v>18</v>
      </c>
      <c r="BH31" s="37">
        <f t="shared" ca="1" si="62"/>
        <v>98</v>
      </c>
      <c r="BI31" s="113">
        <f t="shared" ca="1" si="62"/>
        <v>28</v>
      </c>
      <c r="BJ31" s="37">
        <f t="shared" ca="1" si="62"/>
        <v>0</v>
      </c>
      <c r="BK31" s="113">
        <f t="shared" ca="1" si="62"/>
        <v>0</v>
      </c>
      <c r="BL31" s="34">
        <f t="shared" ca="1" si="62"/>
        <v>78677.900000000009</v>
      </c>
      <c r="BM31" s="34">
        <f t="shared" ca="1" si="62"/>
        <v>6904</v>
      </c>
      <c r="BN31" s="37">
        <f t="shared" ca="1" si="62"/>
        <v>10038.43</v>
      </c>
      <c r="BO31" s="37">
        <f t="shared" ca="1" si="40"/>
        <v>12.758894174857232</v>
      </c>
      <c r="BP31" s="34">
        <f ca="1">SUM(BP32:BP51)</f>
        <v>1186</v>
      </c>
      <c r="BQ31" s="37">
        <f t="shared" ca="1" si="16"/>
        <v>17.178447276940904</v>
      </c>
      <c r="BR31" s="37">
        <f t="shared" ref="BR31:CJ31" ca="1" si="63">SUM(BR32:BR51)</f>
        <v>9344.86</v>
      </c>
      <c r="BS31" s="113">
        <f t="shared" ca="1" si="63"/>
        <v>1125</v>
      </c>
      <c r="BT31" s="37">
        <f t="shared" ca="1" si="63"/>
        <v>6351.86</v>
      </c>
      <c r="BU31" s="113">
        <f t="shared" ca="1" si="63"/>
        <v>869</v>
      </c>
      <c r="BV31" s="37">
        <f t="shared" ca="1" si="63"/>
        <v>2993</v>
      </c>
      <c r="BW31" s="113">
        <f t="shared" ca="1" si="63"/>
        <v>256</v>
      </c>
      <c r="BX31" s="135">
        <f t="shared" ca="1" si="63"/>
        <v>149</v>
      </c>
      <c r="BY31" s="113">
        <f t="shared" ca="1" si="63"/>
        <v>10</v>
      </c>
      <c r="BZ31" s="37">
        <f t="shared" ca="1" si="63"/>
        <v>607.32000000000005</v>
      </c>
      <c r="CA31" s="113">
        <f t="shared" ca="1" si="63"/>
        <v>51</v>
      </c>
      <c r="CB31" s="37">
        <f t="shared" ca="1" si="63"/>
        <v>274.32</v>
      </c>
      <c r="CC31" s="113">
        <f t="shared" ca="1" si="63"/>
        <v>29</v>
      </c>
      <c r="CD31" s="37">
        <f t="shared" ca="1" si="63"/>
        <v>333</v>
      </c>
      <c r="CE31" s="113">
        <f t="shared" ca="1" si="63"/>
        <v>19</v>
      </c>
      <c r="CF31" s="37">
        <f t="shared" ca="1" si="63"/>
        <v>86.25</v>
      </c>
      <c r="CG31" s="113">
        <f t="shared" ca="1" si="63"/>
        <v>10</v>
      </c>
      <c r="CH31" s="113">
        <f t="shared" ca="1" si="63"/>
        <v>0</v>
      </c>
      <c r="CI31" s="113">
        <f t="shared" ca="1" si="63"/>
        <v>6904</v>
      </c>
      <c r="CJ31" s="135">
        <f t="shared" ca="1" si="63"/>
        <v>0</v>
      </c>
      <c r="CK31" s="135">
        <f t="shared" ca="1" si="41"/>
        <v>0</v>
      </c>
      <c r="CL31" s="113">
        <f ca="1">SUM(CL32:CL51)</f>
        <v>0</v>
      </c>
      <c r="CM31" s="135">
        <f t="shared" ca="1" si="19"/>
        <v>0</v>
      </c>
      <c r="CN31" s="37">
        <f t="shared" ref="CN31:CT31" ca="1" si="64">SUM(CN32:CN51)</f>
        <v>0</v>
      </c>
      <c r="CO31" s="113">
        <f t="shared" ca="1" si="64"/>
        <v>0</v>
      </c>
      <c r="CP31" s="37">
        <f t="shared" ca="1" si="64"/>
        <v>0</v>
      </c>
      <c r="CQ31" s="113">
        <f t="shared" ca="1" si="64"/>
        <v>0</v>
      </c>
      <c r="CR31" s="113">
        <f t="shared" ca="1" si="64"/>
        <v>1588</v>
      </c>
      <c r="CS31" s="113">
        <f t="shared" ca="1" si="64"/>
        <v>126</v>
      </c>
      <c r="CT31" s="135">
        <f t="shared" ca="1" si="64"/>
        <v>692</v>
      </c>
      <c r="CU31" s="135">
        <f t="shared" ca="1" si="42"/>
        <v>43.576826196473554</v>
      </c>
      <c r="CV31" s="113">
        <f ca="1">SUM(CV32:CV51)</f>
        <v>69</v>
      </c>
      <c r="CW31" s="135">
        <f t="shared" ca="1" si="22"/>
        <v>54.761904761904759</v>
      </c>
      <c r="CX31" s="37">
        <f t="shared" ref="CX31:DC31" ca="1" si="65">SUM(CX32:CX51)</f>
        <v>408</v>
      </c>
      <c r="CY31" s="113">
        <f t="shared" ca="1" si="65"/>
        <v>32</v>
      </c>
      <c r="CZ31" s="37">
        <f t="shared" ca="1" si="65"/>
        <v>275</v>
      </c>
      <c r="DA31" s="113">
        <f t="shared" ca="1" si="65"/>
        <v>34</v>
      </c>
      <c r="DB31" s="37">
        <f t="shared" ca="1" si="65"/>
        <v>9</v>
      </c>
      <c r="DC31" s="113">
        <f t="shared" ca="1" si="65"/>
        <v>3</v>
      </c>
    </row>
    <row r="32" spans="1:107" ht="21" customHeight="1" x14ac:dyDescent="0.3">
      <c r="A32" s="54">
        <v>1</v>
      </c>
      <c r="B32" s="55" t="s">
        <v>53</v>
      </c>
      <c r="C32" s="56">
        <f t="shared" ref="C32:C51" ca="1" si="66">D32+E32</f>
        <v>406544</v>
      </c>
      <c r="D32" s="57">
        <f ca="1">IFERROR(__xludf.DUMMYFUNCTION("IMPORTRANGE(""https://docs.google.com/spreadsheets/d/1fb2B9NLcpJgjIieIJvenUTNPn0TimZDUi0OtYeiSQ_s/edit?usp=sharing"",""กาฬสินธุ์!L549"")"),406544)</f>
        <v>406544</v>
      </c>
      <c r="E32" s="57">
        <f ca="1">IFERROR(__xludf.DUMMYFUNCTION("IMPORTRANGE(""https://docs.google.com/spreadsheets/d/1fb2B9NLcpJgjIieIJvenUTNPn0TimZDUi0OtYeiSQ_s/edit?usp=sharing"",""กาฬสินธุ์!L557"")"),0)</f>
        <v>0</v>
      </c>
      <c r="F32" s="57">
        <f ca="1">IFERROR(__xludf.DUMMYFUNCTION("IMPORTRANGE(""https://docs.google.com/spreadsheets/d/1fb2B9NLcpJgjIieIJvenUTNPn0TimZDUi0OtYeiSQ_s/edit?usp=sharing"",""กาฬสินธุ์!M549"")"),406544)</f>
        <v>406544</v>
      </c>
      <c r="G32" s="57">
        <f ca="1">IFERROR(__xludf.DUMMYFUNCTION("IMPORTRANGE(""https://docs.google.com/spreadsheets/d/1fb2B9NLcpJgjIieIJvenUTNPn0TimZDUi0OtYeiSQ_s/edit?usp=sharing"",""กาฬสินธุ์!M557"")"),0)</f>
        <v>0</v>
      </c>
      <c r="H32" s="58">
        <f t="shared" ca="1" si="36"/>
        <v>179927</v>
      </c>
      <c r="I32" s="59">
        <f t="shared" ca="1" si="1"/>
        <v>44.257694124129245</v>
      </c>
      <c r="J32" s="60">
        <f t="shared" ref="J32:J51" ca="1" si="67">M32+N32+O32+P32+Q32</f>
        <v>179927</v>
      </c>
      <c r="K32" s="61">
        <f t="shared" ca="1" si="44"/>
        <v>44.257694124129245</v>
      </c>
      <c r="L32" s="61">
        <f t="shared" ca="1" si="45"/>
        <v>44.257694124129245</v>
      </c>
      <c r="M32" s="57">
        <f ca="1">IFERROR(__xludf.DUMMYFUNCTION("IMPORTRANGE(""https://docs.google.com/spreadsheets/d/1fb2B9NLcpJgjIieIJvenUTNPn0TimZDUi0OtYeiSQ_s/edit?usp=sharing"",""กาฬสินธุ์!N550"")"),0)</f>
        <v>0</v>
      </c>
      <c r="N32" s="57">
        <f ca="1">IFERROR(__xludf.DUMMYFUNCTION("IMPORTRANGE(""https://docs.google.com/spreadsheets/d/1fb2B9NLcpJgjIieIJvenUTNPn0TimZDUi0OtYeiSQ_s/edit?usp=sharing"",""กาฬสินธุ์!N551"")"),0)</f>
        <v>0</v>
      </c>
      <c r="O32" s="57">
        <f ca="1">IFERROR(__xludf.DUMMYFUNCTION("IMPORTRANGE(""https://docs.google.com/spreadsheets/d/1fb2B9NLcpJgjIieIJvenUTNPn0TimZDUi0OtYeiSQ_s/edit?usp=sharing"",""กาฬสินธุ์!N552"")"),52000)</f>
        <v>52000</v>
      </c>
      <c r="P32" s="57">
        <f ca="1">IFERROR(__xludf.DUMMYFUNCTION("IMPORTRANGE(""https://docs.google.com/spreadsheets/d/1fb2B9NLcpJgjIieIJvenUTNPn0TimZDUi0OtYeiSQ_s/edit?usp=sharing"",""กาฬสินธุ์!N553"")"),127927)</f>
        <v>127927</v>
      </c>
      <c r="Q32" s="57">
        <f ca="1">IFERROR(__xludf.DUMMYFUNCTION("IMPORTRANGE(""https://docs.google.com/spreadsheets/d/1fb2B9NLcpJgjIieIJvenUTNPn0TimZDUi0OtYeiSQ_s/edit?usp=sharing"",""กาฬสินธุ์!N554"")"),0)</f>
        <v>0</v>
      </c>
      <c r="R32" s="62">
        <f ca="1">IFERROR(__xludf.DUMMYFUNCTION("IMPORTRANGE(""https://docs.google.com/spreadsheets/d/1fb2B9NLcpJgjIieIJvenUTNPn0TimZDUi0OtYeiSQ_s/edit?usp=sharing"",""กาฬสินธุ์!N557"")"),0)</f>
        <v>0</v>
      </c>
      <c r="S32" s="62">
        <f t="shared" ca="1" si="47"/>
        <v>0</v>
      </c>
      <c r="T32" s="57">
        <f ca="1">IFERROR(__xludf.DUMMYFUNCTION("IMPORTRANGE(""https://docs.google.com/spreadsheets/d/1fb2B9NLcpJgjIieIJvenUTNPn0TimZDUi0OtYeiSQ_s/edit?usp=sharing"",""กาฬสินธุ์!I560"")"),43969)</f>
        <v>43969</v>
      </c>
      <c r="U32" s="57">
        <f ca="1">IFERROR(__xludf.DUMMYFUNCTION("IMPORTRANGE(""https://docs.google.com/spreadsheets/d/1fb2B9NLcpJgjIieIJvenUTNPn0TimZDUi0OtYeiSQ_s/edit?usp=sharing"",""กาฬสินธุ์!I561"")"),4713)</f>
        <v>4713</v>
      </c>
      <c r="V32" s="63">
        <f ca="1">IFERROR(__xludf.DUMMYFUNCTION("IMPORTRANGE(""https://docs.google.com/spreadsheets/d/1fb2B9NLcpJgjIieIJvenUTNPn0TimZDUi0OtYeiSQ_s/edit?usp=sharing"",""กาฬสินธุ์!J560"")"),43969)</f>
        <v>43969</v>
      </c>
      <c r="W32" s="63">
        <f t="shared" ca="1" si="37"/>
        <v>100</v>
      </c>
      <c r="X32" s="57">
        <f ca="1">IFERROR(__xludf.DUMMYFUNCTION("IMPORTRANGE(""https://docs.google.com/spreadsheets/d/1fb2B9NLcpJgjIieIJvenUTNPn0TimZDUi0OtYeiSQ_s/edit?usp=sharing"",""กาฬสินธุ์!J561"")"),4713)</f>
        <v>4713</v>
      </c>
      <c r="Y32" s="63">
        <f t="shared" ca="1" si="7"/>
        <v>100</v>
      </c>
      <c r="Z32" s="63">
        <f ca="1">IFERROR(__xludf.DUMMYFUNCTION("IMPORTRANGE(""https://docs.google.com/spreadsheets/d/1fb2B9NLcpJgjIieIJvenUTNPn0TimZDUi0OtYeiSQ_s/edit?usp=sharing"",""กาฬสินธุ์!J562"")"),34293)</f>
        <v>34293</v>
      </c>
      <c r="AA32" s="140">
        <f ca="1">IFERROR(__xludf.DUMMYFUNCTION("IMPORTRANGE(""https://docs.google.com/spreadsheets/d/1fb2B9NLcpJgjIieIJvenUTNPn0TimZDUi0OtYeiSQ_s/edit?usp=sharing"",""กาฬสินธุ์!J563"")"),3886)</f>
        <v>3886</v>
      </c>
      <c r="AB32" s="63">
        <f ca="1">IFERROR(__xludf.DUMMYFUNCTION("IMPORTRANGE(""https://docs.google.com/spreadsheets/d/1fb2B9NLcpJgjIieIJvenUTNPn0TimZDUi0OtYeiSQ_s/edit?usp=sharing"",""กาฬสินธุ์!J564"")"),8547)</f>
        <v>8547</v>
      </c>
      <c r="AC32" s="140">
        <f ca="1">IFERROR(__xludf.DUMMYFUNCTION("IMPORTRANGE(""https://docs.google.com/spreadsheets/d/1fb2B9NLcpJgjIieIJvenUTNPn0TimZDUi0OtYeiSQ_s/edit?usp=sharing"",""กาฬสินธุ์!J565"")"),699)</f>
        <v>699</v>
      </c>
      <c r="AD32" s="63">
        <f ca="1">IFERROR(__xludf.DUMMYFUNCTION("IMPORTRANGE(""https://docs.google.com/spreadsheets/d/1fb2B9NLcpJgjIieIJvenUTNPn0TimZDUi0OtYeiSQ_s/edit?usp=sharing"",""กาฬสินธุ์!J566"")"),1129)</f>
        <v>1129</v>
      </c>
      <c r="AE32" s="140">
        <f ca="1">IFERROR(__xludf.DUMMYFUNCTION("IMPORTRANGE(""https://docs.google.com/spreadsheets/d/1fb2B9NLcpJgjIieIJvenUTNPn0TimZDUi0OtYeiSQ_s/edit?usp=sharing"",""กาฬสินธุ์!J567"")"),128)</f>
        <v>128</v>
      </c>
      <c r="AF32" s="57">
        <f ca="1">IFERROR(__xludf.DUMMYFUNCTION("IMPORTRANGE(""https://docs.google.com/spreadsheets/d/1fb2B9NLcpJgjIieIJvenUTNPn0TimZDUi0OtYeiSQ_s/edit?usp=sharing"",""กาฬสินธุ์!I568"")"),43969)</f>
        <v>43969</v>
      </c>
      <c r="AG32" s="57">
        <f ca="1">IFERROR(__xludf.DUMMYFUNCTION("IMPORTRANGE(""https://docs.google.com/spreadsheets/d/1fb2B9NLcpJgjIieIJvenUTNPn0TimZDUi0OtYeiSQ_s/edit?usp=sharing"",""กาฬสินธุ์!I569"")"),4713)</f>
        <v>4713</v>
      </c>
      <c r="AH32" s="63">
        <f ca="1">IFERROR(__xludf.DUMMYFUNCTION("IMPORTRANGE(""https://docs.google.com/spreadsheets/d/1fb2B9NLcpJgjIieIJvenUTNPn0TimZDUi0OtYeiSQ_s/edit?usp=sharing"",""กาฬสินธุ์!J568"")"),43969)</f>
        <v>43969</v>
      </c>
      <c r="AI32" s="63">
        <f t="shared" ca="1" si="38"/>
        <v>100</v>
      </c>
      <c r="AJ32" s="57">
        <f ca="1">IFERROR(__xludf.DUMMYFUNCTION("IMPORTRANGE(""https://docs.google.com/spreadsheets/d/1fb2B9NLcpJgjIieIJvenUTNPn0TimZDUi0OtYeiSQ_s/edit?usp=sharing"",""กาฬสินธุ์!J569"")"),4713)</f>
        <v>4713</v>
      </c>
      <c r="AK32" s="63">
        <f t="shared" ca="1" si="10"/>
        <v>100</v>
      </c>
      <c r="AL32" s="63">
        <f ca="1">IFERROR(__xludf.DUMMYFUNCTION("IMPORTRANGE(""https://docs.google.com/spreadsheets/d/1fb2B9NLcpJgjIieIJvenUTNPn0TimZDUi0OtYeiSQ_s/edit?usp=sharing"",""กาฬสินธุ์!J570"")"),35160)</f>
        <v>35160</v>
      </c>
      <c r="AM32" s="140">
        <f ca="1">IFERROR(__xludf.DUMMYFUNCTION("IMPORTRANGE(""https://docs.google.com/spreadsheets/d/1fb2B9NLcpJgjIieIJvenUTNPn0TimZDUi0OtYeiSQ_s/edit?usp=sharing"",""กาฬสินธุ์!J571"")"),3964)</f>
        <v>3964</v>
      </c>
      <c r="AN32" s="63">
        <f ca="1">IFERROR(__xludf.DUMMYFUNCTION("IMPORTRANGE(""https://docs.google.com/spreadsheets/d/1fb2B9NLcpJgjIieIJvenUTNPn0TimZDUi0OtYeiSQ_s/edit?usp=sharing"",""กาฬสินธุ์!J572"")"),7571)</f>
        <v>7571</v>
      </c>
      <c r="AO32" s="140">
        <f ca="1">IFERROR(__xludf.DUMMYFUNCTION("IMPORTRANGE(""https://docs.google.com/spreadsheets/d/1fb2B9NLcpJgjIieIJvenUTNPn0TimZDUi0OtYeiSQ_s/edit?usp=sharing"",""กาฬสินธุ์!J573"")"),613)</f>
        <v>613</v>
      </c>
      <c r="AP32" s="63">
        <f ca="1">IFERROR(__xludf.DUMMYFUNCTION("IMPORTRANGE(""https://docs.google.com/spreadsheets/d/1fb2B9NLcpJgjIieIJvenUTNPn0TimZDUi0OtYeiSQ_s/edit?usp=sharing"",""กาฬสินธุ์!J574"")"),1238)</f>
        <v>1238</v>
      </c>
      <c r="AQ32" s="140">
        <f ca="1">IFERROR(__xludf.DUMMYFUNCTION("IMPORTRANGE(""https://docs.google.com/spreadsheets/d/1fb2B9NLcpJgjIieIJvenUTNPn0TimZDUi0OtYeiSQ_s/edit?usp=sharing"",""กาฬสินธุ์!J575"")"),136)</f>
        <v>136</v>
      </c>
      <c r="AR32" s="57">
        <f ca="1">IFERROR(__xludf.DUMMYFUNCTION("IMPORTRANGE(""https://docs.google.com/spreadsheets/d/1fb2B9NLcpJgjIieIJvenUTNPn0TimZDUi0OtYeiSQ_s/edit?usp=sharing"",""กาฬสินธุ์!I576"")"),43969)</f>
        <v>43969</v>
      </c>
      <c r="AS32" s="57">
        <f ca="1">IFERROR(__xludf.DUMMYFUNCTION("IMPORTRANGE(""https://docs.google.com/spreadsheets/d/1fb2B9NLcpJgjIieIJvenUTNPn0TimZDUi0OtYeiSQ_s/edit?usp=sharing"",""กาฬสินธุ์!I577"")"),4713)</f>
        <v>4713</v>
      </c>
      <c r="AT32" s="63">
        <f ca="1">IFERROR(__xludf.DUMMYFUNCTION("IMPORTRANGE(""https://docs.google.com/spreadsheets/d/1fb2B9NLcpJgjIieIJvenUTNPn0TimZDUi0OtYeiSQ_s/edit?usp=sharing"",""กาฬสินธุ์!J576"")"),0)</f>
        <v>0</v>
      </c>
      <c r="AU32" s="63">
        <f t="shared" ca="1" si="39"/>
        <v>0</v>
      </c>
      <c r="AV32" s="57">
        <f ca="1">IFERROR(__xludf.DUMMYFUNCTION("IMPORTRANGE(""https://docs.google.com/spreadsheets/d/1fb2B9NLcpJgjIieIJvenUTNPn0TimZDUi0OtYeiSQ_s/edit?usp=sharing"",""กาฬสินธุ์!J577"")"),0)</f>
        <v>0</v>
      </c>
      <c r="AW32" s="63">
        <f t="shared" ca="1" si="13"/>
        <v>0</v>
      </c>
      <c r="AX32" s="63">
        <f ca="1">IFERROR(__xludf.DUMMYFUNCTION("IMPORTRANGE(""https://docs.google.com/spreadsheets/d/1fb2B9NLcpJgjIieIJvenUTNPn0TimZDUi0OtYeiSQ_s/edit?usp=sharing"",""กาฬสินธุ์!J578"")"),0)</f>
        <v>0</v>
      </c>
      <c r="AY32" s="140">
        <f ca="1">IFERROR(__xludf.DUMMYFUNCTION("IMPORTRANGE(""https://docs.google.com/spreadsheets/d/1fb2B9NLcpJgjIieIJvenUTNPn0TimZDUi0OtYeiSQ_s/edit?usp=sharing"",""กาฬสินธุ์!J579"")"),0)</f>
        <v>0</v>
      </c>
      <c r="AZ32" s="63">
        <f ca="1">IFERROR(__xludf.DUMMYFUNCTION("IMPORTRANGE(""https://docs.google.com/spreadsheets/d/1fb2B9NLcpJgjIieIJvenUTNPn0TimZDUi0OtYeiSQ_s/edit?usp=sharing"",""กาฬสินธุ์!J580"")"),0)</f>
        <v>0</v>
      </c>
      <c r="BA32" s="140">
        <f ca="1">IFERROR(__xludf.DUMMYFUNCTION("IMPORTRANGE(""https://docs.google.com/spreadsheets/d/1fb2B9NLcpJgjIieIJvenUTNPn0TimZDUi0OtYeiSQ_s/edit?usp=sharing"",""กาฬสินธุ์!J581"")"),0)</f>
        <v>0</v>
      </c>
      <c r="BB32" s="63">
        <f ca="1">IFERROR(__xludf.DUMMYFUNCTION("IMPORTRANGE(""https://docs.google.com/spreadsheets/d/1fb2B9NLcpJgjIieIJvenUTNPn0TimZDUi0OtYeiSQ_s/edit?usp=sharing"",""กาฬสินธุ์!J582"")"),0)</f>
        <v>0</v>
      </c>
      <c r="BC32" s="140">
        <f ca="1">IFERROR(__xludf.DUMMYFUNCTION("IMPORTRANGE(""https://docs.google.com/spreadsheets/d/1fb2B9NLcpJgjIieIJvenUTNPn0TimZDUi0OtYeiSQ_s/edit?usp=sharing"",""กาฬสินธุ์!J583"")"),0)</f>
        <v>0</v>
      </c>
      <c r="BD32" s="141">
        <f ca="1">IFERROR(__xludf.DUMMYFUNCTION("IMPORTRANGE(""https://docs.google.com/spreadsheets/d/1fb2B9NLcpJgjIieIJvenUTNPn0TimZDUi0OtYeiSQ_s/edit?usp=sharing"",""กาฬสินธุ์!J584"")"),0)</f>
        <v>0</v>
      </c>
      <c r="BE32" s="140">
        <f ca="1">IFERROR(__xludf.DUMMYFUNCTION("IMPORTRANGE(""https://docs.google.com/spreadsheets/d/1fb2B9NLcpJgjIieIJvenUTNPn0TimZDUi0OtYeiSQ_s/edit?usp=sharing"",""กาฬสินธุ์!J585"")"),0)</f>
        <v>0</v>
      </c>
      <c r="BF32" s="141">
        <f ca="1">IFERROR(__xludf.DUMMYFUNCTION("IMPORTRANGE(""https://docs.google.com/spreadsheets/d/1fb2B9NLcpJgjIieIJvenUTNPn0TimZDUi0OtYeiSQ_s/edit?usp=sharing"",""กาฬสินธุ์!J586"")"),0)</f>
        <v>0</v>
      </c>
      <c r="BG32" s="140">
        <f ca="1">IFERROR(__xludf.DUMMYFUNCTION("IMPORTRANGE(""https://docs.google.com/spreadsheets/d/1fb2B9NLcpJgjIieIJvenUTNPn0TimZDUi0OtYeiSQ_s/edit?usp=sharing"",""กาฬสินธุ์!J587"")"),0)</f>
        <v>0</v>
      </c>
      <c r="BH32" s="63">
        <f ca="1">IFERROR(__xludf.DUMMYFUNCTION("IMPORTRANGE(""https://docs.google.com/spreadsheets/d/1fb2B9NLcpJgjIieIJvenUTNPn0TimZDUi0OtYeiSQ_s/edit?usp=sharing"",""กาฬสินธุ์!J588"")"),0)</f>
        <v>0</v>
      </c>
      <c r="BI32" s="140">
        <f ca="1">IFERROR(__xludf.DUMMYFUNCTION("IMPORTRANGE(""https://docs.google.com/spreadsheets/d/1fb2B9NLcpJgjIieIJvenUTNPn0TimZDUi0OtYeiSQ_s/edit?usp=sharing"",""กาฬสินธุ์!J589"")"),0)</f>
        <v>0</v>
      </c>
      <c r="BJ32" s="63">
        <f ca="1">IFERROR(__xludf.DUMMYFUNCTION("IMPORTRANGE(""https://docs.google.com/spreadsheets/d/1fb2B9NLcpJgjIieIJvenUTNPn0TimZDUi0OtYeiSQ_s/edit?usp=sharing"",""กาฬสินธุ์!J590"")"),0)</f>
        <v>0</v>
      </c>
      <c r="BK32" s="140">
        <f ca="1">IFERROR(__xludf.DUMMYFUNCTION("IMPORTRANGE(""https://docs.google.com/spreadsheets/d/1fb2B9NLcpJgjIieIJvenUTNPn0TimZDUi0OtYeiSQ_s/edit?usp=sharing"",""กาฬสินธุ์!J591"")"),0)</f>
        <v>0</v>
      </c>
      <c r="BL32" s="57">
        <f ca="1">IFERROR(__xludf.DUMMYFUNCTION("IMPORTRANGE(""https://docs.google.com/spreadsheets/d/1fb2B9NLcpJgjIieIJvenUTNPn0TimZDUi0OtYeiSQ_s/edit?usp=sharing"",""กาฬสินธุ์!I593"")"),1340.38)</f>
        <v>1340.38</v>
      </c>
      <c r="BM32" s="57">
        <f ca="1">IFERROR(__xludf.DUMMYFUNCTION("IMPORTRANGE(""https://docs.google.com/spreadsheets/d/1fb2B9NLcpJgjIieIJvenUTNPn0TimZDUi0OtYeiSQ_s/edit?usp=sharing"",""กาฬสินธุ์!I594"")"),137)</f>
        <v>137</v>
      </c>
      <c r="BN32" s="63">
        <f ca="1">IFERROR(__xludf.DUMMYFUNCTION("IMPORTRANGE(""https://docs.google.com/spreadsheets/d/1fb2B9NLcpJgjIieIJvenUTNPn0TimZDUi0OtYeiSQ_s/edit?usp=sharing"",""กาฬสินธุ์!J593"")"),0)</f>
        <v>0</v>
      </c>
      <c r="BO32" s="63">
        <f t="shared" ca="1" si="40"/>
        <v>0</v>
      </c>
      <c r="BP32" s="57">
        <f ca="1">IFERROR(__xludf.DUMMYFUNCTION("IMPORTRANGE(""https://docs.google.com/spreadsheets/d/1fb2B9NLcpJgjIieIJvenUTNPn0TimZDUi0OtYeiSQ_s/edit?usp=sharing"",""กาฬสินธุ์!J594"")"),0)</f>
        <v>0</v>
      </c>
      <c r="BQ32" s="63">
        <f t="shared" ca="1" si="16"/>
        <v>0</v>
      </c>
      <c r="BR32" s="63">
        <f ca="1">IFERROR(__xludf.DUMMYFUNCTION("IMPORTRANGE(""https://docs.google.com/spreadsheets/d/1fb2B9NLcpJgjIieIJvenUTNPn0TimZDUi0OtYeiSQ_s/edit?usp=sharing"",""กาฬสินธุ์!J595"")"),0)</f>
        <v>0</v>
      </c>
      <c r="BS32" s="140">
        <f ca="1">IFERROR(__xludf.DUMMYFUNCTION("IMPORTRANGE(""https://docs.google.com/spreadsheets/d/1fb2B9NLcpJgjIieIJvenUTNPn0TimZDUi0OtYeiSQ_s/edit?usp=sharing"",""กาฬสินธุ์!J596"")"),0)</f>
        <v>0</v>
      </c>
      <c r="BT32" s="63">
        <f ca="1">IFERROR(__xludf.DUMMYFUNCTION("IMPORTRANGE(""https://docs.google.com/spreadsheets/d/1fb2B9NLcpJgjIieIJvenUTNPn0TimZDUi0OtYeiSQ_s/edit?usp=sharing"",""กาฬสินธุ์!J597"")"),0)</f>
        <v>0</v>
      </c>
      <c r="BU32" s="140">
        <f ca="1">IFERROR(__xludf.DUMMYFUNCTION("IMPORTRANGE(""https://docs.google.com/spreadsheets/d/1fb2B9NLcpJgjIieIJvenUTNPn0TimZDUi0OtYeiSQ_s/edit?usp=sharing"",""กาฬสินธุ์!J598"")"),0)</f>
        <v>0</v>
      </c>
      <c r="BV32" s="63">
        <f ca="1">IFERROR(__xludf.DUMMYFUNCTION("IMPORTRANGE(""https://docs.google.com/spreadsheets/d/1fb2B9NLcpJgjIieIJvenUTNPn0TimZDUi0OtYeiSQ_s/edit?usp=sharing"",""กาฬสินธุ์!J599"")"),0)</f>
        <v>0</v>
      </c>
      <c r="BW32" s="140">
        <f ca="1">IFERROR(__xludf.DUMMYFUNCTION("IMPORTRANGE(""https://docs.google.com/spreadsheets/d/1fb2B9NLcpJgjIieIJvenUTNPn0TimZDUi0OtYeiSQ_s/edit?usp=sharing"",""กาฬสินธุ์!J600"")"),0)</f>
        <v>0</v>
      </c>
      <c r="BX32" s="141">
        <f ca="1">IFERROR(__xludf.DUMMYFUNCTION("IMPORTRANGE(""https://docs.google.com/spreadsheets/d/1fb2B9NLcpJgjIieIJvenUTNPn0TimZDUi0OtYeiSQ_s/edit?usp=sharing"",""กาฬสินธุ์!J601"")"),0)</f>
        <v>0</v>
      </c>
      <c r="BY32" s="140">
        <f ca="1">IFERROR(__xludf.DUMMYFUNCTION("IMPORTRANGE(""https://docs.google.com/spreadsheets/d/1fb2B9NLcpJgjIieIJvenUTNPn0TimZDUi0OtYeiSQ_s/edit?usp=sharing"",""กาฬสินธุ์!J602"")"),0)</f>
        <v>0</v>
      </c>
      <c r="BZ32" s="63">
        <f ca="1">IFERROR(__xludf.DUMMYFUNCTION("IMPORTRANGE(""https://docs.google.com/spreadsheets/d/1fb2B9NLcpJgjIieIJvenUTNPn0TimZDUi0OtYeiSQ_s/edit?usp=sharing"",""กาฬสินธุ์!J603"")"),0)</f>
        <v>0</v>
      </c>
      <c r="CA32" s="140">
        <f ca="1">IFERROR(__xludf.DUMMYFUNCTION("IMPORTRANGE(""https://docs.google.com/spreadsheets/d/1fb2B9NLcpJgjIieIJvenUTNPn0TimZDUi0OtYeiSQ_s/edit?usp=sharing"",""กาฬสินธุ์!J604"")"),0)</f>
        <v>0</v>
      </c>
      <c r="CB32" s="63">
        <f ca="1">IFERROR(__xludf.DUMMYFUNCTION("IMPORTRANGE(""https://docs.google.com/spreadsheets/d/1fb2B9NLcpJgjIieIJvenUTNPn0TimZDUi0OtYeiSQ_s/edit?usp=sharing"",""กาฬสินธุ์!J605"")"),0)</f>
        <v>0</v>
      </c>
      <c r="CC32" s="140">
        <f ca="1">IFERROR(__xludf.DUMMYFUNCTION("IMPORTRANGE(""https://docs.google.com/spreadsheets/d/1fb2B9NLcpJgjIieIJvenUTNPn0TimZDUi0OtYeiSQ_s/edit?usp=sharing"",""กาฬสินธุ์!J606"")"),0)</f>
        <v>0</v>
      </c>
      <c r="CD32" s="63">
        <f ca="1">IFERROR(__xludf.DUMMYFUNCTION("IMPORTRANGE(""https://docs.google.com/spreadsheets/d/1fb2B9NLcpJgjIieIJvenUTNPn0TimZDUi0OtYeiSQ_s/edit?usp=sharing"",""กาฬสินธุ์!J607"")"),0)</f>
        <v>0</v>
      </c>
      <c r="CE32" s="140">
        <f ca="1">IFERROR(__xludf.DUMMYFUNCTION("IMPORTRANGE(""https://docs.google.com/spreadsheets/d/1fb2B9NLcpJgjIieIJvenUTNPn0TimZDUi0OtYeiSQ_s/edit?usp=sharing"",""กาฬสินธุ์!J608"")"),0)</f>
        <v>0</v>
      </c>
      <c r="CF32" s="63">
        <f ca="1">IFERROR(__xludf.DUMMYFUNCTION("IMPORTRANGE(""https://docs.google.com/spreadsheets/d/1fb2B9NLcpJgjIieIJvenUTNPn0TimZDUi0OtYeiSQ_s/edit?usp=sharing"",""กาฬสินธุ์!J609"")"),0)</f>
        <v>0</v>
      </c>
      <c r="CG32" s="140">
        <f ca="1">IFERROR(__xludf.DUMMYFUNCTION("IMPORTRANGE(""https://docs.google.com/spreadsheets/d/1fb2B9NLcpJgjIieIJvenUTNPn0TimZDUi0OtYeiSQ_s/edit?usp=sharing"",""กาฬสินธุ์!J610"")"),0)</f>
        <v>0</v>
      </c>
      <c r="CH32" s="140">
        <f ca="1">IFERROR(__xludf.DUMMYFUNCTION("IMPORTRANGE(""https://docs.google.com/spreadsheets/d/1fb2B9NLcpJgjIieIJvenUTNPn0TimZDUi0OtYeiSQ_s/edit?usp=sharing"",""กาฬสินธุ์!I612"")"),0)</f>
        <v>0</v>
      </c>
      <c r="CI32" s="140">
        <f ca="1">IFERROR(__xludf.DUMMYFUNCTION("IMPORTRANGE(""https://docs.google.com/spreadsheets/d/1fb2B9NLcpJgjIieIJvenUTNPn0TimZDUi0OtYeiSQ_s/edit?usp=sharing"",""กาฬสินธุ์!I594"")"),137)</f>
        <v>137</v>
      </c>
      <c r="CJ32" s="141">
        <f ca="1">IFERROR(__xludf.DUMMYFUNCTION("IMPORTRANGE(""https://docs.google.com/spreadsheets/d/1fb2B9NLcpJgjIieIJvenUTNPn0TimZDUi0OtYeiSQ_s/edit?usp=sharing"",""กาฬสินธุ์!J612"")"),0)</f>
        <v>0</v>
      </c>
      <c r="CK32" s="141">
        <f t="shared" ca="1" si="41"/>
        <v>0</v>
      </c>
      <c r="CL32" s="140">
        <f ca="1">IFERROR(__xludf.DUMMYFUNCTION("IMPORTRANGE(""https://docs.google.com/spreadsheets/d/1fb2B9NLcpJgjIieIJvenUTNPn0TimZDUi0OtYeiSQ_s/edit?usp=sharing"",""กาฬสินธุ์!J613"")"),0)</f>
        <v>0</v>
      </c>
      <c r="CM32" s="141">
        <f t="shared" ca="1" si="19"/>
        <v>0</v>
      </c>
      <c r="CN32" s="63">
        <f ca="1">IFERROR(__xludf.DUMMYFUNCTION("IMPORTRANGE(""https://docs.google.com/spreadsheets/d/1fb2B9NLcpJgjIieIJvenUTNPn0TimZDUi0OtYeiSQ_s/edit?usp=sharing"",""กาฬสินธุ์!J614"")"),0)</f>
        <v>0</v>
      </c>
      <c r="CO32" s="140">
        <f ca="1">IFERROR(__xludf.DUMMYFUNCTION("IMPORTRANGE(""https://docs.google.com/spreadsheets/d/1fb2B9NLcpJgjIieIJvenUTNPn0TimZDUi0OtYeiSQ_s/edit?usp=sharing"",""กาฬสินธุ์!J615"")"),0)</f>
        <v>0</v>
      </c>
      <c r="CP32" s="63">
        <f ca="1">IFERROR(__xludf.DUMMYFUNCTION("IMPORTRANGE(""https://docs.google.com/spreadsheets/d/1fb2B9NLcpJgjIieIJvenUTNPn0TimZDUi0OtYeiSQ_s/edit?usp=sharing"",""กาฬสินธุ์!J616"")"),0)</f>
        <v>0</v>
      </c>
      <c r="CQ32" s="140">
        <f ca="1">IFERROR(__xludf.DUMMYFUNCTION("IMPORTRANGE(""https://docs.google.com/spreadsheets/d/1fb2B9NLcpJgjIieIJvenUTNPn0TimZDUi0OtYeiSQ_s/edit?usp=sharing"",""กาฬสินธุ์!J617"")"),0)</f>
        <v>0</v>
      </c>
      <c r="CR32" s="140">
        <f ca="1">IFERROR(__xludf.DUMMYFUNCTION("IMPORTRANGE(""https://docs.google.com/spreadsheets/d/1fb2B9NLcpJgjIieIJvenUTNPn0TimZDUi0OtYeiSQ_s/edit?usp=sharing"",""กาฬสินธุ์!I620"")"),4)</f>
        <v>4</v>
      </c>
      <c r="CS32" s="140">
        <f ca="1">IFERROR(__xludf.DUMMYFUNCTION("IMPORTRANGE(""https://docs.google.com/spreadsheets/d/1fb2B9NLcpJgjIieIJvenUTNPn0TimZDUi0OtYeiSQ_s/edit?usp=sharing"",""กาฬสินธุ์!I621"")"),3)</f>
        <v>3</v>
      </c>
      <c r="CT32" s="141">
        <f ca="1">IFERROR(__xludf.DUMMYFUNCTION("IMPORTRANGE(""https://docs.google.com/spreadsheets/d/1fb2B9NLcpJgjIieIJvenUTNPn0TimZDUi0OtYeiSQ_s/edit?usp=sharing"",""กาฬสินธุ์!J620"")"),0)</f>
        <v>0</v>
      </c>
      <c r="CU32" s="141">
        <f t="shared" ca="1" si="42"/>
        <v>0</v>
      </c>
      <c r="CV32" s="140">
        <f ca="1">IFERROR(__xludf.DUMMYFUNCTION("IMPORTRANGE(""https://docs.google.com/spreadsheets/d/1fb2B9NLcpJgjIieIJvenUTNPn0TimZDUi0OtYeiSQ_s/edit?usp=sharing"",""กาฬสินธุ์!J621"")"),0)</f>
        <v>0</v>
      </c>
      <c r="CW32" s="141">
        <f t="shared" ca="1" si="22"/>
        <v>0</v>
      </c>
      <c r="CX32" s="63">
        <f ca="1">IFERROR(__xludf.DUMMYFUNCTION("IMPORTRANGE(""https://docs.google.com/spreadsheets/d/1fb2B9NLcpJgjIieIJvenUTNPn0TimZDUi0OtYeiSQ_s/edit?usp=sharing"",""กาฬสินธุ์!J622"")"),0)</f>
        <v>0</v>
      </c>
      <c r="CY32" s="140">
        <f ca="1">IFERROR(__xludf.DUMMYFUNCTION("IMPORTRANGE(""https://docs.google.com/spreadsheets/d/1fb2B9NLcpJgjIieIJvenUTNPn0TimZDUi0OtYeiSQ_s/edit?usp=sharing"",""กาฬสินธุ์!J623"")"),0)</f>
        <v>0</v>
      </c>
      <c r="CZ32" s="63">
        <f ca="1">IFERROR(__xludf.DUMMYFUNCTION("IMPORTRANGE(""https://docs.google.com/spreadsheets/d/1fb2B9NLcpJgjIieIJvenUTNPn0TimZDUi0OtYeiSQ_s/edit?usp=sharing"",""กาฬสินธุ์!J624"")"),0)</f>
        <v>0</v>
      </c>
      <c r="DA32" s="140">
        <f ca="1">IFERROR(__xludf.DUMMYFUNCTION("IMPORTRANGE(""https://docs.google.com/spreadsheets/d/1fb2B9NLcpJgjIieIJvenUTNPn0TimZDUi0OtYeiSQ_s/edit?usp=sharing"",""กาฬสินธุ์!J625"")"),0)</f>
        <v>0</v>
      </c>
      <c r="DB32" s="63">
        <f ca="1">IFERROR(__xludf.DUMMYFUNCTION("IMPORTRANGE(""https://docs.google.com/spreadsheets/d/1fb2B9NLcpJgjIieIJvenUTNPn0TimZDUi0OtYeiSQ_s/edit?usp=sharing"",""กาฬสินธุ์!J626"")"),0)</f>
        <v>0</v>
      </c>
      <c r="DC32" s="140">
        <f ca="1">IFERROR(__xludf.DUMMYFUNCTION("IMPORTRANGE(""https://docs.google.com/spreadsheets/d/1fb2B9NLcpJgjIieIJvenUTNPn0TimZDUi0OtYeiSQ_s/edit?usp=sharing"",""กาฬสินธุ์!J627"")"),0)</f>
        <v>0</v>
      </c>
    </row>
    <row r="33" spans="1:107" ht="21" customHeight="1" x14ac:dyDescent="0.3">
      <c r="A33" s="54">
        <v>2</v>
      </c>
      <c r="B33" s="55" t="s">
        <v>54</v>
      </c>
      <c r="C33" s="56">
        <f t="shared" ca="1" si="66"/>
        <v>477343</v>
      </c>
      <c r="D33" s="57">
        <f ca="1">IFERROR(__xludf.DUMMYFUNCTION("IMPORTRANGE(""https://docs.google.com/spreadsheets/d/1SaMnqrwRGmFYNR0MhpWmHuL5niYUd5E7vDq8X7whAlI/edit?usp=sharing"",""ขอนแก่น!L549"")"),477343)</f>
        <v>477343</v>
      </c>
      <c r="E33" s="64">
        <f ca="1">IFERROR(__xludf.DUMMYFUNCTION("IMPORTRANGE(""https://docs.google.com/spreadsheets/d/1SaMnqrwRGmFYNR0MhpWmHuL5niYUd5E7vDq8X7whAlI/edit?usp=sharing"",""ขอนแก่น!L557"")"),0)</f>
        <v>0</v>
      </c>
      <c r="F33" s="64">
        <f ca="1">IFERROR(__xludf.DUMMYFUNCTION("IMPORTRANGE(""https://docs.google.com/spreadsheets/d/1SaMnqrwRGmFYNR0MhpWmHuL5niYUd5E7vDq8X7whAlI/edit?usp=sharing"",""ขอนแก่น!M549"")"),477343)</f>
        <v>477343</v>
      </c>
      <c r="G33" s="64">
        <f ca="1">IFERROR(__xludf.DUMMYFUNCTION("IMPORTRANGE(""https://docs.google.com/spreadsheets/d/1SaMnqrwRGmFYNR0MhpWmHuL5niYUd5E7vDq8X7whAlI/edit?usp=sharing"",""ขอนแก่น!M557"")"),0)</f>
        <v>0</v>
      </c>
      <c r="H33" s="58">
        <f t="shared" ca="1" si="36"/>
        <v>281015.71000000002</v>
      </c>
      <c r="I33" s="59">
        <f t="shared" ca="1" si="1"/>
        <v>58.870814068709507</v>
      </c>
      <c r="J33" s="60">
        <f t="shared" ca="1" si="67"/>
        <v>281015.71000000002</v>
      </c>
      <c r="K33" s="61">
        <f t="shared" ca="1" si="44"/>
        <v>58.870814068709507</v>
      </c>
      <c r="L33" s="61">
        <f t="shared" ca="1" si="45"/>
        <v>58.870814068709507</v>
      </c>
      <c r="M33" s="64">
        <f ca="1">IFERROR(__xludf.DUMMYFUNCTION("IMPORTRANGE(""https://docs.google.com/spreadsheets/d/1SaMnqrwRGmFYNR0MhpWmHuL5niYUd5E7vDq8X7whAlI/edit?usp=sharing"",""ขอนแก่น!N550"")"),0)</f>
        <v>0</v>
      </c>
      <c r="N33" s="64">
        <f ca="1">IFERROR(__xludf.DUMMYFUNCTION("IMPORTRANGE(""https://docs.google.com/spreadsheets/d/1SaMnqrwRGmFYNR0MhpWmHuL5niYUd5E7vDq8X7whAlI/edit?usp=sharing"",""ขอนแก่น!N551"")"),0)</f>
        <v>0</v>
      </c>
      <c r="O33" s="64">
        <f ca="1">IFERROR(__xludf.DUMMYFUNCTION("IMPORTRANGE(""https://docs.google.com/spreadsheets/d/1SaMnqrwRGmFYNR0MhpWmHuL5niYUd5E7vDq8X7whAlI/edit?usp=sharing"",""ขอนแก่น!N552"")"),64535.71)</f>
        <v>64535.71</v>
      </c>
      <c r="P33" s="64">
        <f ca="1">IFERROR(__xludf.DUMMYFUNCTION("IMPORTRANGE(""https://docs.google.com/spreadsheets/d/1SaMnqrwRGmFYNR0MhpWmHuL5niYUd5E7vDq8X7whAlI/edit?usp=sharing"",""ขอนแก่น!N553"")"),216480)</f>
        <v>216480</v>
      </c>
      <c r="Q33" s="64">
        <f ca="1">IFERROR(__xludf.DUMMYFUNCTION("IMPORTRANGE(""https://docs.google.com/spreadsheets/d/1SaMnqrwRGmFYNR0MhpWmHuL5niYUd5E7vDq8X7whAlI/edit?usp=sharing"",""ขอนแก่น!N554"")"),0)</f>
        <v>0</v>
      </c>
      <c r="R33" s="62">
        <f ca="1">IFERROR(__xludf.DUMMYFUNCTION("IMPORTRANGE(""https://docs.google.com/spreadsheets/d/1SaMnqrwRGmFYNR0MhpWmHuL5niYUd5E7vDq8X7whAlI/edit?usp=sharing"",""ขอนแก่น!N557"")"),0)</f>
        <v>0</v>
      </c>
      <c r="S33" s="62">
        <f t="shared" ca="1" si="47"/>
        <v>0</v>
      </c>
      <c r="T33" s="57">
        <f ca="1">IFERROR(__xludf.DUMMYFUNCTION("IMPORTRANGE(""https://docs.google.com/spreadsheets/d/1SaMnqrwRGmFYNR0MhpWmHuL5niYUd5E7vDq8X7whAlI/edit?usp=sharing"",""ขอนแก่น!I560"")"),73574)</f>
        <v>73574</v>
      </c>
      <c r="U33" s="57">
        <f ca="1">IFERROR(__xludf.DUMMYFUNCTION("IMPORTRANGE(""https://docs.google.com/spreadsheets/d/1SaMnqrwRGmFYNR0MhpWmHuL5niYUd5E7vDq8X7whAlI/edit?usp=sharing"",""ขอนแก่น!I561"")"),7333)</f>
        <v>7333</v>
      </c>
      <c r="V33" s="63">
        <f ca="1">IFERROR(__xludf.DUMMYFUNCTION("IMPORTRANGE(""https://docs.google.com/spreadsheets/d/1SaMnqrwRGmFYNR0MhpWmHuL5niYUd5E7vDq8X7whAlI/edit?usp=sharing"",""ขอนแก่น!J560"")"),73574.36)</f>
        <v>73574.36</v>
      </c>
      <c r="W33" s="63">
        <f t="shared" ca="1" si="37"/>
        <v>100.00048930328649</v>
      </c>
      <c r="X33" s="57">
        <f ca="1">IFERROR(__xludf.DUMMYFUNCTION("IMPORTRANGE(""https://docs.google.com/spreadsheets/d/1SaMnqrwRGmFYNR0MhpWmHuL5niYUd5E7vDq8X7whAlI/edit?usp=sharing"",""ขอนแก่น!J561"")"),7333)</f>
        <v>7333</v>
      </c>
      <c r="Y33" s="63">
        <f t="shared" ca="1" si="7"/>
        <v>100</v>
      </c>
      <c r="Z33" s="63">
        <f ca="1">IFERROR(__xludf.DUMMYFUNCTION("IMPORTRANGE(""https://docs.google.com/spreadsheets/d/1SaMnqrwRGmFYNR0MhpWmHuL5niYUd5E7vDq8X7whAlI/edit?usp=sharing"",""ขอนแก่น!J562"")"),62059.56)</f>
        <v>62059.56</v>
      </c>
      <c r="AA33" s="140">
        <f ca="1">IFERROR(__xludf.DUMMYFUNCTION("IMPORTRANGE(""https://docs.google.com/spreadsheets/d/1SaMnqrwRGmFYNR0MhpWmHuL5niYUd5E7vDq8X7whAlI/edit?usp=sharing"",""ขอนแก่น!J563"")"),6309)</f>
        <v>6309</v>
      </c>
      <c r="AB33" s="63">
        <f ca="1">IFERROR(__xludf.DUMMYFUNCTION("IMPORTRANGE(""https://docs.google.com/spreadsheets/d/1SaMnqrwRGmFYNR0MhpWmHuL5niYUd5E7vDq8X7whAlI/edit?usp=sharing"",""ขอนแก่น!J564"")"),7370.39)</f>
        <v>7370.39</v>
      </c>
      <c r="AC33" s="140">
        <f ca="1">IFERROR(__xludf.DUMMYFUNCTION("IMPORTRANGE(""https://docs.google.com/spreadsheets/d/1SaMnqrwRGmFYNR0MhpWmHuL5niYUd5E7vDq8X7whAlI/edit?usp=sharing"",""ขอนแก่น!J565"")"),664)</f>
        <v>664</v>
      </c>
      <c r="AD33" s="63">
        <f ca="1">IFERROR(__xludf.DUMMYFUNCTION("IMPORTRANGE(""https://docs.google.com/spreadsheets/d/1SaMnqrwRGmFYNR0MhpWmHuL5niYUd5E7vDq8X7whAlI/edit?usp=sharing"",""ขอนแก่น!J566"")"),4144.41)</f>
        <v>4144.41</v>
      </c>
      <c r="AE33" s="140">
        <f ca="1">IFERROR(__xludf.DUMMYFUNCTION("IMPORTRANGE(""https://docs.google.com/spreadsheets/d/1SaMnqrwRGmFYNR0MhpWmHuL5niYUd5E7vDq8X7whAlI/edit?usp=sharing"",""ขอนแก่น!J567"")"),360)</f>
        <v>360</v>
      </c>
      <c r="AF33" s="57">
        <f ca="1">IFERROR(__xludf.DUMMYFUNCTION("IMPORTRANGE(""https://docs.google.com/spreadsheets/d/1SaMnqrwRGmFYNR0MhpWmHuL5niYUd5E7vDq8X7whAlI/edit?usp=sharing"",""ขอนแก่น!I568"")"),73574)</f>
        <v>73574</v>
      </c>
      <c r="AG33" s="57">
        <f ca="1">IFERROR(__xludf.DUMMYFUNCTION("IMPORTRANGE(""https://docs.google.com/spreadsheets/d/1SaMnqrwRGmFYNR0MhpWmHuL5niYUd5E7vDq8X7whAlI/edit?usp=sharing"",""ขอนแก่น!I569"")"),7333)</f>
        <v>7333</v>
      </c>
      <c r="AH33" s="63">
        <f ca="1">IFERROR(__xludf.DUMMYFUNCTION("IMPORTRANGE(""https://docs.google.com/spreadsheets/d/1SaMnqrwRGmFYNR0MhpWmHuL5niYUd5E7vDq8X7whAlI/edit?usp=sharing"",""ขอนแก่น!J568"")"),73574.4)</f>
        <v>73574.399999999994</v>
      </c>
      <c r="AI33" s="63">
        <f t="shared" ca="1" si="38"/>
        <v>100.00054367031831</v>
      </c>
      <c r="AJ33" s="57">
        <f ca="1">IFERROR(__xludf.DUMMYFUNCTION("IMPORTRANGE(""https://docs.google.com/spreadsheets/d/1SaMnqrwRGmFYNR0MhpWmHuL5niYUd5E7vDq8X7whAlI/edit?usp=sharing"",""ขอนแก่น!J569"")"),7333)</f>
        <v>7333</v>
      </c>
      <c r="AK33" s="63">
        <f t="shared" ca="1" si="10"/>
        <v>100</v>
      </c>
      <c r="AL33" s="63">
        <f ca="1">IFERROR(__xludf.DUMMYFUNCTION("IMPORTRANGE(""https://docs.google.com/spreadsheets/d/1SaMnqrwRGmFYNR0MhpWmHuL5niYUd5E7vDq8X7whAlI/edit?usp=sharing"",""ขอนแก่น!J570"")"),66803.48)</f>
        <v>66803.48</v>
      </c>
      <c r="AM33" s="140">
        <f ca="1">IFERROR(__xludf.DUMMYFUNCTION("IMPORTRANGE(""https://docs.google.com/spreadsheets/d/1SaMnqrwRGmFYNR0MhpWmHuL5niYUd5E7vDq8X7whAlI/edit?usp=sharing"",""ขอนแก่น!J571"")"),6726)</f>
        <v>6726</v>
      </c>
      <c r="AN33" s="63">
        <f ca="1">IFERROR(__xludf.DUMMYFUNCTION("IMPORTRANGE(""https://docs.google.com/spreadsheets/d/1SaMnqrwRGmFYNR0MhpWmHuL5niYUd5E7vDq8X7whAlI/edit?usp=sharing"",""ขอนแก่น!J572"")"),2327.4)</f>
        <v>2327.4</v>
      </c>
      <c r="AO33" s="140">
        <f ca="1">IFERROR(__xludf.DUMMYFUNCTION("IMPORTRANGE(""https://docs.google.com/spreadsheets/d/1SaMnqrwRGmFYNR0MhpWmHuL5niYUd5E7vDq8X7whAlI/edit?usp=sharing"",""ขอนแก่น!J573"")"),219)</f>
        <v>219</v>
      </c>
      <c r="AP33" s="63">
        <f ca="1">IFERROR(__xludf.DUMMYFUNCTION("IMPORTRANGE(""https://docs.google.com/spreadsheets/d/1SaMnqrwRGmFYNR0MhpWmHuL5niYUd5E7vDq8X7whAlI/edit?usp=sharing"",""ขอนแก่น!J574"")"),4443.52)</f>
        <v>4443.5200000000004</v>
      </c>
      <c r="AQ33" s="140">
        <f ca="1">IFERROR(__xludf.DUMMYFUNCTION("IMPORTRANGE(""https://docs.google.com/spreadsheets/d/1SaMnqrwRGmFYNR0MhpWmHuL5niYUd5E7vDq8X7whAlI/edit?usp=sharing"",""ขอนแก่น!J575"")"),388)</f>
        <v>388</v>
      </c>
      <c r="AR33" s="57">
        <f ca="1">IFERROR(__xludf.DUMMYFUNCTION("IMPORTRANGE(""https://docs.google.com/spreadsheets/d/1SaMnqrwRGmFYNR0MhpWmHuL5niYUd5E7vDq8X7whAlI/edit?usp=sharing"",""ขอนแก่น!I576"")"),73574)</f>
        <v>73574</v>
      </c>
      <c r="AS33" s="57">
        <f ca="1">IFERROR(__xludf.DUMMYFUNCTION("IMPORTRANGE(""https://docs.google.com/spreadsheets/d/1SaMnqrwRGmFYNR0MhpWmHuL5niYUd5E7vDq8X7whAlI/edit?usp=sharing"",""ขอนแก่น!I577"")"),7333)</f>
        <v>7333</v>
      </c>
      <c r="AT33" s="63">
        <f ca="1">IFERROR(__xludf.DUMMYFUNCTION("IMPORTRANGE(""https://docs.google.com/spreadsheets/d/1SaMnqrwRGmFYNR0MhpWmHuL5niYUd5E7vDq8X7whAlI/edit?usp=sharing"",""ขอนแก่น!J576"")"),0)</f>
        <v>0</v>
      </c>
      <c r="AU33" s="63">
        <f t="shared" ca="1" si="39"/>
        <v>0</v>
      </c>
      <c r="AV33" s="57">
        <f ca="1">IFERROR(__xludf.DUMMYFUNCTION("IMPORTRANGE(""https://docs.google.com/spreadsheets/d/1SaMnqrwRGmFYNR0MhpWmHuL5niYUd5E7vDq8X7whAlI/edit?usp=sharing"",""ขอนแก่น!J577"")"),0)</f>
        <v>0</v>
      </c>
      <c r="AW33" s="63">
        <f t="shared" ca="1" si="13"/>
        <v>0</v>
      </c>
      <c r="AX33" s="63">
        <f ca="1">IFERROR(__xludf.DUMMYFUNCTION("IMPORTRANGE(""https://docs.google.com/spreadsheets/d/1SaMnqrwRGmFYNR0MhpWmHuL5niYUd5E7vDq8X7whAlI/edit?usp=sharing"",""ขอนแก่น!J578"")"),0)</f>
        <v>0</v>
      </c>
      <c r="AY33" s="140">
        <f ca="1">IFERROR(__xludf.DUMMYFUNCTION("IMPORTRANGE(""https://docs.google.com/spreadsheets/d/1SaMnqrwRGmFYNR0MhpWmHuL5niYUd5E7vDq8X7whAlI/edit?usp=sharing"",""ขอนแก่น!J579"")"),0)</f>
        <v>0</v>
      </c>
      <c r="AZ33" s="63">
        <f ca="1">IFERROR(__xludf.DUMMYFUNCTION("IMPORTRANGE(""https://docs.google.com/spreadsheets/d/1SaMnqrwRGmFYNR0MhpWmHuL5niYUd5E7vDq8X7whAlI/edit?usp=sharing"",""ขอนแก่น!J580"")"),0)</f>
        <v>0</v>
      </c>
      <c r="BA33" s="140">
        <f ca="1">IFERROR(__xludf.DUMMYFUNCTION("IMPORTRANGE(""https://docs.google.com/spreadsheets/d/1SaMnqrwRGmFYNR0MhpWmHuL5niYUd5E7vDq8X7whAlI/edit?usp=sharing"",""ขอนแก่น!J581"")"),0)</f>
        <v>0</v>
      </c>
      <c r="BB33" s="63">
        <f ca="1">IFERROR(__xludf.DUMMYFUNCTION("IMPORTRANGE(""https://docs.google.com/spreadsheets/d/1SaMnqrwRGmFYNR0MhpWmHuL5niYUd5E7vDq8X7whAlI/edit?usp=sharing"",""ขอนแก่น!J582"")"),0)</f>
        <v>0</v>
      </c>
      <c r="BC33" s="140">
        <f ca="1">IFERROR(__xludf.DUMMYFUNCTION("IMPORTRANGE(""https://docs.google.com/spreadsheets/d/1SaMnqrwRGmFYNR0MhpWmHuL5niYUd5E7vDq8X7whAlI/edit?usp=sharing"",""ขอนแก่น!J583"")"),0)</f>
        <v>0</v>
      </c>
      <c r="BD33" s="141">
        <f ca="1">IFERROR(__xludf.DUMMYFUNCTION("IMPORTRANGE(""https://docs.google.com/spreadsheets/d/1SaMnqrwRGmFYNR0MhpWmHuL5niYUd5E7vDq8X7whAlI/edit?usp=sharing"",""ขอนแก่น!J584"")"),0)</f>
        <v>0</v>
      </c>
      <c r="BE33" s="140">
        <f ca="1">IFERROR(__xludf.DUMMYFUNCTION("IMPORTRANGE(""https://docs.google.com/spreadsheets/d/1SaMnqrwRGmFYNR0MhpWmHuL5niYUd5E7vDq8X7whAlI/edit?usp=sharing"",""ขอนแก่น!J585"")"),0)</f>
        <v>0</v>
      </c>
      <c r="BF33" s="141">
        <f ca="1">IFERROR(__xludf.DUMMYFUNCTION("IMPORTRANGE(""https://docs.google.com/spreadsheets/d/1SaMnqrwRGmFYNR0MhpWmHuL5niYUd5E7vDq8X7whAlI/edit?usp=sharing"",""ขอนแก่น!J586"")"),0)</f>
        <v>0</v>
      </c>
      <c r="BG33" s="140">
        <f ca="1">IFERROR(__xludf.DUMMYFUNCTION("IMPORTRANGE(""https://docs.google.com/spreadsheets/d/1SaMnqrwRGmFYNR0MhpWmHuL5niYUd5E7vDq8X7whAlI/edit?usp=sharing"",""ขอนแก่น!J587"")"),0)</f>
        <v>0</v>
      </c>
      <c r="BH33" s="63">
        <f ca="1">IFERROR(__xludf.DUMMYFUNCTION("IMPORTRANGE(""https://docs.google.com/spreadsheets/d/1SaMnqrwRGmFYNR0MhpWmHuL5niYUd5E7vDq8X7whAlI/edit?usp=sharing"",""ขอนแก่น!J588"")"),0)</f>
        <v>0</v>
      </c>
      <c r="BI33" s="140">
        <f ca="1">IFERROR(__xludf.DUMMYFUNCTION("IMPORTRANGE(""https://docs.google.com/spreadsheets/d/1SaMnqrwRGmFYNR0MhpWmHuL5niYUd5E7vDq8X7whAlI/edit?usp=sharing"",""ขอนแก่น!J589"")"),0)</f>
        <v>0</v>
      </c>
      <c r="BJ33" s="63">
        <f ca="1">IFERROR(__xludf.DUMMYFUNCTION("IMPORTRANGE(""https://docs.google.com/spreadsheets/d/1SaMnqrwRGmFYNR0MhpWmHuL5niYUd5E7vDq8X7whAlI/edit?usp=sharing"",""ขอนแก่น!J590"")"),0)</f>
        <v>0</v>
      </c>
      <c r="BK33" s="140">
        <f ca="1">IFERROR(__xludf.DUMMYFUNCTION("IMPORTRANGE(""https://docs.google.com/spreadsheets/d/1SaMnqrwRGmFYNR0MhpWmHuL5niYUd5E7vDq8X7whAlI/edit?usp=sharing"",""ขอนแก่น!J591"")"),0)</f>
        <v>0</v>
      </c>
      <c r="BL33" s="57">
        <f ca="1">IFERROR(__xludf.DUMMYFUNCTION("IMPORTRANGE(""https://docs.google.com/spreadsheets/d/1SaMnqrwRGmFYNR0MhpWmHuL5niYUd5E7vDq8X7whAlI/edit?usp=sharing"",""ขอนแก่น!I593"")"),1346.1)</f>
        <v>1346.1</v>
      </c>
      <c r="BM33" s="57">
        <f ca="1">IFERROR(__xludf.DUMMYFUNCTION("IMPORTRANGE(""https://docs.google.com/spreadsheets/d/1SaMnqrwRGmFYNR0MhpWmHuL5niYUd5E7vDq8X7whAlI/edit?usp=sharing"",""ขอนแก่น!I594"")"),146)</f>
        <v>146</v>
      </c>
      <c r="BN33" s="63">
        <f ca="1">IFERROR(__xludf.DUMMYFUNCTION("IMPORTRANGE(""https://docs.google.com/spreadsheets/d/1SaMnqrwRGmFYNR0MhpWmHuL5niYUd5E7vDq8X7whAlI/edit?usp=sharing"",""ขอนแก่น!J593"")"),359)</f>
        <v>359</v>
      </c>
      <c r="BO33" s="63">
        <f t="shared" ca="1" si="40"/>
        <v>26.669638214099994</v>
      </c>
      <c r="BP33" s="57">
        <f ca="1">IFERROR(__xludf.DUMMYFUNCTION("IMPORTRANGE(""https://docs.google.com/spreadsheets/d/1SaMnqrwRGmFYNR0MhpWmHuL5niYUd5E7vDq8X7whAlI/edit?usp=sharing"",""ขอนแก่น!J594"")"),42)</f>
        <v>42</v>
      </c>
      <c r="BQ33" s="63">
        <f t="shared" ca="1" si="16"/>
        <v>28.767123287671232</v>
      </c>
      <c r="BR33" s="63">
        <f ca="1">IFERROR(__xludf.DUMMYFUNCTION("IMPORTRANGE(""https://docs.google.com/spreadsheets/d/1SaMnqrwRGmFYNR0MhpWmHuL5niYUd5E7vDq8X7whAlI/edit?usp=sharing"",""ขอนแก่น!J595"")"),359)</f>
        <v>359</v>
      </c>
      <c r="BS33" s="140">
        <f ca="1">IFERROR(__xludf.DUMMYFUNCTION("IMPORTRANGE(""https://docs.google.com/spreadsheets/d/1SaMnqrwRGmFYNR0MhpWmHuL5niYUd5E7vDq8X7whAlI/edit?usp=sharing"",""ขอนแก่น!J596"")"),42)</f>
        <v>42</v>
      </c>
      <c r="BT33" s="63">
        <f ca="1">IFERROR(__xludf.DUMMYFUNCTION("IMPORTRANGE(""https://docs.google.com/spreadsheets/d/1SaMnqrwRGmFYNR0MhpWmHuL5niYUd5E7vDq8X7whAlI/edit?usp=sharing"",""ขอนแก่น!J597"")"),359)</f>
        <v>359</v>
      </c>
      <c r="BU33" s="140">
        <f ca="1">IFERROR(__xludf.DUMMYFUNCTION("IMPORTRANGE(""https://docs.google.com/spreadsheets/d/1SaMnqrwRGmFYNR0MhpWmHuL5niYUd5E7vDq8X7whAlI/edit?usp=sharing"",""ขอนแก่น!J598"")"),42)</f>
        <v>42</v>
      </c>
      <c r="BV33" s="63">
        <f ca="1">IFERROR(__xludf.DUMMYFUNCTION("IMPORTRANGE(""https://docs.google.com/spreadsheets/d/1SaMnqrwRGmFYNR0MhpWmHuL5niYUd5E7vDq8X7whAlI/edit?usp=sharing"",""ขอนแก่น!J599"")"),0)</f>
        <v>0</v>
      </c>
      <c r="BW33" s="140">
        <f ca="1">IFERROR(__xludf.DUMMYFUNCTION("IMPORTRANGE(""https://docs.google.com/spreadsheets/d/1SaMnqrwRGmFYNR0MhpWmHuL5niYUd5E7vDq8X7whAlI/edit?usp=sharing"",""ขอนแก่น!J600"")"),0)</f>
        <v>0</v>
      </c>
      <c r="BX33" s="141">
        <f ca="1">IFERROR(__xludf.DUMMYFUNCTION("IMPORTRANGE(""https://docs.google.com/spreadsheets/d/1SaMnqrwRGmFYNR0MhpWmHuL5niYUd5E7vDq8X7whAlI/edit?usp=sharing"",""ขอนแก่น!J601"")"),0)</f>
        <v>0</v>
      </c>
      <c r="BY33" s="140">
        <f ca="1">IFERROR(__xludf.DUMMYFUNCTION("IMPORTRANGE(""https://docs.google.com/spreadsheets/d/1SaMnqrwRGmFYNR0MhpWmHuL5niYUd5E7vDq8X7whAlI/edit?usp=sharing"",""ขอนแก่น!J602"")"),0)</f>
        <v>0</v>
      </c>
      <c r="BZ33" s="63">
        <f ca="1">IFERROR(__xludf.DUMMYFUNCTION("IMPORTRANGE(""https://docs.google.com/spreadsheets/d/1SaMnqrwRGmFYNR0MhpWmHuL5niYUd5E7vDq8X7whAlI/edit?usp=sharing"",""ขอนแก่น!J603"")"),0)</f>
        <v>0</v>
      </c>
      <c r="CA33" s="140">
        <f ca="1">IFERROR(__xludf.DUMMYFUNCTION("IMPORTRANGE(""https://docs.google.com/spreadsheets/d/1SaMnqrwRGmFYNR0MhpWmHuL5niYUd5E7vDq8X7whAlI/edit?usp=sharing"",""ขอนแก่น!J604"")"),0)</f>
        <v>0</v>
      </c>
      <c r="CB33" s="63">
        <f ca="1">IFERROR(__xludf.DUMMYFUNCTION("IMPORTRANGE(""https://docs.google.com/spreadsheets/d/1SaMnqrwRGmFYNR0MhpWmHuL5niYUd5E7vDq8X7whAlI/edit?usp=sharing"",""ขอนแก่น!J605"")"),0)</f>
        <v>0</v>
      </c>
      <c r="CC33" s="140">
        <f ca="1">IFERROR(__xludf.DUMMYFUNCTION("IMPORTRANGE(""https://docs.google.com/spreadsheets/d/1SaMnqrwRGmFYNR0MhpWmHuL5niYUd5E7vDq8X7whAlI/edit?usp=sharing"",""ขอนแก่น!J606"")"),0)</f>
        <v>0</v>
      </c>
      <c r="CD33" s="63">
        <f ca="1">IFERROR(__xludf.DUMMYFUNCTION("IMPORTRANGE(""https://docs.google.com/spreadsheets/d/1SaMnqrwRGmFYNR0MhpWmHuL5niYUd5E7vDq8X7whAlI/edit?usp=sharing"",""ขอนแก่น!J607"")"),0)</f>
        <v>0</v>
      </c>
      <c r="CE33" s="140">
        <f ca="1">IFERROR(__xludf.DUMMYFUNCTION("IMPORTRANGE(""https://docs.google.com/spreadsheets/d/1SaMnqrwRGmFYNR0MhpWmHuL5niYUd5E7vDq8X7whAlI/edit?usp=sharing"",""ขอนแก่น!J608"")"),0)</f>
        <v>0</v>
      </c>
      <c r="CF33" s="63">
        <f ca="1">IFERROR(__xludf.DUMMYFUNCTION("IMPORTRANGE(""https://docs.google.com/spreadsheets/d/1SaMnqrwRGmFYNR0MhpWmHuL5niYUd5E7vDq8X7whAlI/edit?usp=sharing"",""ขอนแก่น!J609"")"),0)</f>
        <v>0</v>
      </c>
      <c r="CG33" s="140">
        <f ca="1">IFERROR(__xludf.DUMMYFUNCTION("IMPORTRANGE(""https://docs.google.com/spreadsheets/d/1SaMnqrwRGmFYNR0MhpWmHuL5niYUd5E7vDq8X7whAlI/edit?usp=sharing"",""ขอนแก่น!J610"")"),0)</f>
        <v>0</v>
      </c>
      <c r="CH33" s="140">
        <f ca="1">IFERROR(__xludf.DUMMYFUNCTION("IMPORTRANGE(""https://docs.google.com/spreadsheets/d/1SaMnqrwRGmFYNR0MhpWmHuL5niYUd5E7vDq8X7whAlI/edit?usp=sharing"",""ขอนแก่น!I612"")"),0)</f>
        <v>0</v>
      </c>
      <c r="CI33" s="140">
        <f ca="1">IFERROR(__xludf.DUMMYFUNCTION("IMPORTRANGE(""https://docs.google.com/spreadsheets/d/1SaMnqrwRGmFYNR0MhpWmHuL5niYUd5E7vDq8X7whAlI/edit?usp=sharing"",""ขอนแก่น!I594"")"),146)</f>
        <v>146</v>
      </c>
      <c r="CJ33" s="141">
        <f ca="1">IFERROR(__xludf.DUMMYFUNCTION("IMPORTRANGE(""https://docs.google.com/spreadsheets/d/1SaMnqrwRGmFYNR0MhpWmHuL5niYUd5E7vDq8X7whAlI/edit?usp=sharing"",""ขอนแก่น!J612"")"),0)</f>
        <v>0</v>
      </c>
      <c r="CK33" s="141">
        <f t="shared" ca="1" si="41"/>
        <v>0</v>
      </c>
      <c r="CL33" s="140">
        <f ca="1">IFERROR(__xludf.DUMMYFUNCTION("IMPORTRANGE(""https://docs.google.com/spreadsheets/d/1SaMnqrwRGmFYNR0MhpWmHuL5niYUd5E7vDq8X7whAlI/edit?usp=sharing"",""ขอนแก่น!J613"")"),0)</f>
        <v>0</v>
      </c>
      <c r="CM33" s="141">
        <f t="shared" ca="1" si="19"/>
        <v>0</v>
      </c>
      <c r="CN33" s="63">
        <f ca="1">IFERROR(__xludf.DUMMYFUNCTION("IMPORTRANGE(""https://docs.google.com/spreadsheets/d/1SaMnqrwRGmFYNR0MhpWmHuL5niYUd5E7vDq8X7whAlI/edit?usp=sharing"",""ขอนแก่น!J614"")"),0)</f>
        <v>0</v>
      </c>
      <c r="CO33" s="140">
        <f ca="1">IFERROR(__xludf.DUMMYFUNCTION("IMPORTRANGE(""https://docs.google.com/spreadsheets/d/1SaMnqrwRGmFYNR0MhpWmHuL5niYUd5E7vDq8X7whAlI/edit?usp=sharing"",""ขอนแก่น!J615"")"),0)</f>
        <v>0</v>
      </c>
      <c r="CP33" s="63">
        <f ca="1">IFERROR(__xludf.DUMMYFUNCTION("IMPORTRANGE(""https://docs.google.com/spreadsheets/d/1SaMnqrwRGmFYNR0MhpWmHuL5niYUd5E7vDq8X7whAlI/edit?usp=sharing"",""ขอนแก่น!J616"")"),0)</f>
        <v>0</v>
      </c>
      <c r="CQ33" s="140">
        <f ca="1">IFERROR(__xludf.DUMMYFUNCTION("IMPORTRANGE(""https://docs.google.com/spreadsheets/d/1SaMnqrwRGmFYNR0MhpWmHuL5niYUd5E7vDq8X7whAlI/edit?usp=sharing"",""ขอนแก่น!J617"")"),0)</f>
        <v>0</v>
      </c>
      <c r="CR33" s="140">
        <f ca="1">IFERROR(__xludf.DUMMYFUNCTION("IMPORTRANGE(""https://docs.google.com/spreadsheets/d/1SaMnqrwRGmFYNR0MhpWmHuL5niYUd5E7vDq8X7whAlI/edit?usp=sharing"",""ขอนแก่น!I620"")"),71)</f>
        <v>71</v>
      </c>
      <c r="CS33" s="140">
        <f ca="1">IFERROR(__xludf.DUMMYFUNCTION("IMPORTRANGE(""https://docs.google.com/spreadsheets/d/1SaMnqrwRGmFYNR0MhpWmHuL5niYUd5E7vDq8X7whAlI/edit?usp=sharing"",""ขอนแก่น!I621"")"),3)</f>
        <v>3</v>
      </c>
      <c r="CT33" s="141">
        <f ca="1">IFERROR(__xludf.DUMMYFUNCTION("IMPORTRANGE(""https://docs.google.com/spreadsheets/d/1SaMnqrwRGmFYNR0MhpWmHuL5niYUd5E7vDq8X7whAlI/edit?usp=sharing"",""ขอนแก่น!J620"")"),0)</f>
        <v>0</v>
      </c>
      <c r="CU33" s="141">
        <f t="shared" ca="1" si="42"/>
        <v>0</v>
      </c>
      <c r="CV33" s="140">
        <f ca="1">IFERROR(__xludf.DUMMYFUNCTION("IMPORTRANGE(""https://docs.google.com/spreadsheets/d/1SaMnqrwRGmFYNR0MhpWmHuL5niYUd5E7vDq8X7whAlI/edit?usp=sharing"",""ขอนแก่น!J621"")"),0)</f>
        <v>0</v>
      </c>
      <c r="CW33" s="141">
        <f t="shared" ca="1" si="22"/>
        <v>0</v>
      </c>
      <c r="CX33" s="63">
        <f ca="1">IFERROR(__xludf.DUMMYFUNCTION("IMPORTRANGE(""https://docs.google.com/spreadsheets/d/1SaMnqrwRGmFYNR0MhpWmHuL5niYUd5E7vDq8X7whAlI/edit?usp=sharing"",""ขอนแก่น!J622"")"),0)</f>
        <v>0</v>
      </c>
      <c r="CY33" s="140">
        <f ca="1">IFERROR(__xludf.DUMMYFUNCTION("IMPORTRANGE(""https://docs.google.com/spreadsheets/d/1SaMnqrwRGmFYNR0MhpWmHuL5niYUd5E7vDq8X7whAlI/edit?usp=sharing"",""ขอนแก่น!J623"")"),0)</f>
        <v>0</v>
      </c>
      <c r="CZ33" s="63">
        <f ca="1">IFERROR(__xludf.DUMMYFUNCTION("IMPORTRANGE(""https://docs.google.com/spreadsheets/d/1SaMnqrwRGmFYNR0MhpWmHuL5niYUd5E7vDq8X7whAlI/edit?usp=sharing"",""ขอนแก่น!J624"")"),0)</f>
        <v>0</v>
      </c>
      <c r="DA33" s="140">
        <f ca="1">IFERROR(__xludf.DUMMYFUNCTION("IMPORTRANGE(""https://docs.google.com/spreadsheets/d/1SaMnqrwRGmFYNR0MhpWmHuL5niYUd5E7vDq8X7whAlI/edit?usp=sharing"",""ขอนแก่น!J625"")"),0)</f>
        <v>0</v>
      </c>
      <c r="DB33" s="63">
        <f ca="1">IFERROR(__xludf.DUMMYFUNCTION("IMPORTRANGE(""https://docs.google.com/spreadsheets/d/1SaMnqrwRGmFYNR0MhpWmHuL5niYUd5E7vDq8X7whAlI/edit?usp=sharing"",""ขอนแก่น!J626"")"),0)</f>
        <v>0</v>
      </c>
      <c r="DC33" s="140">
        <f ca="1">IFERROR(__xludf.DUMMYFUNCTION("IMPORTRANGE(""https://docs.google.com/spreadsheets/d/1SaMnqrwRGmFYNR0MhpWmHuL5niYUd5E7vDq8X7whAlI/edit?usp=sharing"",""ขอนแก่น!J627"")"),0)</f>
        <v>0</v>
      </c>
    </row>
    <row r="34" spans="1:107" ht="21" customHeight="1" x14ac:dyDescent="0.3">
      <c r="A34" s="54">
        <v>3</v>
      </c>
      <c r="B34" s="55" t="s">
        <v>55</v>
      </c>
      <c r="C34" s="56">
        <f t="shared" ca="1" si="66"/>
        <v>689881</v>
      </c>
      <c r="D34" s="57">
        <f ca="1">IFERROR(__xludf.DUMMYFUNCTION("IMPORTRANGE(""https://docs.google.com/spreadsheets/d/1xQzEtGHhTTgxHh6YUkKY1P4dRyjVhS74dGswLfAASA4/edit?usp=sharing"",""ชัยภูมิ!L549"")"),689881)</f>
        <v>689881</v>
      </c>
      <c r="E34" s="64">
        <f ca="1">IFERROR(__xludf.DUMMYFUNCTION("IMPORTRANGE(""https://docs.google.com/spreadsheets/d/1xQzEtGHhTTgxHh6YUkKY1P4dRyjVhS74dGswLfAASA4/edit?usp=sharing"",""ชัยภูมิ!L557"")"),0)</f>
        <v>0</v>
      </c>
      <c r="F34" s="64">
        <f ca="1">IFERROR(__xludf.DUMMYFUNCTION("IMPORTRANGE(""https://docs.google.com/spreadsheets/d/1xQzEtGHhTTgxHh6YUkKY1P4dRyjVhS74dGswLfAASA4/edit?usp=sharing"",""ชัยภูมิ!M549"")"),689881)</f>
        <v>689881</v>
      </c>
      <c r="G34" s="64">
        <f ca="1">IFERROR(__xludf.DUMMYFUNCTION("IMPORTRANGE(""https://docs.google.com/spreadsheets/d/1xQzEtGHhTTgxHh6YUkKY1P4dRyjVhS74dGswLfAASA4/edit?usp=sharing"",""ชัยภูมิ!M557"")"),0)</f>
        <v>0</v>
      </c>
      <c r="H34" s="58">
        <f t="shared" ca="1" si="36"/>
        <v>279776</v>
      </c>
      <c r="I34" s="59">
        <f t="shared" ca="1" si="1"/>
        <v>40.554240513943711</v>
      </c>
      <c r="J34" s="60">
        <f t="shared" ca="1" si="67"/>
        <v>279776</v>
      </c>
      <c r="K34" s="61">
        <f t="shared" ca="1" si="44"/>
        <v>40.554240513943711</v>
      </c>
      <c r="L34" s="61">
        <f t="shared" ca="1" si="45"/>
        <v>40.554240513943711</v>
      </c>
      <c r="M34" s="64">
        <f ca="1">IFERROR(__xludf.DUMMYFUNCTION("IMPORTRANGE(""https://docs.google.com/spreadsheets/d/1xQzEtGHhTTgxHh6YUkKY1P4dRyjVhS74dGswLfAASA4/edit?usp=sharing"",""ชัยภูมิ!N550"")"),0)</f>
        <v>0</v>
      </c>
      <c r="N34" s="64">
        <f ca="1">IFERROR(__xludf.DUMMYFUNCTION("IMPORTRANGE(""https://docs.google.com/spreadsheets/d/1xQzEtGHhTTgxHh6YUkKY1P4dRyjVhS74dGswLfAASA4/edit?usp=sharing"",""ชัยภูมิ!N551"")"),32700)</f>
        <v>32700</v>
      </c>
      <c r="O34" s="64">
        <f ca="1">IFERROR(__xludf.DUMMYFUNCTION("IMPORTRANGE(""https://docs.google.com/spreadsheets/d/1xQzEtGHhTTgxHh6YUkKY1P4dRyjVhS74dGswLfAASA4/edit?usp=sharing"",""ชัยภูมิ!N552"")"),59008)</f>
        <v>59008</v>
      </c>
      <c r="P34" s="64">
        <f ca="1">IFERROR(__xludf.DUMMYFUNCTION("IMPORTRANGE(""https://docs.google.com/spreadsheets/d/1xQzEtGHhTTgxHh6YUkKY1P4dRyjVhS74dGswLfAASA4/edit?usp=sharing"",""ชัยภูมิ!N553"")"),188068)</f>
        <v>188068</v>
      </c>
      <c r="Q34" s="64">
        <f ca="1">IFERROR(__xludf.DUMMYFUNCTION("IMPORTRANGE(""https://docs.google.com/spreadsheets/d/1xQzEtGHhTTgxHh6YUkKY1P4dRyjVhS74dGswLfAASA4/edit?usp=sharing"",""ชัยภูมิ!N554"")"),0)</f>
        <v>0</v>
      </c>
      <c r="R34" s="62">
        <f ca="1">IFERROR(__xludf.DUMMYFUNCTION("IMPORTRANGE(""https://docs.google.com/spreadsheets/d/1xQzEtGHhTTgxHh6YUkKY1P4dRyjVhS74dGswLfAASA4/edit?usp=sharing"",""ชัยภูมิ!N557"")"),0)</f>
        <v>0</v>
      </c>
      <c r="S34" s="62">
        <f t="shared" ca="1" si="47"/>
        <v>0</v>
      </c>
      <c r="T34" s="57">
        <f ca="1">IFERROR(__xludf.DUMMYFUNCTION("IMPORTRANGE(""https://docs.google.com/spreadsheets/d/1xQzEtGHhTTgxHh6YUkKY1P4dRyjVhS74dGswLfAASA4/edit?usp=sharing"",""ชัยภูมิ!I560"")"),99295)</f>
        <v>99295</v>
      </c>
      <c r="U34" s="57">
        <f ca="1">IFERROR(__xludf.DUMMYFUNCTION("IMPORTRANGE(""https://docs.google.com/spreadsheets/d/1xQzEtGHhTTgxHh6YUkKY1P4dRyjVhS74dGswLfAASA4/edit?usp=sharing"",""ชัยภูมิ!I561"")"),8010)</f>
        <v>8010</v>
      </c>
      <c r="V34" s="63">
        <f ca="1">IFERROR(__xludf.DUMMYFUNCTION("IMPORTRANGE(""https://docs.google.com/spreadsheets/d/1xQzEtGHhTTgxHh6YUkKY1P4dRyjVhS74dGswLfAASA4/edit?usp=sharing"",""ชัยภูมิ!J560"")"),99295)</f>
        <v>99295</v>
      </c>
      <c r="W34" s="63">
        <f t="shared" ca="1" si="37"/>
        <v>100</v>
      </c>
      <c r="X34" s="57">
        <f ca="1">IFERROR(__xludf.DUMMYFUNCTION("IMPORTRANGE(""https://docs.google.com/spreadsheets/d/1xQzEtGHhTTgxHh6YUkKY1P4dRyjVhS74dGswLfAASA4/edit?usp=sharing"",""ชัยภูมิ!J561"")"),8010)</f>
        <v>8010</v>
      </c>
      <c r="Y34" s="63">
        <f t="shared" ca="1" si="7"/>
        <v>100</v>
      </c>
      <c r="Z34" s="63">
        <f ca="1">IFERROR(__xludf.DUMMYFUNCTION("IMPORTRANGE(""https://docs.google.com/spreadsheets/d/1xQzEtGHhTTgxHh6YUkKY1P4dRyjVhS74dGswLfAASA4/edit?usp=sharing"",""ชัยภูมิ!J562"")"),88224)</f>
        <v>88224</v>
      </c>
      <c r="AA34" s="140">
        <f ca="1">IFERROR(__xludf.DUMMYFUNCTION("IMPORTRANGE(""https://docs.google.com/spreadsheets/d/1xQzEtGHhTTgxHh6YUkKY1P4dRyjVhS74dGswLfAASA4/edit?usp=sharing"",""ชัยภูมิ!J563"")"),7244)</f>
        <v>7244</v>
      </c>
      <c r="AB34" s="63">
        <f ca="1">IFERROR(__xludf.DUMMYFUNCTION("IMPORTRANGE(""https://docs.google.com/spreadsheets/d/1xQzEtGHhTTgxHh6YUkKY1P4dRyjVhS74dGswLfAASA4/edit?usp=sharing"",""ชัยภูมิ!J564"")"),8072)</f>
        <v>8072</v>
      </c>
      <c r="AC34" s="140">
        <f ca="1">IFERROR(__xludf.DUMMYFUNCTION("IMPORTRANGE(""https://docs.google.com/spreadsheets/d/1xQzEtGHhTTgxHh6YUkKY1P4dRyjVhS74dGswLfAASA4/edit?usp=sharing"",""ชัยภูมิ!J565"")"),514)</f>
        <v>514</v>
      </c>
      <c r="AD34" s="63">
        <f ca="1">IFERROR(__xludf.DUMMYFUNCTION("IMPORTRANGE(""https://docs.google.com/spreadsheets/d/1xQzEtGHhTTgxHh6YUkKY1P4dRyjVhS74dGswLfAASA4/edit?usp=sharing"",""ชัยภูมิ!J566"")"),2999)</f>
        <v>2999</v>
      </c>
      <c r="AE34" s="140">
        <f ca="1">IFERROR(__xludf.DUMMYFUNCTION("IMPORTRANGE(""https://docs.google.com/spreadsheets/d/1xQzEtGHhTTgxHh6YUkKY1P4dRyjVhS74dGswLfAASA4/edit?usp=sharing"",""ชัยภูมิ!J567"")"),252)</f>
        <v>252</v>
      </c>
      <c r="AF34" s="57">
        <f ca="1">IFERROR(__xludf.DUMMYFUNCTION("IMPORTRANGE(""https://docs.google.com/spreadsheets/d/1xQzEtGHhTTgxHh6YUkKY1P4dRyjVhS74dGswLfAASA4/edit?usp=sharing"",""ชัยภูมิ!I568"")"),99295)</f>
        <v>99295</v>
      </c>
      <c r="AG34" s="57">
        <f ca="1">IFERROR(__xludf.DUMMYFUNCTION("IMPORTRANGE(""https://docs.google.com/spreadsheets/d/1xQzEtGHhTTgxHh6YUkKY1P4dRyjVhS74dGswLfAASA4/edit?usp=sharing"",""ชัยภูมิ!I569"")"),8010)</f>
        <v>8010</v>
      </c>
      <c r="AH34" s="63">
        <f ca="1">IFERROR(__xludf.DUMMYFUNCTION("IMPORTRANGE(""https://docs.google.com/spreadsheets/d/1xQzEtGHhTTgxHh6YUkKY1P4dRyjVhS74dGswLfAASA4/edit?usp=sharing"",""ชัยภูมิ!J568"")"),99295)</f>
        <v>99295</v>
      </c>
      <c r="AI34" s="63">
        <f t="shared" ca="1" si="38"/>
        <v>100</v>
      </c>
      <c r="AJ34" s="57">
        <f ca="1">IFERROR(__xludf.DUMMYFUNCTION("IMPORTRANGE(""https://docs.google.com/spreadsheets/d/1xQzEtGHhTTgxHh6YUkKY1P4dRyjVhS74dGswLfAASA4/edit?usp=sharing"",""ชัยภูมิ!J569"")"),8010)</f>
        <v>8010</v>
      </c>
      <c r="AK34" s="63">
        <f t="shared" ca="1" si="10"/>
        <v>100</v>
      </c>
      <c r="AL34" s="63">
        <f ca="1">IFERROR(__xludf.DUMMYFUNCTION("IMPORTRANGE(""https://docs.google.com/spreadsheets/d/1xQzEtGHhTTgxHh6YUkKY1P4dRyjVhS74dGswLfAASA4/edit?usp=sharing"",""ชัยภูมิ!J570"")"),89582)</f>
        <v>89582</v>
      </c>
      <c r="AM34" s="140">
        <f ca="1">IFERROR(__xludf.DUMMYFUNCTION("IMPORTRANGE(""https://docs.google.com/spreadsheets/d/1xQzEtGHhTTgxHh6YUkKY1P4dRyjVhS74dGswLfAASA4/edit?usp=sharing"",""ชัยภูมิ!J571"")"),7321)</f>
        <v>7321</v>
      </c>
      <c r="AN34" s="63">
        <f ca="1">IFERROR(__xludf.DUMMYFUNCTION("IMPORTRANGE(""https://docs.google.com/spreadsheets/d/1xQzEtGHhTTgxHh6YUkKY1P4dRyjVhS74dGswLfAASA4/edit?usp=sharing"",""ชัยภูมิ!J572"")"),6690)</f>
        <v>6690</v>
      </c>
      <c r="AO34" s="140">
        <f ca="1">IFERROR(__xludf.DUMMYFUNCTION("IMPORTRANGE(""https://docs.google.com/spreadsheets/d/1xQzEtGHhTTgxHh6YUkKY1P4dRyjVhS74dGswLfAASA4/edit?usp=sharing"",""ชัยภูมิ!J573"")"),424)</f>
        <v>424</v>
      </c>
      <c r="AP34" s="63">
        <f ca="1">IFERROR(__xludf.DUMMYFUNCTION("IMPORTRANGE(""https://docs.google.com/spreadsheets/d/1xQzEtGHhTTgxHh6YUkKY1P4dRyjVhS74dGswLfAASA4/edit?usp=sharing"",""ชัยภูมิ!J574"")"),3023)</f>
        <v>3023</v>
      </c>
      <c r="AQ34" s="140">
        <f ca="1">IFERROR(__xludf.DUMMYFUNCTION("IMPORTRANGE(""https://docs.google.com/spreadsheets/d/1xQzEtGHhTTgxHh6YUkKY1P4dRyjVhS74dGswLfAASA4/edit?usp=sharing"",""ชัยภูมิ!J575"")"),265)</f>
        <v>265</v>
      </c>
      <c r="AR34" s="57">
        <f ca="1">IFERROR(__xludf.DUMMYFUNCTION("IMPORTRANGE(""https://docs.google.com/spreadsheets/d/1xQzEtGHhTTgxHh6YUkKY1P4dRyjVhS74dGswLfAASA4/edit?usp=sharing"",""ชัยภูมิ!I576"")"),99295)</f>
        <v>99295</v>
      </c>
      <c r="AS34" s="57">
        <f ca="1">IFERROR(__xludf.DUMMYFUNCTION("IMPORTRANGE(""https://docs.google.com/spreadsheets/d/1xQzEtGHhTTgxHh6YUkKY1P4dRyjVhS74dGswLfAASA4/edit?usp=sharing"",""ชัยภูมิ!I577"")"),8010)</f>
        <v>8010</v>
      </c>
      <c r="AT34" s="63">
        <f ca="1">IFERROR(__xludf.DUMMYFUNCTION("IMPORTRANGE(""https://docs.google.com/spreadsheets/d/1xQzEtGHhTTgxHh6YUkKY1P4dRyjVhS74dGswLfAASA4/edit?usp=sharing"",""ชัยภูมิ!J576"")"),99295)</f>
        <v>99295</v>
      </c>
      <c r="AU34" s="63">
        <f t="shared" ca="1" si="39"/>
        <v>100</v>
      </c>
      <c r="AV34" s="57">
        <f ca="1">IFERROR(__xludf.DUMMYFUNCTION("IMPORTRANGE(""https://docs.google.com/spreadsheets/d/1xQzEtGHhTTgxHh6YUkKY1P4dRyjVhS74dGswLfAASA4/edit?usp=sharing"",""ชัยภูมิ!J577"")"),8010)</f>
        <v>8010</v>
      </c>
      <c r="AW34" s="63">
        <f t="shared" ca="1" si="13"/>
        <v>100</v>
      </c>
      <c r="AX34" s="63">
        <f ca="1">IFERROR(__xludf.DUMMYFUNCTION("IMPORTRANGE(""https://docs.google.com/spreadsheets/d/1xQzEtGHhTTgxHh6YUkKY1P4dRyjVhS74dGswLfAASA4/edit?usp=sharing"",""ชัยภูมิ!J578"")"),89582)</f>
        <v>89582</v>
      </c>
      <c r="AY34" s="140">
        <f ca="1">IFERROR(__xludf.DUMMYFUNCTION("IMPORTRANGE(""https://docs.google.com/spreadsheets/d/1xQzEtGHhTTgxHh6YUkKY1P4dRyjVhS74dGswLfAASA4/edit?usp=sharing"",""ชัยภูมิ!J579"")"),7321)</f>
        <v>7321</v>
      </c>
      <c r="AZ34" s="63">
        <f ca="1">IFERROR(__xludf.DUMMYFUNCTION("IMPORTRANGE(""https://docs.google.com/spreadsheets/d/1xQzEtGHhTTgxHh6YUkKY1P4dRyjVhS74dGswLfAASA4/edit?usp=sharing"",""ชัยภูมิ!J580"")"),6690)</f>
        <v>6690</v>
      </c>
      <c r="BA34" s="140">
        <f ca="1">IFERROR(__xludf.DUMMYFUNCTION("IMPORTRANGE(""https://docs.google.com/spreadsheets/d/1xQzEtGHhTTgxHh6YUkKY1P4dRyjVhS74dGswLfAASA4/edit?usp=sharing"",""ชัยภูมิ!J581"")"),424)</f>
        <v>424</v>
      </c>
      <c r="BB34" s="63">
        <f ca="1">IFERROR(__xludf.DUMMYFUNCTION("IMPORTRANGE(""https://docs.google.com/spreadsheets/d/1xQzEtGHhTTgxHh6YUkKY1P4dRyjVhS74dGswLfAASA4/edit?usp=sharing"",""ชัยภูมิ!J582"")"),3023)</f>
        <v>3023</v>
      </c>
      <c r="BC34" s="140">
        <f ca="1">IFERROR(__xludf.DUMMYFUNCTION("IMPORTRANGE(""https://docs.google.com/spreadsheets/d/1xQzEtGHhTTgxHh6YUkKY1P4dRyjVhS74dGswLfAASA4/edit?usp=sharing"",""ชัยภูมิ!J583"")"),265)</f>
        <v>265</v>
      </c>
      <c r="BD34" s="141">
        <f ca="1">IFERROR(__xludf.DUMMYFUNCTION("IMPORTRANGE(""https://docs.google.com/spreadsheets/d/1xQzEtGHhTTgxHh6YUkKY1P4dRyjVhS74dGswLfAASA4/edit?usp=sharing"",""ชัยภูมิ!J584"")"),2906)</f>
        <v>2906</v>
      </c>
      <c r="BE34" s="140">
        <f ca="1">IFERROR(__xludf.DUMMYFUNCTION("IMPORTRANGE(""https://docs.google.com/spreadsheets/d/1xQzEtGHhTTgxHh6YUkKY1P4dRyjVhS74dGswLfAASA4/edit?usp=sharing"",""ชัยภูมิ!J585"")"),255)</f>
        <v>255</v>
      </c>
      <c r="BF34" s="141">
        <f ca="1">IFERROR(__xludf.DUMMYFUNCTION("IMPORTRANGE(""https://docs.google.com/spreadsheets/d/1xQzEtGHhTTgxHh6YUkKY1P4dRyjVhS74dGswLfAASA4/edit?usp=sharing"",""ชัยภูมิ!J586"")"),117)</f>
        <v>117</v>
      </c>
      <c r="BG34" s="140">
        <f ca="1">IFERROR(__xludf.DUMMYFUNCTION("IMPORTRANGE(""https://docs.google.com/spreadsheets/d/1xQzEtGHhTTgxHh6YUkKY1P4dRyjVhS74dGswLfAASA4/edit?usp=sharing"",""ชัยภูมิ!J587"")"),10)</f>
        <v>10</v>
      </c>
      <c r="BH34" s="63">
        <f ca="1">IFERROR(__xludf.DUMMYFUNCTION("IMPORTRANGE(""https://docs.google.com/spreadsheets/d/1xQzEtGHhTTgxHh6YUkKY1P4dRyjVhS74dGswLfAASA4/edit?usp=sharing"",""ชัยภูมิ!J588"")"),0)</f>
        <v>0</v>
      </c>
      <c r="BI34" s="140">
        <f ca="1">IFERROR(__xludf.DUMMYFUNCTION("IMPORTRANGE(""https://docs.google.com/spreadsheets/d/1xQzEtGHhTTgxHh6YUkKY1P4dRyjVhS74dGswLfAASA4/edit?usp=sharing"",""ชัยภูมิ!J589"")"),0)</f>
        <v>0</v>
      </c>
      <c r="BJ34" s="63">
        <f ca="1">IFERROR(__xludf.DUMMYFUNCTION("IMPORTRANGE(""https://docs.google.com/spreadsheets/d/1xQzEtGHhTTgxHh6YUkKY1P4dRyjVhS74dGswLfAASA4/edit?usp=sharing"",""ชัยภูมิ!J590"")"),0)</f>
        <v>0</v>
      </c>
      <c r="BK34" s="140">
        <f ca="1">IFERROR(__xludf.DUMMYFUNCTION("IMPORTRANGE(""https://docs.google.com/spreadsheets/d/1xQzEtGHhTTgxHh6YUkKY1P4dRyjVhS74dGswLfAASA4/edit?usp=sharing"",""ชัยภูมิ!J591"")"),0)</f>
        <v>0</v>
      </c>
      <c r="BL34" s="57">
        <f ca="1">IFERROR(__xludf.DUMMYFUNCTION("IMPORTRANGE(""https://docs.google.com/spreadsheets/d/1xQzEtGHhTTgxHh6YUkKY1P4dRyjVhS74dGswLfAASA4/edit?usp=sharing"",""ชัยภูมิ!I593"")"),8081.89)</f>
        <v>8081.89</v>
      </c>
      <c r="BM34" s="57">
        <f ca="1">IFERROR(__xludf.DUMMYFUNCTION("IMPORTRANGE(""https://docs.google.com/spreadsheets/d/1xQzEtGHhTTgxHh6YUkKY1P4dRyjVhS74dGswLfAASA4/edit?usp=sharing"",""ชัยภูมิ!I594"")"),699)</f>
        <v>699</v>
      </c>
      <c r="BN34" s="63">
        <f ca="1">IFERROR(__xludf.DUMMYFUNCTION("IMPORTRANGE(""https://docs.google.com/spreadsheets/d/1xQzEtGHhTTgxHh6YUkKY1P4dRyjVhS74dGswLfAASA4/edit?usp=sharing"",""ชัยภูมิ!J593"")"),0)</f>
        <v>0</v>
      </c>
      <c r="BO34" s="63">
        <f t="shared" ca="1" si="40"/>
        <v>0</v>
      </c>
      <c r="BP34" s="57">
        <f ca="1">IFERROR(__xludf.DUMMYFUNCTION("IMPORTRANGE(""https://docs.google.com/spreadsheets/d/1xQzEtGHhTTgxHh6YUkKY1P4dRyjVhS74dGswLfAASA4/edit?usp=sharing"",""ชัยภูมิ!J594"")"),0)</f>
        <v>0</v>
      </c>
      <c r="BQ34" s="63">
        <f t="shared" ca="1" si="16"/>
        <v>0</v>
      </c>
      <c r="BR34" s="63">
        <f ca="1">IFERROR(__xludf.DUMMYFUNCTION("IMPORTRANGE(""https://docs.google.com/spreadsheets/d/1xQzEtGHhTTgxHh6YUkKY1P4dRyjVhS74dGswLfAASA4/edit?usp=sharing"",""ชัยภูมิ!J595"")"),0)</f>
        <v>0</v>
      </c>
      <c r="BS34" s="140">
        <f ca="1">IFERROR(__xludf.DUMMYFUNCTION("IMPORTRANGE(""https://docs.google.com/spreadsheets/d/1xQzEtGHhTTgxHh6YUkKY1P4dRyjVhS74dGswLfAASA4/edit?usp=sharing"",""ชัยภูมิ!J596"")"),0)</f>
        <v>0</v>
      </c>
      <c r="BT34" s="63">
        <f ca="1">IFERROR(__xludf.DUMMYFUNCTION("IMPORTRANGE(""https://docs.google.com/spreadsheets/d/1xQzEtGHhTTgxHh6YUkKY1P4dRyjVhS74dGswLfAASA4/edit?usp=sharing"",""ชัยภูมิ!J597"")"),0)</f>
        <v>0</v>
      </c>
      <c r="BU34" s="140">
        <f ca="1">IFERROR(__xludf.DUMMYFUNCTION("IMPORTRANGE(""https://docs.google.com/spreadsheets/d/1xQzEtGHhTTgxHh6YUkKY1P4dRyjVhS74dGswLfAASA4/edit?usp=sharing"",""ชัยภูมิ!J598"")"),0)</f>
        <v>0</v>
      </c>
      <c r="BV34" s="63">
        <f ca="1">IFERROR(__xludf.DUMMYFUNCTION("IMPORTRANGE(""https://docs.google.com/spreadsheets/d/1xQzEtGHhTTgxHh6YUkKY1P4dRyjVhS74dGswLfAASA4/edit?usp=sharing"",""ชัยภูมิ!J599"")"),0)</f>
        <v>0</v>
      </c>
      <c r="BW34" s="140">
        <f ca="1">IFERROR(__xludf.DUMMYFUNCTION("IMPORTRANGE(""https://docs.google.com/spreadsheets/d/1xQzEtGHhTTgxHh6YUkKY1P4dRyjVhS74dGswLfAASA4/edit?usp=sharing"",""ชัยภูมิ!J600"")"),0)</f>
        <v>0</v>
      </c>
      <c r="BX34" s="141">
        <f ca="1">IFERROR(__xludf.DUMMYFUNCTION("IMPORTRANGE(""https://docs.google.com/spreadsheets/d/1xQzEtGHhTTgxHh6YUkKY1P4dRyjVhS74dGswLfAASA4/edit?usp=sharing"",""ชัยภูมิ!J601"")"),0)</f>
        <v>0</v>
      </c>
      <c r="BY34" s="140">
        <f ca="1">IFERROR(__xludf.DUMMYFUNCTION("IMPORTRANGE(""https://docs.google.com/spreadsheets/d/1xQzEtGHhTTgxHh6YUkKY1P4dRyjVhS74dGswLfAASA4/edit?usp=sharing"",""ชัยภูมิ!J602"")"),0)</f>
        <v>0</v>
      </c>
      <c r="BZ34" s="63">
        <f ca="1">IFERROR(__xludf.DUMMYFUNCTION("IMPORTRANGE(""https://docs.google.com/spreadsheets/d/1xQzEtGHhTTgxHh6YUkKY1P4dRyjVhS74dGswLfAASA4/edit?usp=sharing"",""ชัยภูมิ!J603"")"),0)</f>
        <v>0</v>
      </c>
      <c r="CA34" s="140">
        <f ca="1">IFERROR(__xludf.DUMMYFUNCTION("IMPORTRANGE(""https://docs.google.com/spreadsheets/d/1xQzEtGHhTTgxHh6YUkKY1P4dRyjVhS74dGswLfAASA4/edit?usp=sharing"",""ชัยภูมิ!J604"")"),0)</f>
        <v>0</v>
      </c>
      <c r="CB34" s="63">
        <f ca="1">IFERROR(__xludf.DUMMYFUNCTION("IMPORTRANGE(""https://docs.google.com/spreadsheets/d/1xQzEtGHhTTgxHh6YUkKY1P4dRyjVhS74dGswLfAASA4/edit?usp=sharing"",""ชัยภูมิ!J605"")"),0)</f>
        <v>0</v>
      </c>
      <c r="CC34" s="140">
        <f ca="1">IFERROR(__xludf.DUMMYFUNCTION("IMPORTRANGE(""https://docs.google.com/spreadsheets/d/1xQzEtGHhTTgxHh6YUkKY1P4dRyjVhS74dGswLfAASA4/edit?usp=sharing"",""ชัยภูมิ!J606"")"),0)</f>
        <v>0</v>
      </c>
      <c r="CD34" s="63">
        <f ca="1">IFERROR(__xludf.DUMMYFUNCTION("IMPORTRANGE(""https://docs.google.com/spreadsheets/d/1xQzEtGHhTTgxHh6YUkKY1P4dRyjVhS74dGswLfAASA4/edit?usp=sharing"",""ชัยภูมิ!J607"")"),0)</f>
        <v>0</v>
      </c>
      <c r="CE34" s="140">
        <f ca="1">IFERROR(__xludf.DUMMYFUNCTION("IMPORTRANGE(""https://docs.google.com/spreadsheets/d/1xQzEtGHhTTgxHh6YUkKY1P4dRyjVhS74dGswLfAASA4/edit?usp=sharing"",""ชัยภูมิ!J608"")"),0)</f>
        <v>0</v>
      </c>
      <c r="CF34" s="63">
        <f ca="1">IFERROR(__xludf.DUMMYFUNCTION("IMPORTRANGE(""https://docs.google.com/spreadsheets/d/1xQzEtGHhTTgxHh6YUkKY1P4dRyjVhS74dGswLfAASA4/edit?usp=sharing"",""ชัยภูมิ!J609"")"),0)</f>
        <v>0</v>
      </c>
      <c r="CG34" s="140">
        <f ca="1">IFERROR(__xludf.DUMMYFUNCTION("IMPORTRANGE(""https://docs.google.com/spreadsheets/d/1xQzEtGHhTTgxHh6YUkKY1P4dRyjVhS74dGswLfAASA4/edit?usp=sharing"",""ชัยภูมิ!J610"")"),0)</f>
        <v>0</v>
      </c>
      <c r="CH34" s="140">
        <f ca="1">IFERROR(__xludf.DUMMYFUNCTION("IMPORTRANGE(""https://docs.google.com/spreadsheets/d/1xQzEtGHhTTgxHh6YUkKY1P4dRyjVhS74dGswLfAASA4/edit?usp=sharing"",""ชัยภูมิ!I612"")"),0)</f>
        <v>0</v>
      </c>
      <c r="CI34" s="140">
        <f ca="1">IFERROR(__xludf.DUMMYFUNCTION("IMPORTRANGE(""https://docs.google.com/spreadsheets/d/1xQzEtGHhTTgxHh6YUkKY1P4dRyjVhS74dGswLfAASA4/edit?usp=sharing"",""ชัยภูมิ!I594"")"),699)</f>
        <v>699</v>
      </c>
      <c r="CJ34" s="141">
        <f ca="1">IFERROR(__xludf.DUMMYFUNCTION("IMPORTRANGE(""https://docs.google.com/spreadsheets/d/1xQzEtGHhTTgxHh6YUkKY1P4dRyjVhS74dGswLfAASA4/edit?usp=sharing"",""ชัยภูมิ!J612"")"),0)</f>
        <v>0</v>
      </c>
      <c r="CK34" s="141">
        <f t="shared" ca="1" si="41"/>
        <v>0</v>
      </c>
      <c r="CL34" s="140">
        <f ca="1">IFERROR(__xludf.DUMMYFUNCTION("IMPORTRANGE(""https://docs.google.com/spreadsheets/d/1xQzEtGHhTTgxHh6YUkKY1P4dRyjVhS74dGswLfAASA4/edit?usp=sharing"",""ชัยภูมิ!J613"")"),0)</f>
        <v>0</v>
      </c>
      <c r="CM34" s="141">
        <f t="shared" ca="1" si="19"/>
        <v>0</v>
      </c>
      <c r="CN34" s="63">
        <f ca="1">IFERROR(__xludf.DUMMYFUNCTION("IMPORTRANGE(""https://docs.google.com/spreadsheets/d/1xQzEtGHhTTgxHh6YUkKY1P4dRyjVhS74dGswLfAASA4/edit?usp=sharing"",""ชัยภูมิ!J614"")"),0)</f>
        <v>0</v>
      </c>
      <c r="CO34" s="140">
        <f ca="1">IFERROR(__xludf.DUMMYFUNCTION("IMPORTRANGE(""https://docs.google.com/spreadsheets/d/1xQzEtGHhTTgxHh6YUkKY1P4dRyjVhS74dGswLfAASA4/edit?usp=sharing"",""ชัยภูมิ!J615"")"),0)</f>
        <v>0</v>
      </c>
      <c r="CP34" s="63">
        <f ca="1">IFERROR(__xludf.DUMMYFUNCTION("IMPORTRANGE(""https://docs.google.com/spreadsheets/d/1xQzEtGHhTTgxHh6YUkKY1P4dRyjVhS74dGswLfAASA4/edit?usp=sharing"",""ชัยภูมิ!J616"")"),0)</f>
        <v>0</v>
      </c>
      <c r="CQ34" s="140">
        <f ca="1">IFERROR(__xludf.DUMMYFUNCTION("IMPORTRANGE(""https://docs.google.com/spreadsheets/d/1xQzEtGHhTTgxHh6YUkKY1P4dRyjVhS74dGswLfAASA4/edit?usp=sharing"",""ชัยภูมิ!J617"")"),0)</f>
        <v>0</v>
      </c>
      <c r="CR34" s="140">
        <f ca="1">IFERROR(__xludf.DUMMYFUNCTION("IMPORTRANGE(""https://docs.google.com/spreadsheets/d/1xQzEtGHhTTgxHh6YUkKY1P4dRyjVhS74dGswLfAASA4/edit?usp=sharing"",""ชัยภูมิ!I620"")"),121)</f>
        <v>121</v>
      </c>
      <c r="CS34" s="140">
        <f ca="1">IFERROR(__xludf.DUMMYFUNCTION("IMPORTRANGE(""https://docs.google.com/spreadsheets/d/1xQzEtGHhTTgxHh6YUkKY1P4dRyjVhS74dGswLfAASA4/edit?usp=sharing"",""ชัยภูมิ!I621"")"),6)</f>
        <v>6</v>
      </c>
      <c r="CT34" s="141">
        <f ca="1">IFERROR(__xludf.DUMMYFUNCTION("IMPORTRANGE(""https://docs.google.com/spreadsheets/d/1xQzEtGHhTTgxHh6YUkKY1P4dRyjVhS74dGswLfAASA4/edit?usp=sharing"",""ชัยภูมิ!J620"")"),0)</f>
        <v>0</v>
      </c>
      <c r="CU34" s="141">
        <f t="shared" ca="1" si="42"/>
        <v>0</v>
      </c>
      <c r="CV34" s="140">
        <f ca="1">IFERROR(__xludf.DUMMYFUNCTION("IMPORTRANGE(""https://docs.google.com/spreadsheets/d/1xQzEtGHhTTgxHh6YUkKY1P4dRyjVhS74dGswLfAASA4/edit?usp=sharing"",""ชัยภูมิ!J621"")"),0)</f>
        <v>0</v>
      </c>
      <c r="CW34" s="141">
        <f t="shared" ca="1" si="22"/>
        <v>0</v>
      </c>
      <c r="CX34" s="63">
        <f ca="1">IFERROR(__xludf.DUMMYFUNCTION("IMPORTRANGE(""https://docs.google.com/spreadsheets/d/1xQzEtGHhTTgxHh6YUkKY1P4dRyjVhS74dGswLfAASA4/edit?usp=sharing"",""ชัยภูมิ!J622"")"),0)</f>
        <v>0</v>
      </c>
      <c r="CY34" s="140">
        <f ca="1">IFERROR(__xludf.DUMMYFUNCTION("IMPORTRANGE(""https://docs.google.com/spreadsheets/d/1xQzEtGHhTTgxHh6YUkKY1P4dRyjVhS74dGswLfAASA4/edit?usp=sharing"",""ชัยภูมิ!J623"")"),0)</f>
        <v>0</v>
      </c>
      <c r="CZ34" s="63">
        <f ca="1">IFERROR(__xludf.DUMMYFUNCTION("IMPORTRANGE(""https://docs.google.com/spreadsheets/d/1xQzEtGHhTTgxHh6YUkKY1P4dRyjVhS74dGswLfAASA4/edit?usp=sharing"",""ชัยภูมิ!J624"")"),0)</f>
        <v>0</v>
      </c>
      <c r="DA34" s="140">
        <f ca="1">IFERROR(__xludf.DUMMYFUNCTION("IMPORTRANGE(""https://docs.google.com/spreadsheets/d/1xQzEtGHhTTgxHh6YUkKY1P4dRyjVhS74dGswLfAASA4/edit?usp=sharing"",""ชัยภูมิ!J625"")"),0)</f>
        <v>0</v>
      </c>
      <c r="DB34" s="63">
        <f ca="1">IFERROR(__xludf.DUMMYFUNCTION("IMPORTRANGE(""https://docs.google.com/spreadsheets/d/1xQzEtGHhTTgxHh6YUkKY1P4dRyjVhS74dGswLfAASA4/edit?usp=sharing"",""ชัยภูมิ!J626"")"),0)</f>
        <v>0</v>
      </c>
      <c r="DC34" s="140">
        <f ca="1">IFERROR(__xludf.DUMMYFUNCTION("IMPORTRANGE(""https://docs.google.com/spreadsheets/d/1xQzEtGHhTTgxHh6YUkKY1P4dRyjVhS74dGswLfAASA4/edit?usp=sharing"",""ชัยภูมิ!J627"")"),0)</f>
        <v>0</v>
      </c>
    </row>
    <row r="35" spans="1:107" ht="21" customHeight="1" x14ac:dyDescent="0.3">
      <c r="A35" s="54">
        <v>4</v>
      </c>
      <c r="B35" s="55" t="s">
        <v>56</v>
      </c>
      <c r="C35" s="56">
        <f t="shared" ca="1" si="66"/>
        <v>432306</v>
      </c>
      <c r="D35" s="57">
        <f ca="1">IFERROR(__xludf.DUMMYFUNCTION("IMPORTRANGE(""https://docs.google.com/spreadsheets/d/1EXMBoBxU3OFbjT2TRpneM33qFjqDzrKmn9ydcflfI0o/edit?usp=sharing"",""นครพนม!L549"")"),432306)</f>
        <v>432306</v>
      </c>
      <c r="E35" s="64">
        <f ca="1">IFERROR(__xludf.DUMMYFUNCTION("IMPORTRANGE(""https://docs.google.com/spreadsheets/d/1EXMBoBxU3OFbjT2TRpneM33qFjqDzrKmn9ydcflfI0o/edit?usp=sharing"",""นครพนม!L557"")"),0)</f>
        <v>0</v>
      </c>
      <c r="F35" s="64">
        <f ca="1">IFERROR(__xludf.DUMMYFUNCTION("IMPORTRANGE(""https://docs.google.com/spreadsheets/d/1EXMBoBxU3OFbjT2TRpneM33qFjqDzrKmn9ydcflfI0o/edit?usp=sharing"",""นครพนม!M549"")"),432306)</f>
        <v>432306</v>
      </c>
      <c r="G35" s="64">
        <f ca="1">IFERROR(__xludf.DUMMYFUNCTION("IMPORTRANGE(""https://docs.google.com/spreadsheets/d/1EXMBoBxU3OFbjT2TRpneM33qFjqDzrKmn9ydcflfI0o/edit?usp=sharing"",""นครพนม!M557"")"),0)</f>
        <v>0</v>
      </c>
      <c r="H35" s="58">
        <f t="shared" ca="1" si="36"/>
        <v>179193.72</v>
      </c>
      <c r="I35" s="59">
        <f t="shared" ca="1" si="1"/>
        <v>41.45066688873159</v>
      </c>
      <c r="J35" s="60">
        <f t="shared" ca="1" si="67"/>
        <v>179193.72</v>
      </c>
      <c r="K35" s="61">
        <f t="shared" ca="1" si="44"/>
        <v>41.45066688873159</v>
      </c>
      <c r="L35" s="61">
        <f t="shared" ca="1" si="45"/>
        <v>41.45066688873159</v>
      </c>
      <c r="M35" s="64">
        <f ca="1">IFERROR(__xludf.DUMMYFUNCTION("IMPORTRANGE(""https://docs.google.com/spreadsheets/d/1EXMBoBxU3OFbjT2TRpneM33qFjqDzrKmn9ydcflfI0o/edit?usp=sharing"",""นครพนม!N550"")"),0)</f>
        <v>0</v>
      </c>
      <c r="N35" s="64">
        <f ca="1">IFERROR(__xludf.DUMMYFUNCTION("IMPORTRANGE(""https://docs.google.com/spreadsheets/d/1EXMBoBxU3OFbjT2TRpneM33qFjqDzrKmn9ydcflfI0o/edit?usp=sharing"",""นครพนม!N551"")"),0)</f>
        <v>0</v>
      </c>
      <c r="O35" s="64">
        <f ca="1">IFERROR(__xludf.DUMMYFUNCTION("IMPORTRANGE(""https://docs.google.com/spreadsheets/d/1EXMBoBxU3OFbjT2TRpneM33qFjqDzrKmn9ydcflfI0o/edit?usp=sharing"",""นครพนม!N552"")"),78000)</f>
        <v>78000</v>
      </c>
      <c r="P35" s="64">
        <f ca="1">IFERROR(__xludf.DUMMYFUNCTION("IMPORTRANGE(""https://docs.google.com/spreadsheets/d/1EXMBoBxU3OFbjT2TRpneM33qFjqDzrKmn9ydcflfI0o/edit?usp=sharing"",""นครพนม!N553"")"),101193.72)</f>
        <v>101193.72</v>
      </c>
      <c r="Q35" s="64">
        <f ca="1">IFERROR(__xludf.DUMMYFUNCTION("IMPORTRANGE(""https://docs.google.com/spreadsheets/d/1EXMBoBxU3OFbjT2TRpneM33qFjqDzrKmn9ydcflfI0o/edit?usp=sharing"",""นครพนม!N554"")"),0)</f>
        <v>0</v>
      </c>
      <c r="R35" s="62">
        <f ca="1">IFERROR(__xludf.DUMMYFUNCTION("IMPORTRANGE(""https://docs.google.com/spreadsheets/d/1EXMBoBxU3OFbjT2TRpneM33qFjqDzrKmn9ydcflfI0o/edit?usp=sharing"",""นครพนม!N557"")"),0)</f>
        <v>0</v>
      </c>
      <c r="S35" s="62">
        <f t="shared" ca="1" si="47"/>
        <v>0</v>
      </c>
      <c r="T35" s="57">
        <f ca="1">IFERROR(__xludf.DUMMYFUNCTION("IMPORTRANGE(""https://docs.google.com/spreadsheets/d/1EXMBoBxU3OFbjT2TRpneM33qFjqDzrKmn9ydcflfI0o/edit?usp=sharing"",""นครพนม!I560"")"),71012)</f>
        <v>71012</v>
      </c>
      <c r="U35" s="57">
        <f ca="1">IFERROR(__xludf.DUMMYFUNCTION("IMPORTRANGE(""https://docs.google.com/spreadsheets/d/1EXMBoBxU3OFbjT2TRpneM33qFjqDzrKmn9ydcflfI0o/edit?usp=sharing"",""นครพนม!I561"")"),6571)</f>
        <v>6571</v>
      </c>
      <c r="V35" s="63">
        <f ca="1">IFERROR(__xludf.DUMMYFUNCTION("IMPORTRANGE(""https://docs.google.com/spreadsheets/d/1EXMBoBxU3OFbjT2TRpneM33qFjqDzrKmn9ydcflfI0o/edit?usp=sharing"",""นครพนม!J560"")"),71012)</f>
        <v>71012</v>
      </c>
      <c r="W35" s="63">
        <f t="shared" ca="1" si="37"/>
        <v>100</v>
      </c>
      <c r="X35" s="57">
        <f ca="1">IFERROR(__xludf.DUMMYFUNCTION("IMPORTRANGE(""https://docs.google.com/spreadsheets/d/1EXMBoBxU3OFbjT2TRpneM33qFjqDzrKmn9ydcflfI0o/edit?usp=sharing"",""นครพนม!J561"")"),6571)</f>
        <v>6571</v>
      </c>
      <c r="Y35" s="63">
        <f t="shared" ca="1" si="7"/>
        <v>100</v>
      </c>
      <c r="Z35" s="63">
        <f ca="1">IFERROR(__xludf.DUMMYFUNCTION("IMPORTRANGE(""https://docs.google.com/spreadsheets/d/1EXMBoBxU3OFbjT2TRpneM33qFjqDzrKmn9ydcflfI0o/edit?usp=sharing"",""นครพนม!J562"")"),48908)</f>
        <v>48908</v>
      </c>
      <c r="AA35" s="140">
        <f ca="1">IFERROR(__xludf.DUMMYFUNCTION("IMPORTRANGE(""https://docs.google.com/spreadsheets/d/1EXMBoBxU3OFbjT2TRpneM33qFjqDzrKmn9ydcflfI0o/edit?usp=sharing"",""นครพนม!J563"")"),5078)</f>
        <v>5078</v>
      </c>
      <c r="AB35" s="63">
        <f ca="1">IFERROR(__xludf.DUMMYFUNCTION("IMPORTRANGE(""https://docs.google.com/spreadsheets/d/1EXMBoBxU3OFbjT2TRpneM33qFjqDzrKmn9ydcflfI0o/edit?usp=sharing"",""นครพนม!J564"")"),19333)</f>
        <v>19333</v>
      </c>
      <c r="AC35" s="140">
        <f ca="1">IFERROR(__xludf.DUMMYFUNCTION("IMPORTRANGE(""https://docs.google.com/spreadsheets/d/1EXMBoBxU3OFbjT2TRpneM33qFjqDzrKmn9ydcflfI0o/edit?usp=sharing"",""นครพนม!J565"")"),1311)</f>
        <v>1311</v>
      </c>
      <c r="AD35" s="63">
        <f ca="1">IFERROR(__xludf.DUMMYFUNCTION("IMPORTRANGE(""https://docs.google.com/spreadsheets/d/1EXMBoBxU3OFbjT2TRpneM33qFjqDzrKmn9ydcflfI0o/edit?usp=sharing"",""นครพนม!J566"")"),2771)</f>
        <v>2771</v>
      </c>
      <c r="AE35" s="140">
        <f ca="1">IFERROR(__xludf.DUMMYFUNCTION("IMPORTRANGE(""https://docs.google.com/spreadsheets/d/1EXMBoBxU3OFbjT2TRpneM33qFjqDzrKmn9ydcflfI0o/edit?usp=sharing"",""นครพนม!J567"")"),182)</f>
        <v>182</v>
      </c>
      <c r="AF35" s="57">
        <f ca="1">IFERROR(__xludf.DUMMYFUNCTION("IMPORTRANGE(""https://docs.google.com/spreadsheets/d/1EXMBoBxU3OFbjT2TRpneM33qFjqDzrKmn9ydcflfI0o/edit?usp=sharing"",""นครพนม!I568"")"),71012)</f>
        <v>71012</v>
      </c>
      <c r="AG35" s="57">
        <f ca="1">IFERROR(__xludf.DUMMYFUNCTION("IMPORTRANGE(""https://docs.google.com/spreadsheets/d/1EXMBoBxU3OFbjT2TRpneM33qFjqDzrKmn9ydcflfI0o/edit?usp=sharing"",""นครพนม!I569"")"),6571)</f>
        <v>6571</v>
      </c>
      <c r="AH35" s="63">
        <f ca="1">IFERROR(__xludf.DUMMYFUNCTION("IMPORTRANGE(""https://docs.google.com/spreadsheets/d/1EXMBoBxU3OFbjT2TRpneM33qFjqDzrKmn9ydcflfI0o/edit?usp=sharing"",""นครพนม!J568"")"),71012)</f>
        <v>71012</v>
      </c>
      <c r="AI35" s="63">
        <f t="shared" ca="1" si="38"/>
        <v>100</v>
      </c>
      <c r="AJ35" s="57">
        <f ca="1">IFERROR(__xludf.DUMMYFUNCTION("IMPORTRANGE(""https://docs.google.com/spreadsheets/d/1EXMBoBxU3OFbjT2TRpneM33qFjqDzrKmn9ydcflfI0o/edit?usp=sharing"",""นครพนม!J569"")"),6571)</f>
        <v>6571</v>
      </c>
      <c r="AK35" s="63">
        <f t="shared" ca="1" si="10"/>
        <v>100</v>
      </c>
      <c r="AL35" s="63">
        <f ca="1">IFERROR(__xludf.DUMMYFUNCTION("IMPORTRANGE(""https://docs.google.com/spreadsheets/d/1EXMBoBxU3OFbjT2TRpneM33qFjqDzrKmn9ydcflfI0o/edit?usp=sharing"",""นครพนม!J570"")"),48908)</f>
        <v>48908</v>
      </c>
      <c r="AM35" s="140">
        <f ca="1">IFERROR(__xludf.DUMMYFUNCTION("IMPORTRANGE(""https://docs.google.com/spreadsheets/d/1EXMBoBxU3OFbjT2TRpneM33qFjqDzrKmn9ydcflfI0o/edit?usp=sharing"",""นครพนม!J571"")"),5078)</f>
        <v>5078</v>
      </c>
      <c r="AN35" s="63">
        <f ca="1">IFERROR(__xludf.DUMMYFUNCTION("IMPORTRANGE(""https://docs.google.com/spreadsheets/d/1EXMBoBxU3OFbjT2TRpneM33qFjqDzrKmn9ydcflfI0o/edit?usp=sharing"",""นครพนม!J572"")"),19333)</f>
        <v>19333</v>
      </c>
      <c r="AO35" s="140">
        <f ca="1">IFERROR(__xludf.DUMMYFUNCTION("IMPORTRANGE(""https://docs.google.com/spreadsheets/d/1EXMBoBxU3OFbjT2TRpneM33qFjqDzrKmn9ydcflfI0o/edit?usp=sharing"",""นครพนม!J573"")"),1311)</f>
        <v>1311</v>
      </c>
      <c r="AP35" s="63">
        <f ca="1">IFERROR(__xludf.DUMMYFUNCTION("IMPORTRANGE(""https://docs.google.com/spreadsheets/d/1EXMBoBxU3OFbjT2TRpneM33qFjqDzrKmn9ydcflfI0o/edit?usp=sharing"",""นครพนม!J574"")"),2771)</f>
        <v>2771</v>
      </c>
      <c r="AQ35" s="140">
        <f ca="1">IFERROR(__xludf.DUMMYFUNCTION("IMPORTRANGE(""https://docs.google.com/spreadsheets/d/1EXMBoBxU3OFbjT2TRpneM33qFjqDzrKmn9ydcflfI0o/edit?usp=sharing"",""นครพนม!J575"")"),182)</f>
        <v>182</v>
      </c>
      <c r="AR35" s="57">
        <f ca="1">IFERROR(__xludf.DUMMYFUNCTION("IMPORTRANGE(""https://docs.google.com/spreadsheets/d/1EXMBoBxU3OFbjT2TRpneM33qFjqDzrKmn9ydcflfI0o/edit?usp=sharing"",""นครพนม!I576"")"),71012)</f>
        <v>71012</v>
      </c>
      <c r="AS35" s="57">
        <f ca="1">IFERROR(__xludf.DUMMYFUNCTION("IMPORTRANGE(""https://docs.google.com/spreadsheets/d/1EXMBoBxU3OFbjT2TRpneM33qFjqDzrKmn9ydcflfI0o/edit?usp=sharing"",""นครพนม!I577"")"),6571)</f>
        <v>6571</v>
      </c>
      <c r="AT35" s="63">
        <f ca="1">IFERROR(__xludf.DUMMYFUNCTION("IMPORTRANGE(""https://docs.google.com/spreadsheets/d/1EXMBoBxU3OFbjT2TRpneM33qFjqDzrKmn9ydcflfI0o/edit?usp=sharing"",""นครพนม!J576"")"),48908)</f>
        <v>48908</v>
      </c>
      <c r="AU35" s="63">
        <f t="shared" ca="1" si="39"/>
        <v>68.87286655776488</v>
      </c>
      <c r="AV35" s="57">
        <f ca="1">IFERROR(__xludf.DUMMYFUNCTION("IMPORTRANGE(""https://docs.google.com/spreadsheets/d/1EXMBoBxU3OFbjT2TRpneM33qFjqDzrKmn9ydcflfI0o/edit?usp=sharing"",""นครพนม!J577"")"),5078)</f>
        <v>5078</v>
      </c>
      <c r="AW35" s="63">
        <f t="shared" ca="1" si="13"/>
        <v>77.278952975194031</v>
      </c>
      <c r="AX35" s="63">
        <f ca="1">IFERROR(__xludf.DUMMYFUNCTION("IMPORTRANGE(""https://docs.google.com/spreadsheets/d/1EXMBoBxU3OFbjT2TRpneM33qFjqDzrKmn9ydcflfI0o/edit?usp=sharing"",""นครพนม!J578"")"),48908)</f>
        <v>48908</v>
      </c>
      <c r="AY35" s="140">
        <f ca="1">IFERROR(__xludf.DUMMYFUNCTION("IMPORTRANGE(""https://docs.google.com/spreadsheets/d/1EXMBoBxU3OFbjT2TRpneM33qFjqDzrKmn9ydcflfI0o/edit?usp=sharing"",""นครพนม!J579"")"),5078)</f>
        <v>5078</v>
      </c>
      <c r="AZ35" s="63">
        <f ca="1">IFERROR(__xludf.DUMMYFUNCTION("IMPORTRANGE(""https://docs.google.com/spreadsheets/d/1EXMBoBxU3OFbjT2TRpneM33qFjqDzrKmn9ydcflfI0o/edit?usp=sharing"",""นครพนม!J580"")"),0)</f>
        <v>0</v>
      </c>
      <c r="BA35" s="140">
        <f ca="1">IFERROR(__xludf.DUMMYFUNCTION("IMPORTRANGE(""https://docs.google.com/spreadsheets/d/1EXMBoBxU3OFbjT2TRpneM33qFjqDzrKmn9ydcflfI0o/edit?usp=sharing"",""นครพนม!J581"")"),0)</f>
        <v>0</v>
      </c>
      <c r="BB35" s="63">
        <f ca="1">IFERROR(__xludf.DUMMYFUNCTION("IMPORTRANGE(""https://docs.google.com/spreadsheets/d/1EXMBoBxU3OFbjT2TRpneM33qFjqDzrKmn9ydcflfI0o/edit?usp=sharing"",""นครพนม!J582"")"),0)</f>
        <v>0</v>
      </c>
      <c r="BC35" s="140">
        <f ca="1">IFERROR(__xludf.DUMMYFUNCTION("IMPORTRANGE(""https://docs.google.com/spreadsheets/d/1EXMBoBxU3OFbjT2TRpneM33qFjqDzrKmn9ydcflfI0o/edit?usp=sharing"",""นครพนม!J583"")"),0)</f>
        <v>0</v>
      </c>
      <c r="BD35" s="141">
        <f ca="1">IFERROR(__xludf.DUMMYFUNCTION("IMPORTRANGE(""https://docs.google.com/spreadsheets/d/1EXMBoBxU3OFbjT2TRpneM33qFjqDzrKmn9ydcflfI0o/edit?usp=sharing"",""นครพนม!J584"")"),0)</f>
        <v>0</v>
      </c>
      <c r="BE35" s="140">
        <f ca="1">IFERROR(__xludf.DUMMYFUNCTION("IMPORTRANGE(""https://docs.google.com/spreadsheets/d/1EXMBoBxU3OFbjT2TRpneM33qFjqDzrKmn9ydcflfI0o/edit?usp=sharing"",""นครพนม!J585"")"),0)</f>
        <v>0</v>
      </c>
      <c r="BF35" s="141">
        <f ca="1">IFERROR(__xludf.DUMMYFUNCTION("IMPORTRANGE(""https://docs.google.com/spreadsheets/d/1EXMBoBxU3OFbjT2TRpneM33qFjqDzrKmn9ydcflfI0o/edit?usp=sharing"",""นครพนม!J586"")"),0)</f>
        <v>0</v>
      </c>
      <c r="BG35" s="140">
        <f ca="1">IFERROR(__xludf.DUMMYFUNCTION("IMPORTRANGE(""https://docs.google.com/spreadsheets/d/1EXMBoBxU3OFbjT2TRpneM33qFjqDzrKmn9ydcflfI0o/edit?usp=sharing"",""นครพนม!J587"")"),0)</f>
        <v>0</v>
      </c>
      <c r="BH35" s="63">
        <f ca="1">IFERROR(__xludf.DUMMYFUNCTION("IMPORTRANGE(""https://docs.google.com/spreadsheets/d/1EXMBoBxU3OFbjT2TRpneM33qFjqDzrKmn9ydcflfI0o/edit?usp=sharing"",""นครพนม!J588"")"),0)</f>
        <v>0</v>
      </c>
      <c r="BI35" s="140">
        <f ca="1">IFERROR(__xludf.DUMMYFUNCTION("IMPORTRANGE(""https://docs.google.com/spreadsheets/d/1EXMBoBxU3OFbjT2TRpneM33qFjqDzrKmn9ydcflfI0o/edit?usp=sharing"",""นครพนม!J589"")"),0)</f>
        <v>0</v>
      </c>
      <c r="BJ35" s="63">
        <f ca="1">IFERROR(__xludf.DUMMYFUNCTION("IMPORTRANGE(""https://docs.google.com/spreadsheets/d/1EXMBoBxU3OFbjT2TRpneM33qFjqDzrKmn9ydcflfI0o/edit?usp=sharing"",""นครพนม!J590"")"),0)</f>
        <v>0</v>
      </c>
      <c r="BK35" s="140">
        <f ca="1">IFERROR(__xludf.DUMMYFUNCTION("IMPORTRANGE(""https://docs.google.com/spreadsheets/d/1EXMBoBxU3OFbjT2TRpneM33qFjqDzrKmn9ydcflfI0o/edit?usp=sharing"",""นครพนม!J591"")"),0)</f>
        <v>0</v>
      </c>
      <c r="BL35" s="57">
        <f ca="1">IFERROR(__xludf.DUMMYFUNCTION("IMPORTRANGE(""https://docs.google.com/spreadsheets/d/1EXMBoBxU3OFbjT2TRpneM33qFjqDzrKmn9ydcflfI0o/edit?usp=sharing"",""นครพนม!I593"")"),3008.54)</f>
        <v>3008.54</v>
      </c>
      <c r="BM35" s="57">
        <f ca="1">IFERROR(__xludf.DUMMYFUNCTION("IMPORTRANGE(""https://docs.google.com/spreadsheets/d/1EXMBoBxU3OFbjT2TRpneM33qFjqDzrKmn9ydcflfI0o/edit?usp=sharing"",""นครพนม!I594"")"),222)</f>
        <v>222</v>
      </c>
      <c r="BN35" s="63">
        <f ca="1">IFERROR(__xludf.DUMMYFUNCTION("IMPORTRANGE(""https://docs.google.com/spreadsheets/d/1EXMBoBxU3OFbjT2TRpneM33qFjqDzrKmn9ydcflfI0o/edit?usp=sharing"",""นครพนม!J593"")"),1917)</f>
        <v>1917</v>
      </c>
      <c r="BO35" s="63">
        <f t="shared" ca="1" si="40"/>
        <v>63.718614344499329</v>
      </c>
      <c r="BP35" s="57">
        <f ca="1">IFERROR(__xludf.DUMMYFUNCTION("IMPORTRANGE(""https://docs.google.com/spreadsheets/d/1EXMBoBxU3OFbjT2TRpneM33qFjqDzrKmn9ydcflfI0o/edit?usp=sharing"",""นครพนม!J594"")"),153)</f>
        <v>153</v>
      </c>
      <c r="BQ35" s="63">
        <f t="shared" ca="1" si="16"/>
        <v>68.918918918918919</v>
      </c>
      <c r="BR35" s="63">
        <f ca="1">IFERROR(__xludf.DUMMYFUNCTION("IMPORTRANGE(""https://docs.google.com/spreadsheets/d/1EXMBoBxU3OFbjT2TRpneM33qFjqDzrKmn9ydcflfI0o/edit?usp=sharing"",""นครพนม!J595"")"),1774)</f>
        <v>1774</v>
      </c>
      <c r="BS35" s="140">
        <f ca="1">IFERROR(__xludf.DUMMYFUNCTION("IMPORTRANGE(""https://docs.google.com/spreadsheets/d/1EXMBoBxU3OFbjT2TRpneM33qFjqDzrKmn9ydcflfI0o/edit?usp=sharing"",""นครพนม!J596"")"),143)</f>
        <v>143</v>
      </c>
      <c r="BT35" s="63">
        <f ca="1">IFERROR(__xludf.DUMMYFUNCTION("IMPORTRANGE(""https://docs.google.com/spreadsheets/d/1EXMBoBxU3OFbjT2TRpneM33qFjqDzrKmn9ydcflfI0o/edit?usp=sharing"",""นครพนม!J597"")"),1771)</f>
        <v>1771</v>
      </c>
      <c r="BU35" s="140">
        <f ca="1">IFERROR(__xludf.DUMMYFUNCTION("IMPORTRANGE(""https://docs.google.com/spreadsheets/d/1EXMBoBxU3OFbjT2TRpneM33qFjqDzrKmn9ydcflfI0o/edit?usp=sharing"",""นครพนม!J598"")"),142)</f>
        <v>142</v>
      </c>
      <c r="BV35" s="63">
        <f ca="1">IFERROR(__xludf.DUMMYFUNCTION("IMPORTRANGE(""https://docs.google.com/spreadsheets/d/1EXMBoBxU3OFbjT2TRpneM33qFjqDzrKmn9ydcflfI0o/edit?usp=sharing"",""นครพนม!J599"")"),3)</f>
        <v>3</v>
      </c>
      <c r="BW35" s="140">
        <f ca="1">IFERROR(__xludf.DUMMYFUNCTION("IMPORTRANGE(""https://docs.google.com/spreadsheets/d/1EXMBoBxU3OFbjT2TRpneM33qFjqDzrKmn9ydcflfI0o/edit?usp=sharing"",""นครพนม!J600"")"),1)</f>
        <v>1</v>
      </c>
      <c r="BX35" s="141">
        <f ca="1">IFERROR(__xludf.DUMMYFUNCTION("IMPORTRANGE(""https://docs.google.com/spreadsheets/d/1EXMBoBxU3OFbjT2TRpneM33qFjqDzrKmn9ydcflfI0o/edit?usp=sharing"",""นครพนม!J601"")"),0)</f>
        <v>0</v>
      </c>
      <c r="BY35" s="140">
        <f ca="1">IFERROR(__xludf.DUMMYFUNCTION("IMPORTRANGE(""https://docs.google.com/spreadsheets/d/1EXMBoBxU3OFbjT2TRpneM33qFjqDzrKmn9ydcflfI0o/edit?usp=sharing"",""นครพนม!J602"")"),0)</f>
        <v>0</v>
      </c>
      <c r="BZ35" s="63">
        <f ca="1">IFERROR(__xludf.DUMMYFUNCTION("IMPORTRANGE(""https://docs.google.com/spreadsheets/d/1EXMBoBxU3OFbjT2TRpneM33qFjqDzrKmn9ydcflfI0o/edit?usp=sharing"",""นครพนม!J603"")"),143)</f>
        <v>143</v>
      </c>
      <c r="CA35" s="140">
        <f ca="1">IFERROR(__xludf.DUMMYFUNCTION("IMPORTRANGE(""https://docs.google.com/spreadsheets/d/1EXMBoBxU3OFbjT2TRpneM33qFjqDzrKmn9ydcflfI0o/edit?usp=sharing"",""นครพนม!J604"")"),10)</f>
        <v>10</v>
      </c>
      <c r="CB35" s="63">
        <f ca="1">IFERROR(__xludf.DUMMYFUNCTION("IMPORTRANGE(""https://docs.google.com/spreadsheets/d/1EXMBoBxU3OFbjT2TRpneM33qFjqDzrKmn9ydcflfI0o/edit?usp=sharing"",""นครพนม!J605"")"),143)</f>
        <v>143</v>
      </c>
      <c r="CC35" s="140">
        <f ca="1">IFERROR(__xludf.DUMMYFUNCTION("IMPORTRANGE(""https://docs.google.com/spreadsheets/d/1EXMBoBxU3OFbjT2TRpneM33qFjqDzrKmn9ydcflfI0o/edit?usp=sharing"",""นครพนม!J606"")"),10)</f>
        <v>10</v>
      </c>
      <c r="CD35" s="63">
        <f ca="1">IFERROR(__xludf.DUMMYFUNCTION("IMPORTRANGE(""https://docs.google.com/spreadsheets/d/1EXMBoBxU3OFbjT2TRpneM33qFjqDzrKmn9ydcflfI0o/edit?usp=sharing"",""นครพนม!J607"")"),0)</f>
        <v>0</v>
      </c>
      <c r="CE35" s="140">
        <f ca="1">IFERROR(__xludf.DUMMYFUNCTION("IMPORTRANGE(""https://docs.google.com/spreadsheets/d/1EXMBoBxU3OFbjT2TRpneM33qFjqDzrKmn9ydcflfI0o/edit?usp=sharing"",""นครพนม!J608"")"),0)</f>
        <v>0</v>
      </c>
      <c r="CF35" s="63">
        <f ca="1">IFERROR(__xludf.DUMMYFUNCTION("IMPORTRANGE(""https://docs.google.com/spreadsheets/d/1EXMBoBxU3OFbjT2TRpneM33qFjqDzrKmn9ydcflfI0o/edit?usp=sharing"",""นครพนม!J609"")"),0)</f>
        <v>0</v>
      </c>
      <c r="CG35" s="140">
        <f ca="1">IFERROR(__xludf.DUMMYFUNCTION("IMPORTRANGE(""https://docs.google.com/spreadsheets/d/1EXMBoBxU3OFbjT2TRpneM33qFjqDzrKmn9ydcflfI0o/edit?usp=sharing"",""นครพนม!J610"")"),0)</f>
        <v>0</v>
      </c>
      <c r="CH35" s="140">
        <f ca="1">IFERROR(__xludf.DUMMYFUNCTION("IMPORTRANGE(""https://docs.google.com/spreadsheets/d/1EXMBoBxU3OFbjT2TRpneM33qFjqDzrKmn9ydcflfI0o/edit?usp=sharing"",""นครพนม!I612"")"),0)</f>
        <v>0</v>
      </c>
      <c r="CI35" s="140">
        <f ca="1">IFERROR(__xludf.DUMMYFUNCTION("IMPORTRANGE(""https://docs.google.com/spreadsheets/d/1EXMBoBxU3OFbjT2TRpneM33qFjqDzrKmn9ydcflfI0o/edit?usp=sharing"",""นครพนม!I594"")"),222)</f>
        <v>222</v>
      </c>
      <c r="CJ35" s="141">
        <f ca="1">IFERROR(__xludf.DUMMYFUNCTION("IMPORTRANGE(""https://docs.google.com/spreadsheets/d/1EXMBoBxU3OFbjT2TRpneM33qFjqDzrKmn9ydcflfI0o/edit?usp=sharing"",""นครพนม!J612"")"),0)</f>
        <v>0</v>
      </c>
      <c r="CK35" s="141">
        <f t="shared" ca="1" si="41"/>
        <v>0</v>
      </c>
      <c r="CL35" s="140">
        <f ca="1">IFERROR(__xludf.DUMMYFUNCTION("IMPORTRANGE(""https://docs.google.com/spreadsheets/d/1EXMBoBxU3OFbjT2TRpneM33qFjqDzrKmn9ydcflfI0o/edit?usp=sharing"",""นครพนม!J613"")"),0)</f>
        <v>0</v>
      </c>
      <c r="CM35" s="141">
        <f t="shared" ca="1" si="19"/>
        <v>0</v>
      </c>
      <c r="CN35" s="63">
        <f ca="1">IFERROR(__xludf.DUMMYFUNCTION("IMPORTRANGE(""https://docs.google.com/spreadsheets/d/1EXMBoBxU3OFbjT2TRpneM33qFjqDzrKmn9ydcflfI0o/edit?usp=sharing"",""นครพนม!J614"")"),0)</f>
        <v>0</v>
      </c>
      <c r="CO35" s="140">
        <f ca="1">IFERROR(__xludf.DUMMYFUNCTION("IMPORTRANGE(""https://docs.google.com/spreadsheets/d/1EXMBoBxU3OFbjT2TRpneM33qFjqDzrKmn9ydcflfI0o/edit?usp=sharing"",""นครพนม!J615"")"),0)</f>
        <v>0</v>
      </c>
      <c r="CP35" s="63">
        <f ca="1">IFERROR(__xludf.DUMMYFUNCTION("IMPORTRANGE(""https://docs.google.com/spreadsheets/d/1EXMBoBxU3OFbjT2TRpneM33qFjqDzrKmn9ydcflfI0o/edit?usp=sharing"",""นครพนม!J616"")"),0)</f>
        <v>0</v>
      </c>
      <c r="CQ35" s="140">
        <f ca="1">IFERROR(__xludf.DUMMYFUNCTION("IMPORTRANGE(""https://docs.google.com/spreadsheets/d/1EXMBoBxU3OFbjT2TRpneM33qFjqDzrKmn9ydcflfI0o/edit?usp=sharing"",""นครพนม!J617"")"),0)</f>
        <v>0</v>
      </c>
      <c r="CR35" s="140">
        <f ca="1">IFERROR(__xludf.DUMMYFUNCTION("IMPORTRANGE(""https://docs.google.com/spreadsheets/d/1EXMBoBxU3OFbjT2TRpneM33qFjqDzrKmn9ydcflfI0o/edit?usp=sharing"",""นครพนม!I620"")"),79)</f>
        <v>79</v>
      </c>
      <c r="CS35" s="140">
        <f ca="1">IFERROR(__xludf.DUMMYFUNCTION("IMPORTRANGE(""https://docs.google.com/spreadsheets/d/1EXMBoBxU3OFbjT2TRpneM33qFjqDzrKmn9ydcflfI0o/edit?usp=sharing"",""นครพนม!I621"")"),4)</f>
        <v>4</v>
      </c>
      <c r="CT35" s="141">
        <f ca="1">IFERROR(__xludf.DUMMYFUNCTION("IMPORTRANGE(""https://docs.google.com/spreadsheets/d/1EXMBoBxU3OFbjT2TRpneM33qFjqDzrKmn9ydcflfI0o/edit?usp=sharing"",""นครพนม!J620"")"),0)</f>
        <v>0</v>
      </c>
      <c r="CU35" s="141">
        <f t="shared" ca="1" si="42"/>
        <v>0</v>
      </c>
      <c r="CV35" s="140">
        <f ca="1">IFERROR(__xludf.DUMMYFUNCTION("IMPORTRANGE(""https://docs.google.com/spreadsheets/d/1EXMBoBxU3OFbjT2TRpneM33qFjqDzrKmn9ydcflfI0o/edit?usp=sharing"",""นครพนม!J621"")"),0)</f>
        <v>0</v>
      </c>
      <c r="CW35" s="141">
        <f t="shared" ca="1" si="22"/>
        <v>0</v>
      </c>
      <c r="CX35" s="63">
        <f ca="1">IFERROR(__xludf.DUMMYFUNCTION("IMPORTRANGE(""https://docs.google.com/spreadsheets/d/1EXMBoBxU3OFbjT2TRpneM33qFjqDzrKmn9ydcflfI0o/edit?usp=sharing"",""นครพนม!J622"")"),0)</f>
        <v>0</v>
      </c>
      <c r="CY35" s="140">
        <f ca="1">IFERROR(__xludf.DUMMYFUNCTION("IMPORTRANGE(""https://docs.google.com/spreadsheets/d/1EXMBoBxU3OFbjT2TRpneM33qFjqDzrKmn9ydcflfI0o/edit?usp=sharing"",""นครพนม!J623"")"),0)</f>
        <v>0</v>
      </c>
      <c r="CZ35" s="63">
        <f ca="1">IFERROR(__xludf.DUMMYFUNCTION("IMPORTRANGE(""https://docs.google.com/spreadsheets/d/1EXMBoBxU3OFbjT2TRpneM33qFjqDzrKmn9ydcflfI0o/edit?usp=sharing"",""นครพนม!J624"")"),0)</f>
        <v>0</v>
      </c>
      <c r="DA35" s="140">
        <f ca="1">IFERROR(__xludf.DUMMYFUNCTION("IMPORTRANGE(""https://docs.google.com/spreadsheets/d/1EXMBoBxU3OFbjT2TRpneM33qFjqDzrKmn9ydcflfI0o/edit?usp=sharing"",""นครพนม!J625"")"),0)</f>
        <v>0</v>
      </c>
      <c r="DB35" s="63">
        <f ca="1">IFERROR(__xludf.DUMMYFUNCTION("IMPORTRANGE(""https://docs.google.com/spreadsheets/d/1EXMBoBxU3OFbjT2TRpneM33qFjqDzrKmn9ydcflfI0o/edit?usp=sharing"",""นครพนม!J626"")"),0)</f>
        <v>0</v>
      </c>
      <c r="DC35" s="140">
        <f ca="1">IFERROR(__xludf.DUMMYFUNCTION("IMPORTRANGE(""https://docs.google.com/spreadsheets/d/1EXMBoBxU3OFbjT2TRpneM33qFjqDzrKmn9ydcflfI0o/edit?usp=sharing"",""นครพนม!J627"")"),0)</f>
        <v>0</v>
      </c>
    </row>
    <row r="36" spans="1:107" ht="21" customHeight="1" x14ac:dyDescent="0.3">
      <c r="A36" s="54">
        <v>5</v>
      </c>
      <c r="B36" s="55" t="s">
        <v>57</v>
      </c>
      <c r="C36" s="56">
        <f t="shared" ca="1" si="66"/>
        <v>759787</v>
      </c>
      <c r="D36" s="57">
        <f ca="1">IFERROR(__xludf.DUMMYFUNCTION("IMPORTRANGE(""https://docs.google.com/spreadsheets/d/1bDQrolntRWtHumK8W-x-HXKntwxB9S3sF5aDeRS66Ko/edit?usp=sharing"",""นครราชสีมา!L549"")"),759787)</f>
        <v>759787</v>
      </c>
      <c r="E36" s="64">
        <f ca="1">IFERROR(__xludf.DUMMYFUNCTION("IMPORTRANGE(""https://docs.google.com/spreadsheets/d/1bDQrolntRWtHumK8W-x-HXKntwxB9S3sF5aDeRS66Ko/edit?usp=sharing"",""นครราชสีมา!L557"")"),0)</f>
        <v>0</v>
      </c>
      <c r="F36" s="64">
        <f ca="1">IFERROR(__xludf.DUMMYFUNCTION("IMPORTRANGE(""https://docs.google.com/spreadsheets/d/1bDQrolntRWtHumK8W-x-HXKntwxB9S3sF5aDeRS66Ko/edit?usp=sharing"",""นครราชสีมา!M549"")"),759787)</f>
        <v>759787</v>
      </c>
      <c r="G36" s="64">
        <f ca="1">IFERROR(__xludf.DUMMYFUNCTION("IMPORTRANGE(""https://docs.google.com/spreadsheets/d/1bDQrolntRWtHumK8W-x-HXKntwxB9S3sF5aDeRS66Ko/edit?usp=sharing"",""นครราชสีมา!M557"")"),0)</f>
        <v>0</v>
      </c>
      <c r="H36" s="58">
        <f t="shared" ca="1" si="36"/>
        <v>413002.32</v>
      </c>
      <c r="I36" s="59">
        <f t="shared" ca="1" si="1"/>
        <v>54.357644971551238</v>
      </c>
      <c r="J36" s="60">
        <f t="shared" ca="1" si="67"/>
        <v>413002.32</v>
      </c>
      <c r="K36" s="61">
        <f t="shared" ca="1" si="44"/>
        <v>54.357644971551238</v>
      </c>
      <c r="L36" s="61">
        <f t="shared" ca="1" si="45"/>
        <v>54.357644971551238</v>
      </c>
      <c r="M36" s="64">
        <f ca="1">IFERROR(__xludf.DUMMYFUNCTION("IMPORTRANGE(""https://docs.google.com/spreadsheets/d/1bDQrolntRWtHumK8W-x-HXKntwxB9S3sF5aDeRS66Ko/edit?usp=sharing"",""นครราชสีมา!N550"")"),0)</f>
        <v>0</v>
      </c>
      <c r="N36" s="64">
        <f ca="1">IFERROR(__xludf.DUMMYFUNCTION("IMPORTRANGE(""https://docs.google.com/spreadsheets/d/1bDQrolntRWtHumK8W-x-HXKntwxB9S3sF5aDeRS66Ko/edit?usp=sharing"",""นครราชสีมา!N551"")"),0)</f>
        <v>0</v>
      </c>
      <c r="O36" s="64">
        <f ca="1">IFERROR(__xludf.DUMMYFUNCTION("IMPORTRANGE(""https://docs.google.com/spreadsheets/d/1bDQrolntRWtHumK8W-x-HXKntwxB9S3sF5aDeRS66Ko/edit?usp=sharing"",""นครราชสีมา!N552"")"),64566.67)</f>
        <v>64566.67</v>
      </c>
      <c r="P36" s="64">
        <f ca="1">IFERROR(__xludf.DUMMYFUNCTION("IMPORTRANGE(""https://docs.google.com/spreadsheets/d/1bDQrolntRWtHumK8W-x-HXKntwxB9S3sF5aDeRS66Ko/edit?usp=sharing"",""นครราชสีมา!N553"")"),348435.65)</f>
        <v>348435.65</v>
      </c>
      <c r="Q36" s="64">
        <f ca="1">IFERROR(__xludf.DUMMYFUNCTION("IMPORTRANGE(""https://docs.google.com/spreadsheets/d/1bDQrolntRWtHumK8W-x-HXKntwxB9S3sF5aDeRS66Ko/edit?usp=sharing"",""นครราชสีมา!N554"")"),0)</f>
        <v>0</v>
      </c>
      <c r="R36" s="62">
        <f ca="1">IFERROR(__xludf.DUMMYFUNCTION("IMPORTRANGE(""https://docs.google.com/spreadsheets/d/1bDQrolntRWtHumK8W-x-HXKntwxB9S3sF5aDeRS66Ko/edit?usp=sharing"",""นครราชสีมา!N557"")"),0)</f>
        <v>0</v>
      </c>
      <c r="S36" s="62">
        <f t="shared" ca="1" si="47"/>
        <v>0</v>
      </c>
      <c r="T36" s="57">
        <f ca="1">IFERROR(__xludf.DUMMYFUNCTION("IMPORTRANGE(""https://docs.google.com/spreadsheets/d/1bDQrolntRWtHumK8W-x-HXKntwxB9S3sF5aDeRS66Ko/edit?usp=sharing"",""นครราชสีมา!I560"")"),103382)</f>
        <v>103382</v>
      </c>
      <c r="U36" s="57">
        <f ca="1">IFERROR(__xludf.DUMMYFUNCTION("IMPORTRANGE(""https://docs.google.com/spreadsheets/d/1bDQrolntRWtHumK8W-x-HXKntwxB9S3sF5aDeRS66Ko/edit?usp=sharing"",""นครราชสีมา!I561"")"),10317)</f>
        <v>10317</v>
      </c>
      <c r="V36" s="63">
        <f ca="1">IFERROR(__xludf.DUMMYFUNCTION("IMPORTRANGE(""https://docs.google.com/spreadsheets/d/1bDQrolntRWtHumK8W-x-HXKntwxB9S3sF5aDeRS66Ko/edit?usp=sharing"",""นครราชสีมา!J560"")"),103382.3475)</f>
        <v>103382.3475</v>
      </c>
      <c r="W36" s="63">
        <f t="shared" ca="1" si="37"/>
        <v>100.00033613201525</v>
      </c>
      <c r="X36" s="57">
        <f ca="1">IFERROR(__xludf.DUMMYFUNCTION("IMPORTRANGE(""https://docs.google.com/spreadsheets/d/1bDQrolntRWtHumK8W-x-HXKntwxB9S3sF5aDeRS66Ko/edit?usp=sharing"",""นครราชสีมา!J561"")"),10317)</f>
        <v>10317</v>
      </c>
      <c r="Y36" s="63">
        <f t="shared" ca="1" si="7"/>
        <v>100</v>
      </c>
      <c r="Z36" s="63">
        <f ca="1">IFERROR(__xludf.DUMMYFUNCTION("IMPORTRANGE(""https://docs.google.com/spreadsheets/d/1bDQrolntRWtHumK8W-x-HXKntwxB9S3sF5aDeRS66Ko/edit?usp=sharing"",""นครราชสีมา!J562"")"),75688.6)</f>
        <v>75688.600000000006</v>
      </c>
      <c r="AA36" s="140">
        <f ca="1">IFERROR(__xludf.DUMMYFUNCTION("IMPORTRANGE(""https://docs.google.com/spreadsheets/d/1bDQrolntRWtHumK8W-x-HXKntwxB9S3sF5aDeRS66Ko/edit?usp=sharing"",""นครราชสีมา!J563"")"),8094)</f>
        <v>8094</v>
      </c>
      <c r="AB36" s="63">
        <f ca="1">IFERROR(__xludf.DUMMYFUNCTION("IMPORTRANGE(""https://docs.google.com/spreadsheets/d/1bDQrolntRWtHumK8W-x-HXKntwxB9S3sF5aDeRS66Ko/edit?usp=sharing"",""นครราชสีมา!J564"")"),25321.6475)</f>
        <v>25321.647499999999</v>
      </c>
      <c r="AC36" s="140">
        <f ca="1">IFERROR(__xludf.DUMMYFUNCTION("IMPORTRANGE(""https://docs.google.com/spreadsheets/d/1bDQrolntRWtHumK8W-x-HXKntwxB9S3sF5aDeRS66Ko/edit?usp=sharing"",""นครราชสีมา!J565"")"),2006)</f>
        <v>2006</v>
      </c>
      <c r="AD36" s="63">
        <f ca="1">IFERROR(__xludf.DUMMYFUNCTION("IMPORTRANGE(""https://docs.google.com/spreadsheets/d/1bDQrolntRWtHumK8W-x-HXKntwxB9S3sF5aDeRS66Ko/edit?usp=sharing"",""นครราชสีมา!J566"")"),2372.1)</f>
        <v>2372.1</v>
      </c>
      <c r="AE36" s="140">
        <f ca="1">IFERROR(__xludf.DUMMYFUNCTION("IMPORTRANGE(""https://docs.google.com/spreadsheets/d/1bDQrolntRWtHumK8W-x-HXKntwxB9S3sF5aDeRS66Ko/edit?usp=sharing"",""นครราชสีมา!J567"")"),217)</f>
        <v>217</v>
      </c>
      <c r="AF36" s="57">
        <f ca="1">IFERROR(__xludf.DUMMYFUNCTION("IMPORTRANGE(""https://docs.google.com/spreadsheets/d/1bDQrolntRWtHumK8W-x-HXKntwxB9S3sF5aDeRS66Ko/edit?usp=sharing"",""นครราชสีมา!I568"")"),103382)</f>
        <v>103382</v>
      </c>
      <c r="AG36" s="57">
        <f ca="1">IFERROR(__xludf.DUMMYFUNCTION("IMPORTRANGE(""https://docs.google.com/spreadsheets/d/1bDQrolntRWtHumK8W-x-HXKntwxB9S3sF5aDeRS66Ko/edit?usp=sharing"",""นครราชสีมา!I569"")"),10317)</f>
        <v>10317</v>
      </c>
      <c r="AH36" s="63">
        <f ca="1">IFERROR(__xludf.DUMMYFUNCTION("IMPORTRANGE(""https://docs.google.com/spreadsheets/d/1bDQrolntRWtHumK8W-x-HXKntwxB9S3sF5aDeRS66Ko/edit?usp=sharing"",""นครราชสีมา!J568"")"),103382.134)</f>
        <v>103382.13400000001</v>
      </c>
      <c r="AI36" s="63">
        <f t="shared" ca="1" si="38"/>
        <v>100.00012961637422</v>
      </c>
      <c r="AJ36" s="57">
        <f ca="1">IFERROR(__xludf.DUMMYFUNCTION("IMPORTRANGE(""https://docs.google.com/spreadsheets/d/1bDQrolntRWtHumK8W-x-HXKntwxB9S3sF5aDeRS66Ko/edit?usp=sharing"",""นครราชสีมา!J569"")"),10317)</f>
        <v>10317</v>
      </c>
      <c r="AK36" s="63">
        <f t="shared" ca="1" si="10"/>
        <v>100</v>
      </c>
      <c r="AL36" s="63">
        <f ca="1">IFERROR(__xludf.DUMMYFUNCTION("IMPORTRANGE(""https://docs.google.com/spreadsheets/d/1bDQrolntRWtHumK8W-x-HXKntwxB9S3sF5aDeRS66Ko/edit?usp=sharing"",""นครราชสีมา!J570"")"),79701.981)</f>
        <v>79701.981</v>
      </c>
      <c r="AM36" s="140">
        <f ca="1">IFERROR(__xludf.DUMMYFUNCTION("IMPORTRANGE(""https://docs.google.com/spreadsheets/d/1bDQrolntRWtHumK8W-x-HXKntwxB9S3sF5aDeRS66Ko/edit?usp=sharing"",""นครราชสีมา!J571"")"),8455)</f>
        <v>8455</v>
      </c>
      <c r="AN36" s="63">
        <f ca="1">IFERROR(__xludf.DUMMYFUNCTION("IMPORTRANGE(""https://docs.google.com/spreadsheets/d/1bDQrolntRWtHumK8W-x-HXKntwxB9S3sF5aDeRS66Ko/edit?usp=sharing"",""นครราชสีมา!J572"")"),20680.03)</f>
        <v>20680.03</v>
      </c>
      <c r="AO36" s="140">
        <f ca="1">IFERROR(__xludf.DUMMYFUNCTION("IMPORTRANGE(""https://docs.google.com/spreadsheets/d/1bDQrolntRWtHumK8W-x-HXKntwxB9S3sF5aDeRS66Ko/edit?usp=sharing"",""นครราชสีมา!J573"")"),1588)</f>
        <v>1588</v>
      </c>
      <c r="AP36" s="63">
        <f ca="1">IFERROR(__xludf.DUMMYFUNCTION("IMPORTRANGE(""https://docs.google.com/spreadsheets/d/1bDQrolntRWtHumK8W-x-HXKntwxB9S3sF5aDeRS66Ko/edit?usp=sharing"",""นครราชสีมา!J574"")"),3000.123)</f>
        <v>3000.123</v>
      </c>
      <c r="AQ36" s="140">
        <f ca="1">IFERROR(__xludf.DUMMYFUNCTION("IMPORTRANGE(""https://docs.google.com/spreadsheets/d/1bDQrolntRWtHumK8W-x-HXKntwxB9S3sF5aDeRS66Ko/edit?usp=sharing"",""นครราชสีมา!J575"")"),274)</f>
        <v>274</v>
      </c>
      <c r="AR36" s="57">
        <f ca="1">IFERROR(__xludf.DUMMYFUNCTION("IMPORTRANGE(""https://docs.google.com/spreadsheets/d/1bDQrolntRWtHumK8W-x-HXKntwxB9S3sF5aDeRS66Ko/edit?usp=sharing"",""นครราชสีมา!I576"")"),103382)</f>
        <v>103382</v>
      </c>
      <c r="AS36" s="57">
        <f ca="1">IFERROR(__xludf.DUMMYFUNCTION("IMPORTRANGE(""https://docs.google.com/spreadsheets/d/1bDQrolntRWtHumK8W-x-HXKntwxB9S3sF5aDeRS66Ko/edit?usp=sharing"",""นครราชสีมา!I577"")"),10317)</f>
        <v>10317</v>
      </c>
      <c r="AT36" s="63">
        <f ca="1">IFERROR(__xludf.DUMMYFUNCTION("IMPORTRANGE(""https://docs.google.com/spreadsheets/d/1bDQrolntRWtHumK8W-x-HXKntwxB9S3sF5aDeRS66Ko/edit?usp=sharing"",""นครราชสีมา!J576"")"),103382.134)</f>
        <v>103382.13400000001</v>
      </c>
      <c r="AU36" s="63">
        <f t="shared" ca="1" si="39"/>
        <v>100.00012961637422</v>
      </c>
      <c r="AV36" s="57">
        <f ca="1">IFERROR(__xludf.DUMMYFUNCTION("IMPORTRANGE(""https://docs.google.com/spreadsheets/d/1bDQrolntRWtHumK8W-x-HXKntwxB9S3sF5aDeRS66Ko/edit?usp=sharing"",""นครราชสีมา!J577"")"),10317)</f>
        <v>10317</v>
      </c>
      <c r="AW36" s="63">
        <f t="shared" ca="1" si="13"/>
        <v>100</v>
      </c>
      <c r="AX36" s="63">
        <f ca="1">IFERROR(__xludf.DUMMYFUNCTION("IMPORTRANGE(""https://docs.google.com/spreadsheets/d/1bDQrolntRWtHumK8W-x-HXKntwxB9S3sF5aDeRS66Ko/edit?usp=sharing"",""นครราชสีมา!J578"")"),79701.981)</f>
        <v>79701.981</v>
      </c>
      <c r="AY36" s="140">
        <f ca="1">IFERROR(__xludf.DUMMYFUNCTION("IMPORTRANGE(""https://docs.google.com/spreadsheets/d/1bDQrolntRWtHumK8W-x-HXKntwxB9S3sF5aDeRS66Ko/edit?usp=sharing"",""นครราชสีมา!J579"")"),8455)</f>
        <v>8455</v>
      </c>
      <c r="AZ36" s="63">
        <f ca="1">IFERROR(__xludf.DUMMYFUNCTION("IMPORTRANGE(""https://docs.google.com/spreadsheets/d/1bDQrolntRWtHumK8W-x-HXKntwxB9S3sF5aDeRS66Ko/edit?usp=sharing"",""นครราชสีมา!J580"")"),20680.03)</f>
        <v>20680.03</v>
      </c>
      <c r="BA36" s="140">
        <f ca="1">IFERROR(__xludf.DUMMYFUNCTION("IMPORTRANGE(""https://docs.google.com/spreadsheets/d/1bDQrolntRWtHumK8W-x-HXKntwxB9S3sF5aDeRS66Ko/edit?usp=sharing"",""นครราชสีมา!J581"")"),1588)</f>
        <v>1588</v>
      </c>
      <c r="BB36" s="63">
        <f ca="1">IFERROR(__xludf.DUMMYFUNCTION("IMPORTRANGE(""https://docs.google.com/spreadsheets/d/1bDQrolntRWtHumK8W-x-HXKntwxB9S3sF5aDeRS66Ko/edit?usp=sharing"",""นครราชสีมา!J582"")"),3000.123)</f>
        <v>3000.123</v>
      </c>
      <c r="BC36" s="140">
        <f ca="1">IFERROR(__xludf.DUMMYFUNCTION("IMPORTRANGE(""https://docs.google.com/spreadsheets/d/1bDQrolntRWtHumK8W-x-HXKntwxB9S3sF5aDeRS66Ko/edit?usp=sharing"",""นครราชสีมา!J583"")"),274)</f>
        <v>274</v>
      </c>
      <c r="BD36" s="141">
        <f ca="1">IFERROR(__xludf.DUMMYFUNCTION("IMPORTRANGE(""https://docs.google.com/spreadsheets/d/1bDQrolntRWtHumK8W-x-HXKntwxB9S3sF5aDeRS66Ko/edit?usp=sharing"",""นครราชสีมา!J584"")"),3000.123)</f>
        <v>3000.123</v>
      </c>
      <c r="BE36" s="140">
        <f ca="1">IFERROR(__xludf.DUMMYFUNCTION("IMPORTRANGE(""https://docs.google.com/spreadsheets/d/1bDQrolntRWtHumK8W-x-HXKntwxB9S3sF5aDeRS66Ko/edit?usp=sharing"",""นครราชสีมา!J585"")"),274)</f>
        <v>274</v>
      </c>
      <c r="BF36" s="141">
        <f ca="1">IFERROR(__xludf.DUMMYFUNCTION("IMPORTRANGE(""https://docs.google.com/spreadsheets/d/1bDQrolntRWtHumK8W-x-HXKntwxB9S3sF5aDeRS66Ko/edit?usp=sharing"",""นครราชสีมา!J586"")"),0)</f>
        <v>0</v>
      </c>
      <c r="BG36" s="140">
        <f ca="1">IFERROR(__xludf.DUMMYFUNCTION("IMPORTRANGE(""https://docs.google.com/spreadsheets/d/1bDQrolntRWtHumK8W-x-HXKntwxB9S3sF5aDeRS66Ko/edit?usp=sharing"",""นครราชสีมา!J587"")"),0)</f>
        <v>0</v>
      </c>
      <c r="BH36" s="63">
        <f ca="1">IFERROR(__xludf.DUMMYFUNCTION("IMPORTRANGE(""https://docs.google.com/spreadsheets/d/1bDQrolntRWtHumK8W-x-HXKntwxB9S3sF5aDeRS66Ko/edit?usp=sharing"",""นครราชสีมา!J588"")"),0)</f>
        <v>0</v>
      </c>
      <c r="BI36" s="140">
        <f ca="1">IFERROR(__xludf.DUMMYFUNCTION("IMPORTRANGE(""https://docs.google.com/spreadsheets/d/1bDQrolntRWtHumK8W-x-HXKntwxB9S3sF5aDeRS66Ko/edit?usp=sharing"",""นครราชสีมา!J589"")"),0)</f>
        <v>0</v>
      </c>
      <c r="BJ36" s="63">
        <f ca="1">IFERROR(__xludf.DUMMYFUNCTION("IMPORTRANGE(""https://docs.google.com/spreadsheets/d/1bDQrolntRWtHumK8W-x-HXKntwxB9S3sF5aDeRS66Ko/edit?usp=sharing"",""นครราชสีมา!J590"")"),0)</f>
        <v>0</v>
      </c>
      <c r="BK36" s="140">
        <f ca="1">IFERROR(__xludf.DUMMYFUNCTION("IMPORTRANGE(""https://docs.google.com/spreadsheets/d/1bDQrolntRWtHumK8W-x-HXKntwxB9S3sF5aDeRS66Ko/edit?usp=sharing"",""นครราชสีมา!J591"")"),0)</f>
        <v>0</v>
      </c>
      <c r="BL36" s="57">
        <f ca="1">IFERROR(__xludf.DUMMYFUNCTION("IMPORTRANGE(""https://docs.google.com/spreadsheets/d/1bDQrolntRWtHumK8W-x-HXKntwxB9S3sF5aDeRS66Ko/edit?usp=sharing"",""นครราชสีมา!I593"")"),10751.98)</f>
        <v>10751.98</v>
      </c>
      <c r="BM36" s="57">
        <f ca="1">IFERROR(__xludf.DUMMYFUNCTION("IMPORTRANGE(""https://docs.google.com/spreadsheets/d/1bDQrolntRWtHumK8W-x-HXKntwxB9S3sF5aDeRS66Ko/edit?usp=sharing"",""นครราชสีมา!I594"")"),823)</f>
        <v>823</v>
      </c>
      <c r="BN36" s="63">
        <f ca="1">IFERROR(__xludf.DUMMYFUNCTION("IMPORTRANGE(""https://docs.google.com/spreadsheets/d/1bDQrolntRWtHumK8W-x-HXKntwxB9S3sF5aDeRS66Ko/edit?usp=sharing"",""นครราชสีมา!J593"")"),0)</f>
        <v>0</v>
      </c>
      <c r="BO36" s="63">
        <f t="shared" ca="1" si="40"/>
        <v>0</v>
      </c>
      <c r="BP36" s="57">
        <f ca="1">IFERROR(__xludf.DUMMYFUNCTION("IMPORTRANGE(""https://docs.google.com/spreadsheets/d/1bDQrolntRWtHumK8W-x-HXKntwxB9S3sF5aDeRS66Ko/edit?usp=sharing"",""นครราชสีมา!J594"")"),0)</f>
        <v>0</v>
      </c>
      <c r="BQ36" s="63">
        <f t="shared" ca="1" si="16"/>
        <v>0</v>
      </c>
      <c r="BR36" s="63">
        <f ca="1">IFERROR(__xludf.DUMMYFUNCTION("IMPORTRANGE(""https://docs.google.com/spreadsheets/d/1bDQrolntRWtHumK8W-x-HXKntwxB9S3sF5aDeRS66Ko/edit?usp=sharing"",""นครราชสีมา!J595"")"),0)</f>
        <v>0</v>
      </c>
      <c r="BS36" s="140">
        <f ca="1">IFERROR(__xludf.DUMMYFUNCTION("IMPORTRANGE(""https://docs.google.com/spreadsheets/d/1bDQrolntRWtHumK8W-x-HXKntwxB9S3sF5aDeRS66Ko/edit?usp=sharing"",""นครราชสีมา!J596"")"),0)</f>
        <v>0</v>
      </c>
      <c r="BT36" s="63">
        <f ca="1">IFERROR(__xludf.DUMMYFUNCTION("IMPORTRANGE(""https://docs.google.com/spreadsheets/d/1bDQrolntRWtHumK8W-x-HXKntwxB9S3sF5aDeRS66Ko/edit?usp=sharing"",""นครราชสีมา!J597"")"),0)</f>
        <v>0</v>
      </c>
      <c r="BU36" s="140">
        <f ca="1">IFERROR(__xludf.DUMMYFUNCTION("IMPORTRANGE(""https://docs.google.com/spreadsheets/d/1bDQrolntRWtHumK8W-x-HXKntwxB9S3sF5aDeRS66Ko/edit?usp=sharing"",""นครราชสีมา!J598"")"),0)</f>
        <v>0</v>
      </c>
      <c r="BV36" s="63">
        <f ca="1">IFERROR(__xludf.DUMMYFUNCTION("IMPORTRANGE(""https://docs.google.com/spreadsheets/d/1bDQrolntRWtHumK8W-x-HXKntwxB9S3sF5aDeRS66Ko/edit?usp=sharing"",""นครราชสีมา!J599"")"),0)</f>
        <v>0</v>
      </c>
      <c r="BW36" s="140">
        <f ca="1">IFERROR(__xludf.DUMMYFUNCTION("IMPORTRANGE(""https://docs.google.com/spreadsheets/d/1bDQrolntRWtHumK8W-x-HXKntwxB9S3sF5aDeRS66Ko/edit?usp=sharing"",""นครราชสีมา!J600"")"),0)</f>
        <v>0</v>
      </c>
      <c r="BX36" s="141">
        <f ca="1">IFERROR(__xludf.DUMMYFUNCTION("IMPORTRANGE(""https://docs.google.com/spreadsheets/d/1bDQrolntRWtHumK8W-x-HXKntwxB9S3sF5aDeRS66Ko/edit?usp=sharing"",""นครราชสีมา!J601"")"),0)</f>
        <v>0</v>
      </c>
      <c r="BY36" s="140">
        <f ca="1">IFERROR(__xludf.DUMMYFUNCTION("IMPORTRANGE(""https://docs.google.com/spreadsheets/d/1bDQrolntRWtHumK8W-x-HXKntwxB9S3sF5aDeRS66Ko/edit?usp=sharing"",""นครราชสีมา!J602"")"),0)</f>
        <v>0</v>
      </c>
      <c r="BZ36" s="63">
        <f ca="1">IFERROR(__xludf.DUMMYFUNCTION("IMPORTRANGE(""https://docs.google.com/spreadsheets/d/1bDQrolntRWtHumK8W-x-HXKntwxB9S3sF5aDeRS66Ko/edit?usp=sharing"",""นครราชสีมา!J603"")"),0)</f>
        <v>0</v>
      </c>
      <c r="CA36" s="140">
        <f ca="1">IFERROR(__xludf.DUMMYFUNCTION("IMPORTRANGE(""https://docs.google.com/spreadsheets/d/1bDQrolntRWtHumK8W-x-HXKntwxB9S3sF5aDeRS66Ko/edit?usp=sharing"",""นครราชสีมา!J604"")"),0)</f>
        <v>0</v>
      </c>
      <c r="CB36" s="63">
        <f ca="1">IFERROR(__xludf.DUMMYFUNCTION("IMPORTRANGE(""https://docs.google.com/spreadsheets/d/1bDQrolntRWtHumK8W-x-HXKntwxB9S3sF5aDeRS66Ko/edit?usp=sharing"",""นครราชสีมา!J605"")"),0)</f>
        <v>0</v>
      </c>
      <c r="CC36" s="140">
        <f ca="1">IFERROR(__xludf.DUMMYFUNCTION("IMPORTRANGE(""https://docs.google.com/spreadsheets/d/1bDQrolntRWtHumK8W-x-HXKntwxB9S3sF5aDeRS66Ko/edit?usp=sharing"",""นครราชสีมา!J606"")"),0)</f>
        <v>0</v>
      </c>
      <c r="CD36" s="63">
        <f ca="1">IFERROR(__xludf.DUMMYFUNCTION("IMPORTRANGE(""https://docs.google.com/spreadsheets/d/1bDQrolntRWtHumK8W-x-HXKntwxB9S3sF5aDeRS66Ko/edit?usp=sharing"",""นครราชสีมา!J607"")"),0)</f>
        <v>0</v>
      </c>
      <c r="CE36" s="140">
        <f ca="1">IFERROR(__xludf.DUMMYFUNCTION("IMPORTRANGE(""https://docs.google.com/spreadsheets/d/1bDQrolntRWtHumK8W-x-HXKntwxB9S3sF5aDeRS66Ko/edit?usp=sharing"",""นครราชสีมา!J608"")"),0)</f>
        <v>0</v>
      </c>
      <c r="CF36" s="63">
        <f ca="1">IFERROR(__xludf.DUMMYFUNCTION("IMPORTRANGE(""https://docs.google.com/spreadsheets/d/1bDQrolntRWtHumK8W-x-HXKntwxB9S3sF5aDeRS66Ko/edit?usp=sharing"",""นครราชสีมา!J609"")"),0)</f>
        <v>0</v>
      </c>
      <c r="CG36" s="140">
        <f ca="1">IFERROR(__xludf.DUMMYFUNCTION("IMPORTRANGE(""https://docs.google.com/spreadsheets/d/1bDQrolntRWtHumK8W-x-HXKntwxB9S3sF5aDeRS66Ko/edit?usp=sharing"",""นครราชสีมา!J610"")"),0)</f>
        <v>0</v>
      </c>
      <c r="CH36" s="140">
        <f ca="1">IFERROR(__xludf.DUMMYFUNCTION("IMPORTRANGE(""https://docs.google.com/spreadsheets/d/1bDQrolntRWtHumK8W-x-HXKntwxB9S3sF5aDeRS66Ko/edit?usp=sharing"",""นครราชสีมา!I612"")"),0)</f>
        <v>0</v>
      </c>
      <c r="CI36" s="140">
        <f ca="1">IFERROR(__xludf.DUMMYFUNCTION("IMPORTRANGE(""https://docs.google.com/spreadsheets/d/1bDQrolntRWtHumK8W-x-HXKntwxB9S3sF5aDeRS66Ko/edit?usp=sharing"",""นครราชสีมา!I594"")"),823)</f>
        <v>823</v>
      </c>
      <c r="CJ36" s="141">
        <f ca="1">IFERROR(__xludf.DUMMYFUNCTION("IMPORTRANGE(""https://docs.google.com/spreadsheets/d/1bDQrolntRWtHumK8W-x-HXKntwxB9S3sF5aDeRS66Ko/edit?usp=sharing"",""นครราชสีมา!J612"")"),0)</f>
        <v>0</v>
      </c>
      <c r="CK36" s="141">
        <f t="shared" ca="1" si="41"/>
        <v>0</v>
      </c>
      <c r="CL36" s="140">
        <f ca="1">IFERROR(__xludf.DUMMYFUNCTION("IMPORTRANGE(""https://docs.google.com/spreadsheets/d/1bDQrolntRWtHumK8W-x-HXKntwxB9S3sF5aDeRS66Ko/edit?usp=sharing"",""นครราชสีมา!J613"")"),0)</f>
        <v>0</v>
      </c>
      <c r="CM36" s="141">
        <f t="shared" ca="1" si="19"/>
        <v>0</v>
      </c>
      <c r="CN36" s="63">
        <f ca="1">IFERROR(__xludf.DUMMYFUNCTION("IMPORTRANGE(""https://docs.google.com/spreadsheets/d/1bDQrolntRWtHumK8W-x-HXKntwxB9S3sF5aDeRS66Ko/edit?usp=sharing"",""นครราชสีมา!J614"")"),0)</f>
        <v>0</v>
      </c>
      <c r="CO36" s="140">
        <f ca="1">IFERROR(__xludf.DUMMYFUNCTION("IMPORTRANGE(""https://docs.google.com/spreadsheets/d/1bDQrolntRWtHumK8W-x-HXKntwxB9S3sF5aDeRS66Ko/edit?usp=sharing"",""นครราชสีมา!J615"")"),0)</f>
        <v>0</v>
      </c>
      <c r="CP36" s="63">
        <f ca="1">IFERROR(__xludf.DUMMYFUNCTION("IMPORTRANGE(""https://docs.google.com/spreadsheets/d/1bDQrolntRWtHumK8W-x-HXKntwxB9S3sF5aDeRS66Ko/edit?usp=sharing"",""นครราชสีมา!J616"")"),0)</f>
        <v>0</v>
      </c>
      <c r="CQ36" s="140">
        <f ca="1">IFERROR(__xludf.DUMMYFUNCTION("IMPORTRANGE(""https://docs.google.com/spreadsheets/d/1bDQrolntRWtHumK8W-x-HXKntwxB9S3sF5aDeRS66Ko/edit?usp=sharing"",""นครราชสีมา!J617"")"),0)</f>
        <v>0</v>
      </c>
      <c r="CR36" s="140">
        <f ca="1">IFERROR(__xludf.DUMMYFUNCTION("IMPORTRANGE(""https://docs.google.com/spreadsheets/d/1bDQrolntRWtHumK8W-x-HXKntwxB9S3sF5aDeRS66Ko/edit?usp=sharing"",""นครราชสีมา!I620"")"),199)</f>
        <v>199</v>
      </c>
      <c r="CS36" s="140">
        <f ca="1">IFERROR(__xludf.DUMMYFUNCTION("IMPORTRANGE(""https://docs.google.com/spreadsheets/d/1bDQrolntRWtHumK8W-x-HXKntwxB9S3sF5aDeRS66Ko/edit?usp=sharing"",""นครราชสีมา!I621"")"),14)</f>
        <v>14</v>
      </c>
      <c r="CT36" s="141">
        <f ca="1">IFERROR(__xludf.DUMMYFUNCTION("IMPORTRANGE(""https://docs.google.com/spreadsheets/d/1bDQrolntRWtHumK8W-x-HXKntwxB9S3sF5aDeRS66Ko/edit?usp=sharing"",""นครราชสีมา!J620"")"),0)</f>
        <v>0</v>
      </c>
      <c r="CU36" s="141">
        <f t="shared" ca="1" si="42"/>
        <v>0</v>
      </c>
      <c r="CV36" s="140">
        <f ca="1">IFERROR(__xludf.DUMMYFUNCTION("IMPORTRANGE(""https://docs.google.com/spreadsheets/d/1bDQrolntRWtHumK8W-x-HXKntwxB9S3sF5aDeRS66Ko/edit?usp=sharing"",""นครราชสีมา!J621"")"),0)</f>
        <v>0</v>
      </c>
      <c r="CW36" s="141">
        <f t="shared" ca="1" si="22"/>
        <v>0</v>
      </c>
      <c r="CX36" s="63">
        <f ca="1">IFERROR(__xludf.DUMMYFUNCTION("IMPORTRANGE(""https://docs.google.com/spreadsheets/d/1bDQrolntRWtHumK8W-x-HXKntwxB9S3sF5aDeRS66Ko/edit?usp=sharing"",""นครราชสีมา!J622"")"),0)</f>
        <v>0</v>
      </c>
      <c r="CY36" s="140">
        <f ca="1">IFERROR(__xludf.DUMMYFUNCTION("IMPORTRANGE(""https://docs.google.com/spreadsheets/d/1bDQrolntRWtHumK8W-x-HXKntwxB9S3sF5aDeRS66Ko/edit?usp=sharing"",""นครราชสีมา!J623"")"),0)</f>
        <v>0</v>
      </c>
      <c r="CZ36" s="63">
        <f ca="1">IFERROR(__xludf.DUMMYFUNCTION("IMPORTRANGE(""https://docs.google.com/spreadsheets/d/1bDQrolntRWtHumK8W-x-HXKntwxB9S3sF5aDeRS66Ko/edit?usp=sharing"",""นครราชสีมา!J624"")"),0)</f>
        <v>0</v>
      </c>
      <c r="DA36" s="140">
        <f ca="1">IFERROR(__xludf.DUMMYFUNCTION("IMPORTRANGE(""https://docs.google.com/spreadsheets/d/1bDQrolntRWtHumK8W-x-HXKntwxB9S3sF5aDeRS66Ko/edit?usp=sharing"",""นครราชสีมา!J625"")"),0)</f>
        <v>0</v>
      </c>
      <c r="DB36" s="63">
        <f ca="1">IFERROR(__xludf.DUMMYFUNCTION("IMPORTRANGE(""https://docs.google.com/spreadsheets/d/1bDQrolntRWtHumK8W-x-HXKntwxB9S3sF5aDeRS66Ko/edit?usp=sharing"",""นครราชสีมา!J626"")"),0)</f>
        <v>0</v>
      </c>
      <c r="DC36" s="140">
        <f ca="1">IFERROR(__xludf.DUMMYFUNCTION("IMPORTRANGE(""https://docs.google.com/spreadsheets/d/1bDQrolntRWtHumK8W-x-HXKntwxB9S3sF5aDeRS66Ko/edit?usp=sharing"",""นครราชสีมา!J627"")"),0)</f>
        <v>0</v>
      </c>
    </row>
    <row r="37" spans="1:107" ht="21" customHeight="1" x14ac:dyDescent="0.3">
      <c r="A37" s="54">
        <v>6</v>
      </c>
      <c r="B37" s="55" t="s">
        <v>58</v>
      </c>
      <c r="C37" s="56">
        <f t="shared" ca="1" si="66"/>
        <v>487547</v>
      </c>
      <c r="D37" s="57">
        <f ca="1">IFERROR(__xludf.DUMMYFUNCTION("IMPORTRANGE(""https://docs.google.com/spreadsheets/d/1_MzZ-2gVPiCW-d2VcafoCmFJQTSrZ6SQyFcMqRRQQ2w/edit?usp=sharing"",""บึงกาฬ!L549"")"),487547)</f>
        <v>487547</v>
      </c>
      <c r="E37" s="64">
        <f ca="1">IFERROR(__xludf.DUMMYFUNCTION("IMPORTRANGE(""https://docs.google.com/spreadsheets/d/1_MzZ-2gVPiCW-d2VcafoCmFJQTSrZ6SQyFcMqRRQQ2w/edit?usp=sharing"",""บึงกาฬ!L557"")"),0)</f>
        <v>0</v>
      </c>
      <c r="F37" s="64">
        <f ca="1">IFERROR(__xludf.DUMMYFUNCTION("IMPORTRANGE(""https://docs.google.com/spreadsheets/d/1_MzZ-2gVPiCW-d2VcafoCmFJQTSrZ6SQyFcMqRRQQ2w/edit?usp=sharing"",""บึงกาฬ!M549"")"),487547)</f>
        <v>487547</v>
      </c>
      <c r="G37" s="64">
        <f ca="1">IFERROR(__xludf.DUMMYFUNCTION("IMPORTRANGE(""https://docs.google.com/spreadsheets/d/1_MzZ-2gVPiCW-d2VcafoCmFJQTSrZ6SQyFcMqRRQQ2w/edit?usp=sharing"",""บึงกาฬ!M557"")"),0)</f>
        <v>0</v>
      </c>
      <c r="H37" s="58">
        <f t="shared" ca="1" si="36"/>
        <v>160156</v>
      </c>
      <c r="I37" s="59">
        <f t="shared" ca="1" si="1"/>
        <v>32.849345806660693</v>
      </c>
      <c r="J37" s="60">
        <f t="shared" ca="1" si="67"/>
        <v>160156</v>
      </c>
      <c r="K37" s="61">
        <f t="shared" ca="1" si="44"/>
        <v>32.849345806660693</v>
      </c>
      <c r="L37" s="61">
        <f t="shared" ca="1" si="45"/>
        <v>32.849345806660693</v>
      </c>
      <c r="M37" s="64">
        <f ca="1">IFERROR(__xludf.DUMMYFUNCTION("IMPORTRANGE(""https://docs.google.com/spreadsheets/d/1_MzZ-2gVPiCW-d2VcafoCmFJQTSrZ6SQyFcMqRRQQ2w/edit?usp=sharing"",""บึงกาฬ!N550"")"),0)</f>
        <v>0</v>
      </c>
      <c r="N37" s="64">
        <f ca="1">IFERROR(__xludf.DUMMYFUNCTION("IMPORTRANGE(""https://docs.google.com/spreadsheets/d/1_MzZ-2gVPiCW-d2VcafoCmFJQTSrZ6SQyFcMqRRQQ2w/edit?usp=sharing"",""บึงกาฬ!N551"")"),12290)</f>
        <v>12290</v>
      </c>
      <c r="O37" s="64">
        <f ca="1">IFERROR(__xludf.DUMMYFUNCTION("IMPORTRANGE(""https://docs.google.com/spreadsheets/d/1_MzZ-2gVPiCW-d2VcafoCmFJQTSrZ6SQyFcMqRRQQ2w/edit?usp=sharing"",""บึงกาฬ!N552"")"),64160)</f>
        <v>64160</v>
      </c>
      <c r="P37" s="64">
        <f ca="1">IFERROR(__xludf.DUMMYFUNCTION("IMPORTRANGE(""https://docs.google.com/spreadsheets/d/1_MzZ-2gVPiCW-d2VcafoCmFJQTSrZ6SQyFcMqRRQQ2w/edit?usp=sharing"",""บึงกาฬ!N553"")"),83706)</f>
        <v>83706</v>
      </c>
      <c r="Q37" s="64">
        <f ca="1">IFERROR(__xludf.DUMMYFUNCTION("IMPORTRANGE(""https://docs.google.com/spreadsheets/d/1_MzZ-2gVPiCW-d2VcafoCmFJQTSrZ6SQyFcMqRRQQ2w/edit?usp=sharing"",""บึงกาฬ!N554"")"),0)</f>
        <v>0</v>
      </c>
      <c r="R37" s="62">
        <f ca="1">IFERROR(__xludf.DUMMYFUNCTION("IMPORTRANGE(""https://docs.google.com/spreadsheets/d/1_MzZ-2gVPiCW-d2VcafoCmFJQTSrZ6SQyFcMqRRQQ2w/edit?usp=sharing"",""บึงกาฬ!N557"")"),0)</f>
        <v>0</v>
      </c>
      <c r="S37" s="62">
        <f t="shared" ca="1" si="47"/>
        <v>0</v>
      </c>
      <c r="T37" s="57">
        <f ca="1">IFERROR(__xludf.DUMMYFUNCTION("IMPORTRANGE(""https://docs.google.com/spreadsheets/d/1_MzZ-2gVPiCW-d2VcafoCmFJQTSrZ6SQyFcMqRRQQ2w/edit?usp=sharing"",""บึงกาฬ!I560"")"),90157)</f>
        <v>90157</v>
      </c>
      <c r="U37" s="57">
        <f ca="1">IFERROR(__xludf.DUMMYFUNCTION("IMPORTRANGE(""https://docs.google.com/spreadsheets/d/1_MzZ-2gVPiCW-d2VcafoCmFJQTSrZ6SQyFcMqRRQQ2w/edit?usp=sharing"",""บึงกาฬ!I561"")"),7894)</f>
        <v>7894</v>
      </c>
      <c r="V37" s="63">
        <f ca="1">IFERROR(__xludf.DUMMYFUNCTION("IMPORTRANGE(""https://docs.google.com/spreadsheets/d/1_MzZ-2gVPiCW-d2VcafoCmFJQTSrZ6SQyFcMqRRQQ2w/edit?usp=sharing"",""บึงกาฬ!J560"")"),90157)</f>
        <v>90157</v>
      </c>
      <c r="W37" s="63">
        <f t="shared" ca="1" si="37"/>
        <v>100</v>
      </c>
      <c r="X37" s="57">
        <f ca="1">IFERROR(__xludf.DUMMYFUNCTION("IMPORTRANGE(""https://docs.google.com/spreadsheets/d/1_MzZ-2gVPiCW-d2VcafoCmFJQTSrZ6SQyFcMqRRQQ2w/edit?usp=sharing"",""บึงกาฬ!J561"")"),7894)</f>
        <v>7894</v>
      </c>
      <c r="Y37" s="63">
        <f t="shared" ca="1" si="7"/>
        <v>100</v>
      </c>
      <c r="Z37" s="63">
        <f ca="1">IFERROR(__xludf.DUMMYFUNCTION("IMPORTRANGE(""https://docs.google.com/spreadsheets/d/1_MzZ-2gVPiCW-d2VcafoCmFJQTSrZ6SQyFcMqRRQQ2w/edit?usp=sharing"",""บึงกาฬ!J562"")"),74026)</f>
        <v>74026</v>
      </c>
      <c r="AA37" s="140">
        <f ca="1">IFERROR(__xludf.DUMMYFUNCTION("IMPORTRANGE(""https://docs.google.com/spreadsheets/d/1_MzZ-2gVPiCW-d2VcafoCmFJQTSrZ6SQyFcMqRRQQ2w/edit?usp=sharing"",""บึงกาฬ!J563"")"),6762)</f>
        <v>6762</v>
      </c>
      <c r="AB37" s="63">
        <f ca="1">IFERROR(__xludf.DUMMYFUNCTION("IMPORTRANGE(""https://docs.google.com/spreadsheets/d/1_MzZ-2gVPiCW-d2VcafoCmFJQTSrZ6SQyFcMqRRQQ2w/edit?usp=sharing"",""บึงกาฬ!J564"")"),13719)</f>
        <v>13719</v>
      </c>
      <c r="AC37" s="140">
        <f ca="1">IFERROR(__xludf.DUMMYFUNCTION("IMPORTRANGE(""https://docs.google.com/spreadsheets/d/1_MzZ-2gVPiCW-d2VcafoCmFJQTSrZ6SQyFcMqRRQQ2w/edit?usp=sharing"",""บึงกาฬ!J565"")"),944)</f>
        <v>944</v>
      </c>
      <c r="AD37" s="63">
        <f ca="1">IFERROR(__xludf.DUMMYFUNCTION("IMPORTRANGE(""https://docs.google.com/spreadsheets/d/1_MzZ-2gVPiCW-d2VcafoCmFJQTSrZ6SQyFcMqRRQQ2w/edit?usp=sharing"",""บึงกาฬ!J566"")"),2412)</f>
        <v>2412</v>
      </c>
      <c r="AE37" s="140">
        <f ca="1">IFERROR(__xludf.DUMMYFUNCTION("IMPORTRANGE(""https://docs.google.com/spreadsheets/d/1_MzZ-2gVPiCW-d2VcafoCmFJQTSrZ6SQyFcMqRRQQ2w/edit?usp=sharing"",""บึงกาฬ!J567"")"),188)</f>
        <v>188</v>
      </c>
      <c r="AF37" s="57">
        <f ca="1">IFERROR(__xludf.DUMMYFUNCTION("IMPORTRANGE(""https://docs.google.com/spreadsheets/d/1_MzZ-2gVPiCW-d2VcafoCmFJQTSrZ6SQyFcMqRRQQ2w/edit?usp=sharing"",""บึงกาฬ!I568"")"),90157)</f>
        <v>90157</v>
      </c>
      <c r="AG37" s="57">
        <f ca="1">IFERROR(__xludf.DUMMYFUNCTION("IMPORTRANGE(""https://docs.google.com/spreadsheets/d/1_MzZ-2gVPiCW-d2VcafoCmFJQTSrZ6SQyFcMqRRQQ2w/edit?usp=sharing"",""บึงกาฬ!I569"")"),7894)</f>
        <v>7894</v>
      </c>
      <c r="AH37" s="63">
        <f ca="1">IFERROR(__xludf.DUMMYFUNCTION("IMPORTRANGE(""https://docs.google.com/spreadsheets/d/1_MzZ-2gVPiCW-d2VcafoCmFJQTSrZ6SQyFcMqRRQQ2w/edit?usp=sharing"",""บึงกาฬ!J568"")"),90157)</f>
        <v>90157</v>
      </c>
      <c r="AI37" s="63">
        <f t="shared" ca="1" si="38"/>
        <v>100</v>
      </c>
      <c r="AJ37" s="57">
        <f ca="1">IFERROR(__xludf.DUMMYFUNCTION("IMPORTRANGE(""https://docs.google.com/spreadsheets/d/1_MzZ-2gVPiCW-d2VcafoCmFJQTSrZ6SQyFcMqRRQQ2w/edit?usp=sharing"",""บึงกาฬ!J569"")"),7894)</f>
        <v>7894</v>
      </c>
      <c r="AK37" s="63">
        <f t="shared" ca="1" si="10"/>
        <v>100</v>
      </c>
      <c r="AL37" s="63">
        <f ca="1">IFERROR(__xludf.DUMMYFUNCTION("IMPORTRANGE(""https://docs.google.com/spreadsheets/d/1_MzZ-2gVPiCW-d2VcafoCmFJQTSrZ6SQyFcMqRRQQ2w/edit?usp=sharing"",""บึงกาฬ!J570"")"),76518)</f>
        <v>76518</v>
      </c>
      <c r="AM37" s="140">
        <f ca="1">IFERROR(__xludf.DUMMYFUNCTION("IMPORTRANGE(""https://docs.google.com/spreadsheets/d/1_MzZ-2gVPiCW-d2VcafoCmFJQTSrZ6SQyFcMqRRQQ2w/edit?usp=sharing"",""บึงกาฬ!J571"")"),6950)</f>
        <v>6950</v>
      </c>
      <c r="AN37" s="63">
        <f ca="1">IFERROR(__xludf.DUMMYFUNCTION("IMPORTRANGE(""https://docs.google.com/spreadsheets/d/1_MzZ-2gVPiCW-d2VcafoCmFJQTSrZ6SQyFcMqRRQQ2w/edit?usp=sharing"",""บึงกาฬ!J572"")"),11227)</f>
        <v>11227</v>
      </c>
      <c r="AO37" s="140">
        <f ca="1">IFERROR(__xludf.DUMMYFUNCTION("IMPORTRANGE(""https://docs.google.com/spreadsheets/d/1_MzZ-2gVPiCW-d2VcafoCmFJQTSrZ6SQyFcMqRRQQ2w/edit?usp=sharing"",""บึงกาฬ!J573"")"),756)</f>
        <v>756</v>
      </c>
      <c r="AP37" s="63">
        <f ca="1">IFERROR(__xludf.DUMMYFUNCTION("IMPORTRANGE(""https://docs.google.com/spreadsheets/d/1_MzZ-2gVPiCW-d2VcafoCmFJQTSrZ6SQyFcMqRRQQ2w/edit?usp=sharing"",""บึงกาฬ!J574"")"),2412)</f>
        <v>2412</v>
      </c>
      <c r="AQ37" s="140">
        <f ca="1">IFERROR(__xludf.DUMMYFUNCTION("IMPORTRANGE(""https://docs.google.com/spreadsheets/d/1_MzZ-2gVPiCW-d2VcafoCmFJQTSrZ6SQyFcMqRRQQ2w/edit?usp=sharing"",""บึงกาฬ!J575"")"),188)</f>
        <v>188</v>
      </c>
      <c r="AR37" s="57">
        <f ca="1">IFERROR(__xludf.DUMMYFUNCTION("IMPORTRANGE(""https://docs.google.com/spreadsheets/d/1_MzZ-2gVPiCW-d2VcafoCmFJQTSrZ6SQyFcMqRRQQ2w/edit?usp=sharing"",""บึงกาฬ!I576"")"),90157)</f>
        <v>90157</v>
      </c>
      <c r="AS37" s="57">
        <f ca="1">IFERROR(__xludf.DUMMYFUNCTION("IMPORTRANGE(""https://docs.google.com/spreadsheets/d/1_MzZ-2gVPiCW-d2VcafoCmFJQTSrZ6SQyFcMqRRQQ2w/edit?usp=sharing"",""บึงกาฬ!I577"")"),7894)</f>
        <v>7894</v>
      </c>
      <c r="AT37" s="63">
        <f ca="1">IFERROR(__xludf.DUMMYFUNCTION("IMPORTRANGE(""https://docs.google.com/spreadsheets/d/1_MzZ-2gVPiCW-d2VcafoCmFJQTSrZ6SQyFcMqRRQQ2w/edit?usp=sharing"",""บึงกาฬ!J576"")"),0)</f>
        <v>0</v>
      </c>
      <c r="AU37" s="63">
        <f t="shared" ca="1" si="39"/>
        <v>0</v>
      </c>
      <c r="AV37" s="57">
        <f ca="1">IFERROR(__xludf.DUMMYFUNCTION("IMPORTRANGE(""https://docs.google.com/spreadsheets/d/1_MzZ-2gVPiCW-d2VcafoCmFJQTSrZ6SQyFcMqRRQQ2w/edit?usp=sharing"",""บึงกาฬ!J577"")"),0)</f>
        <v>0</v>
      </c>
      <c r="AW37" s="63">
        <f t="shared" ca="1" si="13"/>
        <v>0</v>
      </c>
      <c r="AX37" s="63">
        <f ca="1">IFERROR(__xludf.DUMMYFUNCTION("IMPORTRANGE(""https://docs.google.com/spreadsheets/d/1_MzZ-2gVPiCW-d2VcafoCmFJQTSrZ6SQyFcMqRRQQ2w/edit?usp=sharing"",""บึงกาฬ!J578"")"),0)</f>
        <v>0</v>
      </c>
      <c r="AY37" s="140">
        <f ca="1">IFERROR(__xludf.DUMMYFUNCTION("IMPORTRANGE(""https://docs.google.com/spreadsheets/d/1_MzZ-2gVPiCW-d2VcafoCmFJQTSrZ6SQyFcMqRRQQ2w/edit?usp=sharing"",""บึงกาฬ!J579"")"),0)</f>
        <v>0</v>
      </c>
      <c r="AZ37" s="63">
        <f ca="1">IFERROR(__xludf.DUMMYFUNCTION("IMPORTRANGE(""https://docs.google.com/spreadsheets/d/1_MzZ-2gVPiCW-d2VcafoCmFJQTSrZ6SQyFcMqRRQQ2w/edit?usp=sharing"",""บึงกาฬ!J580"")"),0)</f>
        <v>0</v>
      </c>
      <c r="BA37" s="140">
        <f ca="1">IFERROR(__xludf.DUMMYFUNCTION("IMPORTRANGE(""https://docs.google.com/spreadsheets/d/1_MzZ-2gVPiCW-d2VcafoCmFJQTSrZ6SQyFcMqRRQQ2w/edit?usp=sharing"",""บึงกาฬ!J581"")"),0)</f>
        <v>0</v>
      </c>
      <c r="BB37" s="63">
        <f ca="1">IFERROR(__xludf.DUMMYFUNCTION("IMPORTRANGE(""https://docs.google.com/spreadsheets/d/1_MzZ-2gVPiCW-d2VcafoCmFJQTSrZ6SQyFcMqRRQQ2w/edit?usp=sharing"",""บึงกาฬ!J582"")"),0)</f>
        <v>0</v>
      </c>
      <c r="BC37" s="140">
        <f ca="1">IFERROR(__xludf.DUMMYFUNCTION("IMPORTRANGE(""https://docs.google.com/spreadsheets/d/1_MzZ-2gVPiCW-d2VcafoCmFJQTSrZ6SQyFcMqRRQQ2w/edit?usp=sharing"",""บึงกาฬ!J583"")"),0)</f>
        <v>0</v>
      </c>
      <c r="BD37" s="141">
        <f ca="1">IFERROR(__xludf.DUMMYFUNCTION("IMPORTRANGE(""https://docs.google.com/spreadsheets/d/1_MzZ-2gVPiCW-d2VcafoCmFJQTSrZ6SQyFcMqRRQQ2w/edit?usp=sharing"",""บึงกาฬ!J584"")"),0)</f>
        <v>0</v>
      </c>
      <c r="BE37" s="140">
        <f ca="1">IFERROR(__xludf.DUMMYFUNCTION("IMPORTRANGE(""https://docs.google.com/spreadsheets/d/1_MzZ-2gVPiCW-d2VcafoCmFJQTSrZ6SQyFcMqRRQQ2w/edit?usp=sharing"",""บึงกาฬ!J585"")"),0)</f>
        <v>0</v>
      </c>
      <c r="BF37" s="141">
        <f ca="1">IFERROR(__xludf.DUMMYFUNCTION("IMPORTRANGE(""https://docs.google.com/spreadsheets/d/1_MzZ-2gVPiCW-d2VcafoCmFJQTSrZ6SQyFcMqRRQQ2w/edit?usp=sharing"",""บึงกาฬ!J586"")"),0)</f>
        <v>0</v>
      </c>
      <c r="BG37" s="140">
        <f ca="1">IFERROR(__xludf.DUMMYFUNCTION("IMPORTRANGE(""https://docs.google.com/spreadsheets/d/1_MzZ-2gVPiCW-d2VcafoCmFJQTSrZ6SQyFcMqRRQQ2w/edit?usp=sharing"",""บึงกาฬ!J587"")"),0)</f>
        <v>0</v>
      </c>
      <c r="BH37" s="63">
        <f ca="1">IFERROR(__xludf.DUMMYFUNCTION("IMPORTRANGE(""https://docs.google.com/spreadsheets/d/1_MzZ-2gVPiCW-d2VcafoCmFJQTSrZ6SQyFcMqRRQQ2w/edit?usp=sharing"",""บึงกาฬ!J588"")"),0)</f>
        <v>0</v>
      </c>
      <c r="BI37" s="140">
        <f ca="1">IFERROR(__xludf.DUMMYFUNCTION("IMPORTRANGE(""https://docs.google.com/spreadsheets/d/1_MzZ-2gVPiCW-d2VcafoCmFJQTSrZ6SQyFcMqRRQQ2w/edit?usp=sharing"",""บึงกาฬ!J589"")"),0)</f>
        <v>0</v>
      </c>
      <c r="BJ37" s="63">
        <f ca="1">IFERROR(__xludf.DUMMYFUNCTION("IMPORTRANGE(""https://docs.google.com/spreadsheets/d/1_MzZ-2gVPiCW-d2VcafoCmFJQTSrZ6SQyFcMqRRQQ2w/edit?usp=sharing"",""บึงกาฬ!J590"")"),0)</f>
        <v>0</v>
      </c>
      <c r="BK37" s="140">
        <f ca="1">IFERROR(__xludf.DUMMYFUNCTION("IMPORTRANGE(""https://docs.google.com/spreadsheets/d/1_MzZ-2gVPiCW-d2VcafoCmFJQTSrZ6SQyFcMqRRQQ2w/edit?usp=sharing"",""บึงกาฬ!J591"")"),0)</f>
        <v>0</v>
      </c>
      <c r="BL37" s="57">
        <f ca="1">IFERROR(__xludf.DUMMYFUNCTION("IMPORTRANGE(""https://docs.google.com/spreadsheets/d/1_MzZ-2gVPiCW-d2VcafoCmFJQTSrZ6SQyFcMqRRQQ2w/edit?usp=sharing"",""บึงกาฬ!I593"")"),6390.89)</f>
        <v>6390.89</v>
      </c>
      <c r="BM37" s="57">
        <f ca="1">IFERROR(__xludf.DUMMYFUNCTION("IMPORTRANGE(""https://docs.google.com/spreadsheets/d/1_MzZ-2gVPiCW-d2VcafoCmFJQTSrZ6SQyFcMqRRQQ2w/edit?usp=sharing"",""บึงกาฬ!I594"")"),339)</f>
        <v>339</v>
      </c>
      <c r="BN37" s="63">
        <f ca="1">IFERROR(__xludf.DUMMYFUNCTION("IMPORTRANGE(""https://docs.google.com/spreadsheets/d/1_MzZ-2gVPiCW-d2VcafoCmFJQTSrZ6SQyFcMqRRQQ2w/edit?usp=sharing"",""บึงกาฬ!J593"")"),0)</f>
        <v>0</v>
      </c>
      <c r="BO37" s="63">
        <f t="shared" ca="1" si="40"/>
        <v>0</v>
      </c>
      <c r="BP37" s="57">
        <f ca="1">IFERROR(__xludf.DUMMYFUNCTION("IMPORTRANGE(""https://docs.google.com/spreadsheets/d/1_MzZ-2gVPiCW-d2VcafoCmFJQTSrZ6SQyFcMqRRQQ2w/edit?usp=sharing"",""บึงกาฬ!J594"")"),0)</f>
        <v>0</v>
      </c>
      <c r="BQ37" s="63">
        <f t="shared" ca="1" si="16"/>
        <v>0</v>
      </c>
      <c r="BR37" s="63">
        <f ca="1">IFERROR(__xludf.DUMMYFUNCTION("IMPORTRANGE(""https://docs.google.com/spreadsheets/d/1_MzZ-2gVPiCW-d2VcafoCmFJQTSrZ6SQyFcMqRRQQ2w/edit?usp=sharing"",""บึงกาฬ!J595"")"),0)</f>
        <v>0</v>
      </c>
      <c r="BS37" s="140">
        <f ca="1">IFERROR(__xludf.DUMMYFUNCTION("IMPORTRANGE(""https://docs.google.com/spreadsheets/d/1_MzZ-2gVPiCW-d2VcafoCmFJQTSrZ6SQyFcMqRRQQ2w/edit?usp=sharing"",""บึงกาฬ!J596"")"),0)</f>
        <v>0</v>
      </c>
      <c r="BT37" s="63">
        <f ca="1">IFERROR(__xludf.DUMMYFUNCTION("IMPORTRANGE(""https://docs.google.com/spreadsheets/d/1_MzZ-2gVPiCW-d2VcafoCmFJQTSrZ6SQyFcMqRRQQ2w/edit?usp=sharing"",""บึงกาฬ!J597"")"),0)</f>
        <v>0</v>
      </c>
      <c r="BU37" s="140">
        <f ca="1">IFERROR(__xludf.DUMMYFUNCTION("IMPORTRANGE(""https://docs.google.com/spreadsheets/d/1_MzZ-2gVPiCW-d2VcafoCmFJQTSrZ6SQyFcMqRRQQ2w/edit?usp=sharing"",""บึงกาฬ!J598"")"),0)</f>
        <v>0</v>
      </c>
      <c r="BV37" s="63">
        <f ca="1">IFERROR(__xludf.DUMMYFUNCTION("IMPORTRANGE(""https://docs.google.com/spreadsheets/d/1_MzZ-2gVPiCW-d2VcafoCmFJQTSrZ6SQyFcMqRRQQ2w/edit?usp=sharing"",""บึงกาฬ!J599"")"),0)</f>
        <v>0</v>
      </c>
      <c r="BW37" s="140">
        <f ca="1">IFERROR(__xludf.DUMMYFUNCTION("IMPORTRANGE(""https://docs.google.com/spreadsheets/d/1_MzZ-2gVPiCW-d2VcafoCmFJQTSrZ6SQyFcMqRRQQ2w/edit?usp=sharing"",""บึงกาฬ!J600"")"),0)</f>
        <v>0</v>
      </c>
      <c r="BX37" s="141">
        <f ca="1">IFERROR(__xludf.DUMMYFUNCTION("IMPORTRANGE(""https://docs.google.com/spreadsheets/d/1_MzZ-2gVPiCW-d2VcafoCmFJQTSrZ6SQyFcMqRRQQ2w/edit?usp=sharing"",""บึงกาฬ!J601"")"),0)</f>
        <v>0</v>
      </c>
      <c r="BY37" s="140">
        <f ca="1">IFERROR(__xludf.DUMMYFUNCTION("IMPORTRANGE(""https://docs.google.com/spreadsheets/d/1_MzZ-2gVPiCW-d2VcafoCmFJQTSrZ6SQyFcMqRRQQ2w/edit?usp=sharing"",""บึงกาฬ!J602"")"),0)</f>
        <v>0</v>
      </c>
      <c r="BZ37" s="63">
        <f ca="1">IFERROR(__xludf.DUMMYFUNCTION("IMPORTRANGE(""https://docs.google.com/spreadsheets/d/1_MzZ-2gVPiCW-d2VcafoCmFJQTSrZ6SQyFcMqRRQQ2w/edit?usp=sharing"",""บึงกาฬ!J603"")"),0)</f>
        <v>0</v>
      </c>
      <c r="CA37" s="140">
        <f ca="1">IFERROR(__xludf.DUMMYFUNCTION("IMPORTRANGE(""https://docs.google.com/spreadsheets/d/1_MzZ-2gVPiCW-d2VcafoCmFJQTSrZ6SQyFcMqRRQQ2w/edit?usp=sharing"",""บึงกาฬ!J604"")"),0)</f>
        <v>0</v>
      </c>
      <c r="CB37" s="63">
        <f ca="1">IFERROR(__xludf.DUMMYFUNCTION("IMPORTRANGE(""https://docs.google.com/spreadsheets/d/1_MzZ-2gVPiCW-d2VcafoCmFJQTSrZ6SQyFcMqRRQQ2w/edit?usp=sharing"",""บึงกาฬ!J605"")"),0)</f>
        <v>0</v>
      </c>
      <c r="CC37" s="140">
        <f ca="1">IFERROR(__xludf.DUMMYFUNCTION("IMPORTRANGE(""https://docs.google.com/spreadsheets/d/1_MzZ-2gVPiCW-d2VcafoCmFJQTSrZ6SQyFcMqRRQQ2w/edit?usp=sharing"",""บึงกาฬ!J606"")"),0)</f>
        <v>0</v>
      </c>
      <c r="CD37" s="63">
        <f ca="1">IFERROR(__xludf.DUMMYFUNCTION("IMPORTRANGE(""https://docs.google.com/spreadsheets/d/1_MzZ-2gVPiCW-d2VcafoCmFJQTSrZ6SQyFcMqRRQQ2w/edit?usp=sharing"",""บึงกาฬ!J607"")"),0)</f>
        <v>0</v>
      </c>
      <c r="CE37" s="140">
        <f ca="1">IFERROR(__xludf.DUMMYFUNCTION("IMPORTRANGE(""https://docs.google.com/spreadsheets/d/1_MzZ-2gVPiCW-d2VcafoCmFJQTSrZ6SQyFcMqRRQQ2w/edit?usp=sharing"",""บึงกาฬ!J608"")"),0)</f>
        <v>0</v>
      </c>
      <c r="CF37" s="63">
        <f ca="1">IFERROR(__xludf.DUMMYFUNCTION("IMPORTRANGE(""https://docs.google.com/spreadsheets/d/1_MzZ-2gVPiCW-d2VcafoCmFJQTSrZ6SQyFcMqRRQQ2w/edit?usp=sharing"",""บึงกาฬ!J609"")"),0)</f>
        <v>0</v>
      </c>
      <c r="CG37" s="140">
        <f ca="1">IFERROR(__xludf.DUMMYFUNCTION("IMPORTRANGE(""https://docs.google.com/spreadsheets/d/1_MzZ-2gVPiCW-d2VcafoCmFJQTSrZ6SQyFcMqRRQQ2w/edit?usp=sharing"",""บึงกาฬ!J610"")"),0)</f>
        <v>0</v>
      </c>
      <c r="CH37" s="140">
        <f ca="1">IFERROR(__xludf.DUMMYFUNCTION("IMPORTRANGE(""https://docs.google.com/spreadsheets/d/1_MzZ-2gVPiCW-d2VcafoCmFJQTSrZ6SQyFcMqRRQQ2w/edit?usp=sharing"",""บึงกาฬ!I612"")"),0)</f>
        <v>0</v>
      </c>
      <c r="CI37" s="140">
        <f ca="1">IFERROR(__xludf.DUMMYFUNCTION("IMPORTRANGE(""https://docs.google.com/spreadsheets/d/1_MzZ-2gVPiCW-d2VcafoCmFJQTSrZ6SQyFcMqRRQQ2w/edit?usp=sharing"",""บึงกาฬ!I594"")"),339)</f>
        <v>339</v>
      </c>
      <c r="CJ37" s="141">
        <f ca="1">IFERROR(__xludf.DUMMYFUNCTION("IMPORTRANGE(""https://docs.google.com/spreadsheets/d/1_MzZ-2gVPiCW-d2VcafoCmFJQTSrZ6SQyFcMqRRQQ2w/edit?usp=sharing"",""บึงกาฬ!J612"")"),0)</f>
        <v>0</v>
      </c>
      <c r="CK37" s="141">
        <f t="shared" ca="1" si="41"/>
        <v>0</v>
      </c>
      <c r="CL37" s="140">
        <f ca="1">IFERROR(__xludf.DUMMYFUNCTION("IMPORTRANGE(""https://docs.google.com/spreadsheets/d/1_MzZ-2gVPiCW-d2VcafoCmFJQTSrZ6SQyFcMqRRQQ2w/edit?usp=sharing"",""บึงกาฬ!J613"")"),0)</f>
        <v>0</v>
      </c>
      <c r="CM37" s="141">
        <f t="shared" ca="1" si="19"/>
        <v>0</v>
      </c>
      <c r="CN37" s="63">
        <f ca="1">IFERROR(__xludf.DUMMYFUNCTION("IMPORTRANGE(""https://docs.google.com/spreadsheets/d/1_MzZ-2gVPiCW-d2VcafoCmFJQTSrZ6SQyFcMqRRQQ2w/edit?usp=sharing"",""บึงกาฬ!J614"")"),0)</f>
        <v>0</v>
      </c>
      <c r="CO37" s="140">
        <f ca="1">IFERROR(__xludf.DUMMYFUNCTION("IMPORTRANGE(""https://docs.google.com/spreadsheets/d/1_MzZ-2gVPiCW-d2VcafoCmFJQTSrZ6SQyFcMqRRQQ2w/edit?usp=sharing"",""บึงกาฬ!J615"")"),0)</f>
        <v>0</v>
      </c>
      <c r="CP37" s="63">
        <f ca="1">IFERROR(__xludf.DUMMYFUNCTION("IMPORTRANGE(""https://docs.google.com/spreadsheets/d/1_MzZ-2gVPiCW-d2VcafoCmFJQTSrZ6SQyFcMqRRQQ2w/edit?usp=sharing"",""บึงกาฬ!J616"")"),0)</f>
        <v>0</v>
      </c>
      <c r="CQ37" s="140">
        <f ca="1">IFERROR(__xludf.DUMMYFUNCTION("IMPORTRANGE(""https://docs.google.com/spreadsheets/d/1_MzZ-2gVPiCW-d2VcafoCmFJQTSrZ6SQyFcMqRRQQ2w/edit?usp=sharing"",""บึงกาฬ!J617"")"),0)</f>
        <v>0</v>
      </c>
      <c r="CR37" s="140">
        <f ca="1">IFERROR(__xludf.DUMMYFUNCTION("IMPORTRANGE(""https://docs.google.com/spreadsheets/d/1_MzZ-2gVPiCW-d2VcafoCmFJQTSrZ6SQyFcMqRRQQ2w/edit?usp=sharing"",""บึงกาฬ!I620"")"),157)</f>
        <v>157</v>
      </c>
      <c r="CS37" s="140">
        <f ca="1">IFERROR(__xludf.DUMMYFUNCTION("IMPORTRANGE(""https://docs.google.com/spreadsheets/d/1_MzZ-2gVPiCW-d2VcafoCmFJQTSrZ6SQyFcMqRRQQ2w/edit?usp=sharing"",""บึงกาฬ!I621"")"),9)</f>
        <v>9</v>
      </c>
      <c r="CT37" s="141">
        <f ca="1">IFERROR(__xludf.DUMMYFUNCTION("IMPORTRANGE(""https://docs.google.com/spreadsheets/d/1_MzZ-2gVPiCW-d2VcafoCmFJQTSrZ6SQyFcMqRRQQ2w/edit?usp=sharing"",""บึงกาฬ!J620"")"),0)</f>
        <v>0</v>
      </c>
      <c r="CU37" s="141">
        <f t="shared" ca="1" si="42"/>
        <v>0</v>
      </c>
      <c r="CV37" s="140">
        <f ca="1">IFERROR(__xludf.DUMMYFUNCTION("IMPORTRANGE(""https://docs.google.com/spreadsheets/d/1_MzZ-2gVPiCW-d2VcafoCmFJQTSrZ6SQyFcMqRRQQ2w/edit?usp=sharing"",""บึงกาฬ!J621"")"),0)</f>
        <v>0</v>
      </c>
      <c r="CW37" s="141">
        <f t="shared" ca="1" si="22"/>
        <v>0</v>
      </c>
      <c r="CX37" s="63">
        <f ca="1">IFERROR(__xludf.DUMMYFUNCTION("IMPORTRANGE(""https://docs.google.com/spreadsheets/d/1_MzZ-2gVPiCW-d2VcafoCmFJQTSrZ6SQyFcMqRRQQ2w/edit?usp=sharing"",""บึงกาฬ!J622"")"),0)</f>
        <v>0</v>
      </c>
      <c r="CY37" s="140">
        <f ca="1">IFERROR(__xludf.DUMMYFUNCTION("IMPORTRANGE(""https://docs.google.com/spreadsheets/d/1_MzZ-2gVPiCW-d2VcafoCmFJQTSrZ6SQyFcMqRRQQ2w/edit?usp=sharing"",""บึงกาฬ!J623"")"),0)</f>
        <v>0</v>
      </c>
      <c r="CZ37" s="63">
        <f ca="1">IFERROR(__xludf.DUMMYFUNCTION("IMPORTRANGE(""https://docs.google.com/spreadsheets/d/1_MzZ-2gVPiCW-d2VcafoCmFJQTSrZ6SQyFcMqRRQQ2w/edit?usp=sharing"",""บึงกาฬ!J624"")"),0)</f>
        <v>0</v>
      </c>
      <c r="DA37" s="140">
        <f ca="1">IFERROR(__xludf.DUMMYFUNCTION("IMPORTRANGE(""https://docs.google.com/spreadsheets/d/1_MzZ-2gVPiCW-d2VcafoCmFJQTSrZ6SQyFcMqRRQQ2w/edit?usp=sharing"",""บึงกาฬ!J625"")"),0)</f>
        <v>0</v>
      </c>
      <c r="DB37" s="63">
        <f ca="1">IFERROR(__xludf.DUMMYFUNCTION("IMPORTRANGE(""https://docs.google.com/spreadsheets/d/1_MzZ-2gVPiCW-d2VcafoCmFJQTSrZ6SQyFcMqRRQQ2w/edit?usp=sharing"",""บึงกาฬ!J626"")"),0)</f>
        <v>0</v>
      </c>
      <c r="DC37" s="140">
        <f ca="1">IFERROR(__xludf.DUMMYFUNCTION("IMPORTRANGE(""https://docs.google.com/spreadsheets/d/1_MzZ-2gVPiCW-d2VcafoCmFJQTSrZ6SQyFcMqRRQQ2w/edit?usp=sharing"",""บึงกาฬ!J627"")"),0)</f>
        <v>0</v>
      </c>
    </row>
    <row r="38" spans="1:107" ht="21" customHeight="1" x14ac:dyDescent="0.3">
      <c r="A38" s="54">
        <v>7</v>
      </c>
      <c r="B38" s="55" t="s">
        <v>59</v>
      </c>
      <c r="C38" s="56">
        <f t="shared" ca="1" si="66"/>
        <v>542720</v>
      </c>
      <c r="D38" s="57">
        <f ca="1">IFERROR(__xludf.DUMMYFUNCTION("IMPORTRANGE(""https://docs.google.com/spreadsheets/d/1B3lPpzOuaNwVItLwLEZYl_qEblfcx7dRnbRkAw0l-pE/edit?usp=sharing"",""บุรีรัมย์!L549"")"),542720)</f>
        <v>542720</v>
      </c>
      <c r="E38" s="64">
        <f ca="1">IFERROR(__xludf.DUMMYFUNCTION("IMPORTRANGE(""https://docs.google.com/spreadsheets/d/1B3lPpzOuaNwVItLwLEZYl_qEblfcx7dRnbRkAw0l-pE/edit?usp=sharing"",""บุรีรัมย์!L557"")"),0)</f>
        <v>0</v>
      </c>
      <c r="F38" s="64">
        <f ca="1">IFERROR(__xludf.DUMMYFUNCTION("IMPORTRANGE(""https://docs.google.com/spreadsheets/d/1B3lPpzOuaNwVItLwLEZYl_qEblfcx7dRnbRkAw0l-pE/edit?usp=sharing"",""บุรีรัมย์!M549"")"),542720)</f>
        <v>542720</v>
      </c>
      <c r="G38" s="64">
        <f ca="1">IFERROR(__xludf.DUMMYFUNCTION("IMPORTRANGE(""https://docs.google.com/spreadsheets/d/1B3lPpzOuaNwVItLwLEZYl_qEblfcx7dRnbRkAw0l-pE/edit?usp=sharing"",""บุรีรัมย์!M557"")"),0)</f>
        <v>0</v>
      </c>
      <c r="H38" s="58">
        <f t="shared" ca="1" si="36"/>
        <v>251172.5</v>
      </c>
      <c r="I38" s="59">
        <f t="shared" ca="1" si="1"/>
        <v>46.280310288915096</v>
      </c>
      <c r="J38" s="60">
        <f t="shared" ca="1" si="67"/>
        <v>251172.5</v>
      </c>
      <c r="K38" s="61">
        <f t="shared" ca="1" si="44"/>
        <v>46.280310288915096</v>
      </c>
      <c r="L38" s="61">
        <f t="shared" ca="1" si="45"/>
        <v>46.280310288915096</v>
      </c>
      <c r="M38" s="64">
        <f ca="1">IFERROR(__xludf.DUMMYFUNCTION("IMPORTRANGE(""https://docs.google.com/spreadsheets/d/1B3lPpzOuaNwVItLwLEZYl_qEblfcx7dRnbRkAw0l-pE/edit?usp=sharing"",""บุรีรัมย์!N550"")"),0)</f>
        <v>0</v>
      </c>
      <c r="N38" s="64">
        <f ca="1">IFERROR(__xludf.DUMMYFUNCTION("IMPORTRANGE(""https://docs.google.com/spreadsheets/d/1B3lPpzOuaNwVItLwLEZYl_qEblfcx7dRnbRkAw0l-pE/edit?usp=sharing"",""บุรีรัมย์!N551"")"),0)</f>
        <v>0</v>
      </c>
      <c r="O38" s="64">
        <f ca="1">IFERROR(__xludf.DUMMYFUNCTION("IMPORTRANGE(""https://docs.google.com/spreadsheets/d/1B3lPpzOuaNwVItLwLEZYl_qEblfcx7dRnbRkAw0l-pE/edit?usp=sharing"",""บุรีรัมย์!N552"")"),65000)</f>
        <v>65000</v>
      </c>
      <c r="P38" s="64">
        <f ca="1">IFERROR(__xludf.DUMMYFUNCTION("IMPORTRANGE(""https://docs.google.com/spreadsheets/d/1B3lPpzOuaNwVItLwLEZYl_qEblfcx7dRnbRkAw0l-pE/edit?usp=sharing"",""บุรีรัมย์!N553"")"),186172.5)</f>
        <v>186172.5</v>
      </c>
      <c r="Q38" s="64">
        <f ca="1">IFERROR(__xludf.DUMMYFUNCTION("IMPORTRANGE(""https://docs.google.com/spreadsheets/d/1B3lPpzOuaNwVItLwLEZYl_qEblfcx7dRnbRkAw0l-pE/edit?usp=sharing"",""บุรีรัมย์!N554"")"),0)</f>
        <v>0</v>
      </c>
      <c r="R38" s="62">
        <f ca="1">IFERROR(__xludf.DUMMYFUNCTION("IMPORTRANGE(""https://docs.google.com/spreadsheets/d/1B3lPpzOuaNwVItLwLEZYl_qEblfcx7dRnbRkAw0l-pE/edit?usp=sharing"",""บุรีรัมย์!N557"")"),0)</f>
        <v>0</v>
      </c>
      <c r="S38" s="62">
        <f t="shared" ca="1" si="47"/>
        <v>0</v>
      </c>
      <c r="T38" s="57">
        <f ca="1">IFERROR(__xludf.DUMMYFUNCTION("IMPORTRANGE(""https://docs.google.com/spreadsheets/d/1B3lPpzOuaNwVItLwLEZYl_qEblfcx7dRnbRkAw0l-pE/edit?usp=sharing"",""บุรีรัมย์!I560"")"),52289)</f>
        <v>52289</v>
      </c>
      <c r="U38" s="57">
        <f ca="1">IFERROR(__xludf.DUMMYFUNCTION("IMPORTRANGE(""https://docs.google.com/spreadsheets/d/1B3lPpzOuaNwVItLwLEZYl_qEblfcx7dRnbRkAw0l-pE/edit?usp=sharing"",""บุรีรัมย์!I561"")"),5734)</f>
        <v>5734</v>
      </c>
      <c r="V38" s="63">
        <f ca="1">IFERROR(__xludf.DUMMYFUNCTION("IMPORTRANGE(""https://docs.google.com/spreadsheets/d/1B3lPpzOuaNwVItLwLEZYl_qEblfcx7dRnbRkAw0l-pE/edit?usp=sharing"",""บุรีรัมย์!J560"")"),52289)</f>
        <v>52289</v>
      </c>
      <c r="W38" s="63">
        <f t="shared" ca="1" si="37"/>
        <v>100</v>
      </c>
      <c r="X38" s="57">
        <f ca="1">IFERROR(__xludf.DUMMYFUNCTION("IMPORTRANGE(""https://docs.google.com/spreadsheets/d/1B3lPpzOuaNwVItLwLEZYl_qEblfcx7dRnbRkAw0l-pE/edit?usp=sharing"",""บุรีรัมย์!J561"")"),5734)</f>
        <v>5734</v>
      </c>
      <c r="Y38" s="63">
        <f t="shared" ca="1" si="7"/>
        <v>100</v>
      </c>
      <c r="Z38" s="63">
        <f ca="1">IFERROR(__xludf.DUMMYFUNCTION("IMPORTRANGE(""https://docs.google.com/spreadsheets/d/1B3lPpzOuaNwVItLwLEZYl_qEblfcx7dRnbRkAw0l-pE/edit?usp=sharing"",""บุรีรัมย์!J562"")"),33275)</f>
        <v>33275</v>
      </c>
      <c r="AA38" s="140">
        <f ca="1">IFERROR(__xludf.DUMMYFUNCTION("IMPORTRANGE(""https://docs.google.com/spreadsheets/d/1B3lPpzOuaNwVItLwLEZYl_qEblfcx7dRnbRkAw0l-pE/edit?usp=sharing"",""บุรีรัมย์!J563"")"),4093)</f>
        <v>4093</v>
      </c>
      <c r="AB38" s="63">
        <f ca="1">IFERROR(__xludf.DUMMYFUNCTION("IMPORTRANGE(""https://docs.google.com/spreadsheets/d/1B3lPpzOuaNwVItLwLEZYl_qEblfcx7dRnbRkAw0l-pE/edit?usp=sharing"",""บุรีรัมย์!J564"")"),17713)</f>
        <v>17713</v>
      </c>
      <c r="AC38" s="140">
        <f ca="1">IFERROR(__xludf.DUMMYFUNCTION("IMPORTRANGE(""https://docs.google.com/spreadsheets/d/1B3lPpzOuaNwVItLwLEZYl_qEblfcx7dRnbRkAw0l-pE/edit?usp=sharing"",""บุรีรัมย์!J565"")"),1499)</f>
        <v>1499</v>
      </c>
      <c r="AD38" s="63">
        <f ca="1">IFERROR(__xludf.DUMMYFUNCTION("IMPORTRANGE(""https://docs.google.com/spreadsheets/d/1B3lPpzOuaNwVItLwLEZYl_qEblfcx7dRnbRkAw0l-pE/edit?usp=sharing"",""บุรีรัมย์!J566"")"),1301)</f>
        <v>1301</v>
      </c>
      <c r="AE38" s="140">
        <f ca="1">IFERROR(__xludf.DUMMYFUNCTION("IMPORTRANGE(""https://docs.google.com/spreadsheets/d/1B3lPpzOuaNwVItLwLEZYl_qEblfcx7dRnbRkAw0l-pE/edit?usp=sharing"",""บุรีรัมย์!J567"")"),142)</f>
        <v>142</v>
      </c>
      <c r="AF38" s="57">
        <f ca="1">IFERROR(__xludf.DUMMYFUNCTION("IMPORTRANGE(""https://docs.google.com/spreadsheets/d/1B3lPpzOuaNwVItLwLEZYl_qEblfcx7dRnbRkAw0l-pE/edit?usp=sharing"",""บุรีรัมย์!I568"")"),52289)</f>
        <v>52289</v>
      </c>
      <c r="AG38" s="57">
        <f ca="1">IFERROR(__xludf.DUMMYFUNCTION("IMPORTRANGE(""https://docs.google.com/spreadsheets/d/1B3lPpzOuaNwVItLwLEZYl_qEblfcx7dRnbRkAw0l-pE/edit?usp=sharing"",""บุรีรัมย์!I569"")"),5734)</f>
        <v>5734</v>
      </c>
      <c r="AH38" s="63">
        <f ca="1">IFERROR(__xludf.DUMMYFUNCTION("IMPORTRANGE(""https://docs.google.com/spreadsheets/d/1B3lPpzOuaNwVItLwLEZYl_qEblfcx7dRnbRkAw0l-pE/edit?usp=sharing"",""บุรีรัมย์!J568"")"),52289)</f>
        <v>52289</v>
      </c>
      <c r="AI38" s="63">
        <f t="shared" ca="1" si="38"/>
        <v>100</v>
      </c>
      <c r="AJ38" s="57">
        <f ca="1">IFERROR(__xludf.DUMMYFUNCTION("IMPORTRANGE(""https://docs.google.com/spreadsheets/d/1B3lPpzOuaNwVItLwLEZYl_qEblfcx7dRnbRkAw0l-pE/edit?usp=sharing"",""บุรีรัมย์!J569"")"),5734)</f>
        <v>5734</v>
      </c>
      <c r="AK38" s="63">
        <f t="shared" ca="1" si="10"/>
        <v>100</v>
      </c>
      <c r="AL38" s="63">
        <f ca="1">IFERROR(__xludf.DUMMYFUNCTION("IMPORTRANGE(""https://docs.google.com/spreadsheets/d/1B3lPpzOuaNwVItLwLEZYl_qEblfcx7dRnbRkAw0l-pE/edit?usp=sharing"",""บุรีรัมย์!J570"")"),38607)</f>
        <v>38607</v>
      </c>
      <c r="AM38" s="140">
        <f ca="1">IFERROR(__xludf.DUMMYFUNCTION("IMPORTRANGE(""https://docs.google.com/spreadsheets/d/1B3lPpzOuaNwVItLwLEZYl_qEblfcx7dRnbRkAw0l-pE/edit?usp=sharing"",""บุรีรัมย์!J571"")"),4489)</f>
        <v>4489</v>
      </c>
      <c r="AN38" s="63">
        <f ca="1">IFERROR(__xludf.DUMMYFUNCTION("IMPORTRANGE(""https://docs.google.com/spreadsheets/d/1B3lPpzOuaNwVItLwLEZYl_qEblfcx7dRnbRkAw0l-pE/edit?usp=sharing"",""บุรีรัมย์!J572"")"),12576)</f>
        <v>12576</v>
      </c>
      <c r="AO38" s="140">
        <f ca="1">IFERROR(__xludf.DUMMYFUNCTION("IMPORTRANGE(""https://docs.google.com/spreadsheets/d/1B3lPpzOuaNwVItLwLEZYl_qEblfcx7dRnbRkAw0l-pE/edit?usp=sharing"",""บุรีรัมย์!J573"")"),1119)</f>
        <v>1119</v>
      </c>
      <c r="AP38" s="63">
        <f ca="1">IFERROR(__xludf.DUMMYFUNCTION("IMPORTRANGE(""https://docs.google.com/spreadsheets/d/1B3lPpzOuaNwVItLwLEZYl_qEblfcx7dRnbRkAw0l-pE/edit?usp=sharing"",""บุรีรัมย์!J574"")"),1106)</f>
        <v>1106</v>
      </c>
      <c r="AQ38" s="140">
        <f ca="1">IFERROR(__xludf.DUMMYFUNCTION("IMPORTRANGE(""https://docs.google.com/spreadsheets/d/1B3lPpzOuaNwVItLwLEZYl_qEblfcx7dRnbRkAw0l-pE/edit?usp=sharing"",""บุรีรัมย์!J575"")"),126)</f>
        <v>126</v>
      </c>
      <c r="AR38" s="57">
        <f ca="1">IFERROR(__xludf.DUMMYFUNCTION("IMPORTRANGE(""https://docs.google.com/spreadsheets/d/1B3lPpzOuaNwVItLwLEZYl_qEblfcx7dRnbRkAw0l-pE/edit?usp=sharing"",""บุรีรัมย์!I576"")"),52289)</f>
        <v>52289</v>
      </c>
      <c r="AS38" s="57">
        <f ca="1">IFERROR(__xludf.DUMMYFUNCTION("IMPORTRANGE(""https://docs.google.com/spreadsheets/d/1B3lPpzOuaNwVItLwLEZYl_qEblfcx7dRnbRkAw0l-pE/edit?usp=sharing"",""บุรีรัมย์!I577"")"),5734)</f>
        <v>5734</v>
      </c>
      <c r="AT38" s="63">
        <f ca="1">IFERROR(__xludf.DUMMYFUNCTION("IMPORTRANGE(""https://docs.google.com/spreadsheets/d/1B3lPpzOuaNwVItLwLEZYl_qEblfcx7dRnbRkAw0l-pE/edit?usp=sharing"",""บุรีรัมย์!J576"")"),0)</f>
        <v>0</v>
      </c>
      <c r="AU38" s="63">
        <f t="shared" ca="1" si="39"/>
        <v>0</v>
      </c>
      <c r="AV38" s="57">
        <f ca="1">IFERROR(__xludf.DUMMYFUNCTION("IMPORTRANGE(""https://docs.google.com/spreadsheets/d/1B3lPpzOuaNwVItLwLEZYl_qEblfcx7dRnbRkAw0l-pE/edit?usp=sharing"",""บุรีรัมย์!J577"")"),0)</f>
        <v>0</v>
      </c>
      <c r="AW38" s="63">
        <f t="shared" ca="1" si="13"/>
        <v>0</v>
      </c>
      <c r="AX38" s="63">
        <f ca="1">IFERROR(__xludf.DUMMYFUNCTION("IMPORTRANGE(""https://docs.google.com/spreadsheets/d/1B3lPpzOuaNwVItLwLEZYl_qEblfcx7dRnbRkAw0l-pE/edit?usp=sharing"",""บุรีรัมย์!J578"")"),0)</f>
        <v>0</v>
      </c>
      <c r="AY38" s="140">
        <f ca="1">IFERROR(__xludf.DUMMYFUNCTION("IMPORTRANGE(""https://docs.google.com/spreadsheets/d/1B3lPpzOuaNwVItLwLEZYl_qEblfcx7dRnbRkAw0l-pE/edit?usp=sharing"",""บุรีรัมย์!J579"")"),0)</f>
        <v>0</v>
      </c>
      <c r="AZ38" s="63">
        <f ca="1">IFERROR(__xludf.DUMMYFUNCTION("IMPORTRANGE(""https://docs.google.com/spreadsheets/d/1B3lPpzOuaNwVItLwLEZYl_qEblfcx7dRnbRkAw0l-pE/edit?usp=sharing"",""บุรีรัมย์!J580"")"),0)</f>
        <v>0</v>
      </c>
      <c r="BA38" s="140">
        <f ca="1">IFERROR(__xludf.DUMMYFUNCTION("IMPORTRANGE(""https://docs.google.com/spreadsheets/d/1B3lPpzOuaNwVItLwLEZYl_qEblfcx7dRnbRkAw0l-pE/edit?usp=sharing"",""บุรีรัมย์!J581"")"),0)</f>
        <v>0</v>
      </c>
      <c r="BB38" s="63">
        <f ca="1">IFERROR(__xludf.DUMMYFUNCTION("IMPORTRANGE(""https://docs.google.com/spreadsheets/d/1B3lPpzOuaNwVItLwLEZYl_qEblfcx7dRnbRkAw0l-pE/edit?usp=sharing"",""บุรีรัมย์!J582"")"),0)</f>
        <v>0</v>
      </c>
      <c r="BC38" s="140">
        <f ca="1">IFERROR(__xludf.DUMMYFUNCTION("IMPORTRANGE(""https://docs.google.com/spreadsheets/d/1B3lPpzOuaNwVItLwLEZYl_qEblfcx7dRnbRkAw0l-pE/edit?usp=sharing"",""บุรีรัมย์!J583"")"),0)</f>
        <v>0</v>
      </c>
      <c r="BD38" s="141">
        <f ca="1">IFERROR(__xludf.DUMMYFUNCTION("IMPORTRANGE(""https://docs.google.com/spreadsheets/d/1B3lPpzOuaNwVItLwLEZYl_qEblfcx7dRnbRkAw0l-pE/edit?usp=sharing"",""บุรีรัมย์!J584"")"),0)</f>
        <v>0</v>
      </c>
      <c r="BE38" s="140">
        <f ca="1">IFERROR(__xludf.DUMMYFUNCTION("IMPORTRANGE(""https://docs.google.com/spreadsheets/d/1B3lPpzOuaNwVItLwLEZYl_qEblfcx7dRnbRkAw0l-pE/edit?usp=sharing"",""บุรีรัมย์!J585"")"),0)</f>
        <v>0</v>
      </c>
      <c r="BF38" s="141">
        <f ca="1">IFERROR(__xludf.DUMMYFUNCTION("IMPORTRANGE(""https://docs.google.com/spreadsheets/d/1B3lPpzOuaNwVItLwLEZYl_qEblfcx7dRnbRkAw0l-pE/edit?usp=sharing"",""บุรีรัมย์!J586"")"),0)</f>
        <v>0</v>
      </c>
      <c r="BG38" s="140">
        <f ca="1">IFERROR(__xludf.DUMMYFUNCTION("IMPORTRANGE(""https://docs.google.com/spreadsheets/d/1B3lPpzOuaNwVItLwLEZYl_qEblfcx7dRnbRkAw0l-pE/edit?usp=sharing"",""บุรีรัมย์!J587"")"),0)</f>
        <v>0</v>
      </c>
      <c r="BH38" s="63">
        <f ca="1">IFERROR(__xludf.DUMMYFUNCTION("IMPORTRANGE(""https://docs.google.com/spreadsheets/d/1B3lPpzOuaNwVItLwLEZYl_qEblfcx7dRnbRkAw0l-pE/edit?usp=sharing"",""บุรีรัมย์!J588"")"),0)</f>
        <v>0</v>
      </c>
      <c r="BI38" s="140">
        <f ca="1">IFERROR(__xludf.DUMMYFUNCTION("IMPORTRANGE(""https://docs.google.com/spreadsheets/d/1B3lPpzOuaNwVItLwLEZYl_qEblfcx7dRnbRkAw0l-pE/edit?usp=sharing"",""บุรีรัมย์!J589"")"),0)</f>
        <v>0</v>
      </c>
      <c r="BJ38" s="63">
        <f ca="1">IFERROR(__xludf.DUMMYFUNCTION("IMPORTRANGE(""https://docs.google.com/spreadsheets/d/1B3lPpzOuaNwVItLwLEZYl_qEblfcx7dRnbRkAw0l-pE/edit?usp=sharing"",""บุรีรัมย์!J590"")"),0)</f>
        <v>0</v>
      </c>
      <c r="BK38" s="140">
        <f ca="1">IFERROR(__xludf.DUMMYFUNCTION("IMPORTRANGE(""https://docs.google.com/spreadsheets/d/1B3lPpzOuaNwVItLwLEZYl_qEblfcx7dRnbRkAw0l-pE/edit?usp=sharing"",""บุรีรัมย์!J591"")"),0)</f>
        <v>0</v>
      </c>
      <c r="BL38" s="57">
        <f ca="1">IFERROR(__xludf.DUMMYFUNCTION("IMPORTRANGE(""https://docs.google.com/spreadsheets/d/1B3lPpzOuaNwVItLwLEZYl_qEblfcx7dRnbRkAw0l-pE/edit?usp=sharing"",""บุรีรัมย์!I593"")"),7857.35)</f>
        <v>7857.35</v>
      </c>
      <c r="BM38" s="57">
        <f ca="1">IFERROR(__xludf.DUMMYFUNCTION("IMPORTRANGE(""https://docs.google.com/spreadsheets/d/1B3lPpzOuaNwVItLwLEZYl_qEblfcx7dRnbRkAw0l-pE/edit?usp=sharing"",""บุรีรัมย์!I594"")"),657)</f>
        <v>657</v>
      </c>
      <c r="BN38" s="63">
        <f ca="1">IFERROR(__xludf.DUMMYFUNCTION("IMPORTRANGE(""https://docs.google.com/spreadsheets/d/1B3lPpzOuaNwVItLwLEZYl_qEblfcx7dRnbRkAw0l-pE/edit?usp=sharing"",""บุรีรัมย์!J593"")"),671)</f>
        <v>671</v>
      </c>
      <c r="BO38" s="63">
        <f t="shared" ca="1" si="40"/>
        <v>8.53977486048095</v>
      </c>
      <c r="BP38" s="57">
        <f ca="1">IFERROR(__xludf.DUMMYFUNCTION("IMPORTRANGE(""https://docs.google.com/spreadsheets/d/1B3lPpzOuaNwVItLwLEZYl_qEblfcx7dRnbRkAw0l-pE/edit?usp=sharing"",""บุรีรัมย์!J594"")"),65)</f>
        <v>65</v>
      </c>
      <c r="BQ38" s="63">
        <f t="shared" ca="1" si="16"/>
        <v>9.8934550989345507</v>
      </c>
      <c r="BR38" s="63">
        <f ca="1">IFERROR(__xludf.DUMMYFUNCTION("IMPORTRANGE(""https://docs.google.com/spreadsheets/d/1B3lPpzOuaNwVItLwLEZYl_qEblfcx7dRnbRkAw0l-pE/edit?usp=sharing"",""บุรีรัมย์!J595"")"),639)</f>
        <v>639</v>
      </c>
      <c r="BS38" s="140">
        <f ca="1">IFERROR(__xludf.DUMMYFUNCTION("IMPORTRANGE(""https://docs.google.com/spreadsheets/d/1B3lPpzOuaNwVItLwLEZYl_qEblfcx7dRnbRkAw0l-pE/edit?usp=sharing"",""บุรีรัมย์!J596"")"),62)</f>
        <v>62</v>
      </c>
      <c r="BT38" s="63">
        <f ca="1">IFERROR(__xludf.DUMMYFUNCTION("IMPORTRANGE(""https://docs.google.com/spreadsheets/d/1B3lPpzOuaNwVItLwLEZYl_qEblfcx7dRnbRkAw0l-pE/edit?usp=sharing"",""บุรีรัมย์!J597"")"),611)</f>
        <v>611</v>
      </c>
      <c r="BU38" s="140">
        <f ca="1">IFERROR(__xludf.DUMMYFUNCTION("IMPORTRANGE(""https://docs.google.com/spreadsheets/d/1B3lPpzOuaNwVItLwLEZYl_qEblfcx7dRnbRkAw0l-pE/edit?usp=sharing"",""บุรีรัมย์!J598"")"),58)</f>
        <v>58</v>
      </c>
      <c r="BV38" s="63">
        <f ca="1">IFERROR(__xludf.DUMMYFUNCTION("IMPORTRANGE(""https://docs.google.com/spreadsheets/d/1B3lPpzOuaNwVItLwLEZYl_qEblfcx7dRnbRkAw0l-pE/edit?usp=sharing"",""บุรีรัมย์!J599"")"),28)</f>
        <v>28</v>
      </c>
      <c r="BW38" s="140">
        <f ca="1">IFERROR(__xludf.DUMMYFUNCTION("IMPORTRANGE(""https://docs.google.com/spreadsheets/d/1B3lPpzOuaNwVItLwLEZYl_qEblfcx7dRnbRkAw0l-pE/edit?usp=sharing"",""บุรีรัมย์!J600"")"),4)</f>
        <v>4</v>
      </c>
      <c r="BX38" s="141">
        <f ca="1">IFERROR(__xludf.DUMMYFUNCTION("IMPORTRANGE(""https://docs.google.com/spreadsheets/d/1B3lPpzOuaNwVItLwLEZYl_qEblfcx7dRnbRkAw0l-pE/edit?usp=sharing"",""บุรีรัมย์!J601"")"),0)</f>
        <v>0</v>
      </c>
      <c r="BY38" s="140">
        <f ca="1">IFERROR(__xludf.DUMMYFUNCTION("IMPORTRANGE(""https://docs.google.com/spreadsheets/d/1B3lPpzOuaNwVItLwLEZYl_qEblfcx7dRnbRkAw0l-pE/edit?usp=sharing"",""บุรีรัมย์!J602"")"),0)</f>
        <v>0</v>
      </c>
      <c r="BZ38" s="63">
        <f ca="1">IFERROR(__xludf.DUMMYFUNCTION("IMPORTRANGE(""https://docs.google.com/spreadsheets/d/1B3lPpzOuaNwVItLwLEZYl_qEblfcx7dRnbRkAw0l-pE/edit?usp=sharing"",""บุรีรัมย์!J603"")"),32)</f>
        <v>32</v>
      </c>
      <c r="CA38" s="140">
        <f ca="1">IFERROR(__xludf.DUMMYFUNCTION("IMPORTRANGE(""https://docs.google.com/spreadsheets/d/1B3lPpzOuaNwVItLwLEZYl_qEblfcx7dRnbRkAw0l-pE/edit?usp=sharing"",""บุรีรัมย์!J604"")"),3)</f>
        <v>3</v>
      </c>
      <c r="CB38" s="63">
        <f ca="1">IFERROR(__xludf.DUMMYFUNCTION("IMPORTRANGE(""https://docs.google.com/spreadsheets/d/1B3lPpzOuaNwVItLwLEZYl_qEblfcx7dRnbRkAw0l-pE/edit?usp=sharing"",""บุรีรัมย์!J605"")"),32)</f>
        <v>32</v>
      </c>
      <c r="CC38" s="140">
        <f ca="1">IFERROR(__xludf.DUMMYFUNCTION("IMPORTRANGE(""https://docs.google.com/spreadsheets/d/1B3lPpzOuaNwVItLwLEZYl_qEblfcx7dRnbRkAw0l-pE/edit?usp=sharing"",""บุรีรัมย์!J606"")"),3)</f>
        <v>3</v>
      </c>
      <c r="CD38" s="63">
        <f ca="1">IFERROR(__xludf.DUMMYFUNCTION("IMPORTRANGE(""https://docs.google.com/spreadsheets/d/1B3lPpzOuaNwVItLwLEZYl_qEblfcx7dRnbRkAw0l-pE/edit?usp=sharing"",""บุรีรัมย์!J607"")"),0)</f>
        <v>0</v>
      </c>
      <c r="CE38" s="140">
        <f ca="1">IFERROR(__xludf.DUMMYFUNCTION("IMPORTRANGE(""https://docs.google.com/spreadsheets/d/1B3lPpzOuaNwVItLwLEZYl_qEblfcx7dRnbRkAw0l-pE/edit?usp=sharing"",""บุรีรัมย์!J608"")"),0)</f>
        <v>0</v>
      </c>
      <c r="CF38" s="63">
        <f ca="1">IFERROR(__xludf.DUMMYFUNCTION("IMPORTRANGE(""https://docs.google.com/spreadsheets/d/1B3lPpzOuaNwVItLwLEZYl_qEblfcx7dRnbRkAw0l-pE/edit?usp=sharing"",""บุรีรัมย์!J609"")"),0)</f>
        <v>0</v>
      </c>
      <c r="CG38" s="140">
        <f ca="1">IFERROR(__xludf.DUMMYFUNCTION("IMPORTRANGE(""https://docs.google.com/spreadsheets/d/1B3lPpzOuaNwVItLwLEZYl_qEblfcx7dRnbRkAw0l-pE/edit?usp=sharing"",""บุรีรัมย์!J610"")"),0)</f>
        <v>0</v>
      </c>
      <c r="CH38" s="140">
        <f ca="1">IFERROR(__xludf.DUMMYFUNCTION("IMPORTRANGE(""https://docs.google.com/spreadsheets/d/1B3lPpzOuaNwVItLwLEZYl_qEblfcx7dRnbRkAw0l-pE/edit?usp=sharing"",""บุรีรัมย์!I612"")"),0)</f>
        <v>0</v>
      </c>
      <c r="CI38" s="140">
        <f ca="1">IFERROR(__xludf.DUMMYFUNCTION("IMPORTRANGE(""https://docs.google.com/spreadsheets/d/1B3lPpzOuaNwVItLwLEZYl_qEblfcx7dRnbRkAw0l-pE/edit?usp=sharing"",""บุรีรัมย์!I594"")"),657)</f>
        <v>657</v>
      </c>
      <c r="CJ38" s="141">
        <f ca="1">IFERROR(__xludf.DUMMYFUNCTION("IMPORTRANGE(""https://docs.google.com/spreadsheets/d/1B3lPpzOuaNwVItLwLEZYl_qEblfcx7dRnbRkAw0l-pE/edit?usp=sharing"",""บุรีรัมย์!J612"")"),0)</f>
        <v>0</v>
      </c>
      <c r="CK38" s="141">
        <f t="shared" ca="1" si="41"/>
        <v>0</v>
      </c>
      <c r="CL38" s="140">
        <f ca="1">IFERROR(__xludf.DUMMYFUNCTION("IMPORTRANGE(""https://docs.google.com/spreadsheets/d/1B3lPpzOuaNwVItLwLEZYl_qEblfcx7dRnbRkAw0l-pE/edit?usp=sharing"",""บุรีรัมย์!J613"")"),0)</f>
        <v>0</v>
      </c>
      <c r="CM38" s="141">
        <f t="shared" ca="1" si="19"/>
        <v>0</v>
      </c>
      <c r="CN38" s="63">
        <f ca="1">IFERROR(__xludf.DUMMYFUNCTION("IMPORTRANGE(""https://docs.google.com/spreadsheets/d/1B3lPpzOuaNwVItLwLEZYl_qEblfcx7dRnbRkAw0l-pE/edit?usp=sharing"",""บุรีรัมย์!J614"")"),0)</f>
        <v>0</v>
      </c>
      <c r="CO38" s="140">
        <f ca="1">IFERROR(__xludf.DUMMYFUNCTION("IMPORTRANGE(""https://docs.google.com/spreadsheets/d/1B3lPpzOuaNwVItLwLEZYl_qEblfcx7dRnbRkAw0l-pE/edit?usp=sharing"",""บุรีรัมย์!J615"")"),0)</f>
        <v>0</v>
      </c>
      <c r="CP38" s="63">
        <f ca="1">IFERROR(__xludf.DUMMYFUNCTION("IMPORTRANGE(""https://docs.google.com/spreadsheets/d/1B3lPpzOuaNwVItLwLEZYl_qEblfcx7dRnbRkAw0l-pE/edit?usp=sharing"",""บุรีรัมย์!J616"")"),0)</f>
        <v>0</v>
      </c>
      <c r="CQ38" s="140">
        <f ca="1">IFERROR(__xludf.DUMMYFUNCTION("IMPORTRANGE(""https://docs.google.com/spreadsheets/d/1B3lPpzOuaNwVItLwLEZYl_qEblfcx7dRnbRkAw0l-pE/edit?usp=sharing"",""บุรีรัมย์!J617"")"),0)</f>
        <v>0</v>
      </c>
      <c r="CR38" s="140">
        <f ca="1">IFERROR(__xludf.DUMMYFUNCTION("IMPORTRANGE(""https://docs.google.com/spreadsheets/d/1B3lPpzOuaNwVItLwLEZYl_qEblfcx7dRnbRkAw0l-pE/edit?usp=sharing"",""บุรีรัมย์!I620"")"),56)</f>
        <v>56</v>
      </c>
      <c r="CS38" s="140">
        <f ca="1">IFERROR(__xludf.DUMMYFUNCTION("IMPORTRANGE(""https://docs.google.com/spreadsheets/d/1B3lPpzOuaNwVItLwLEZYl_qEblfcx7dRnbRkAw0l-pE/edit?usp=sharing"",""บุรีรัมย์!I621"")"),4)</f>
        <v>4</v>
      </c>
      <c r="CT38" s="141">
        <f ca="1">IFERROR(__xludf.DUMMYFUNCTION("IMPORTRANGE(""https://docs.google.com/spreadsheets/d/1B3lPpzOuaNwVItLwLEZYl_qEblfcx7dRnbRkAw0l-pE/edit?usp=sharing"",""บุรีรัมย์!J620"")"),56)</f>
        <v>56</v>
      </c>
      <c r="CU38" s="141">
        <f t="shared" ca="1" si="42"/>
        <v>100</v>
      </c>
      <c r="CV38" s="140">
        <f ca="1">IFERROR(__xludf.DUMMYFUNCTION("IMPORTRANGE(""https://docs.google.com/spreadsheets/d/1B3lPpzOuaNwVItLwLEZYl_qEblfcx7dRnbRkAw0l-pE/edit?usp=sharing"",""บุรีรัมย์!J621"")"),4)</f>
        <v>4</v>
      </c>
      <c r="CW38" s="141">
        <f t="shared" ca="1" si="22"/>
        <v>100</v>
      </c>
      <c r="CX38" s="63">
        <f ca="1">IFERROR(__xludf.DUMMYFUNCTION("IMPORTRANGE(""https://docs.google.com/spreadsheets/d/1B3lPpzOuaNwVItLwLEZYl_qEblfcx7dRnbRkAw0l-pE/edit?usp=sharing"",""บุรีรัมย์!J622"")"),56)</f>
        <v>56</v>
      </c>
      <c r="CY38" s="140">
        <f ca="1">IFERROR(__xludf.DUMMYFUNCTION("IMPORTRANGE(""https://docs.google.com/spreadsheets/d/1B3lPpzOuaNwVItLwLEZYl_qEblfcx7dRnbRkAw0l-pE/edit?usp=sharing"",""บุรีรัมย์!J623"")"),4)</f>
        <v>4</v>
      </c>
      <c r="CZ38" s="63">
        <f ca="1">IFERROR(__xludf.DUMMYFUNCTION("IMPORTRANGE(""https://docs.google.com/spreadsheets/d/1B3lPpzOuaNwVItLwLEZYl_qEblfcx7dRnbRkAw0l-pE/edit?usp=sharing"",""บุรีรัมย์!J624"")"),0)</f>
        <v>0</v>
      </c>
      <c r="DA38" s="140">
        <f ca="1">IFERROR(__xludf.DUMMYFUNCTION("IMPORTRANGE(""https://docs.google.com/spreadsheets/d/1B3lPpzOuaNwVItLwLEZYl_qEblfcx7dRnbRkAw0l-pE/edit?usp=sharing"",""บุรีรัมย์!J625"")"),0)</f>
        <v>0</v>
      </c>
      <c r="DB38" s="63">
        <f ca="1">IFERROR(__xludf.DUMMYFUNCTION("IMPORTRANGE(""https://docs.google.com/spreadsheets/d/1B3lPpzOuaNwVItLwLEZYl_qEblfcx7dRnbRkAw0l-pE/edit?usp=sharing"",""บุรีรัมย์!J626"")"),0)</f>
        <v>0</v>
      </c>
      <c r="DC38" s="140">
        <f ca="1">IFERROR(__xludf.DUMMYFUNCTION("IMPORTRANGE(""https://docs.google.com/spreadsheets/d/1B3lPpzOuaNwVItLwLEZYl_qEblfcx7dRnbRkAw0l-pE/edit?usp=sharing"",""บุรีรัมย์!J627"")"),0)</f>
        <v>0</v>
      </c>
    </row>
    <row r="39" spans="1:107" ht="21" customHeight="1" x14ac:dyDescent="0.3">
      <c r="A39" s="54">
        <v>8</v>
      </c>
      <c r="B39" s="55" t="s">
        <v>60</v>
      </c>
      <c r="C39" s="56">
        <f t="shared" ca="1" si="66"/>
        <v>372469</v>
      </c>
      <c r="D39" s="57">
        <f ca="1">IFERROR(__xludf.DUMMYFUNCTION("IMPORTRANGE(""https://docs.google.com/spreadsheets/d/19GOkiOqnzYbevLYWrMk4qFOXe3rX14BkSA8X-mq-a40/edit?usp=sharing"",""มหาสารคาม!L549"")"),372469)</f>
        <v>372469</v>
      </c>
      <c r="E39" s="64">
        <f ca="1">IFERROR(__xludf.DUMMYFUNCTION("IMPORTRANGE(""https://docs.google.com/spreadsheets/d/19GOkiOqnzYbevLYWrMk4qFOXe3rX14BkSA8X-mq-a40/edit?usp=sharing"",""มหาสารคาม!L557"")"),0)</f>
        <v>0</v>
      </c>
      <c r="F39" s="64">
        <f ca="1">IFERROR(__xludf.DUMMYFUNCTION("IMPORTRANGE(""https://docs.google.com/spreadsheets/d/19GOkiOqnzYbevLYWrMk4qFOXe3rX14BkSA8X-mq-a40/edit?usp=sharing"",""มหาสารคาม!M549"")"),372469)</f>
        <v>372469</v>
      </c>
      <c r="G39" s="64">
        <f ca="1">IFERROR(__xludf.DUMMYFUNCTION("IMPORTRANGE(""https://docs.google.com/spreadsheets/d/19GOkiOqnzYbevLYWrMk4qFOXe3rX14BkSA8X-mq-a40/edit?usp=sharing"",""มหาสารคาม!M557"")"),0)</f>
        <v>0</v>
      </c>
      <c r="H39" s="58">
        <f t="shared" ca="1" si="36"/>
        <v>215507.4</v>
      </c>
      <c r="I39" s="59">
        <f t="shared" ca="1" si="1"/>
        <v>57.859150694420208</v>
      </c>
      <c r="J39" s="60">
        <f t="shared" ca="1" si="67"/>
        <v>215507.4</v>
      </c>
      <c r="K39" s="61">
        <f t="shared" ca="1" si="44"/>
        <v>57.859150694420208</v>
      </c>
      <c r="L39" s="61">
        <f t="shared" ca="1" si="45"/>
        <v>57.859150694420208</v>
      </c>
      <c r="M39" s="64">
        <f ca="1">IFERROR(__xludf.DUMMYFUNCTION("IMPORTRANGE(""https://docs.google.com/spreadsheets/d/19GOkiOqnzYbevLYWrMk4qFOXe3rX14BkSA8X-mq-a40/edit?usp=sharing"",""มหาสารคาม!N550"")"),0)</f>
        <v>0</v>
      </c>
      <c r="N39" s="64">
        <f ca="1">IFERROR(__xludf.DUMMYFUNCTION("IMPORTRANGE(""https://docs.google.com/spreadsheets/d/19GOkiOqnzYbevLYWrMk4qFOXe3rX14BkSA8X-mq-a40/edit?usp=sharing"",""มหาสารคาม!N551"")"),0)</f>
        <v>0</v>
      </c>
      <c r="O39" s="64">
        <f ca="1">IFERROR(__xludf.DUMMYFUNCTION("IMPORTRANGE(""https://docs.google.com/spreadsheets/d/19GOkiOqnzYbevLYWrMk4qFOXe3rX14BkSA8X-mq-a40/edit?usp=sharing"",""มหาสารคาม!N552"")"),65000)</f>
        <v>65000</v>
      </c>
      <c r="P39" s="64">
        <f ca="1">IFERROR(__xludf.DUMMYFUNCTION("IMPORTRANGE(""https://docs.google.com/spreadsheets/d/19GOkiOqnzYbevLYWrMk4qFOXe3rX14BkSA8X-mq-a40/edit?usp=sharing"",""มหาสารคาม!N553"")"),150507.4)</f>
        <v>150507.4</v>
      </c>
      <c r="Q39" s="64">
        <f ca="1">IFERROR(__xludf.DUMMYFUNCTION("IMPORTRANGE(""https://docs.google.com/spreadsheets/d/19GOkiOqnzYbevLYWrMk4qFOXe3rX14BkSA8X-mq-a40/edit?usp=sharing"",""มหาสารคาม!N554"")"),0)</f>
        <v>0</v>
      </c>
      <c r="R39" s="62">
        <f ca="1">IFERROR(__xludf.DUMMYFUNCTION("IMPORTRANGE(""https://docs.google.com/spreadsheets/d/19GOkiOqnzYbevLYWrMk4qFOXe3rX14BkSA8X-mq-a40/edit?usp=sharing"",""มหาสารคาม!N557"")"),0)</f>
        <v>0</v>
      </c>
      <c r="S39" s="62">
        <f t="shared" ca="1" si="47"/>
        <v>0</v>
      </c>
      <c r="T39" s="57">
        <f ca="1">IFERROR(__xludf.DUMMYFUNCTION("IMPORTRANGE(""https://docs.google.com/spreadsheets/d/19GOkiOqnzYbevLYWrMk4qFOXe3rX14BkSA8X-mq-a40/edit?usp=sharing"",""มหาสารคาม!I560"")"),36261)</f>
        <v>36261</v>
      </c>
      <c r="U39" s="57">
        <f ca="1">IFERROR(__xludf.DUMMYFUNCTION("IMPORTRANGE(""https://docs.google.com/spreadsheets/d/19GOkiOqnzYbevLYWrMk4qFOXe3rX14BkSA8X-mq-a40/edit?usp=sharing"",""มหาสารคาม!I561"")"),3669)</f>
        <v>3669</v>
      </c>
      <c r="V39" s="63">
        <f ca="1">IFERROR(__xludf.DUMMYFUNCTION("IMPORTRANGE(""https://docs.google.com/spreadsheets/d/19GOkiOqnzYbevLYWrMk4qFOXe3rX14BkSA8X-mq-a40/edit?usp=sharing"",""มหาสารคาม!J560"")"),36261)</f>
        <v>36261</v>
      </c>
      <c r="W39" s="63">
        <f t="shared" ca="1" si="37"/>
        <v>100</v>
      </c>
      <c r="X39" s="57">
        <f ca="1">IFERROR(__xludf.DUMMYFUNCTION("IMPORTRANGE(""https://docs.google.com/spreadsheets/d/19GOkiOqnzYbevLYWrMk4qFOXe3rX14BkSA8X-mq-a40/edit?usp=sharing"",""มหาสารคาม!J561"")"),3669)</f>
        <v>3669</v>
      </c>
      <c r="Y39" s="63">
        <f t="shared" ca="1" si="7"/>
        <v>100</v>
      </c>
      <c r="Z39" s="63">
        <f ca="1">IFERROR(__xludf.DUMMYFUNCTION("IMPORTRANGE(""https://docs.google.com/spreadsheets/d/19GOkiOqnzYbevLYWrMk4qFOXe3rX14BkSA8X-mq-a40/edit?usp=sharing"",""มหาสารคาม!J562"")"),26600)</f>
        <v>26600</v>
      </c>
      <c r="AA39" s="140">
        <f ca="1">IFERROR(__xludf.DUMMYFUNCTION("IMPORTRANGE(""https://docs.google.com/spreadsheets/d/19GOkiOqnzYbevLYWrMk4qFOXe3rX14BkSA8X-mq-a40/edit?usp=sharing"",""มหาสารคาม!J563"")"),2755)</f>
        <v>2755</v>
      </c>
      <c r="AB39" s="63">
        <f ca="1">IFERROR(__xludf.DUMMYFUNCTION("IMPORTRANGE(""https://docs.google.com/spreadsheets/d/19GOkiOqnzYbevLYWrMk4qFOXe3rX14BkSA8X-mq-a40/edit?usp=sharing"",""มหาสารคาม!J564"")"),8322)</f>
        <v>8322</v>
      </c>
      <c r="AC39" s="140">
        <f ca="1">IFERROR(__xludf.DUMMYFUNCTION("IMPORTRANGE(""https://docs.google.com/spreadsheets/d/19GOkiOqnzYbevLYWrMk4qFOXe3rX14BkSA8X-mq-a40/edit?usp=sharing"",""มหาสารคาม!J565"")"),796)</f>
        <v>796</v>
      </c>
      <c r="AD39" s="63">
        <f ca="1">IFERROR(__xludf.DUMMYFUNCTION("IMPORTRANGE(""https://docs.google.com/spreadsheets/d/19GOkiOqnzYbevLYWrMk4qFOXe3rX14BkSA8X-mq-a40/edit?usp=sharing"",""มหาสารคาม!J566"")"),1339)</f>
        <v>1339</v>
      </c>
      <c r="AE39" s="140">
        <f ca="1">IFERROR(__xludf.DUMMYFUNCTION("IMPORTRANGE(""https://docs.google.com/spreadsheets/d/19GOkiOqnzYbevLYWrMk4qFOXe3rX14BkSA8X-mq-a40/edit?usp=sharing"",""มหาสารคาม!J567"")"),118)</f>
        <v>118</v>
      </c>
      <c r="AF39" s="57">
        <f ca="1">IFERROR(__xludf.DUMMYFUNCTION("IMPORTRANGE(""https://docs.google.com/spreadsheets/d/19GOkiOqnzYbevLYWrMk4qFOXe3rX14BkSA8X-mq-a40/edit?usp=sharing"",""มหาสารคาม!I568"")"),36261)</f>
        <v>36261</v>
      </c>
      <c r="AG39" s="57">
        <f ca="1">IFERROR(__xludf.DUMMYFUNCTION("IMPORTRANGE(""https://docs.google.com/spreadsheets/d/19GOkiOqnzYbevLYWrMk4qFOXe3rX14BkSA8X-mq-a40/edit?usp=sharing"",""มหาสารคาม!I569"")"),3669)</f>
        <v>3669</v>
      </c>
      <c r="AH39" s="63">
        <f ca="1">IFERROR(__xludf.DUMMYFUNCTION("IMPORTRANGE(""https://docs.google.com/spreadsheets/d/19GOkiOqnzYbevLYWrMk4qFOXe3rX14BkSA8X-mq-a40/edit?usp=sharing"",""มหาสารคาม!J568"")"),36261)</f>
        <v>36261</v>
      </c>
      <c r="AI39" s="63">
        <f t="shared" ca="1" si="38"/>
        <v>100</v>
      </c>
      <c r="AJ39" s="57">
        <f ca="1">IFERROR(__xludf.DUMMYFUNCTION("IMPORTRANGE(""https://docs.google.com/spreadsheets/d/19GOkiOqnzYbevLYWrMk4qFOXe3rX14BkSA8X-mq-a40/edit?usp=sharing"",""มหาสารคาม!J569"")"),3669)</f>
        <v>3669</v>
      </c>
      <c r="AK39" s="63">
        <f t="shared" ca="1" si="10"/>
        <v>100</v>
      </c>
      <c r="AL39" s="63">
        <f ca="1">IFERROR(__xludf.DUMMYFUNCTION("IMPORTRANGE(""https://docs.google.com/spreadsheets/d/19GOkiOqnzYbevLYWrMk4qFOXe3rX14BkSA8X-mq-a40/edit?usp=sharing"",""มหาสารคาม!J570"")"),30867)</f>
        <v>30867</v>
      </c>
      <c r="AM39" s="140">
        <f ca="1">IFERROR(__xludf.DUMMYFUNCTION("IMPORTRANGE(""https://docs.google.com/spreadsheets/d/19GOkiOqnzYbevLYWrMk4qFOXe3rX14BkSA8X-mq-a40/edit?usp=sharing"",""มหาสารคาม!J571"")"),3190)</f>
        <v>3190</v>
      </c>
      <c r="AN39" s="63">
        <f ca="1">IFERROR(__xludf.DUMMYFUNCTION("IMPORTRANGE(""https://docs.google.com/spreadsheets/d/19GOkiOqnzYbevLYWrMk4qFOXe3rX14BkSA8X-mq-a40/edit?usp=sharing"",""มหาสารคาม!J572"")"),3859)</f>
        <v>3859</v>
      </c>
      <c r="AO39" s="140">
        <f ca="1">IFERROR(__xludf.DUMMYFUNCTION("IMPORTRANGE(""https://docs.google.com/spreadsheets/d/19GOkiOqnzYbevLYWrMk4qFOXe3rX14BkSA8X-mq-a40/edit?usp=sharing"",""มหาสารคาม!J573"")"),342)</f>
        <v>342</v>
      </c>
      <c r="AP39" s="63">
        <f ca="1">IFERROR(__xludf.DUMMYFUNCTION("IMPORTRANGE(""https://docs.google.com/spreadsheets/d/19GOkiOqnzYbevLYWrMk4qFOXe3rX14BkSA8X-mq-a40/edit?usp=sharing"",""มหาสารคาม!J574"")"),1535)</f>
        <v>1535</v>
      </c>
      <c r="AQ39" s="140">
        <f ca="1">IFERROR(__xludf.DUMMYFUNCTION("IMPORTRANGE(""https://docs.google.com/spreadsheets/d/19GOkiOqnzYbevLYWrMk4qFOXe3rX14BkSA8X-mq-a40/edit?usp=sharing"",""มหาสารคาม!J575"")"),137)</f>
        <v>137</v>
      </c>
      <c r="AR39" s="57">
        <f ca="1">IFERROR(__xludf.DUMMYFUNCTION("IMPORTRANGE(""https://docs.google.com/spreadsheets/d/19GOkiOqnzYbevLYWrMk4qFOXe3rX14BkSA8X-mq-a40/edit?usp=sharing"",""มหาสารคาม!I576"")"),36261)</f>
        <v>36261</v>
      </c>
      <c r="AS39" s="57">
        <f ca="1">IFERROR(__xludf.DUMMYFUNCTION("IMPORTRANGE(""https://docs.google.com/spreadsheets/d/19GOkiOqnzYbevLYWrMk4qFOXe3rX14BkSA8X-mq-a40/edit?usp=sharing"",""มหาสารคาม!I577"")"),3669)</f>
        <v>3669</v>
      </c>
      <c r="AT39" s="63">
        <f ca="1">IFERROR(__xludf.DUMMYFUNCTION("IMPORTRANGE(""https://docs.google.com/spreadsheets/d/19GOkiOqnzYbevLYWrMk4qFOXe3rX14BkSA8X-mq-a40/edit?usp=sharing"",""มหาสารคาม!J576"")"),36260.94)</f>
        <v>36260.94</v>
      </c>
      <c r="AU39" s="63">
        <f t="shared" ca="1" si="39"/>
        <v>99.999834532969302</v>
      </c>
      <c r="AV39" s="57">
        <f ca="1">IFERROR(__xludf.DUMMYFUNCTION("IMPORTRANGE(""https://docs.google.com/spreadsheets/d/19GOkiOqnzYbevLYWrMk4qFOXe3rX14BkSA8X-mq-a40/edit?usp=sharing"",""มหาสารคาม!J577"")"),3669)</f>
        <v>3669</v>
      </c>
      <c r="AW39" s="63">
        <f t="shared" ca="1" si="13"/>
        <v>100</v>
      </c>
      <c r="AX39" s="63">
        <f ca="1">IFERROR(__xludf.DUMMYFUNCTION("IMPORTRANGE(""https://docs.google.com/spreadsheets/d/19GOkiOqnzYbevLYWrMk4qFOXe3rX14BkSA8X-mq-a40/edit?usp=sharing"",""มหาสารคาม!J578"")"),30867)</f>
        <v>30867</v>
      </c>
      <c r="AY39" s="140">
        <f ca="1">IFERROR(__xludf.DUMMYFUNCTION("IMPORTRANGE(""https://docs.google.com/spreadsheets/d/19GOkiOqnzYbevLYWrMk4qFOXe3rX14BkSA8X-mq-a40/edit?usp=sharing"",""มหาสารคาม!J579"")"),3190)</f>
        <v>3190</v>
      </c>
      <c r="AZ39" s="63">
        <f ca="1">IFERROR(__xludf.DUMMYFUNCTION("IMPORTRANGE(""https://docs.google.com/spreadsheets/d/19GOkiOqnzYbevLYWrMk4qFOXe3rX14BkSA8X-mq-a40/edit?usp=sharing"",""มหาสารคาม!J580"")"),3859)</f>
        <v>3859</v>
      </c>
      <c r="BA39" s="140">
        <f ca="1">IFERROR(__xludf.DUMMYFUNCTION("IMPORTRANGE(""https://docs.google.com/spreadsheets/d/19GOkiOqnzYbevLYWrMk4qFOXe3rX14BkSA8X-mq-a40/edit?usp=sharing"",""มหาสารคาม!J581"")"),342)</f>
        <v>342</v>
      </c>
      <c r="BB39" s="63">
        <f ca="1">IFERROR(__xludf.DUMMYFUNCTION("IMPORTRANGE(""https://docs.google.com/spreadsheets/d/19GOkiOqnzYbevLYWrMk4qFOXe3rX14BkSA8X-mq-a40/edit?usp=sharing"",""มหาสารคาม!J582"")"),1534.94)</f>
        <v>1534.94</v>
      </c>
      <c r="BC39" s="140">
        <f ca="1">IFERROR(__xludf.DUMMYFUNCTION("IMPORTRANGE(""https://docs.google.com/spreadsheets/d/19GOkiOqnzYbevLYWrMk4qFOXe3rX14BkSA8X-mq-a40/edit?usp=sharing"",""มหาสารคาม!J583"")"),137)</f>
        <v>137</v>
      </c>
      <c r="BD39" s="141">
        <f ca="1">IFERROR(__xludf.DUMMYFUNCTION("IMPORTRANGE(""https://docs.google.com/spreadsheets/d/19GOkiOqnzYbevLYWrMk4qFOXe3rX14BkSA8X-mq-a40/edit?usp=sharing"",""มหาสารคาม!J584"")"),1515.15)</f>
        <v>1515.15</v>
      </c>
      <c r="BE39" s="140">
        <f ca="1">IFERROR(__xludf.DUMMYFUNCTION("IMPORTRANGE(""https://docs.google.com/spreadsheets/d/19GOkiOqnzYbevLYWrMk4qFOXe3rX14BkSA8X-mq-a40/edit?usp=sharing"",""มหาสารคาม!J585"")"),135)</f>
        <v>135</v>
      </c>
      <c r="BF39" s="141">
        <f ca="1">IFERROR(__xludf.DUMMYFUNCTION("IMPORTRANGE(""https://docs.google.com/spreadsheets/d/19GOkiOqnzYbevLYWrMk4qFOXe3rX14BkSA8X-mq-a40/edit?usp=sharing"",""มหาสารคาม!J586"")"),19.79)</f>
        <v>19.79</v>
      </c>
      <c r="BG39" s="140">
        <f ca="1">IFERROR(__xludf.DUMMYFUNCTION("IMPORTRANGE(""https://docs.google.com/spreadsheets/d/19GOkiOqnzYbevLYWrMk4qFOXe3rX14BkSA8X-mq-a40/edit?usp=sharing"",""มหาสารคาม!J587"")"),2)</f>
        <v>2</v>
      </c>
      <c r="BH39" s="63">
        <f ca="1">IFERROR(__xludf.DUMMYFUNCTION("IMPORTRANGE(""https://docs.google.com/spreadsheets/d/19GOkiOqnzYbevLYWrMk4qFOXe3rX14BkSA8X-mq-a40/edit?usp=sharing"",""มหาสารคาม!J588"")"),0)</f>
        <v>0</v>
      </c>
      <c r="BI39" s="140">
        <f ca="1">IFERROR(__xludf.DUMMYFUNCTION("IMPORTRANGE(""https://docs.google.com/spreadsheets/d/19GOkiOqnzYbevLYWrMk4qFOXe3rX14BkSA8X-mq-a40/edit?usp=sharing"",""มหาสารคาม!J589"")"),0)</f>
        <v>0</v>
      </c>
      <c r="BJ39" s="63">
        <f ca="1">IFERROR(__xludf.DUMMYFUNCTION("IMPORTRANGE(""https://docs.google.com/spreadsheets/d/19GOkiOqnzYbevLYWrMk4qFOXe3rX14BkSA8X-mq-a40/edit?usp=sharing"",""มหาสารคาม!J590"")"),0)</f>
        <v>0</v>
      </c>
      <c r="BK39" s="140">
        <f ca="1">IFERROR(__xludf.DUMMYFUNCTION("IMPORTRANGE(""https://docs.google.com/spreadsheets/d/19GOkiOqnzYbevLYWrMk4qFOXe3rX14BkSA8X-mq-a40/edit?usp=sharing"",""มหาสารคาม!J591"")"),0)</f>
        <v>0</v>
      </c>
      <c r="BL39" s="57">
        <f ca="1">IFERROR(__xludf.DUMMYFUNCTION("IMPORTRANGE(""https://docs.google.com/spreadsheets/d/19GOkiOqnzYbevLYWrMk4qFOXe3rX14BkSA8X-mq-a40/edit?usp=sharing"",""มหาสารคาม!I593"")"),598.48)</f>
        <v>598.48</v>
      </c>
      <c r="BM39" s="57">
        <f ca="1">IFERROR(__xludf.DUMMYFUNCTION("IMPORTRANGE(""https://docs.google.com/spreadsheets/d/19GOkiOqnzYbevLYWrMk4qFOXe3rX14BkSA8X-mq-a40/edit?usp=sharing"",""มหาสารคาม!I594"")"),75)</f>
        <v>75</v>
      </c>
      <c r="BN39" s="63">
        <f ca="1">IFERROR(__xludf.DUMMYFUNCTION("IMPORTRANGE(""https://docs.google.com/spreadsheets/d/19GOkiOqnzYbevLYWrMk4qFOXe3rX14BkSA8X-mq-a40/edit?usp=sharing"",""มหาสารคาม!J593"")"),191)</f>
        <v>191</v>
      </c>
      <c r="BO39" s="63">
        <f t="shared" ca="1" si="40"/>
        <v>31.914182595909637</v>
      </c>
      <c r="BP39" s="57">
        <f ca="1">IFERROR(__xludf.DUMMYFUNCTION("IMPORTRANGE(""https://docs.google.com/spreadsheets/d/19GOkiOqnzYbevLYWrMk4qFOXe3rX14BkSA8X-mq-a40/edit?usp=sharing"",""มหาสารคาม!J594"")"),18)</f>
        <v>18</v>
      </c>
      <c r="BQ39" s="63">
        <f t="shared" ca="1" si="16"/>
        <v>24</v>
      </c>
      <c r="BR39" s="63">
        <f ca="1">IFERROR(__xludf.DUMMYFUNCTION("IMPORTRANGE(""https://docs.google.com/spreadsheets/d/19GOkiOqnzYbevLYWrMk4qFOXe3rX14BkSA8X-mq-a40/edit?usp=sharing"",""มหาสารคาม!J595"")"),146)</f>
        <v>146</v>
      </c>
      <c r="BS39" s="140">
        <f ca="1">IFERROR(__xludf.DUMMYFUNCTION("IMPORTRANGE(""https://docs.google.com/spreadsheets/d/19GOkiOqnzYbevLYWrMk4qFOXe3rX14BkSA8X-mq-a40/edit?usp=sharing"",""มหาสารคาม!J596"")"),14)</f>
        <v>14</v>
      </c>
      <c r="BT39" s="63">
        <f ca="1">IFERROR(__xludf.DUMMYFUNCTION("IMPORTRANGE(""https://docs.google.com/spreadsheets/d/19GOkiOqnzYbevLYWrMk4qFOXe3rX14BkSA8X-mq-a40/edit?usp=sharing"",""มหาสารคาม!J597"")"),146)</f>
        <v>146</v>
      </c>
      <c r="BU39" s="140">
        <f ca="1">IFERROR(__xludf.DUMMYFUNCTION("IMPORTRANGE(""https://docs.google.com/spreadsheets/d/19GOkiOqnzYbevLYWrMk4qFOXe3rX14BkSA8X-mq-a40/edit?usp=sharing"",""มหาสารคาม!J598"")"),14)</f>
        <v>14</v>
      </c>
      <c r="BV39" s="63">
        <f ca="1">IFERROR(__xludf.DUMMYFUNCTION("IMPORTRANGE(""https://docs.google.com/spreadsheets/d/19GOkiOqnzYbevLYWrMk4qFOXe3rX14BkSA8X-mq-a40/edit?usp=sharing"",""มหาสารคาม!J599"")"),0)</f>
        <v>0</v>
      </c>
      <c r="BW39" s="140">
        <f ca="1">IFERROR(__xludf.DUMMYFUNCTION("IMPORTRANGE(""https://docs.google.com/spreadsheets/d/19GOkiOqnzYbevLYWrMk4qFOXe3rX14BkSA8X-mq-a40/edit?usp=sharing"",""มหาสารคาม!J600"")"),0)</f>
        <v>0</v>
      </c>
      <c r="BX39" s="141">
        <f ca="1">IFERROR(__xludf.DUMMYFUNCTION("IMPORTRANGE(""https://docs.google.com/spreadsheets/d/19GOkiOqnzYbevLYWrMk4qFOXe3rX14BkSA8X-mq-a40/edit?usp=sharing"",""มหาสารคาม!J601"")"),0)</f>
        <v>0</v>
      </c>
      <c r="BY39" s="140">
        <f ca="1">IFERROR(__xludf.DUMMYFUNCTION("IMPORTRANGE(""https://docs.google.com/spreadsheets/d/19GOkiOqnzYbevLYWrMk4qFOXe3rX14BkSA8X-mq-a40/edit?usp=sharing"",""มหาสารคาม!J602"")"),0)</f>
        <v>0</v>
      </c>
      <c r="BZ39" s="63">
        <f ca="1">IFERROR(__xludf.DUMMYFUNCTION("IMPORTRANGE(""https://docs.google.com/spreadsheets/d/19GOkiOqnzYbevLYWrMk4qFOXe3rX14BkSA8X-mq-a40/edit?usp=sharing"",""มหาสารคาม!J603"")"),45)</f>
        <v>45</v>
      </c>
      <c r="CA39" s="140">
        <f ca="1">IFERROR(__xludf.DUMMYFUNCTION("IMPORTRANGE(""https://docs.google.com/spreadsheets/d/19GOkiOqnzYbevLYWrMk4qFOXe3rX14BkSA8X-mq-a40/edit?usp=sharing"",""มหาสารคาม!J604"")"),4)</f>
        <v>4</v>
      </c>
      <c r="CB39" s="63">
        <f ca="1">IFERROR(__xludf.DUMMYFUNCTION("IMPORTRANGE(""https://docs.google.com/spreadsheets/d/19GOkiOqnzYbevLYWrMk4qFOXe3rX14BkSA8X-mq-a40/edit?usp=sharing"",""มหาสารคาม!J605"")"),45)</f>
        <v>45</v>
      </c>
      <c r="CC39" s="140">
        <f ca="1">IFERROR(__xludf.DUMMYFUNCTION("IMPORTRANGE(""https://docs.google.com/spreadsheets/d/19GOkiOqnzYbevLYWrMk4qFOXe3rX14BkSA8X-mq-a40/edit?usp=sharing"",""มหาสารคาม!J606"")"),4)</f>
        <v>4</v>
      </c>
      <c r="CD39" s="63">
        <f ca="1">IFERROR(__xludf.DUMMYFUNCTION("IMPORTRANGE(""https://docs.google.com/spreadsheets/d/19GOkiOqnzYbevLYWrMk4qFOXe3rX14BkSA8X-mq-a40/edit?usp=sharing"",""มหาสารคาม!J607"")"),0)</f>
        <v>0</v>
      </c>
      <c r="CE39" s="140">
        <f ca="1">IFERROR(__xludf.DUMMYFUNCTION("IMPORTRANGE(""https://docs.google.com/spreadsheets/d/19GOkiOqnzYbevLYWrMk4qFOXe3rX14BkSA8X-mq-a40/edit?usp=sharing"",""มหาสารคาม!J608"")"),0)</f>
        <v>0</v>
      </c>
      <c r="CF39" s="63">
        <f ca="1">IFERROR(__xludf.DUMMYFUNCTION("IMPORTRANGE(""https://docs.google.com/spreadsheets/d/19GOkiOqnzYbevLYWrMk4qFOXe3rX14BkSA8X-mq-a40/edit?usp=sharing"",""มหาสารคาม!J609"")"),0)</f>
        <v>0</v>
      </c>
      <c r="CG39" s="140">
        <f ca="1">IFERROR(__xludf.DUMMYFUNCTION("IMPORTRANGE(""https://docs.google.com/spreadsheets/d/19GOkiOqnzYbevLYWrMk4qFOXe3rX14BkSA8X-mq-a40/edit?usp=sharing"",""มหาสารคาม!J610"")"),0)</f>
        <v>0</v>
      </c>
      <c r="CH39" s="140">
        <f ca="1">IFERROR(__xludf.DUMMYFUNCTION("IMPORTRANGE(""https://docs.google.com/spreadsheets/d/19GOkiOqnzYbevLYWrMk4qFOXe3rX14BkSA8X-mq-a40/edit?usp=sharing"",""มหาสารคาม!I612"")"),0)</f>
        <v>0</v>
      </c>
      <c r="CI39" s="140">
        <f ca="1">IFERROR(__xludf.DUMMYFUNCTION("IMPORTRANGE(""https://docs.google.com/spreadsheets/d/19GOkiOqnzYbevLYWrMk4qFOXe3rX14BkSA8X-mq-a40/edit?usp=sharing"",""มหาสารคาม!I594"")"),75)</f>
        <v>75</v>
      </c>
      <c r="CJ39" s="141">
        <f ca="1">IFERROR(__xludf.DUMMYFUNCTION("IMPORTRANGE(""https://docs.google.com/spreadsheets/d/19GOkiOqnzYbevLYWrMk4qFOXe3rX14BkSA8X-mq-a40/edit?usp=sharing"",""มหาสารคาม!J612"")"),0)</f>
        <v>0</v>
      </c>
      <c r="CK39" s="141">
        <f t="shared" ca="1" si="41"/>
        <v>0</v>
      </c>
      <c r="CL39" s="140">
        <f ca="1">IFERROR(__xludf.DUMMYFUNCTION("IMPORTRANGE(""https://docs.google.com/spreadsheets/d/19GOkiOqnzYbevLYWrMk4qFOXe3rX14BkSA8X-mq-a40/edit?usp=sharing"",""มหาสารคาม!J613"")"),0)</f>
        <v>0</v>
      </c>
      <c r="CM39" s="141">
        <f t="shared" ca="1" si="19"/>
        <v>0</v>
      </c>
      <c r="CN39" s="63">
        <f ca="1">IFERROR(__xludf.DUMMYFUNCTION("IMPORTRANGE(""https://docs.google.com/spreadsheets/d/19GOkiOqnzYbevLYWrMk4qFOXe3rX14BkSA8X-mq-a40/edit?usp=sharing"",""มหาสารคาม!J614"")"),0)</f>
        <v>0</v>
      </c>
      <c r="CO39" s="140">
        <f ca="1">IFERROR(__xludf.DUMMYFUNCTION("IMPORTRANGE(""https://docs.google.com/spreadsheets/d/19GOkiOqnzYbevLYWrMk4qFOXe3rX14BkSA8X-mq-a40/edit?usp=sharing"",""มหาสารคาม!J615"")"),0)</f>
        <v>0</v>
      </c>
      <c r="CP39" s="63">
        <f ca="1">IFERROR(__xludf.DUMMYFUNCTION("IMPORTRANGE(""https://docs.google.com/spreadsheets/d/19GOkiOqnzYbevLYWrMk4qFOXe3rX14BkSA8X-mq-a40/edit?usp=sharing"",""มหาสารคาม!J616"")"),0)</f>
        <v>0</v>
      </c>
      <c r="CQ39" s="140">
        <f ca="1">IFERROR(__xludf.DUMMYFUNCTION("IMPORTRANGE(""https://docs.google.com/spreadsheets/d/19GOkiOqnzYbevLYWrMk4qFOXe3rX14BkSA8X-mq-a40/edit?usp=sharing"",""มหาสารคาม!J617"")"),0)</f>
        <v>0</v>
      </c>
      <c r="CR39" s="140">
        <f ca="1">IFERROR(__xludf.DUMMYFUNCTION("IMPORTRANGE(""https://docs.google.com/spreadsheets/d/19GOkiOqnzYbevLYWrMk4qFOXe3rX14BkSA8X-mq-a40/edit?usp=sharing"",""มหาสารคาม!I620"")"),0)</f>
        <v>0</v>
      </c>
      <c r="CS39" s="140">
        <f ca="1">IFERROR(__xludf.DUMMYFUNCTION("IMPORTRANGE(""https://docs.google.com/spreadsheets/d/19GOkiOqnzYbevLYWrMk4qFOXe3rX14BkSA8X-mq-a40/edit?usp=sharing"",""มหาสารคาม!I621"")"),0)</f>
        <v>0</v>
      </c>
      <c r="CT39" s="141">
        <f ca="1">IFERROR(__xludf.DUMMYFUNCTION("IMPORTRANGE(""https://docs.google.com/spreadsheets/d/19GOkiOqnzYbevLYWrMk4qFOXe3rX14BkSA8X-mq-a40/edit?usp=sharing"",""มหาสารคาม!J620"")"),0)</f>
        <v>0</v>
      </c>
      <c r="CU39" s="141">
        <f t="shared" ca="1" si="42"/>
        <v>0</v>
      </c>
      <c r="CV39" s="140">
        <f ca="1">IFERROR(__xludf.DUMMYFUNCTION("IMPORTRANGE(""https://docs.google.com/spreadsheets/d/19GOkiOqnzYbevLYWrMk4qFOXe3rX14BkSA8X-mq-a40/edit?usp=sharing"",""มหาสารคาม!J621"")"),0)</f>
        <v>0</v>
      </c>
      <c r="CW39" s="141">
        <f t="shared" ca="1" si="22"/>
        <v>0</v>
      </c>
      <c r="CX39" s="63">
        <f ca="1">IFERROR(__xludf.DUMMYFUNCTION("IMPORTRANGE(""https://docs.google.com/spreadsheets/d/19GOkiOqnzYbevLYWrMk4qFOXe3rX14BkSA8X-mq-a40/edit?usp=sharing"",""มหาสารคาม!J622"")"),0)</f>
        <v>0</v>
      </c>
      <c r="CY39" s="140">
        <f ca="1">IFERROR(__xludf.DUMMYFUNCTION("IMPORTRANGE(""https://docs.google.com/spreadsheets/d/19GOkiOqnzYbevLYWrMk4qFOXe3rX14BkSA8X-mq-a40/edit?usp=sharing"",""มหาสารคาม!J623"")"),0)</f>
        <v>0</v>
      </c>
      <c r="CZ39" s="63">
        <f ca="1">IFERROR(__xludf.DUMMYFUNCTION("IMPORTRANGE(""https://docs.google.com/spreadsheets/d/19GOkiOqnzYbevLYWrMk4qFOXe3rX14BkSA8X-mq-a40/edit?usp=sharing"",""มหาสารคาม!J624"")"),0)</f>
        <v>0</v>
      </c>
      <c r="DA39" s="140">
        <f ca="1">IFERROR(__xludf.DUMMYFUNCTION("IMPORTRANGE(""https://docs.google.com/spreadsheets/d/19GOkiOqnzYbevLYWrMk4qFOXe3rX14BkSA8X-mq-a40/edit?usp=sharing"",""มหาสารคาม!J625"")"),0)</f>
        <v>0</v>
      </c>
      <c r="DB39" s="63">
        <f ca="1">IFERROR(__xludf.DUMMYFUNCTION("IMPORTRANGE(""https://docs.google.com/spreadsheets/d/19GOkiOqnzYbevLYWrMk4qFOXe3rX14BkSA8X-mq-a40/edit?usp=sharing"",""มหาสารคาม!J626"")"),0)</f>
        <v>0</v>
      </c>
      <c r="DC39" s="140">
        <f ca="1">IFERROR(__xludf.DUMMYFUNCTION("IMPORTRANGE(""https://docs.google.com/spreadsheets/d/19GOkiOqnzYbevLYWrMk4qFOXe3rX14BkSA8X-mq-a40/edit?usp=sharing"",""มหาสารคาม!J627"")"),0)</f>
        <v>0</v>
      </c>
    </row>
    <row r="40" spans="1:107" ht="21" customHeight="1" x14ac:dyDescent="0.3">
      <c r="A40" s="54">
        <v>9</v>
      </c>
      <c r="B40" s="55" t="s">
        <v>61</v>
      </c>
      <c r="C40" s="56">
        <f t="shared" ca="1" si="66"/>
        <v>338611</v>
      </c>
      <c r="D40" s="57">
        <f ca="1">IFERROR(__xludf.DUMMYFUNCTION("IMPORTRANGE(""https://docs.google.com/spreadsheets/d/1uMKqWwuNQ-TCKboGA3Bb1qXb5uj2-faACNUINCz8PN4/edit?usp=sharing"",""มุกดาหาร!L549"")"),338611)</f>
        <v>338611</v>
      </c>
      <c r="E40" s="64">
        <f ca="1">IFERROR(__xludf.DUMMYFUNCTION("IMPORTRANGE(""https://docs.google.com/spreadsheets/d/1uMKqWwuNQ-TCKboGA3Bb1qXb5uj2-faACNUINCz8PN4/edit?usp=sharing"",""มุกดาหาร!L557"")"),0)</f>
        <v>0</v>
      </c>
      <c r="F40" s="64">
        <f ca="1">IFERROR(__xludf.DUMMYFUNCTION("IMPORTRANGE(""https://docs.google.com/spreadsheets/d/1uMKqWwuNQ-TCKboGA3Bb1qXb5uj2-faACNUINCz8PN4/edit?usp=sharing"",""มุกดาหาร!M549"")"),338611)</f>
        <v>338611</v>
      </c>
      <c r="G40" s="64">
        <f ca="1">IFERROR(__xludf.DUMMYFUNCTION("IMPORTRANGE(""https://docs.google.com/spreadsheets/d/1uMKqWwuNQ-TCKboGA3Bb1qXb5uj2-faACNUINCz8PN4/edit?usp=sharing"",""มุกดาหาร!M557"")"),0)</f>
        <v>0</v>
      </c>
      <c r="H40" s="58">
        <f t="shared" ca="1" si="36"/>
        <v>237536</v>
      </c>
      <c r="I40" s="59">
        <f t="shared" ca="1" si="1"/>
        <v>70.150113256805</v>
      </c>
      <c r="J40" s="60">
        <f t="shared" ca="1" si="67"/>
        <v>237536</v>
      </c>
      <c r="K40" s="61">
        <f t="shared" ca="1" si="44"/>
        <v>70.150113256805</v>
      </c>
      <c r="L40" s="61">
        <f t="shared" ca="1" si="45"/>
        <v>70.150113256805</v>
      </c>
      <c r="M40" s="64">
        <f ca="1">IFERROR(__xludf.DUMMYFUNCTION("IMPORTRANGE(""https://docs.google.com/spreadsheets/d/1uMKqWwuNQ-TCKboGA3Bb1qXb5uj2-faACNUINCz8PN4/edit?usp=sharing"",""มุกดาหาร!N550"")"),0)</f>
        <v>0</v>
      </c>
      <c r="N40" s="64">
        <f ca="1">IFERROR(__xludf.DUMMYFUNCTION("IMPORTRANGE(""https://docs.google.com/spreadsheets/d/1uMKqWwuNQ-TCKboGA3Bb1qXb5uj2-faACNUINCz8PN4/edit?usp=sharing"",""มุกดาหาร!N551"")"),0)</f>
        <v>0</v>
      </c>
      <c r="O40" s="64">
        <f ca="1">IFERROR(__xludf.DUMMYFUNCTION("IMPORTRANGE(""https://docs.google.com/spreadsheets/d/1uMKqWwuNQ-TCKboGA3Bb1qXb5uj2-faACNUINCz8PN4/edit?usp=sharing"",""มุกดาหาร!N552"")"),64557)</f>
        <v>64557</v>
      </c>
      <c r="P40" s="64">
        <f ca="1">IFERROR(__xludf.DUMMYFUNCTION("IMPORTRANGE(""https://docs.google.com/spreadsheets/d/1uMKqWwuNQ-TCKboGA3Bb1qXb5uj2-faACNUINCz8PN4/edit?usp=sharing"",""มุกดาหาร!N553"")"),156262)</f>
        <v>156262</v>
      </c>
      <c r="Q40" s="64">
        <f ca="1">IFERROR(__xludf.DUMMYFUNCTION("IMPORTRANGE(""https://docs.google.com/spreadsheets/d/1uMKqWwuNQ-TCKboGA3Bb1qXb5uj2-faACNUINCz8PN4/edit?usp=sharing"",""มุกดาหาร!N554"")"),16717)</f>
        <v>16717</v>
      </c>
      <c r="R40" s="62">
        <f ca="1">IFERROR(__xludf.DUMMYFUNCTION("IMPORTRANGE(""https://docs.google.com/spreadsheets/d/1uMKqWwuNQ-TCKboGA3Bb1qXb5uj2-faACNUINCz8PN4/edit?usp=sharing"",""มุกดาหาร!N557"")"),0)</f>
        <v>0</v>
      </c>
      <c r="S40" s="62">
        <f t="shared" ca="1" si="47"/>
        <v>0</v>
      </c>
      <c r="T40" s="57">
        <f ca="1">IFERROR(__xludf.DUMMYFUNCTION("IMPORTRANGE(""https://docs.google.com/spreadsheets/d/1uMKqWwuNQ-TCKboGA3Bb1qXb5uj2-faACNUINCz8PN4/edit?usp=sharing"",""มุกดาหาร!I560"")"),35301)</f>
        <v>35301</v>
      </c>
      <c r="U40" s="57">
        <f ca="1">IFERROR(__xludf.DUMMYFUNCTION("IMPORTRANGE(""https://docs.google.com/spreadsheets/d/1uMKqWwuNQ-TCKboGA3Bb1qXb5uj2-faACNUINCz8PN4/edit?usp=sharing"",""มุกดาหาร!I561"")"),5276)</f>
        <v>5276</v>
      </c>
      <c r="V40" s="63">
        <f ca="1">IFERROR(__xludf.DUMMYFUNCTION("IMPORTRANGE(""https://docs.google.com/spreadsheets/d/1uMKqWwuNQ-TCKboGA3Bb1qXb5uj2-faACNUINCz8PN4/edit?usp=sharing"",""มุกดาหาร!J560"")"),35302.75)</f>
        <v>35302.75</v>
      </c>
      <c r="W40" s="63">
        <f t="shared" ca="1" si="37"/>
        <v>100.00495736664683</v>
      </c>
      <c r="X40" s="57">
        <f ca="1">IFERROR(__xludf.DUMMYFUNCTION("IMPORTRANGE(""https://docs.google.com/spreadsheets/d/1uMKqWwuNQ-TCKboGA3Bb1qXb5uj2-faACNUINCz8PN4/edit?usp=sharing"",""มุกดาหาร!J561"")"),5276)</f>
        <v>5276</v>
      </c>
      <c r="Y40" s="63">
        <f t="shared" ca="1" si="7"/>
        <v>100</v>
      </c>
      <c r="Z40" s="63">
        <f ca="1">IFERROR(__xludf.DUMMYFUNCTION("IMPORTRANGE(""https://docs.google.com/spreadsheets/d/1uMKqWwuNQ-TCKboGA3Bb1qXb5uj2-faACNUINCz8PN4/edit?usp=sharing"",""มุกดาหาร!J562"")"),31360.24)</f>
        <v>31360.240000000002</v>
      </c>
      <c r="AA40" s="140">
        <f ca="1">IFERROR(__xludf.DUMMYFUNCTION("IMPORTRANGE(""https://docs.google.com/spreadsheets/d/1uMKqWwuNQ-TCKboGA3Bb1qXb5uj2-faACNUINCz8PN4/edit?usp=sharing"",""มุกดาหาร!J563"")"),4781)</f>
        <v>4781</v>
      </c>
      <c r="AB40" s="63">
        <f ca="1">IFERROR(__xludf.DUMMYFUNCTION("IMPORTRANGE(""https://docs.google.com/spreadsheets/d/1uMKqWwuNQ-TCKboGA3Bb1qXb5uj2-faACNUINCz8PN4/edit?usp=sharing"",""มุกดาหาร!J564"")"),2765.09)</f>
        <v>2765.09</v>
      </c>
      <c r="AC40" s="140">
        <f ca="1">IFERROR(__xludf.DUMMYFUNCTION("IMPORTRANGE(""https://docs.google.com/spreadsheets/d/1uMKqWwuNQ-TCKboGA3Bb1qXb5uj2-faACNUINCz8PN4/edit?usp=sharing"",""มุกดาหาร!J565"")"),327)</f>
        <v>327</v>
      </c>
      <c r="AD40" s="63">
        <f ca="1">IFERROR(__xludf.DUMMYFUNCTION("IMPORTRANGE(""https://docs.google.com/spreadsheets/d/1uMKqWwuNQ-TCKboGA3Bb1qXb5uj2-faACNUINCz8PN4/edit?usp=sharing"",""มุกดาหาร!J566"")"),1177.42)</f>
        <v>1177.42</v>
      </c>
      <c r="AE40" s="140">
        <f ca="1">IFERROR(__xludf.DUMMYFUNCTION("IMPORTRANGE(""https://docs.google.com/spreadsheets/d/1uMKqWwuNQ-TCKboGA3Bb1qXb5uj2-faACNUINCz8PN4/edit?usp=sharing"",""มุกดาหาร!J567"")"),168)</f>
        <v>168</v>
      </c>
      <c r="AF40" s="57">
        <f ca="1">IFERROR(__xludf.DUMMYFUNCTION("IMPORTRANGE(""https://docs.google.com/spreadsheets/d/1uMKqWwuNQ-TCKboGA3Bb1qXb5uj2-faACNUINCz8PN4/edit?usp=sharing"",""มุกดาหาร!I568"")"),35301)</f>
        <v>35301</v>
      </c>
      <c r="AG40" s="57">
        <f ca="1">IFERROR(__xludf.DUMMYFUNCTION("IMPORTRANGE(""https://docs.google.com/spreadsheets/d/1uMKqWwuNQ-TCKboGA3Bb1qXb5uj2-faACNUINCz8PN4/edit?usp=sharing"",""มุกดาหาร!I569"")"),5276)</f>
        <v>5276</v>
      </c>
      <c r="AH40" s="63">
        <f ca="1">IFERROR(__xludf.DUMMYFUNCTION("IMPORTRANGE(""https://docs.google.com/spreadsheets/d/1uMKqWwuNQ-TCKboGA3Bb1qXb5uj2-faACNUINCz8PN4/edit?usp=sharing"",""มุกดาหาร!J568"")"),35303.448)</f>
        <v>35303.447999999997</v>
      </c>
      <c r="AI40" s="63">
        <f t="shared" ca="1" si="38"/>
        <v>100.00693464774369</v>
      </c>
      <c r="AJ40" s="57">
        <f ca="1">IFERROR(__xludf.DUMMYFUNCTION("IMPORTRANGE(""https://docs.google.com/spreadsheets/d/1uMKqWwuNQ-TCKboGA3Bb1qXb5uj2-faACNUINCz8PN4/edit?usp=sharing"",""มุกดาหาร!J569"")"),5276)</f>
        <v>5276</v>
      </c>
      <c r="AK40" s="63">
        <f t="shared" ca="1" si="10"/>
        <v>100</v>
      </c>
      <c r="AL40" s="63">
        <f ca="1">IFERROR(__xludf.DUMMYFUNCTION("IMPORTRANGE(""https://docs.google.com/spreadsheets/d/1uMKqWwuNQ-TCKboGA3Bb1qXb5uj2-faACNUINCz8PN4/edit?usp=sharing"",""มุกดาหาร!J570"")"),32116.24)</f>
        <v>32116.240000000002</v>
      </c>
      <c r="AM40" s="140">
        <f ca="1">IFERROR(__xludf.DUMMYFUNCTION("IMPORTRANGE(""https://docs.google.com/spreadsheets/d/1uMKqWwuNQ-TCKboGA3Bb1qXb5uj2-faACNUINCz8PN4/edit?usp=sharing"",""มุกดาหาร!J571"")"),4864)</f>
        <v>4864</v>
      </c>
      <c r="AN40" s="63">
        <f ca="1">IFERROR(__xludf.DUMMYFUNCTION("IMPORTRANGE(""https://docs.google.com/spreadsheets/d/1uMKqWwuNQ-TCKboGA3Bb1qXb5uj2-faACNUINCz8PN4/edit?usp=sharing"",""มุกดาหาร!J572"")"),1967.083)</f>
        <v>1967.0830000000001</v>
      </c>
      <c r="AO40" s="140">
        <f ca="1">IFERROR(__xludf.DUMMYFUNCTION("IMPORTRANGE(""https://docs.google.com/spreadsheets/d/1uMKqWwuNQ-TCKboGA3Bb1qXb5uj2-faACNUINCz8PN4/edit?usp=sharing"",""มุกดาหาร!J573"")"),232)</f>
        <v>232</v>
      </c>
      <c r="AP40" s="63">
        <f ca="1">IFERROR(__xludf.DUMMYFUNCTION("IMPORTRANGE(""https://docs.google.com/spreadsheets/d/1uMKqWwuNQ-TCKboGA3Bb1qXb5uj2-faACNUINCz8PN4/edit?usp=sharing"",""มุกดาหาร!J574"")"),1220.125)</f>
        <v>1220.125</v>
      </c>
      <c r="AQ40" s="140">
        <f ca="1">IFERROR(__xludf.DUMMYFUNCTION("IMPORTRANGE(""https://docs.google.com/spreadsheets/d/1uMKqWwuNQ-TCKboGA3Bb1qXb5uj2-faACNUINCz8PN4/edit?usp=sharing"",""มุกดาหาร!J575"")"),180)</f>
        <v>180</v>
      </c>
      <c r="AR40" s="57">
        <f ca="1">IFERROR(__xludf.DUMMYFUNCTION("IMPORTRANGE(""https://docs.google.com/spreadsheets/d/1uMKqWwuNQ-TCKboGA3Bb1qXb5uj2-faACNUINCz8PN4/edit?usp=sharing"",""มุกดาหาร!I576"")"),35301)</f>
        <v>35301</v>
      </c>
      <c r="AS40" s="57">
        <f ca="1">IFERROR(__xludf.DUMMYFUNCTION("IMPORTRANGE(""https://docs.google.com/spreadsheets/d/1uMKqWwuNQ-TCKboGA3Bb1qXb5uj2-faACNUINCz8PN4/edit?usp=sharing"",""มุกดาหาร!I577"")"),5276)</f>
        <v>5276</v>
      </c>
      <c r="AT40" s="63">
        <f ca="1">IFERROR(__xludf.DUMMYFUNCTION("IMPORTRANGE(""https://docs.google.com/spreadsheets/d/1uMKqWwuNQ-TCKboGA3Bb1qXb5uj2-faACNUINCz8PN4/edit?usp=sharing"",""มุกดาหาร!J576"")"),0)</f>
        <v>0</v>
      </c>
      <c r="AU40" s="63">
        <f t="shared" ca="1" si="39"/>
        <v>0</v>
      </c>
      <c r="AV40" s="57">
        <f ca="1">IFERROR(__xludf.DUMMYFUNCTION("IMPORTRANGE(""https://docs.google.com/spreadsheets/d/1uMKqWwuNQ-TCKboGA3Bb1qXb5uj2-faACNUINCz8PN4/edit?usp=sharing"",""มุกดาหาร!J577"")"),0)</f>
        <v>0</v>
      </c>
      <c r="AW40" s="63">
        <f t="shared" ca="1" si="13"/>
        <v>0</v>
      </c>
      <c r="AX40" s="63">
        <f ca="1">IFERROR(__xludf.DUMMYFUNCTION("IMPORTRANGE(""https://docs.google.com/spreadsheets/d/1uMKqWwuNQ-TCKboGA3Bb1qXb5uj2-faACNUINCz8PN4/edit?usp=sharing"",""มุกดาหาร!J578"")"),0)</f>
        <v>0</v>
      </c>
      <c r="AY40" s="140">
        <f ca="1">IFERROR(__xludf.DUMMYFUNCTION("IMPORTRANGE(""https://docs.google.com/spreadsheets/d/1uMKqWwuNQ-TCKboGA3Bb1qXb5uj2-faACNUINCz8PN4/edit?usp=sharing"",""มุกดาหาร!J579"")"),0)</f>
        <v>0</v>
      </c>
      <c r="AZ40" s="63">
        <f ca="1">IFERROR(__xludf.DUMMYFUNCTION("IMPORTRANGE(""https://docs.google.com/spreadsheets/d/1uMKqWwuNQ-TCKboGA3Bb1qXb5uj2-faACNUINCz8PN4/edit?usp=sharing"",""มุกดาหาร!J580"")"),0)</f>
        <v>0</v>
      </c>
      <c r="BA40" s="140">
        <f ca="1">IFERROR(__xludf.DUMMYFUNCTION("IMPORTRANGE(""https://docs.google.com/spreadsheets/d/1uMKqWwuNQ-TCKboGA3Bb1qXb5uj2-faACNUINCz8PN4/edit?usp=sharing"",""มุกดาหาร!J581"")"),0)</f>
        <v>0</v>
      </c>
      <c r="BB40" s="63">
        <f ca="1">IFERROR(__xludf.DUMMYFUNCTION("IMPORTRANGE(""https://docs.google.com/spreadsheets/d/1uMKqWwuNQ-TCKboGA3Bb1qXb5uj2-faACNUINCz8PN4/edit?usp=sharing"",""มุกดาหาร!J582"")"),0)</f>
        <v>0</v>
      </c>
      <c r="BC40" s="140">
        <f ca="1">IFERROR(__xludf.DUMMYFUNCTION("IMPORTRANGE(""https://docs.google.com/spreadsheets/d/1uMKqWwuNQ-TCKboGA3Bb1qXb5uj2-faACNUINCz8PN4/edit?usp=sharing"",""มุกดาหาร!J583"")"),0)</f>
        <v>0</v>
      </c>
      <c r="BD40" s="141">
        <f ca="1">IFERROR(__xludf.DUMMYFUNCTION("IMPORTRANGE(""https://docs.google.com/spreadsheets/d/1uMKqWwuNQ-TCKboGA3Bb1qXb5uj2-faACNUINCz8PN4/edit?usp=sharing"",""มุกดาหาร!J584"")"),0)</f>
        <v>0</v>
      </c>
      <c r="BE40" s="140">
        <f ca="1">IFERROR(__xludf.DUMMYFUNCTION("IMPORTRANGE(""https://docs.google.com/spreadsheets/d/1uMKqWwuNQ-TCKboGA3Bb1qXb5uj2-faACNUINCz8PN4/edit?usp=sharing"",""มุกดาหาร!J585"")"),0)</f>
        <v>0</v>
      </c>
      <c r="BF40" s="141">
        <f ca="1">IFERROR(__xludf.DUMMYFUNCTION("IMPORTRANGE(""https://docs.google.com/spreadsheets/d/1uMKqWwuNQ-TCKboGA3Bb1qXb5uj2-faACNUINCz8PN4/edit?usp=sharing"",""มุกดาหาร!J586"")"),0)</f>
        <v>0</v>
      </c>
      <c r="BG40" s="140">
        <f ca="1">IFERROR(__xludf.DUMMYFUNCTION("IMPORTRANGE(""https://docs.google.com/spreadsheets/d/1uMKqWwuNQ-TCKboGA3Bb1qXb5uj2-faACNUINCz8PN4/edit?usp=sharing"",""มุกดาหาร!J587"")"),0)</f>
        <v>0</v>
      </c>
      <c r="BH40" s="63">
        <f ca="1">IFERROR(__xludf.DUMMYFUNCTION("IMPORTRANGE(""https://docs.google.com/spreadsheets/d/1uMKqWwuNQ-TCKboGA3Bb1qXb5uj2-faACNUINCz8PN4/edit?usp=sharing"",""มุกดาหาร!J588"")"),0)</f>
        <v>0</v>
      </c>
      <c r="BI40" s="140">
        <f ca="1">IFERROR(__xludf.DUMMYFUNCTION("IMPORTRANGE(""https://docs.google.com/spreadsheets/d/1uMKqWwuNQ-TCKboGA3Bb1qXb5uj2-faACNUINCz8PN4/edit?usp=sharing"",""มุกดาหาร!J589"")"),0)</f>
        <v>0</v>
      </c>
      <c r="BJ40" s="63">
        <f ca="1">IFERROR(__xludf.DUMMYFUNCTION("IMPORTRANGE(""https://docs.google.com/spreadsheets/d/1uMKqWwuNQ-TCKboGA3Bb1qXb5uj2-faACNUINCz8PN4/edit?usp=sharing"",""มุกดาหาร!J590"")"),0)</f>
        <v>0</v>
      </c>
      <c r="BK40" s="140">
        <f ca="1">IFERROR(__xludf.DUMMYFUNCTION("IMPORTRANGE(""https://docs.google.com/spreadsheets/d/1uMKqWwuNQ-TCKboGA3Bb1qXb5uj2-faACNUINCz8PN4/edit?usp=sharing"",""มุกดาหาร!J591"")"),0)</f>
        <v>0</v>
      </c>
      <c r="BL40" s="57">
        <f ca="1">IFERROR(__xludf.DUMMYFUNCTION("IMPORTRANGE(""https://docs.google.com/spreadsheets/d/1uMKqWwuNQ-TCKboGA3Bb1qXb5uj2-faACNUINCz8PN4/edit?usp=sharing"",""มุกดาหาร!I593"")"),1102.94)</f>
        <v>1102.94</v>
      </c>
      <c r="BM40" s="57">
        <f ca="1">IFERROR(__xludf.DUMMYFUNCTION("IMPORTRANGE(""https://docs.google.com/spreadsheets/d/1uMKqWwuNQ-TCKboGA3Bb1qXb5uj2-faACNUINCz8PN4/edit?usp=sharing"",""มุกดาหาร!I594"")"),115)</f>
        <v>115</v>
      </c>
      <c r="BN40" s="63">
        <f ca="1">IFERROR(__xludf.DUMMYFUNCTION("IMPORTRANGE(""https://docs.google.com/spreadsheets/d/1uMKqWwuNQ-TCKboGA3Bb1qXb5uj2-faACNUINCz8PN4/edit?usp=sharing"",""มุกดาหาร!J593"")"),0)</f>
        <v>0</v>
      </c>
      <c r="BO40" s="63">
        <f t="shared" ca="1" si="40"/>
        <v>0</v>
      </c>
      <c r="BP40" s="57">
        <f ca="1">IFERROR(__xludf.DUMMYFUNCTION("IMPORTRANGE(""https://docs.google.com/spreadsheets/d/1uMKqWwuNQ-TCKboGA3Bb1qXb5uj2-faACNUINCz8PN4/edit?usp=sharing"",""มุกดาหาร!J594"")"),0)</f>
        <v>0</v>
      </c>
      <c r="BQ40" s="63">
        <f t="shared" ca="1" si="16"/>
        <v>0</v>
      </c>
      <c r="BR40" s="63">
        <f ca="1">IFERROR(__xludf.DUMMYFUNCTION("IMPORTRANGE(""https://docs.google.com/spreadsheets/d/1uMKqWwuNQ-TCKboGA3Bb1qXb5uj2-faACNUINCz8PN4/edit?usp=sharing"",""มุกดาหาร!J595"")"),0)</f>
        <v>0</v>
      </c>
      <c r="BS40" s="140">
        <f ca="1">IFERROR(__xludf.DUMMYFUNCTION("IMPORTRANGE(""https://docs.google.com/spreadsheets/d/1uMKqWwuNQ-TCKboGA3Bb1qXb5uj2-faACNUINCz8PN4/edit?usp=sharing"",""มุกดาหาร!J596"")"),0)</f>
        <v>0</v>
      </c>
      <c r="BT40" s="63">
        <f ca="1">IFERROR(__xludf.DUMMYFUNCTION("IMPORTRANGE(""https://docs.google.com/spreadsheets/d/1uMKqWwuNQ-TCKboGA3Bb1qXb5uj2-faACNUINCz8PN4/edit?usp=sharing"",""มุกดาหาร!J597"")"),0)</f>
        <v>0</v>
      </c>
      <c r="BU40" s="140">
        <f ca="1">IFERROR(__xludf.DUMMYFUNCTION("IMPORTRANGE(""https://docs.google.com/spreadsheets/d/1uMKqWwuNQ-TCKboGA3Bb1qXb5uj2-faACNUINCz8PN4/edit?usp=sharing"",""มุกดาหาร!J598"")"),0)</f>
        <v>0</v>
      </c>
      <c r="BV40" s="63">
        <f ca="1">IFERROR(__xludf.DUMMYFUNCTION("IMPORTRANGE(""https://docs.google.com/spreadsheets/d/1uMKqWwuNQ-TCKboGA3Bb1qXb5uj2-faACNUINCz8PN4/edit?usp=sharing"",""มุกดาหาร!J599"")"),0)</f>
        <v>0</v>
      </c>
      <c r="BW40" s="140">
        <f ca="1">IFERROR(__xludf.DUMMYFUNCTION("IMPORTRANGE(""https://docs.google.com/spreadsheets/d/1uMKqWwuNQ-TCKboGA3Bb1qXb5uj2-faACNUINCz8PN4/edit?usp=sharing"",""มุกดาหาร!J600"")"),0)</f>
        <v>0</v>
      </c>
      <c r="BX40" s="141">
        <f ca="1">IFERROR(__xludf.DUMMYFUNCTION("IMPORTRANGE(""https://docs.google.com/spreadsheets/d/1uMKqWwuNQ-TCKboGA3Bb1qXb5uj2-faACNUINCz8PN4/edit?usp=sharing"",""มุกดาหาร!J601"")"),0)</f>
        <v>0</v>
      </c>
      <c r="BY40" s="140">
        <f ca="1">IFERROR(__xludf.DUMMYFUNCTION("IMPORTRANGE(""https://docs.google.com/spreadsheets/d/1uMKqWwuNQ-TCKboGA3Bb1qXb5uj2-faACNUINCz8PN4/edit?usp=sharing"",""มุกดาหาร!J602"")"),0)</f>
        <v>0</v>
      </c>
      <c r="BZ40" s="63">
        <f ca="1">IFERROR(__xludf.DUMMYFUNCTION("IMPORTRANGE(""https://docs.google.com/spreadsheets/d/1uMKqWwuNQ-TCKboGA3Bb1qXb5uj2-faACNUINCz8PN4/edit?usp=sharing"",""มุกดาหาร!J603"")"),0)</f>
        <v>0</v>
      </c>
      <c r="CA40" s="140">
        <f ca="1">IFERROR(__xludf.DUMMYFUNCTION("IMPORTRANGE(""https://docs.google.com/spreadsheets/d/1uMKqWwuNQ-TCKboGA3Bb1qXb5uj2-faACNUINCz8PN4/edit?usp=sharing"",""มุกดาหาร!J604"")"),0)</f>
        <v>0</v>
      </c>
      <c r="CB40" s="63">
        <f ca="1">IFERROR(__xludf.DUMMYFUNCTION("IMPORTRANGE(""https://docs.google.com/spreadsheets/d/1uMKqWwuNQ-TCKboGA3Bb1qXb5uj2-faACNUINCz8PN4/edit?usp=sharing"",""มุกดาหาร!J605"")"),0)</f>
        <v>0</v>
      </c>
      <c r="CC40" s="140">
        <f ca="1">IFERROR(__xludf.DUMMYFUNCTION("IMPORTRANGE(""https://docs.google.com/spreadsheets/d/1uMKqWwuNQ-TCKboGA3Bb1qXb5uj2-faACNUINCz8PN4/edit?usp=sharing"",""มุกดาหาร!J606"")"),0)</f>
        <v>0</v>
      </c>
      <c r="CD40" s="63">
        <f ca="1">IFERROR(__xludf.DUMMYFUNCTION("IMPORTRANGE(""https://docs.google.com/spreadsheets/d/1uMKqWwuNQ-TCKboGA3Bb1qXb5uj2-faACNUINCz8PN4/edit?usp=sharing"",""มุกดาหาร!J607"")"),0)</f>
        <v>0</v>
      </c>
      <c r="CE40" s="140">
        <f ca="1">IFERROR(__xludf.DUMMYFUNCTION("IMPORTRANGE(""https://docs.google.com/spreadsheets/d/1uMKqWwuNQ-TCKboGA3Bb1qXb5uj2-faACNUINCz8PN4/edit?usp=sharing"",""มุกดาหาร!J608"")"),0)</f>
        <v>0</v>
      </c>
      <c r="CF40" s="63">
        <f ca="1">IFERROR(__xludf.DUMMYFUNCTION("IMPORTRANGE(""https://docs.google.com/spreadsheets/d/1uMKqWwuNQ-TCKboGA3Bb1qXb5uj2-faACNUINCz8PN4/edit?usp=sharing"",""มุกดาหาร!J609"")"),0)</f>
        <v>0</v>
      </c>
      <c r="CG40" s="140">
        <f ca="1">IFERROR(__xludf.DUMMYFUNCTION("IMPORTRANGE(""https://docs.google.com/spreadsheets/d/1uMKqWwuNQ-TCKboGA3Bb1qXb5uj2-faACNUINCz8PN4/edit?usp=sharing"",""มุกดาหาร!J610"")"),0)</f>
        <v>0</v>
      </c>
      <c r="CH40" s="140">
        <f ca="1">IFERROR(__xludf.DUMMYFUNCTION("IMPORTRANGE(""https://docs.google.com/spreadsheets/d/1uMKqWwuNQ-TCKboGA3Bb1qXb5uj2-faACNUINCz8PN4/edit?usp=sharing"",""มุกดาหาร!I612"")"),0)</f>
        <v>0</v>
      </c>
      <c r="CI40" s="140">
        <f ca="1">IFERROR(__xludf.DUMMYFUNCTION("IMPORTRANGE(""https://docs.google.com/spreadsheets/d/1uMKqWwuNQ-TCKboGA3Bb1qXb5uj2-faACNUINCz8PN4/edit?usp=sharing"",""มุกดาหาร!I594"")"),115)</f>
        <v>115</v>
      </c>
      <c r="CJ40" s="141">
        <f ca="1">IFERROR(__xludf.DUMMYFUNCTION("IMPORTRANGE(""https://docs.google.com/spreadsheets/d/1uMKqWwuNQ-TCKboGA3Bb1qXb5uj2-faACNUINCz8PN4/edit?usp=sharing"",""มุกดาหาร!J612"")"),0)</f>
        <v>0</v>
      </c>
      <c r="CK40" s="141">
        <f t="shared" ca="1" si="41"/>
        <v>0</v>
      </c>
      <c r="CL40" s="140">
        <f ca="1">IFERROR(__xludf.DUMMYFUNCTION("IMPORTRANGE(""https://docs.google.com/spreadsheets/d/1uMKqWwuNQ-TCKboGA3Bb1qXb5uj2-faACNUINCz8PN4/edit?usp=sharing"",""มุกดาหาร!J613"")"),0)</f>
        <v>0</v>
      </c>
      <c r="CM40" s="141">
        <f t="shared" ca="1" si="19"/>
        <v>0</v>
      </c>
      <c r="CN40" s="63">
        <f ca="1">IFERROR(__xludf.DUMMYFUNCTION("IMPORTRANGE(""https://docs.google.com/spreadsheets/d/1uMKqWwuNQ-TCKboGA3Bb1qXb5uj2-faACNUINCz8PN4/edit?usp=sharing"",""มุกดาหาร!J614"")"),0)</f>
        <v>0</v>
      </c>
      <c r="CO40" s="140">
        <f ca="1">IFERROR(__xludf.DUMMYFUNCTION("IMPORTRANGE(""https://docs.google.com/spreadsheets/d/1uMKqWwuNQ-TCKboGA3Bb1qXb5uj2-faACNUINCz8PN4/edit?usp=sharing"",""มุกดาหาร!J615"")"),0)</f>
        <v>0</v>
      </c>
      <c r="CP40" s="63">
        <f ca="1">IFERROR(__xludf.DUMMYFUNCTION("IMPORTRANGE(""https://docs.google.com/spreadsheets/d/1uMKqWwuNQ-TCKboGA3Bb1qXb5uj2-faACNUINCz8PN4/edit?usp=sharing"",""มุกดาหาร!J616"")"),0)</f>
        <v>0</v>
      </c>
      <c r="CQ40" s="140">
        <f ca="1">IFERROR(__xludf.DUMMYFUNCTION("IMPORTRANGE(""https://docs.google.com/spreadsheets/d/1uMKqWwuNQ-TCKboGA3Bb1qXb5uj2-faACNUINCz8PN4/edit?usp=sharing"",""มุกดาหาร!J617"")"),0)</f>
        <v>0</v>
      </c>
      <c r="CR40" s="140">
        <f ca="1">IFERROR(__xludf.DUMMYFUNCTION("IMPORTRANGE(""https://docs.google.com/spreadsheets/d/1uMKqWwuNQ-TCKboGA3Bb1qXb5uj2-faACNUINCz8PN4/edit?usp=sharing"",""มุกดาหาร!I620"")"),6)</f>
        <v>6</v>
      </c>
      <c r="CS40" s="140">
        <f ca="1">IFERROR(__xludf.DUMMYFUNCTION("IMPORTRANGE(""https://docs.google.com/spreadsheets/d/1uMKqWwuNQ-TCKboGA3Bb1qXb5uj2-faACNUINCz8PN4/edit?usp=sharing"",""มุกดาหาร!I621"")"),2)</f>
        <v>2</v>
      </c>
      <c r="CT40" s="141">
        <f ca="1">IFERROR(__xludf.DUMMYFUNCTION("IMPORTRANGE(""https://docs.google.com/spreadsheets/d/1uMKqWwuNQ-TCKboGA3Bb1qXb5uj2-faACNUINCz8PN4/edit?usp=sharing"",""มุกดาหาร!J620"")"),0)</f>
        <v>0</v>
      </c>
      <c r="CU40" s="141">
        <f t="shared" ca="1" si="42"/>
        <v>0</v>
      </c>
      <c r="CV40" s="140">
        <f ca="1">IFERROR(__xludf.DUMMYFUNCTION("IMPORTRANGE(""https://docs.google.com/spreadsheets/d/1uMKqWwuNQ-TCKboGA3Bb1qXb5uj2-faACNUINCz8PN4/edit?usp=sharing"",""มุกดาหาร!J621"")"),0)</f>
        <v>0</v>
      </c>
      <c r="CW40" s="141">
        <f t="shared" ca="1" si="22"/>
        <v>0</v>
      </c>
      <c r="CX40" s="63">
        <f ca="1">IFERROR(__xludf.DUMMYFUNCTION("IMPORTRANGE(""https://docs.google.com/spreadsheets/d/1uMKqWwuNQ-TCKboGA3Bb1qXb5uj2-faACNUINCz8PN4/edit?usp=sharing"",""มุกดาหาร!J622"")"),0)</f>
        <v>0</v>
      </c>
      <c r="CY40" s="140">
        <f ca="1">IFERROR(__xludf.DUMMYFUNCTION("IMPORTRANGE(""https://docs.google.com/spreadsheets/d/1uMKqWwuNQ-TCKboGA3Bb1qXb5uj2-faACNUINCz8PN4/edit?usp=sharing"",""มุกดาหาร!J623"")"),0)</f>
        <v>0</v>
      </c>
      <c r="CZ40" s="63">
        <f ca="1">IFERROR(__xludf.DUMMYFUNCTION("IMPORTRANGE(""https://docs.google.com/spreadsheets/d/1uMKqWwuNQ-TCKboGA3Bb1qXb5uj2-faACNUINCz8PN4/edit?usp=sharing"",""มุกดาหาร!J624"")"),0)</f>
        <v>0</v>
      </c>
      <c r="DA40" s="140">
        <f ca="1">IFERROR(__xludf.DUMMYFUNCTION("IMPORTRANGE(""https://docs.google.com/spreadsheets/d/1uMKqWwuNQ-TCKboGA3Bb1qXb5uj2-faACNUINCz8PN4/edit?usp=sharing"",""มุกดาหาร!J625"")"),0)</f>
        <v>0</v>
      </c>
      <c r="DB40" s="63">
        <f ca="1">IFERROR(__xludf.DUMMYFUNCTION("IMPORTRANGE(""https://docs.google.com/spreadsheets/d/1uMKqWwuNQ-TCKboGA3Bb1qXb5uj2-faACNUINCz8PN4/edit?usp=sharing"",""มุกดาหาร!J626"")"),0)</f>
        <v>0</v>
      </c>
      <c r="DC40" s="140">
        <f ca="1">IFERROR(__xludf.DUMMYFUNCTION("IMPORTRANGE(""https://docs.google.com/spreadsheets/d/1uMKqWwuNQ-TCKboGA3Bb1qXb5uj2-faACNUINCz8PN4/edit?usp=sharing"",""มุกดาหาร!J627"")"),0)</f>
        <v>0</v>
      </c>
    </row>
    <row r="41" spans="1:107" ht="21" customHeight="1" x14ac:dyDescent="0.3">
      <c r="A41" s="54">
        <v>10</v>
      </c>
      <c r="B41" s="55" t="s">
        <v>62</v>
      </c>
      <c r="C41" s="56">
        <f t="shared" ca="1" si="66"/>
        <v>326325</v>
      </c>
      <c r="D41" s="57">
        <f ca="1">IFERROR(__xludf.DUMMYFUNCTION("IMPORTRANGE(""https://docs.google.com/spreadsheets/d/1oKaccgDdQABndOzGr688Dbfxb_V3YcF67VqEPBtdzsc/edit?usp=sharing"",""ยโสธร!L549"")"),326325)</f>
        <v>326325</v>
      </c>
      <c r="E41" s="64">
        <f ca="1">IFERROR(__xludf.DUMMYFUNCTION("IMPORTRANGE(""https://docs.google.com/spreadsheets/d/1oKaccgDdQABndOzGr688Dbfxb_V3YcF67VqEPBtdzsc/edit?usp=sharing"",""ยโสธร!L557"")"),0)</f>
        <v>0</v>
      </c>
      <c r="F41" s="64">
        <f ca="1">IFERROR(__xludf.DUMMYFUNCTION("IMPORTRANGE(""https://docs.google.com/spreadsheets/d/1oKaccgDdQABndOzGr688Dbfxb_V3YcF67VqEPBtdzsc/edit?usp=sharing"",""ยโสธร!M549"")"),326325)</f>
        <v>326325</v>
      </c>
      <c r="G41" s="64">
        <f ca="1">IFERROR(__xludf.DUMMYFUNCTION("IMPORTRANGE(""https://docs.google.com/spreadsheets/d/1oKaccgDdQABndOzGr688Dbfxb_V3YcF67VqEPBtdzsc/edit?usp=sharing"",""ยโสธร!M557"")"),0)</f>
        <v>0</v>
      </c>
      <c r="H41" s="58">
        <f t="shared" ca="1" si="36"/>
        <v>143145</v>
      </c>
      <c r="I41" s="59">
        <f t="shared" ca="1" si="1"/>
        <v>43.865777982073084</v>
      </c>
      <c r="J41" s="60">
        <f t="shared" ca="1" si="67"/>
        <v>143145</v>
      </c>
      <c r="K41" s="61">
        <f t="shared" ca="1" si="44"/>
        <v>43.865777982073084</v>
      </c>
      <c r="L41" s="61">
        <f t="shared" ca="1" si="45"/>
        <v>43.865777982073084</v>
      </c>
      <c r="M41" s="64">
        <f ca="1">IFERROR(__xludf.DUMMYFUNCTION("IMPORTRANGE(""https://docs.google.com/spreadsheets/d/1oKaccgDdQABndOzGr688Dbfxb_V3YcF67VqEPBtdzsc/edit?usp=sharing"",""ยโสธร!N550"")"),0)</f>
        <v>0</v>
      </c>
      <c r="N41" s="64">
        <f ca="1">IFERROR(__xludf.DUMMYFUNCTION("IMPORTRANGE(""https://docs.google.com/spreadsheets/d/1oKaccgDdQABndOzGr688Dbfxb_V3YcF67VqEPBtdzsc/edit?usp=sharing"",""ยโสธร!N551"")"),0)</f>
        <v>0</v>
      </c>
      <c r="O41" s="64">
        <f ca="1">IFERROR(__xludf.DUMMYFUNCTION("IMPORTRANGE(""https://docs.google.com/spreadsheets/d/1oKaccgDdQABndOzGr688Dbfxb_V3YcF67VqEPBtdzsc/edit?usp=sharing"",""ยโสธร!N552"")"),65000)</f>
        <v>65000</v>
      </c>
      <c r="P41" s="64">
        <f ca="1">IFERROR(__xludf.DUMMYFUNCTION("IMPORTRANGE(""https://docs.google.com/spreadsheets/d/1oKaccgDdQABndOzGr688Dbfxb_V3YcF67VqEPBtdzsc/edit?usp=sharing"",""ยโสธร!N553"")"),78145)</f>
        <v>78145</v>
      </c>
      <c r="Q41" s="64">
        <f ca="1">IFERROR(__xludf.DUMMYFUNCTION("IMPORTRANGE(""https://docs.google.com/spreadsheets/d/1oKaccgDdQABndOzGr688Dbfxb_V3YcF67VqEPBtdzsc/edit?usp=sharing"",""ยโสธร!N554"")"),0)</f>
        <v>0</v>
      </c>
      <c r="R41" s="62">
        <f ca="1">IFERROR(__xludf.DUMMYFUNCTION("IMPORTRANGE(""https://docs.google.com/spreadsheets/d/1oKaccgDdQABndOzGr688Dbfxb_V3YcF67VqEPBtdzsc/edit?usp=sharing"",""ยโสธร!N557"")"),0)</f>
        <v>0</v>
      </c>
      <c r="S41" s="62">
        <f t="shared" ca="1" si="47"/>
        <v>0</v>
      </c>
      <c r="T41" s="57">
        <f ca="1">IFERROR(__xludf.DUMMYFUNCTION("IMPORTRANGE(""https://docs.google.com/spreadsheets/d/1oKaccgDdQABndOzGr688Dbfxb_V3YcF67VqEPBtdzsc/edit?usp=sharing"",""ยโสธร!I560"")"),38042)</f>
        <v>38042</v>
      </c>
      <c r="U41" s="57">
        <f ca="1">IFERROR(__xludf.DUMMYFUNCTION("IMPORTRANGE(""https://docs.google.com/spreadsheets/d/1oKaccgDdQABndOzGr688Dbfxb_V3YcF67VqEPBtdzsc/edit?usp=sharing"",""ยโสธร!I561"")"),3787)</f>
        <v>3787</v>
      </c>
      <c r="V41" s="63">
        <f ca="1">IFERROR(__xludf.DUMMYFUNCTION("IMPORTRANGE(""https://docs.google.com/spreadsheets/d/1oKaccgDdQABndOzGr688Dbfxb_V3YcF67VqEPBtdzsc/edit?usp=sharing"",""ยโสธร!J560"")"),38042)</f>
        <v>38042</v>
      </c>
      <c r="W41" s="63">
        <f t="shared" ca="1" si="37"/>
        <v>100</v>
      </c>
      <c r="X41" s="57">
        <f ca="1">IFERROR(__xludf.DUMMYFUNCTION("IMPORTRANGE(""https://docs.google.com/spreadsheets/d/1oKaccgDdQABndOzGr688Dbfxb_V3YcF67VqEPBtdzsc/edit?usp=sharing"",""ยโสธร!J561"")"),3787)</f>
        <v>3787</v>
      </c>
      <c r="Y41" s="63">
        <f t="shared" ca="1" si="7"/>
        <v>100</v>
      </c>
      <c r="Z41" s="63">
        <f ca="1">IFERROR(__xludf.DUMMYFUNCTION("IMPORTRANGE(""https://docs.google.com/spreadsheets/d/1oKaccgDdQABndOzGr688Dbfxb_V3YcF67VqEPBtdzsc/edit?usp=sharing"",""ยโสธร!J562"")"),32410)</f>
        <v>32410</v>
      </c>
      <c r="AA41" s="140">
        <f ca="1">IFERROR(__xludf.DUMMYFUNCTION("IMPORTRANGE(""https://docs.google.com/spreadsheets/d/1oKaccgDdQABndOzGr688Dbfxb_V3YcF67VqEPBtdzsc/edit?usp=sharing"",""ยโสธร!J563"")"),3190)</f>
        <v>3190</v>
      </c>
      <c r="AB41" s="63">
        <f ca="1">IFERROR(__xludf.DUMMYFUNCTION("IMPORTRANGE(""https://docs.google.com/spreadsheets/d/1oKaccgDdQABndOzGr688Dbfxb_V3YcF67VqEPBtdzsc/edit?usp=sharing"",""ยโสธร!J564"")"),4743)</f>
        <v>4743</v>
      </c>
      <c r="AC41" s="140">
        <f ca="1">IFERROR(__xludf.DUMMYFUNCTION("IMPORTRANGE(""https://docs.google.com/spreadsheets/d/1oKaccgDdQABndOzGr688Dbfxb_V3YcF67VqEPBtdzsc/edit?usp=sharing"",""ยโสธร!J565"")"),522)</f>
        <v>522</v>
      </c>
      <c r="AD41" s="63">
        <f ca="1">IFERROR(__xludf.DUMMYFUNCTION("IMPORTRANGE(""https://docs.google.com/spreadsheets/d/1oKaccgDdQABndOzGr688Dbfxb_V3YcF67VqEPBtdzsc/edit?usp=sharing"",""ยโสธร!J566"")"),889)</f>
        <v>889</v>
      </c>
      <c r="AE41" s="140">
        <f ca="1">IFERROR(__xludf.DUMMYFUNCTION("IMPORTRANGE(""https://docs.google.com/spreadsheets/d/1oKaccgDdQABndOzGr688Dbfxb_V3YcF67VqEPBtdzsc/edit?usp=sharing"",""ยโสธร!J567"")"),75)</f>
        <v>75</v>
      </c>
      <c r="AF41" s="57">
        <f ca="1">IFERROR(__xludf.DUMMYFUNCTION("IMPORTRANGE(""https://docs.google.com/spreadsheets/d/1oKaccgDdQABndOzGr688Dbfxb_V3YcF67VqEPBtdzsc/edit?usp=sharing"",""ยโสธร!I568"")"),38042)</f>
        <v>38042</v>
      </c>
      <c r="AG41" s="57">
        <f ca="1">IFERROR(__xludf.DUMMYFUNCTION("IMPORTRANGE(""https://docs.google.com/spreadsheets/d/1oKaccgDdQABndOzGr688Dbfxb_V3YcF67VqEPBtdzsc/edit?usp=sharing"",""ยโสธร!I569"")"),3787)</f>
        <v>3787</v>
      </c>
      <c r="AH41" s="63">
        <f ca="1">IFERROR(__xludf.DUMMYFUNCTION("IMPORTRANGE(""https://docs.google.com/spreadsheets/d/1oKaccgDdQABndOzGr688Dbfxb_V3YcF67VqEPBtdzsc/edit?usp=sharing"",""ยโสธร!J568"")"),38043)</f>
        <v>38043</v>
      </c>
      <c r="AI41" s="63">
        <f t="shared" ca="1" si="38"/>
        <v>100.00262867357132</v>
      </c>
      <c r="AJ41" s="57">
        <f ca="1">IFERROR(__xludf.DUMMYFUNCTION("IMPORTRANGE(""https://docs.google.com/spreadsheets/d/1oKaccgDdQABndOzGr688Dbfxb_V3YcF67VqEPBtdzsc/edit?usp=sharing"",""ยโสธร!J569"")"),3787)</f>
        <v>3787</v>
      </c>
      <c r="AK41" s="63">
        <f t="shared" ca="1" si="10"/>
        <v>100</v>
      </c>
      <c r="AL41" s="63">
        <f ca="1">IFERROR(__xludf.DUMMYFUNCTION("IMPORTRANGE(""https://docs.google.com/spreadsheets/d/1oKaccgDdQABndOzGr688Dbfxb_V3YcF67VqEPBtdzsc/edit?usp=sharing"",""ยโสธร!J570"")"),34701)</f>
        <v>34701</v>
      </c>
      <c r="AM41" s="140">
        <f ca="1">IFERROR(__xludf.DUMMYFUNCTION("IMPORTRANGE(""https://docs.google.com/spreadsheets/d/1oKaccgDdQABndOzGr688Dbfxb_V3YcF67VqEPBtdzsc/edit?usp=sharing"",""ยโสธร!J571"")"),3485)</f>
        <v>3485</v>
      </c>
      <c r="AN41" s="63">
        <f ca="1">IFERROR(__xludf.DUMMYFUNCTION("IMPORTRANGE(""https://docs.google.com/spreadsheets/d/1oKaccgDdQABndOzGr688Dbfxb_V3YcF67VqEPBtdzsc/edit?usp=sharing"",""ยโสธร!J572"")"),2383)</f>
        <v>2383</v>
      </c>
      <c r="AO41" s="140">
        <f ca="1">IFERROR(__xludf.DUMMYFUNCTION("IMPORTRANGE(""https://docs.google.com/spreadsheets/d/1oKaccgDdQABndOzGr688Dbfxb_V3YcF67VqEPBtdzsc/edit?usp=sharing"",""ยโสธร!J573"")"),220)</f>
        <v>220</v>
      </c>
      <c r="AP41" s="63">
        <f ca="1">IFERROR(__xludf.DUMMYFUNCTION("IMPORTRANGE(""https://docs.google.com/spreadsheets/d/1oKaccgDdQABndOzGr688Dbfxb_V3YcF67VqEPBtdzsc/edit?usp=sharing"",""ยโสธร!J574"")"),959)</f>
        <v>959</v>
      </c>
      <c r="AQ41" s="140">
        <f ca="1">IFERROR(__xludf.DUMMYFUNCTION("IMPORTRANGE(""https://docs.google.com/spreadsheets/d/1oKaccgDdQABndOzGr688Dbfxb_V3YcF67VqEPBtdzsc/edit?usp=sharing"",""ยโสธร!J575"")"),82)</f>
        <v>82</v>
      </c>
      <c r="AR41" s="57">
        <f ca="1">IFERROR(__xludf.DUMMYFUNCTION("IMPORTRANGE(""https://docs.google.com/spreadsheets/d/1oKaccgDdQABndOzGr688Dbfxb_V3YcF67VqEPBtdzsc/edit?usp=sharing"",""ยโสธร!I576"")"),38042)</f>
        <v>38042</v>
      </c>
      <c r="AS41" s="57">
        <f ca="1">IFERROR(__xludf.DUMMYFUNCTION("IMPORTRANGE(""https://docs.google.com/spreadsheets/d/1oKaccgDdQABndOzGr688Dbfxb_V3YcF67VqEPBtdzsc/edit?usp=sharing"",""ยโสธร!I577"")"),3787)</f>
        <v>3787</v>
      </c>
      <c r="AT41" s="63">
        <f ca="1">IFERROR(__xludf.DUMMYFUNCTION("IMPORTRANGE(""https://docs.google.com/spreadsheets/d/1oKaccgDdQABndOzGr688Dbfxb_V3YcF67VqEPBtdzsc/edit?usp=sharing"",""ยโสธร!J576"")"),0)</f>
        <v>0</v>
      </c>
      <c r="AU41" s="63">
        <f t="shared" ca="1" si="39"/>
        <v>0</v>
      </c>
      <c r="AV41" s="57">
        <f ca="1">IFERROR(__xludf.DUMMYFUNCTION("IMPORTRANGE(""https://docs.google.com/spreadsheets/d/1oKaccgDdQABndOzGr688Dbfxb_V3YcF67VqEPBtdzsc/edit?usp=sharing"",""ยโสธร!J577"")"),0)</f>
        <v>0</v>
      </c>
      <c r="AW41" s="63">
        <f t="shared" ca="1" si="13"/>
        <v>0</v>
      </c>
      <c r="AX41" s="63">
        <f ca="1">IFERROR(__xludf.DUMMYFUNCTION("IMPORTRANGE(""https://docs.google.com/spreadsheets/d/1oKaccgDdQABndOzGr688Dbfxb_V3YcF67VqEPBtdzsc/edit?usp=sharing"",""ยโสธร!J578"")"),0)</f>
        <v>0</v>
      </c>
      <c r="AY41" s="140">
        <f ca="1">IFERROR(__xludf.DUMMYFUNCTION("IMPORTRANGE(""https://docs.google.com/spreadsheets/d/1oKaccgDdQABndOzGr688Dbfxb_V3YcF67VqEPBtdzsc/edit?usp=sharing"",""ยโสธร!J579"")"),0)</f>
        <v>0</v>
      </c>
      <c r="AZ41" s="63">
        <f ca="1">IFERROR(__xludf.DUMMYFUNCTION("IMPORTRANGE(""https://docs.google.com/spreadsheets/d/1oKaccgDdQABndOzGr688Dbfxb_V3YcF67VqEPBtdzsc/edit?usp=sharing"",""ยโสธร!J580"")"),0)</f>
        <v>0</v>
      </c>
      <c r="BA41" s="140">
        <f ca="1">IFERROR(__xludf.DUMMYFUNCTION("IMPORTRANGE(""https://docs.google.com/spreadsheets/d/1oKaccgDdQABndOzGr688Dbfxb_V3YcF67VqEPBtdzsc/edit?usp=sharing"",""ยโสธร!J581"")"),0)</f>
        <v>0</v>
      </c>
      <c r="BB41" s="63">
        <f ca="1">IFERROR(__xludf.DUMMYFUNCTION("IMPORTRANGE(""https://docs.google.com/spreadsheets/d/1oKaccgDdQABndOzGr688Dbfxb_V3YcF67VqEPBtdzsc/edit?usp=sharing"",""ยโสธร!J582"")"),0)</f>
        <v>0</v>
      </c>
      <c r="BC41" s="140">
        <f ca="1">IFERROR(__xludf.DUMMYFUNCTION("IMPORTRANGE(""https://docs.google.com/spreadsheets/d/1oKaccgDdQABndOzGr688Dbfxb_V3YcF67VqEPBtdzsc/edit?usp=sharing"",""ยโสธร!J583"")"),0)</f>
        <v>0</v>
      </c>
      <c r="BD41" s="141">
        <f ca="1">IFERROR(__xludf.DUMMYFUNCTION("IMPORTRANGE(""https://docs.google.com/spreadsheets/d/1oKaccgDdQABndOzGr688Dbfxb_V3YcF67VqEPBtdzsc/edit?usp=sharing"",""ยโสธร!J584"")"),0)</f>
        <v>0</v>
      </c>
      <c r="BE41" s="140">
        <f ca="1">IFERROR(__xludf.DUMMYFUNCTION("IMPORTRANGE(""https://docs.google.com/spreadsheets/d/1oKaccgDdQABndOzGr688Dbfxb_V3YcF67VqEPBtdzsc/edit?usp=sharing"",""ยโสธร!J585"")"),0)</f>
        <v>0</v>
      </c>
      <c r="BF41" s="141">
        <f ca="1">IFERROR(__xludf.DUMMYFUNCTION("IMPORTRANGE(""https://docs.google.com/spreadsheets/d/1oKaccgDdQABndOzGr688Dbfxb_V3YcF67VqEPBtdzsc/edit?usp=sharing"",""ยโสธร!J586"")"),0)</f>
        <v>0</v>
      </c>
      <c r="BG41" s="140">
        <f ca="1">IFERROR(__xludf.DUMMYFUNCTION("IMPORTRANGE(""https://docs.google.com/spreadsheets/d/1oKaccgDdQABndOzGr688Dbfxb_V3YcF67VqEPBtdzsc/edit?usp=sharing"",""ยโสธร!J587"")"),0)</f>
        <v>0</v>
      </c>
      <c r="BH41" s="63">
        <f ca="1">IFERROR(__xludf.DUMMYFUNCTION("IMPORTRANGE(""https://docs.google.com/spreadsheets/d/1oKaccgDdQABndOzGr688Dbfxb_V3YcF67VqEPBtdzsc/edit?usp=sharing"",""ยโสธร!J588"")"),0)</f>
        <v>0</v>
      </c>
      <c r="BI41" s="140">
        <f ca="1">IFERROR(__xludf.DUMMYFUNCTION("IMPORTRANGE(""https://docs.google.com/spreadsheets/d/1oKaccgDdQABndOzGr688Dbfxb_V3YcF67VqEPBtdzsc/edit?usp=sharing"",""ยโสธร!J589"")"),0)</f>
        <v>0</v>
      </c>
      <c r="BJ41" s="63">
        <f ca="1">IFERROR(__xludf.DUMMYFUNCTION("IMPORTRANGE(""https://docs.google.com/spreadsheets/d/1oKaccgDdQABndOzGr688Dbfxb_V3YcF67VqEPBtdzsc/edit?usp=sharing"",""ยโสธร!J590"")"),0)</f>
        <v>0</v>
      </c>
      <c r="BK41" s="140">
        <f ca="1">IFERROR(__xludf.DUMMYFUNCTION("IMPORTRANGE(""https://docs.google.com/spreadsheets/d/1oKaccgDdQABndOzGr688Dbfxb_V3YcF67VqEPBtdzsc/edit?usp=sharing"",""ยโสธร!J591"")"),0)</f>
        <v>0</v>
      </c>
      <c r="BL41" s="57">
        <f ca="1">IFERROR(__xludf.DUMMYFUNCTION("IMPORTRANGE(""https://docs.google.com/spreadsheets/d/1oKaccgDdQABndOzGr688Dbfxb_V3YcF67VqEPBtdzsc/edit?usp=sharing"",""ยโสธร!I593"")"),391.38)</f>
        <v>391.38</v>
      </c>
      <c r="BM41" s="57">
        <f ca="1">IFERROR(__xludf.DUMMYFUNCTION("IMPORTRANGE(""https://docs.google.com/spreadsheets/d/1oKaccgDdQABndOzGr688Dbfxb_V3YcF67VqEPBtdzsc/edit?usp=sharing"",""ยโสธร!I594"")"),28)</f>
        <v>28</v>
      </c>
      <c r="BN41" s="63">
        <f ca="1">IFERROR(__xludf.DUMMYFUNCTION("IMPORTRANGE(""https://docs.google.com/spreadsheets/d/1oKaccgDdQABndOzGr688Dbfxb_V3YcF67VqEPBtdzsc/edit?usp=sharing"",""ยโสธร!J593"")"),0)</f>
        <v>0</v>
      </c>
      <c r="BO41" s="63">
        <f t="shared" ca="1" si="40"/>
        <v>0</v>
      </c>
      <c r="BP41" s="57">
        <f ca="1">IFERROR(__xludf.DUMMYFUNCTION("IMPORTRANGE(""https://docs.google.com/spreadsheets/d/1oKaccgDdQABndOzGr688Dbfxb_V3YcF67VqEPBtdzsc/edit?usp=sharing"",""ยโสธร!J594"")"),0)</f>
        <v>0</v>
      </c>
      <c r="BQ41" s="63">
        <f t="shared" ca="1" si="16"/>
        <v>0</v>
      </c>
      <c r="BR41" s="63">
        <f ca="1">IFERROR(__xludf.DUMMYFUNCTION("IMPORTRANGE(""https://docs.google.com/spreadsheets/d/1oKaccgDdQABndOzGr688Dbfxb_V3YcF67VqEPBtdzsc/edit?usp=sharing"",""ยโสธร!J595"")"),0)</f>
        <v>0</v>
      </c>
      <c r="BS41" s="140">
        <f ca="1">IFERROR(__xludf.DUMMYFUNCTION("IMPORTRANGE(""https://docs.google.com/spreadsheets/d/1oKaccgDdQABndOzGr688Dbfxb_V3YcF67VqEPBtdzsc/edit?usp=sharing"",""ยโสธร!J596"")"),0)</f>
        <v>0</v>
      </c>
      <c r="BT41" s="63">
        <f ca="1">IFERROR(__xludf.DUMMYFUNCTION("IMPORTRANGE(""https://docs.google.com/spreadsheets/d/1oKaccgDdQABndOzGr688Dbfxb_V3YcF67VqEPBtdzsc/edit?usp=sharing"",""ยโสธร!J597"")"),0)</f>
        <v>0</v>
      </c>
      <c r="BU41" s="140">
        <f ca="1">IFERROR(__xludf.DUMMYFUNCTION("IMPORTRANGE(""https://docs.google.com/spreadsheets/d/1oKaccgDdQABndOzGr688Dbfxb_V3YcF67VqEPBtdzsc/edit?usp=sharing"",""ยโสธร!J598"")"),0)</f>
        <v>0</v>
      </c>
      <c r="BV41" s="63">
        <f ca="1">IFERROR(__xludf.DUMMYFUNCTION("IMPORTRANGE(""https://docs.google.com/spreadsheets/d/1oKaccgDdQABndOzGr688Dbfxb_V3YcF67VqEPBtdzsc/edit?usp=sharing"",""ยโสธร!J599"")"),0)</f>
        <v>0</v>
      </c>
      <c r="BW41" s="140">
        <f ca="1">IFERROR(__xludf.DUMMYFUNCTION("IMPORTRANGE(""https://docs.google.com/spreadsheets/d/1oKaccgDdQABndOzGr688Dbfxb_V3YcF67VqEPBtdzsc/edit?usp=sharing"",""ยโสธร!J600"")"),0)</f>
        <v>0</v>
      </c>
      <c r="BX41" s="141">
        <f ca="1">IFERROR(__xludf.DUMMYFUNCTION("IMPORTRANGE(""https://docs.google.com/spreadsheets/d/1oKaccgDdQABndOzGr688Dbfxb_V3YcF67VqEPBtdzsc/edit?usp=sharing"",""ยโสธร!J601"")"),0)</f>
        <v>0</v>
      </c>
      <c r="BY41" s="140">
        <f ca="1">IFERROR(__xludf.DUMMYFUNCTION("IMPORTRANGE(""https://docs.google.com/spreadsheets/d/1oKaccgDdQABndOzGr688Dbfxb_V3YcF67VqEPBtdzsc/edit?usp=sharing"",""ยโสธร!J602"")"),0)</f>
        <v>0</v>
      </c>
      <c r="BZ41" s="63">
        <f ca="1">IFERROR(__xludf.DUMMYFUNCTION("IMPORTRANGE(""https://docs.google.com/spreadsheets/d/1oKaccgDdQABndOzGr688Dbfxb_V3YcF67VqEPBtdzsc/edit?usp=sharing"",""ยโสธร!J603"")"),0)</f>
        <v>0</v>
      </c>
      <c r="CA41" s="140">
        <f ca="1">IFERROR(__xludf.DUMMYFUNCTION("IMPORTRANGE(""https://docs.google.com/spreadsheets/d/1oKaccgDdQABndOzGr688Dbfxb_V3YcF67VqEPBtdzsc/edit?usp=sharing"",""ยโสธร!J604"")"),0)</f>
        <v>0</v>
      </c>
      <c r="CB41" s="63">
        <f ca="1">IFERROR(__xludf.DUMMYFUNCTION("IMPORTRANGE(""https://docs.google.com/spreadsheets/d/1oKaccgDdQABndOzGr688Dbfxb_V3YcF67VqEPBtdzsc/edit?usp=sharing"",""ยโสธร!J605"")"),0)</f>
        <v>0</v>
      </c>
      <c r="CC41" s="140">
        <f ca="1">IFERROR(__xludf.DUMMYFUNCTION("IMPORTRANGE(""https://docs.google.com/spreadsheets/d/1oKaccgDdQABndOzGr688Dbfxb_V3YcF67VqEPBtdzsc/edit?usp=sharing"",""ยโสธร!J606"")"),0)</f>
        <v>0</v>
      </c>
      <c r="CD41" s="63">
        <f ca="1">IFERROR(__xludf.DUMMYFUNCTION("IMPORTRANGE(""https://docs.google.com/spreadsheets/d/1oKaccgDdQABndOzGr688Dbfxb_V3YcF67VqEPBtdzsc/edit?usp=sharing"",""ยโสธร!J607"")"),0)</f>
        <v>0</v>
      </c>
      <c r="CE41" s="140">
        <f ca="1">IFERROR(__xludf.DUMMYFUNCTION("IMPORTRANGE(""https://docs.google.com/spreadsheets/d/1oKaccgDdQABndOzGr688Dbfxb_V3YcF67VqEPBtdzsc/edit?usp=sharing"",""ยโสธร!J608"")"),0)</f>
        <v>0</v>
      </c>
      <c r="CF41" s="63">
        <f ca="1">IFERROR(__xludf.DUMMYFUNCTION("IMPORTRANGE(""https://docs.google.com/spreadsheets/d/1oKaccgDdQABndOzGr688Dbfxb_V3YcF67VqEPBtdzsc/edit?usp=sharing"",""ยโสธร!J609"")"),0)</f>
        <v>0</v>
      </c>
      <c r="CG41" s="140">
        <f ca="1">IFERROR(__xludf.DUMMYFUNCTION("IMPORTRANGE(""https://docs.google.com/spreadsheets/d/1oKaccgDdQABndOzGr688Dbfxb_V3YcF67VqEPBtdzsc/edit?usp=sharing"",""ยโสธร!J610"")"),0)</f>
        <v>0</v>
      </c>
      <c r="CH41" s="140">
        <f ca="1">IFERROR(__xludf.DUMMYFUNCTION("IMPORTRANGE(""https://docs.google.com/spreadsheets/d/1oKaccgDdQABndOzGr688Dbfxb_V3YcF67VqEPBtdzsc/edit?usp=sharing"",""ยโสธร!I612"")"),0)</f>
        <v>0</v>
      </c>
      <c r="CI41" s="140">
        <f ca="1">IFERROR(__xludf.DUMMYFUNCTION("IMPORTRANGE(""https://docs.google.com/spreadsheets/d/1oKaccgDdQABndOzGr688Dbfxb_V3YcF67VqEPBtdzsc/edit?usp=sharing"",""ยโสธร!I594"")"),28)</f>
        <v>28</v>
      </c>
      <c r="CJ41" s="141">
        <f ca="1">IFERROR(__xludf.DUMMYFUNCTION("IMPORTRANGE(""https://docs.google.com/spreadsheets/d/1oKaccgDdQABndOzGr688Dbfxb_V3YcF67VqEPBtdzsc/edit?usp=sharing"",""ยโสธร!J612"")"),0)</f>
        <v>0</v>
      </c>
      <c r="CK41" s="141">
        <f t="shared" ca="1" si="41"/>
        <v>0</v>
      </c>
      <c r="CL41" s="140">
        <f ca="1">IFERROR(__xludf.DUMMYFUNCTION("IMPORTRANGE(""https://docs.google.com/spreadsheets/d/1oKaccgDdQABndOzGr688Dbfxb_V3YcF67VqEPBtdzsc/edit?usp=sharing"",""ยโสธร!J613"")"),0)</f>
        <v>0</v>
      </c>
      <c r="CM41" s="141">
        <f t="shared" ca="1" si="19"/>
        <v>0</v>
      </c>
      <c r="CN41" s="63">
        <f ca="1">IFERROR(__xludf.DUMMYFUNCTION("IMPORTRANGE(""https://docs.google.com/spreadsheets/d/1oKaccgDdQABndOzGr688Dbfxb_V3YcF67VqEPBtdzsc/edit?usp=sharing"",""ยโสธร!J614"")"),0)</f>
        <v>0</v>
      </c>
      <c r="CO41" s="140">
        <f ca="1">IFERROR(__xludf.DUMMYFUNCTION("IMPORTRANGE(""https://docs.google.com/spreadsheets/d/1oKaccgDdQABndOzGr688Dbfxb_V3YcF67VqEPBtdzsc/edit?usp=sharing"",""ยโสธร!J615"")"),0)</f>
        <v>0</v>
      </c>
      <c r="CP41" s="63">
        <f ca="1">IFERROR(__xludf.DUMMYFUNCTION("IMPORTRANGE(""https://docs.google.com/spreadsheets/d/1oKaccgDdQABndOzGr688Dbfxb_V3YcF67VqEPBtdzsc/edit?usp=sharing"",""ยโสธร!J616"")"),0)</f>
        <v>0</v>
      </c>
      <c r="CQ41" s="140">
        <f ca="1">IFERROR(__xludf.DUMMYFUNCTION("IMPORTRANGE(""https://docs.google.com/spreadsheets/d/1oKaccgDdQABndOzGr688Dbfxb_V3YcF67VqEPBtdzsc/edit?usp=sharing"",""ยโสธร!J617"")"),0)</f>
        <v>0</v>
      </c>
      <c r="CR41" s="140">
        <f ca="1">IFERROR(__xludf.DUMMYFUNCTION("IMPORTRANGE(""https://docs.google.com/spreadsheets/d/1oKaccgDdQABndOzGr688Dbfxb_V3YcF67VqEPBtdzsc/edit?usp=sharing"",""ยโสธร!I620"")"),0)</f>
        <v>0</v>
      </c>
      <c r="CS41" s="140">
        <f ca="1">IFERROR(__xludf.DUMMYFUNCTION("IMPORTRANGE(""https://docs.google.com/spreadsheets/d/1oKaccgDdQABndOzGr688Dbfxb_V3YcF67VqEPBtdzsc/edit?usp=sharing"",""ยโสธร!I621"")"),0)</f>
        <v>0</v>
      </c>
      <c r="CT41" s="141">
        <f ca="1">IFERROR(__xludf.DUMMYFUNCTION("IMPORTRANGE(""https://docs.google.com/spreadsheets/d/1oKaccgDdQABndOzGr688Dbfxb_V3YcF67VqEPBtdzsc/edit?usp=sharing"",""ยโสธร!J620"")"),0)</f>
        <v>0</v>
      </c>
      <c r="CU41" s="141">
        <f t="shared" ca="1" si="42"/>
        <v>0</v>
      </c>
      <c r="CV41" s="140">
        <f ca="1">IFERROR(__xludf.DUMMYFUNCTION("IMPORTRANGE(""https://docs.google.com/spreadsheets/d/1oKaccgDdQABndOzGr688Dbfxb_V3YcF67VqEPBtdzsc/edit?usp=sharing"",""ยโสธร!J621"")"),0)</f>
        <v>0</v>
      </c>
      <c r="CW41" s="141">
        <f t="shared" ca="1" si="22"/>
        <v>0</v>
      </c>
      <c r="CX41" s="63">
        <f ca="1">IFERROR(__xludf.DUMMYFUNCTION("IMPORTRANGE(""https://docs.google.com/spreadsheets/d/1oKaccgDdQABndOzGr688Dbfxb_V3YcF67VqEPBtdzsc/edit?usp=sharing"",""ยโสธร!J622"")"),0)</f>
        <v>0</v>
      </c>
      <c r="CY41" s="140">
        <f ca="1">IFERROR(__xludf.DUMMYFUNCTION("IMPORTRANGE(""https://docs.google.com/spreadsheets/d/1oKaccgDdQABndOzGr688Dbfxb_V3YcF67VqEPBtdzsc/edit?usp=sharing"",""ยโสธร!J623"")"),0)</f>
        <v>0</v>
      </c>
      <c r="CZ41" s="63">
        <f ca="1">IFERROR(__xludf.DUMMYFUNCTION("IMPORTRANGE(""https://docs.google.com/spreadsheets/d/1oKaccgDdQABndOzGr688Dbfxb_V3YcF67VqEPBtdzsc/edit?usp=sharing"",""ยโสธร!J624"")"),0)</f>
        <v>0</v>
      </c>
      <c r="DA41" s="140">
        <f ca="1">IFERROR(__xludf.DUMMYFUNCTION("IMPORTRANGE(""https://docs.google.com/spreadsheets/d/1oKaccgDdQABndOzGr688Dbfxb_V3YcF67VqEPBtdzsc/edit?usp=sharing"",""ยโสธร!J625"")"),0)</f>
        <v>0</v>
      </c>
      <c r="DB41" s="63">
        <f ca="1">IFERROR(__xludf.DUMMYFUNCTION("IMPORTRANGE(""https://docs.google.com/spreadsheets/d/1oKaccgDdQABndOzGr688Dbfxb_V3YcF67VqEPBtdzsc/edit?usp=sharing"",""ยโสธร!J626"")"),0)</f>
        <v>0</v>
      </c>
      <c r="DC41" s="140">
        <f ca="1">IFERROR(__xludf.DUMMYFUNCTION("IMPORTRANGE(""https://docs.google.com/spreadsheets/d/1oKaccgDdQABndOzGr688Dbfxb_V3YcF67VqEPBtdzsc/edit?usp=sharing"",""ยโสธร!J627"")"),0)</f>
        <v>0</v>
      </c>
    </row>
    <row r="42" spans="1:107" ht="21" customHeight="1" x14ac:dyDescent="0.3">
      <c r="A42" s="54">
        <v>11</v>
      </c>
      <c r="B42" s="55" t="s">
        <v>63</v>
      </c>
      <c r="C42" s="56">
        <f t="shared" ca="1" si="66"/>
        <v>525419</v>
      </c>
      <c r="D42" s="57">
        <f ca="1">IFERROR(__xludf.DUMMYFUNCTION("IMPORTRANGE(""https://docs.google.com/spreadsheets/d/1BRgc8xKpxZ0PX-gauieMVkV_IOxKSotf0yW8MabGprQ/edit?usp=sharing"",""ร้อยเอ็ด!L549"")"),525419)</f>
        <v>525419</v>
      </c>
      <c r="E42" s="64">
        <f ca="1">IFERROR(__xludf.DUMMYFUNCTION("IMPORTRANGE(""https://docs.google.com/spreadsheets/d/1BRgc8xKpxZ0PX-gauieMVkV_IOxKSotf0yW8MabGprQ/edit?usp=sharing"",""ร้อยเอ็ด!L557"")"),0)</f>
        <v>0</v>
      </c>
      <c r="F42" s="64">
        <f ca="1">IFERROR(__xludf.DUMMYFUNCTION("IMPORTRANGE(""https://docs.google.com/spreadsheets/d/1BRgc8xKpxZ0PX-gauieMVkV_IOxKSotf0yW8MabGprQ/edit?usp=sharing"",""ร้อยเอ็ด!M549"")"),525419)</f>
        <v>525419</v>
      </c>
      <c r="G42" s="64">
        <f ca="1">IFERROR(__xludf.DUMMYFUNCTION("IMPORTRANGE(""https://docs.google.com/spreadsheets/d/1BRgc8xKpxZ0PX-gauieMVkV_IOxKSotf0yW8MabGprQ/edit?usp=sharing"",""ร้อยเอ็ด!M557"")"),0)</f>
        <v>0</v>
      </c>
      <c r="H42" s="58">
        <f t="shared" ca="1" si="36"/>
        <v>269971.84999999998</v>
      </c>
      <c r="I42" s="59">
        <f t="shared" ca="1" si="1"/>
        <v>51.382201633363081</v>
      </c>
      <c r="J42" s="60">
        <f t="shared" ca="1" si="67"/>
        <v>269971.84999999998</v>
      </c>
      <c r="K42" s="61">
        <f t="shared" ca="1" si="44"/>
        <v>51.382201633363081</v>
      </c>
      <c r="L42" s="61">
        <f t="shared" ca="1" si="45"/>
        <v>51.382201633363081</v>
      </c>
      <c r="M42" s="64">
        <f ca="1">IFERROR(__xludf.DUMMYFUNCTION("IMPORTRANGE(""https://docs.google.com/spreadsheets/d/1BRgc8xKpxZ0PX-gauieMVkV_IOxKSotf0yW8MabGprQ/edit?usp=sharing"",""ร้อยเอ็ด!N550"")"),0)</f>
        <v>0</v>
      </c>
      <c r="N42" s="64">
        <f ca="1">IFERROR(__xludf.DUMMYFUNCTION("IMPORTRANGE(""https://docs.google.com/spreadsheets/d/1BRgc8xKpxZ0PX-gauieMVkV_IOxKSotf0yW8MabGprQ/edit?usp=sharing"",""ร้อยเอ็ด!N551"")"),0)</f>
        <v>0</v>
      </c>
      <c r="O42" s="64">
        <f ca="1">IFERROR(__xludf.DUMMYFUNCTION("IMPORTRANGE(""https://docs.google.com/spreadsheets/d/1BRgc8xKpxZ0PX-gauieMVkV_IOxKSotf0yW8MabGprQ/edit?usp=sharing"",""ร้อยเอ็ด!N552"")"),64579.85)</f>
        <v>64579.85</v>
      </c>
      <c r="P42" s="64">
        <f ca="1">IFERROR(__xludf.DUMMYFUNCTION("IMPORTRANGE(""https://docs.google.com/spreadsheets/d/1BRgc8xKpxZ0PX-gauieMVkV_IOxKSotf0yW8MabGprQ/edit?usp=sharing"",""ร้อยเอ็ด!N553"")"),205392)</f>
        <v>205392</v>
      </c>
      <c r="Q42" s="64">
        <f ca="1">IFERROR(__xludf.DUMMYFUNCTION("IMPORTRANGE(""https://docs.google.com/spreadsheets/d/1BRgc8xKpxZ0PX-gauieMVkV_IOxKSotf0yW8MabGprQ/edit?usp=sharing"",""ร้อยเอ็ด!N554"")"),0)</f>
        <v>0</v>
      </c>
      <c r="R42" s="62">
        <f ca="1">IFERROR(__xludf.DUMMYFUNCTION("IMPORTRANGE(""https://docs.google.com/spreadsheets/d/1BRgc8xKpxZ0PX-gauieMVkV_IOxKSotf0yW8MabGprQ/edit?usp=sharing"",""ร้อยเอ็ด!N557"")"),0)</f>
        <v>0</v>
      </c>
      <c r="S42" s="62">
        <f t="shared" ca="1" si="47"/>
        <v>0</v>
      </c>
      <c r="T42" s="57">
        <f ca="1">IFERROR(__xludf.DUMMYFUNCTION("IMPORTRANGE(""https://docs.google.com/spreadsheets/d/1BRgc8xKpxZ0PX-gauieMVkV_IOxKSotf0yW8MabGprQ/edit?usp=sharing"",""ร้อยเอ็ด!I560"")"),63455)</f>
        <v>63455</v>
      </c>
      <c r="U42" s="57">
        <f ca="1">IFERROR(__xludf.DUMMYFUNCTION("IMPORTRANGE(""https://docs.google.com/spreadsheets/d/1BRgc8xKpxZ0PX-gauieMVkV_IOxKSotf0yW8MabGprQ/edit?usp=sharing"",""ร้อยเอ็ด!I561"")"),7501)</f>
        <v>7501</v>
      </c>
      <c r="V42" s="63">
        <f ca="1">IFERROR(__xludf.DUMMYFUNCTION("IMPORTRANGE(""https://docs.google.com/spreadsheets/d/1BRgc8xKpxZ0PX-gauieMVkV_IOxKSotf0yW8MabGprQ/edit?usp=sharing"",""ร้อยเอ็ด!J560"")"),63455)</f>
        <v>63455</v>
      </c>
      <c r="W42" s="63">
        <f t="shared" ca="1" si="37"/>
        <v>100</v>
      </c>
      <c r="X42" s="57">
        <f ca="1">IFERROR(__xludf.DUMMYFUNCTION("IMPORTRANGE(""https://docs.google.com/spreadsheets/d/1BRgc8xKpxZ0PX-gauieMVkV_IOxKSotf0yW8MabGprQ/edit?usp=sharing"",""ร้อยเอ็ด!J561"")"),7501)</f>
        <v>7501</v>
      </c>
      <c r="Y42" s="63">
        <f t="shared" ca="1" si="7"/>
        <v>100</v>
      </c>
      <c r="Z42" s="63">
        <f ca="1">IFERROR(__xludf.DUMMYFUNCTION("IMPORTRANGE(""https://docs.google.com/spreadsheets/d/1BRgc8xKpxZ0PX-gauieMVkV_IOxKSotf0yW8MabGprQ/edit?usp=sharing"",""ร้อยเอ็ด!J562"")"),52695)</f>
        <v>52695</v>
      </c>
      <c r="AA42" s="140">
        <f ca="1">IFERROR(__xludf.DUMMYFUNCTION("IMPORTRANGE(""https://docs.google.com/spreadsheets/d/1BRgc8xKpxZ0PX-gauieMVkV_IOxKSotf0yW8MabGprQ/edit?usp=sharing"",""ร้อยเอ็ด!J563"")"),6380)</f>
        <v>6380</v>
      </c>
      <c r="AB42" s="63">
        <f ca="1">IFERROR(__xludf.DUMMYFUNCTION("IMPORTRANGE(""https://docs.google.com/spreadsheets/d/1BRgc8xKpxZ0PX-gauieMVkV_IOxKSotf0yW8MabGprQ/edit?usp=sharing"",""ร้อยเอ็ด!J564"")"),8669)</f>
        <v>8669</v>
      </c>
      <c r="AC42" s="140">
        <f ca="1">IFERROR(__xludf.DUMMYFUNCTION("IMPORTRANGE(""https://docs.google.com/spreadsheets/d/1BRgc8xKpxZ0PX-gauieMVkV_IOxKSotf0yW8MabGprQ/edit?usp=sharing"",""ร้อยเอ็ด!J565"")"),886)</f>
        <v>886</v>
      </c>
      <c r="AD42" s="63">
        <f ca="1">IFERROR(__xludf.DUMMYFUNCTION("IMPORTRANGE(""https://docs.google.com/spreadsheets/d/1BRgc8xKpxZ0PX-gauieMVkV_IOxKSotf0yW8MabGprQ/edit?usp=sharing"",""ร้อยเอ็ด!J566"")"),2091)</f>
        <v>2091</v>
      </c>
      <c r="AE42" s="140">
        <f ca="1">IFERROR(__xludf.DUMMYFUNCTION("IMPORTRANGE(""https://docs.google.com/spreadsheets/d/1BRgc8xKpxZ0PX-gauieMVkV_IOxKSotf0yW8MabGprQ/edit?usp=sharing"",""ร้อยเอ็ด!J567"")"),235)</f>
        <v>235</v>
      </c>
      <c r="AF42" s="57">
        <f ca="1">IFERROR(__xludf.DUMMYFUNCTION("IMPORTRANGE(""https://docs.google.com/spreadsheets/d/1BRgc8xKpxZ0PX-gauieMVkV_IOxKSotf0yW8MabGprQ/edit?usp=sharing"",""ร้อยเอ็ด!I568"")"),63455)</f>
        <v>63455</v>
      </c>
      <c r="AG42" s="57">
        <f ca="1">IFERROR(__xludf.DUMMYFUNCTION("IMPORTRANGE(""https://docs.google.com/spreadsheets/d/1BRgc8xKpxZ0PX-gauieMVkV_IOxKSotf0yW8MabGprQ/edit?usp=sharing"",""ร้อยเอ็ด!I569"")"),7501)</f>
        <v>7501</v>
      </c>
      <c r="AH42" s="63">
        <f ca="1">IFERROR(__xludf.DUMMYFUNCTION("IMPORTRANGE(""https://docs.google.com/spreadsheets/d/1BRgc8xKpxZ0PX-gauieMVkV_IOxKSotf0yW8MabGprQ/edit?usp=sharing"",""ร้อยเอ็ด!J568"")"),63455)</f>
        <v>63455</v>
      </c>
      <c r="AI42" s="63">
        <f t="shared" ca="1" si="38"/>
        <v>100</v>
      </c>
      <c r="AJ42" s="57">
        <f ca="1">IFERROR(__xludf.DUMMYFUNCTION("IMPORTRANGE(""https://docs.google.com/spreadsheets/d/1BRgc8xKpxZ0PX-gauieMVkV_IOxKSotf0yW8MabGprQ/edit?usp=sharing"",""ร้อยเอ็ด!J569"")"),7501)</f>
        <v>7501</v>
      </c>
      <c r="AK42" s="63">
        <f t="shared" ca="1" si="10"/>
        <v>100</v>
      </c>
      <c r="AL42" s="63">
        <f ca="1">IFERROR(__xludf.DUMMYFUNCTION("IMPORTRANGE(""https://docs.google.com/spreadsheets/d/1BRgc8xKpxZ0PX-gauieMVkV_IOxKSotf0yW8MabGprQ/edit?usp=sharing"",""ร้อยเอ็ด!J570"")"),52990)</f>
        <v>52990</v>
      </c>
      <c r="AM42" s="140">
        <f ca="1">IFERROR(__xludf.DUMMYFUNCTION("IMPORTRANGE(""https://docs.google.com/spreadsheets/d/1BRgc8xKpxZ0PX-gauieMVkV_IOxKSotf0yW8MabGprQ/edit?usp=sharing"",""ร้อยเอ็ด!J571"")"),6418)</f>
        <v>6418</v>
      </c>
      <c r="AN42" s="63">
        <f ca="1">IFERROR(__xludf.DUMMYFUNCTION("IMPORTRANGE(""https://docs.google.com/spreadsheets/d/1BRgc8xKpxZ0PX-gauieMVkV_IOxKSotf0yW8MabGprQ/edit?usp=sharing"",""ร้อยเอ็ด!J572"")"),8286)</f>
        <v>8286</v>
      </c>
      <c r="AO42" s="140">
        <f ca="1">IFERROR(__xludf.DUMMYFUNCTION("IMPORTRANGE(""https://docs.google.com/spreadsheets/d/1BRgc8xKpxZ0PX-gauieMVkV_IOxKSotf0yW8MabGprQ/edit?usp=sharing"",""ร้อยเอ็ด!J573"")"),843)</f>
        <v>843</v>
      </c>
      <c r="AP42" s="63">
        <f ca="1">IFERROR(__xludf.DUMMYFUNCTION("IMPORTRANGE(""https://docs.google.com/spreadsheets/d/1BRgc8xKpxZ0PX-gauieMVkV_IOxKSotf0yW8MabGprQ/edit?usp=sharing"",""ร้อยเอ็ด!J574"")"),2179)</f>
        <v>2179</v>
      </c>
      <c r="AQ42" s="140">
        <f ca="1">IFERROR(__xludf.DUMMYFUNCTION("IMPORTRANGE(""https://docs.google.com/spreadsheets/d/1BRgc8xKpxZ0PX-gauieMVkV_IOxKSotf0yW8MabGprQ/edit?usp=sharing"",""ร้อยเอ็ด!J575"")"),240)</f>
        <v>240</v>
      </c>
      <c r="AR42" s="57">
        <f ca="1">IFERROR(__xludf.DUMMYFUNCTION("IMPORTRANGE(""https://docs.google.com/spreadsheets/d/1BRgc8xKpxZ0PX-gauieMVkV_IOxKSotf0yW8MabGprQ/edit?usp=sharing"",""ร้อยเอ็ด!I576"")"),63455)</f>
        <v>63455</v>
      </c>
      <c r="AS42" s="57">
        <f ca="1">IFERROR(__xludf.DUMMYFUNCTION("IMPORTRANGE(""https://docs.google.com/spreadsheets/d/1BRgc8xKpxZ0PX-gauieMVkV_IOxKSotf0yW8MabGprQ/edit?usp=sharing"",""ร้อยเอ็ด!I577"")"),7501)</f>
        <v>7501</v>
      </c>
      <c r="AT42" s="63">
        <f ca="1">IFERROR(__xludf.DUMMYFUNCTION("IMPORTRANGE(""https://docs.google.com/spreadsheets/d/1BRgc8xKpxZ0PX-gauieMVkV_IOxKSotf0yW8MabGprQ/edit?usp=sharing"",""ร้อยเอ็ด!J576"")"),0)</f>
        <v>0</v>
      </c>
      <c r="AU42" s="63">
        <f t="shared" ca="1" si="39"/>
        <v>0</v>
      </c>
      <c r="AV42" s="57">
        <f ca="1">IFERROR(__xludf.DUMMYFUNCTION("IMPORTRANGE(""https://docs.google.com/spreadsheets/d/1BRgc8xKpxZ0PX-gauieMVkV_IOxKSotf0yW8MabGprQ/edit?usp=sharing"",""ร้อยเอ็ด!J577"")"),0)</f>
        <v>0</v>
      </c>
      <c r="AW42" s="63">
        <f t="shared" ca="1" si="13"/>
        <v>0</v>
      </c>
      <c r="AX42" s="63">
        <f ca="1">IFERROR(__xludf.DUMMYFUNCTION("IMPORTRANGE(""https://docs.google.com/spreadsheets/d/1BRgc8xKpxZ0PX-gauieMVkV_IOxKSotf0yW8MabGprQ/edit?usp=sharing"",""ร้อยเอ็ด!J578"")"),0)</f>
        <v>0</v>
      </c>
      <c r="AY42" s="140">
        <f ca="1">IFERROR(__xludf.DUMMYFUNCTION("IMPORTRANGE(""https://docs.google.com/spreadsheets/d/1BRgc8xKpxZ0PX-gauieMVkV_IOxKSotf0yW8MabGprQ/edit?usp=sharing"",""ร้อยเอ็ด!J579"")"),0)</f>
        <v>0</v>
      </c>
      <c r="AZ42" s="63">
        <f ca="1">IFERROR(__xludf.DUMMYFUNCTION("IMPORTRANGE(""https://docs.google.com/spreadsheets/d/1BRgc8xKpxZ0PX-gauieMVkV_IOxKSotf0yW8MabGprQ/edit?usp=sharing"",""ร้อยเอ็ด!J580"")"),0)</f>
        <v>0</v>
      </c>
      <c r="BA42" s="140">
        <f ca="1">IFERROR(__xludf.DUMMYFUNCTION("IMPORTRANGE(""https://docs.google.com/spreadsheets/d/1BRgc8xKpxZ0PX-gauieMVkV_IOxKSotf0yW8MabGprQ/edit?usp=sharing"",""ร้อยเอ็ด!J581"")"),0)</f>
        <v>0</v>
      </c>
      <c r="BB42" s="63">
        <f ca="1">IFERROR(__xludf.DUMMYFUNCTION("IMPORTRANGE(""https://docs.google.com/spreadsheets/d/1BRgc8xKpxZ0PX-gauieMVkV_IOxKSotf0yW8MabGprQ/edit?usp=sharing"",""ร้อยเอ็ด!J582"")"),0)</f>
        <v>0</v>
      </c>
      <c r="BC42" s="140">
        <f ca="1">IFERROR(__xludf.DUMMYFUNCTION("IMPORTRANGE(""https://docs.google.com/spreadsheets/d/1BRgc8xKpxZ0PX-gauieMVkV_IOxKSotf0yW8MabGprQ/edit?usp=sharing"",""ร้อยเอ็ด!J583"")"),0)</f>
        <v>0</v>
      </c>
      <c r="BD42" s="141">
        <f ca="1">IFERROR(__xludf.DUMMYFUNCTION("IMPORTRANGE(""https://docs.google.com/spreadsheets/d/1BRgc8xKpxZ0PX-gauieMVkV_IOxKSotf0yW8MabGprQ/edit?usp=sharing"",""ร้อยเอ็ด!J584"")"),0)</f>
        <v>0</v>
      </c>
      <c r="BE42" s="140">
        <f ca="1">IFERROR(__xludf.DUMMYFUNCTION("IMPORTRANGE(""https://docs.google.com/spreadsheets/d/1BRgc8xKpxZ0PX-gauieMVkV_IOxKSotf0yW8MabGprQ/edit?usp=sharing"",""ร้อยเอ็ด!J585"")"),0)</f>
        <v>0</v>
      </c>
      <c r="BF42" s="141">
        <f ca="1">IFERROR(__xludf.DUMMYFUNCTION("IMPORTRANGE(""https://docs.google.com/spreadsheets/d/1BRgc8xKpxZ0PX-gauieMVkV_IOxKSotf0yW8MabGprQ/edit?usp=sharing"",""ร้อยเอ็ด!J586"")"),0)</f>
        <v>0</v>
      </c>
      <c r="BG42" s="140">
        <f ca="1">IFERROR(__xludf.DUMMYFUNCTION("IMPORTRANGE(""https://docs.google.com/spreadsheets/d/1BRgc8xKpxZ0PX-gauieMVkV_IOxKSotf0yW8MabGprQ/edit?usp=sharing"",""ร้อยเอ็ด!J587"")"),0)</f>
        <v>0</v>
      </c>
      <c r="BH42" s="63">
        <f ca="1">IFERROR(__xludf.DUMMYFUNCTION("IMPORTRANGE(""https://docs.google.com/spreadsheets/d/1BRgc8xKpxZ0PX-gauieMVkV_IOxKSotf0yW8MabGprQ/edit?usp=sharing"",""ร้อยเอ็ด!J588"")"),0)</f>
        <v>0</v>
      </c>
      <c r="BI42" s="140">
        <f ca="1">IFERROR(__xludf.DUMMYFUNCTION("IMPORTRANGE(""https://docs.google.com/spreadsheets/d/1BRgc8xKpxZ0PX-gauieMVkV_IOxKSotf0yW8MabGprQ/edit?usp=sharing"",""ร้อยเอ็ด!J589"")"),0)</f>
        <v>0</v>
      </c>
      <c r="BJ42" s="63">
        <f ca="1">IFERROR(__xludf.DUMMYFUNCTION("IMPORTRANGE(""https://docs.google.com/spreadsheets/d/1BRgc8xKpxZ0PX-gauieMVkV_IOxKSotf0yW8MabGprQ/edit?usp=sharing"",""ร้อยเอ็ด!J590"")"),0)</f>
        <v>0</v>
      </c>
      <c r="BK42" s="140">
        <f ca="1">IFERROR(__xludf.DUMMYFUNCTION("IMPORTRANGE(""https://docs.google.com/spreadsheets/d/1BRgc8xKpxZ0PX-gauieMVkV_IOxKSotf0yW8MabGprQ/edit?usp=sharing"",""ร้อยเอ็ด!J591"")"),0)</f>
        <v>0</v>
      </c>
      <c r="BL42" s="57">
        <f ca="1">IFERROR(__xludf.DUMMYFUNCTION("IMPORTRANGE(""https://docs.google.com/spreadsheets/d/1BRgc8xKpxZ0PX-gauieMVkV_IOxKSotf0yW8MabGprQ/edit?usp=sharing"",""ร้อยเอ็ด!I593"")"),6025.25)</f>
        <v>6025.25</v>
      </c>
      <c r="BM42" s="57">
        <f ca="1">IFERROR(__xludf.DUMMYFUNCTION("IMPORTRANGE(""https://docs.google.com/spreadsheets/d/1BRgc8xKpxZ0PX-gauieMVkV_IOxKSotf0yW8MabGprQ/edit?usp=sharing"",""ร้อยเอ็ด!I594"")"),553)</f>
        <v>553</v>
      </c>
      <c r="BN42" s="63">
        <f ca="1">IFERROR(__xludf.DUMMYFUNCTION("IMPORTRANGE(""https://docs.google.com/spreadsheets/d/1BRgc8xKpxZ0PX-gauieMVkV_IOxKSotf0yW8MabGprQ/edit?usp=sharing"",""ร้อยเอ็ด!J593"")"),0)</f>
        <v>0</v>
      </c>
      <c r="BO42" s="63">
        <f t="shared" ca="1" si="40"/>
        <v>0</v>
      </c>
      <c r="BP42" s="57">
        <f ca="1">IFERROR(__xludf.DUMMYFUNCTION("IMPORTRANGE(""https://docs.google.com/spreadsheets/d/1BRgc8xKpxZ0PX-gauieMVkV_IOxKSotf0yW8MabGprQ/edit?usp=sharing"",""ร้อยเอ็ด!J594"")"),0)</f>
        <v>0</v>
      </c>
      <c r="BQ42" s="63">
        <f t="shared" ca="1" si="16"/>
        <v>0</v>
      </c>
      <c r="BR42" s="63">
        <f ca="1">IFERROR(__xludf.DUMMYFUNCTION("IMPORTRANGE(""https://docs.google.com/spreadsheets/d/1BRgc8xKpxZ0PX-gauieMVkV_IOxKSotf0yW8MabGprQ/edit?usp=sharing"",""ร้อยเอ็ด!J595"")"),0)</f>
        <v>0</v>
      </c>
      <c r="BS42" s="140">
        <f ca="1">IFERROR(__xludf.DUMMYFUNCTION("IMPORTRANGE(""https://docs.google.com/spreadsheets/d/1BRgc8xKpxZ0PX-gauieMVkV_IOxKSotf0yW8MabGprQ/edit?usp=sharing"",""ร้อยเอ็ด!J596"")"),0)</f>
        <v>0</v>
      </c>
      <c r="BT42" s="63">
        <f ca="1">IFERROR(__xludf.DUMMYFUNCTION("IMPORTRANGE(""https://docs.google.com/spreadsheets/d/1BRgc8xKpxZ0PX-gauieMVkV_IOxKSotf0yW8MabGprQ/edit?usp=sharing"",""ร้อยเอ็ด!J597"")"),0)</f>
        <v>0</v>
      </c>
      <c r="BU42" s="140">
        <f ca="1">IFERROR(__xludf.DUMMYFUNCTION("IMPORTRANGE(""https://docs.google.com/spreadsheets/d/1BRgc8xKpxZ0PX-gauieMVkV_IOxKSotf0yW8MabGprQ/edit?usp=sharing"",""ร้อยเอ็ด!J598"")"),0)</f>
        <v>0</v>
      </c>
      <c r="BV42" s="63">
        <f ca="1">IFERROR(__xludf.DUMMYFUNCTION("IMPORTRANGE(""https://docs.google.com/spreadsheets/d/1BRgc8xKpxZ0PX-gauieMVkV_IOxKSotf0yW8MabGprQ/edit?usp=sharing"",""ร้อยเอ็ด!J599"")"),0)</f>
        <v>0</v>
      </c>
      <c r="BW42" s="140">
        <f ca="1">IFERROR(__xludf.DUMMYFUNCTION("IMPORTRANGE(""https://docs.google.com/spreadsheets/d/1BRgc8xKpxZ0PX-gauieMVkV_IOxKSotf0yW8MabGprQ/edit?usp=sharing"",""ร้อยเอ็ด!J600"")"),0)</f>
        <v>0</v>
      </c>
      <c r="BX42" s="141">
        <f ca="1">IFERROR(__xludf.DUMMYFUNCTION("IMPORTRANGE(""https://docs.google.com/spreadsheets/d/1BRgc8xKpxZ0PX-gauieMVkV_IOxKSotf0yW8MabGprQ/edit?usp=sharing"",""ร้อยเอ็ด!J601"")"),0)</f>
        <v>0</v>
      </c>
      <c r="BY42" s="140">
        <f ca="1">IFERROR(__xludf.DUMMYFUNCTION("IMPORTRANGE(""https://docs.google.com/spreadsheets/d/1BRgc8xKpxZ0PX-gauieMVkV_IOxKSotf0yW8MabGprQ/edit?usp=sharing"",""ร้อยเอ็ด!J602"")"),0)</f>
        <v>0</v>
      </c>
      <c r="BZ42" s="63">
        <f ca="1">IFERROR(__xludf.DUMMYFUNCTION("IMPORTRANGE(""https://docs.google.com/spreadsheets/d/1BRgc8xKpxZ0PX-gauieMVkV_IOxKSotf0yW8MabGprQ/edit?usp=sharing"",""ร้อยเอ็ด!J603"")"),0)</f>
        <v>0</v>
      </c>
      <c r="CA42" s="140">
        <f ca="1">IFERROR(__xludf.DUMMYFUNCTION("IMPORTRANGE(""https://docs.google.com/spreadsheets/d/1BRgc8xKpxZ0PX-gauieMVkV_IOxKSotf0yW8MabGprQ/edit?usp=sharing"",""ร้อยเอ็ด!J604"")"),0)</f>
        <v>0</v>
      </c>
      <c r="CB42" s="63">
        <f ca="1">IFERROR(__xludf.DUMMYFUNCTION("IMPORTRANGE(""https://docs.google.com/spreadsheets/d/1BRgc8xKpxZ0PX-gauieMVkV_IOxKSotf0yW8MabGprQ/edit?usp=sharing"",""ร้อยเอ็ด!J605"")"),0)</f>
        <v>0</v>
      </c>
      <c r="CC42" s="140">
        <f ca="1">IFERROR(__xludf.DUMMYFUNCTION("IMPORTRANGE(""https://docs.google.com/spreadsheets/d/1BRgc8xKpxZ0PX-gauieMVkV_IOxKSotf0yW8MabGprQ/edit?usp=sharing"",""ร้อยเอ็ด!J606"")"),0)</f>
        <v>0</v>
      </c>
      <c r="CD42" s="63">
        <f ca="1">IFERROR(__xludf.DUMMYFUNCTION("IMPORTRANGE(""https://docs.google.com/spreadsheets/d/1BRgc8xKpxZ0PX-gauieMVkV_IOxKSotf0yW8MabGprQ/edit?usp=sharing"",""ร้อยเอ็ด!J607"")"),0)</f>
        <v>0</v>
      </c>
      <c r="CE42" s="140">
        <f ca="1">IFERROR(__xludf.DUMMYFUNCTION("IMPORTRANGE(""https://docs.google.com/spreadsheets/d/1BRgc8xKpxZ0PX-gauieMVkV_IOxKSotf0yW8MabGprQ/edit?usp=sharing"",""ร้อยเอ็ด!J608"")"),0)</f>
        <v>0</v>
      </c>
      <c r="CF42" s="63">
        <f ca="1">IFERROR(__xludf.DUMMYFUNCTION("IMPORTRANGE(""https://docs.google.com/spreadsheets/d/1BRgc8xKpxZ0PX-gauieMVkV_IOxKSotf0yW8MabGprQ/edit?usp=sharing"",""ร้อยเอ็ด!J609"")"),0)</f>
        <v>0</v>
      </c>
      <c r="CG42" s="140">
        <f ca="1">IFERROR(__xludf.DUMMYFUNCTION("IMPORTRANGE(""https://docs.google.com/spreadsheets/d/1BRgc8xKpxZ0PX-gauieMVkV_IOxKSotf0yW8MabGprQ/edit?usp=sharing"",""ร้อยเอ็ด!J610"")"),0)</f>
        <v>0</v>
      </c>
      <c r="CH42" s="140">
        <f ca="1">IFERROR(__xludf.DUMMYFUNCTION("IMPORTRANGE(""https://docs.google.com/spreadsheets/d/1BRgc8xKpxZ0PX-gauieMVkV_IOxKSotf0yW8MabGprQ/edit?usp=sharing"",""ร้อยเอ็ด!I612"")"),0)</f>
        <v>0</v>
      </c>
      <c r="CI42" s="140">
        <f ca="1">IFERROR(__xludf.DUMMYFUNCTION("IMPORTRANGE(""https://docs.google.com/spreadsheets/d/1BRgc8xKpxZ0PX-gauieMVkV_IOxKSotf0yW8MabGprQ/edit?usp=sharing"",""ร้อยเอ็ด!I594"")"),553)</f>
        <v>553</v>
      </c>
      <c r="CJ42" s="141">
        <f ca="1">IFERROR(__xludf.DUMMYFUNCTION("IMPORTRANGE(""https://docs.google.com/spreadsheets/d/1BRgc8xKpxZ0PX-gauieMVkV_IOxKSotf0yW8MabGprQ/edit?usp=sharing"",""ร้อยเอ็ด!J612"")"),0)</f>
        <v>0</v>
      </c>
      <c r="CK42" s="141">
        <f t="shared" ca="1" si="41"/>
        <v>0</v>
      </c>
      <c r="CL42" s="140">
        <f ca="1">IFERROR(__xludf.DUMMYFUNCTION("IMPORTRANGE(""https://docs.google.com/spreadsheets/d/1BRgc8xKpxZ0PX-gauieMVkV_IOxKSotf0yW8MabGprQ/edit?usp=sharing"",""ร้อยเอ็ด!J613"")"),0)</f>
        <v>0</v>
      </c>
      <c r="CM42" s="141">
        <f t="shared" ca="1" si="19"/>
        <v>0</v>
      </c>
      <c r="CN42" s="63">
        <f ca="1">IFERROR(__xludf.DUMMYFUNCTION("IMPORTRANGE(""https://docs.google.com/spreadsheets/d/1BRgc8xKpxZ0PX-gauieMVkV_IOxKSotf0yW8MabGprQ/edit?usp=sharing"",""ร้อยเอ็ด!J614"")"),0)</f>
        <v>0</v>
      </c>
      <c r="CO42" s="140">
        <f ca="1">IFERROR(__xludf.DUMMYFUNCTION("IMPORTRANGE(""https://docs.google.com/spreadsheets/d/1BRgc8xKpxZ0PX-gauieMVkV_IOxKSotf0yW8MabGprQ/edit?usp=sharing"",""ร้อยเอ็ด!J615"")"),0)</f>
        <v>0</v>
      </c>
      <c r="CP42" s="63">
        <f ca="1">IFERROR(__xludf.DUMMYFUNCTION("IMPORTRANGE(""https://docs.google.com/spreadsheets/d/1BRgc8xKpxZ0PX-gauieMVkV_IOxKSotf0yW8MabGprQ/edit?usp=sharing"",""ร้อยเอ็ด!J616"")"),0)</f>
        <v>0</v>
      </c>
      <c r="CQ42" s="140">
        <f ca="1">IFERROR(__xludf.DUMMYFUNCTION("IMPORTRANGE(""https://docs.google.com/spreadsheets/d/1BRgc8xKpxZ0PX-gauieMVkV_IOxKSotf0yW8MabGprQ/edit?usp=sharing"",""ร้อยเอ็ด!J617"")"),0)</f>
        <v>0</v>
      </c>
      <c r="CR42" s="140">
        <f ca="1">IFERROR(__xludf.DUMMYFUNCTION("IMPORTRANGE(""https://docs.google.com/spreadsheets/d/1BRgc8xKpxZ0PX-gauieMVkV_IOxKSotf0yW8MabGprQ/edit?usp=sharing"",""ร้อยเอ็ด!I620"")"),144)</f>
        <v>144</v>
      </c>
      <c r="CS42" s="140">
        <f ca="1">IFERROR(__xludf.DUMMYFUNCTION("IMPORTRANGE(""https://docs.google.com/spreadsheets/d/1BRgc8xKpxZ0PX-gauieMVkV_IOxKSotf0yW8MabGprQ/edit?usp=sharing"",""ร้อยเอ็ด!I621"")"),9)</f>
        <v>9</v>
      </c>
      <c r="CT42" s="141">
        <f ca="1">IFERROR(__xludf.DUMMYFUNCTION("IMPORTRANGE(""https://docs.google.com/spreadsheets/d/1BRgc8xKpxZ0PX-gauieMVkV_IOxKSotf0yW8MabGprQ/edit?usp=sharing"",""ร้อยเอ็ด!J620"")"),0)</f>
        <v>0</v>
      </c>
      <c r="CU42" s="141">
        <f t="shared" ca="1" si="42"/>
        <v>0</v>
      </c>
      <c r="CV42" s="140">
        <f ca="1">IFERROR(__xludf.DUMMYFUNCTION("IMPORTRANGE(""https://docs.google.com/spreadsheets/d/1BRgc8xKpxZ0PX-gauieMVkV_IOxKSotf0yW8MabGprQ/edit?usp=sharing"",""ร้อยเอ็ด!J621"")"),0)</f>
        <v>0</v>
      </c>
      <c r="CW42" s="141">
        <f t="shared" ca="1" si="22"/>
        <v>0</v>
      </c>
      <c r="CX42" s="63">
        <f ca="1">IFERROR(__xludf.DUMMYFUNCTION("IMPORTRANGE(""https://docs.google.com/spreadsheets/d/1BRgc8xKpxZ0PX-gauieMVkV_IOxKSotf0yW8MabGprQ/edit?usp=sharing"",""ร้อยเอ็ด!J622"")"),0)</f>
        <v>0</v>
      </c>
      <c r="CY42" s="140">
        <f ca="1">IFERROR(__xludf.DUMMYFUNCTION("IMPORTRANGE(""https://docs.google.com/spreadsheets/d/1BRgc8xKpxZ0PX-gauieMVkV_IOxKSotf0yW8MabGprQ/edit?usp=sharing"",""ร้อยเอ็ด!J623"")"),0)</f>
        <v>0</v>
      </c>
      <c r="CZ42" s="63">
        <f ca="1">IFERROR(__xludf.DUMMYFUNCTION("IMPORTRANGE(""https://docs.google.com/spreadsheets/d/1BRgc8xKpxZ0PX-gauieMVkV_IOxKSotf0yW8MabGprQ/edit?usp=sharing"",""ร้อยเอ็ด!J624"")"),0)</f>
        <v>0</v>
      </c>
      <c r="DA42" s="140">
        <f ca="1">IFERROR(__xludf.DUMMYFUNCTION("IMPORTRANGE(""https://docs.google.com/spreadsheets/d/1BRgc8xKpxZ0PX-gauieMVkV_IOxKSotf0yW8MabGprQ/edit?usp=sharing"",""ร้อยเอ็ด!J625"")"),0)</f>
        <v>0</v>
      </c>
      <c r="DB42" s="63">
        <f ca="1">IFERROR(__xludf.DUMMYFUNCTION("IMPORTRANGE(""https://docs.google.com/spreadsheets/d/1BRgc8xKpxZ0PX-gauieMVkV_IOxKSotf0yW8MabGprQ/edit?usp=sharing"",""ร้อยเอ็ด!J626"")"),0)</f>
        <v>0</v>
      </c>
      <c r="DC42" s="140">
        <f ca="1">IFERROR(__xludf.DUMMYFUNCTION("IMPORTRANGE(""https://docs.google.com/spreadsheets/d/1BRgc8xKpxZ0PX-gauieMVkV_IOxKSotf0yW8MabGprQ/edit?usp=sharing"",""ร้อยเอ็ด!J627"")"),0)</f>
        <v>0</v>
      </c>
    </row>
    <row r="43" spans="1:107" ht="21" customHeight="1" x14ac:dyDescent="0.3">
      <c r="A43" s="54">
        <v>12</v>
      </c>
      <c r="B43" s="55" t="s">
        <v>64</v>
      </c>
      <c r="C43" s="56">
        <f t="shared" ca="1" si="66"/>
        <v>421879</v>
      </c>
      <c r="D43" s="57">
        <f ca="1">IFERROR(__xludf.DUMMYFUNCTION("IMPORTRANGE(""https://docs.google.com/spreadsheets/d/1IdolZc-dfdgMwAm_KZxYJl1sUOcIgnbGQzbWOlddedo/edit?usp=sharing"",""เลย!L549"")"),421879)</f>
        <v>421879</v>
      </c>
      <c r="E43" s="64">
        <f ca="1">IFERROR(__xludf.DUMMYFUNCTION("IMPORTRANGE(""https://docs.google.com/spreadsheets/d/1IdolZc-dfdgMwAm_KZxYJl1sUOcIgnbGQzbWOlddedo/edit?usp=sharing"",""เลย!L557"")"),0)</f>
        <v>0</v>
      </c>
      <c r="F43" s="64">
        <f ca="1">IFERROR(__xludf.DUMMYFUNCTION("IMPORTRANGE(""https://docs.google.com/spreadsheets/d/1IdolZc-dfdgMwAm_KZxYJl1sUOcIgnbGQzbWOlddedo/edit?usp=sharing"",""เลย!M549"")"),421879)</f>
        <v>421879</v>
      </c>
      <c r="G43" s="64">
        <f ca="1">IFERROR(__xludf.DUMMYFUNCTION("IMPORTRANGE(""https://docs.google.com/spreadsheets/d/1IdolZc-dfdgMwAm_KZxYJl1sUOcIgnbGQzbWOlddedo/edit?usp=sharing"",""เลย!M557"")"),0)</f>
        <v>0</v>
      </c>
      <c r="H43" s="58">
        <f t="shared" ca="1" si="36"/>
        <v>211690.6</v>
      </c>
      <c r="I43" s="59">
        <f t="shared" ca="1" si="1"/>
        <v>50.178036830465608</v>
      </c>
      <c r="J43" s="60">
        <f t="shared" ca="1" si="67"/>
        <v>211690.6</v>
      </c>
      <c r="K43" s="61">
        <f t="shared" ca="1" si="44"/>
        <v>50.178036830465608</v>
      </c>
      <c r="L43" s="61">
        <f t="shared" ca="1" si="45"/>
        <v>50.178036830465608</v>
      </c>
      <c r="M43" s="64">
        <f ca="1">IFERROR(__xludf.DUMMYFUNCTION("IMPORTRANGE(""https://docs.google.com/spreadsheets/d/1IdolZc-dfdgMwAm_KZxYJl1sUOcIgnbGQzbWOlddedo/edit?usp=sharing"",""เลย!N550"")"),0)</f>
        <v>0</v>
      </c>
      <c r="N43" s="64">
        <f ca="1">IFERROR(__xludf.DUMMYFUNCTION("IMPORTRANGE(""https://docs.google.com/spreadsheets/d/1IdolZc-dfdgMwAm_KZxYJl1sUOcIgnbGQzbWOlddedo/edit?usp=sharing"",""เลย!N551"")"),0)</f>
        <v>0</v>
      </c>
      <c r="O43" s="64">
        <f ca="1">IFERROR(__xludf.DUMMYFUNCTION("IMPORTRANGE(""https://docs.google.com/spreadsheets/d/1IdolZc-dfdgMwAm_KZxYJl1sUOcIgnbGQzbWOlddedo/edit?usp=sharing"",""เลย!N552"")"),63268)</f>
        <v>63268</v>
      </c>
      <c r="P43" s="64">
        <f ca="1">IFERROR(__xludf.DUMMYFUNCTION("IMPORTRANGE(""https://docs.google.com/spreadsheets/d/1IdolZc-dfdgMwAm_KZxYJl1sUOcIgnbGQzbWOlddedo/edit?usp=sharing"",""เลย!N553"")"),148422.6)</f>
        <v>148422.6</v>
      </c>
      <c r="Q43" s="64">
        <f ca="1">IFERROR(__xludf.DUMMYFUNCTION("IMPORTRANGE(""https://docs.google.com/spreadsheets/d/1IdolZc-dfdgMwAm_KZxYJl1sUOcIgnbGQzbWOlddedo/edit?usp=sharing"",""เลย!N554"")"),0)</f>
        <v>0</v>
      </c>
      <c r="R43" s="62">
        <f ca="1">IFERROR(__xludf.DUMMYFUNCTION("IMPORTRANGE(""https://docs.google.com/spreadsheets/d/1IdolZc-dfdgMwAm_KZxYJl1sUOcIgnbGQzbWOlddedo/edit?usp=sharing"",""เลย!N557"")"),0)</f>
        <v>0</v>
      </c>
      <c r="S43" s="62">
        <f t="shared" ca="1" si="47"/>
        <v>0</v>
      </c>
      <c r="T43" s="57">
        <f ca="1">IFERROR(__xludf.DUMMYFUNCTION("IMPORTRANGE(""https://docs.google.com/spreadsheets/d/1IdolZc-dfdgMwAm_KZxYJl1sUOcIgnbGQzbWOlddedo/edit?usp=sharing"",""เลย!I560"")"),87155)</f>
        <v>87155</v>
      </c>
      <c r="U43" s="57">
        <f ca="1">IFERROR(__xludf.DUMMYFUNCTION("IMPORTRANGE(""https://docs.google.com/spreadsheets/d/1IdolZc-dfdgMwAm_KZxYJl1sUOcIgnbGQzbWOlddedo/edit?usp=sharing"",""เลย!I561"")"),9269)</f>
        <v>9269</v>
      </c>
      <c r="V43" s="63">
        <f ca="1">IFERROR(__xludf.DUMMYFUNCTION("IMPORTRANGE(""https://docs.google.com/spreadsheets/d/1IdolZc-dfdgMwAm_KZxYJl1sUOcIgnbGQzbWOlddedo/edit?usp=sharing"",""เลย!J560"")"),87155)</f>
        <v>87155</v>
      </c>
      <c r="W43" s="63">
        <f t="shared" ca="1" si="37"/>
        <v>100</v>
      </c>
      <c r="X43" s="57">
        <f ca="1">IFERROR(__xludf.DUMMYFUNCTION("IMPORTRANGE(""https://docs.google.com/spreadsheets/d/1IdolZc-dfdgMwAm_KZxYJl1sUOcIgnbGQzbWOlddedo/edit?usp=sharing"",""เลย!J561"")"),9250)</f>
        <v>9250</v>
      </c>
      <c r="Y43" s="63">
        <f t="shared" ca="1" si="7"/>
        <v>99.795015643542996</v>
      </c>
      <c r="Z43" s="63">
        <f ca="1">IFERROR(__xludf.DUMMYFUNCTION("IMPORTRANGE(""https://docs.google.com/spreadsheets/d/1IdolZc-dfdgMwAm_KZxYJl1sUOcIgnbGQzbWOlddedo/edit?usp=sharing"",""เลย!J562"")"),77490)</f>
        <v>77490</v>
      </c>
      <c r="AA43" s="140">
        <f ca="1">IFERROR(__xludf.DUMMYFUNCTION("IMPORTRANGE(""https://docs.google.com/spreadsheets/d/1IdolZc-dfdgMwAm_KZxYJl1sUOcIgnbGQzbWOlddedo/edit?usp=sharing"",""เลย!J563"")"),8474)</f>
        <v>8474</v>
      </c>
      <c r="AB43" s="63">
        <f ca="1">IFERROR(__xludf.DUMMYFUNCTION("IMPORTRANGE(""https://docs.google.com/spreadsheets/d/1IdolZc-dfdgMwAm_KZxYJl1sUOcIgnbGQzbWOlddedo/edit?usp=sharing"",""เลย!J564"")"),8915)</f>
        <v>8915</v>
      </c>
      <c r="AC43" s="140">
        <f ca="1">IFERROR(__xludf.DUMMYFUNCTION("IMPORTRANGE(""https://docs.google.com/spreadsheets/d/1IdolZc-dfdgMwAm_KZxYJl1sUOcIgnbGQzbWOlddedo/edit?usp=sharing"",""เลย!J565"")"),692)</f>
        <v>692</v>
      </c>
      <c r="AD43" s="63">
        <f ca="1">IFERROR(__xludf.DUMMYFUNCTION("IMPORTRANGE(""https://docs.google.com/spreadsheets/d/1IdolZc-dfdgMwAm_KZxYJl1sUOcIgnbGQzbWOlddedo/edit?usp=sharing"",""เลย!J566"")"),750)</f>
        <v>750</v>
      </c>
      <c r="AE43" s="140">
        <f ca="1">IFERROR(__xludf.DUMMYFUNCTION("IMPORTRANGE(""https://docs.google.com/spreadsheets/d/1IdolZc-dfdgMwAm_KZxYJl1sUOcIgnbGQzbWOlddedo/edit?usp=sharing"",""เลย!J567"")"),84)</f>
        <v>84</v>
      </c>
      <c r="AF43" s="57">
        <f ca="1">IFERROR(__xludf.DUMMYFUNCTION("IMPORTRANGE(""https://docs.google.com/spreadsheets/d/1IdolZc-dfdgMwAm_KZxYJl1sUOcIgnbGQzbWOlddedo/edit?usp=sharing"",""เลย!I568"")"),87155)</f>
        <v>87155</v>
      </c>
      <c r="AG43" s="57">
        <f ca="1">IFERROR(__xludf.DUMMYFUNCTION("IMPORTRANGE(""https://docs.google.com/spreadsheets/d/1IdolZc-dfdgMwAm_KZxYJl1sUOcIgnbGQzbWOlddedo/edit?usp=sharing"",""เลย!I569"")"),9269)</f>
        <v>9269</v>
      </c>
      <c r="AH43" s="63">
        <f ca="1">IFERROR(__xludf.DUMMYFUNCTION("IMPORTRANGE(""https://docs.google.com/spreadsheets/d/1IdolZc-dfdgMwAm_KZxYJl1sUOcIgnbGQzbWOlddedo/edit?usp=sharing"",""เลย!J568"")"),87155.3075)</f>
        <v>87155.307499999995</v>
      </c>
      <c r="AI43" s="63">
        <f t="shared" ca="1" si="38"/>
        <v>100.00035281968906</v>
      </c>
      <c r="AJ43" s="57">
        <f ca="1">IFERROR(__xludf.DUMMYFUNCTION("IMPORTRANGE(""https://docs.google.com/spreadsheets/d/1IdolZc-dfdgMwAm_KZxYJl1sUOcIgnbGQzbWOlddedo/edit?usp=sharing"",""เลย!J569"")"),9250)</f>
        <v>9250</v>
      </c>
      <c r="AK43" s="63">
        <f t="shared" ca="1" si="10"/>
        <v>99.795015643542996</v>
      </c>
      <c r="AL43" s="63">
        <f ca="1">IFERROR(__xludf.DUMMYFUNCTION("IMPORTRANGE(""https://docs.google.com/spreadsheets/d/1IdolZc-dfdgMwAm_KZxYJl1sUOcIgnbGQzbWOlddedo/edit?usp=sharing"",""เลย!J570"")"),78529.3725)</f>
        <v>78529.372499999998</v>
      </c>
      <c r="AM43" s="140">
        <f ca="1">IFERROR(__xludf.DUMMYFUNCTION("IMPORTRANGE(""https://docs.google.com/spreadsheets/d/1IdolZc-dfdgMwAm_KZxYJl1sUOcIgnbGQzbWOlddedo/edit?usp=sharing"",""เลย!J571"")"),8546)</f>
        <v>8546</v>
      </c>
      <c r="AN43" s="63">
        <f ca="1">IFERROR(__xludf.DUMMYFUNCTION("IMPORTRANGE(""https://docs.google.com/spreadsheets/d/1IdolZc-dfdgMwAm_KZxYJl1sUOcIgnbGQzbWOlddedo/edit?usp=sharing"",""เลย!J572"")"),6754.805)</f>
        <v>6754.8050000000003</v>
      </c>
      <c r="AO43" s="140">
        <f ca="1">IFERROR(__xludf.DUMMYFUNCTION("IMPORTRANGE(""https://docs.google.com/spreadsheets/d/1IdolZc-dfdgMwAm_KZxYJl1sUOcIgnbGQzbWOlddedo/edit?usp=sharing"",""เลย!J573"")"),483)</f>
        <v>483</v>
      </c>
      <c r="AP43" s="63">
        <f ca="1">IFERROR(__xludf.DUMMYFUNCTION("IMPORTRANGE(""https://docs.google.com/spreadsheets/d/1IdolZc-dfdgMwAm_KZxYJl1sUOcIgnbGQzbWOlddedo/edit?usp=sharing"",""เลย!J574"")"),1871.13)</f>
        <v>1871.13</v>
      </c>
      <c r="AQ43" s="140">
        <f ca="1">IFERROR(__xludf.DUMMYFUNCTION("IMPORTRANGE(""https://docs.google.com/spreadsheets/d/1IdolZc-dfdgMwAm_KZxYJl1sUOcIgnbGQzbWOlddedo/edit?usp=sharing"",""เลย!J575"")"),221)</f>
        <v>221</v>
      </c>
      <c r="AR43" s="57">
        <f ca="1">IFERROR(__xludf.DUMMYFUNCTION("IMPORTRANGE(""https://docs.google.com/spreadsheets/d/1IdolZc-dfdgMwAm_KZxYJl1sUOcIgnbGQzbWOlddedo/edit?usp=sharing"",""เลย!I576"")"),87155)</f>
        <v>87155</v>
      </c>
      <c r="AS43" s="57">
        <f ca="1">IFERROR(__xludf.DUMMYFUNCTION("IMPORTRANGE(""https://docs.google.com/spreadsheets/d/1IdolZc-dfdgMwAm_KZxYJl1sUOcIgnbGQzbWOlddedo/edit?usp=sharing"",""เลย!I577"")"),9269)</f>
        <v>9269</v>
      </c>
      <c r="AT43" s="63">
        <f ca="1">IFERROR(__xludf.DUMMYFUNCTION("IMPORTRANGE(""https://docs.google.com/spreadsheets/d/1IdolZc-dfdgMwAm_KZxYJl1sUOcIgnbGQzbWOlddedo/edit?usp=sharing"",""เลย!J576"")"),87155.3075)</f>
        <v>87155.307499999995</v>
      </c>
      <c r="AU43" s="63">
        <f t="shared" ca="1" si="39"/>
        <v>100.00035281968906</v>
      </c>
      <c r="AV43" s="57">
        <f ca="1">IFERROR(__xludf.DUMMYFUNCTION("IMPORTRANGE(""https://docs.google.com/spreadsheets/d/1IdolZc-dfdgMwAm_KZxYJl1sUOcIgnbGQzbWOlddedo/edit?usp=sharing"",""เลย!J577"")"),9250)</f>
        <v>9250</v>
      </c>
      <c r="AW43" s="63">
        <f t="shared" ca="1" si="13"/>
        <v>99.795015643542996</v>
      </c>
      <c r="AX43" s="63">
        <f ca="1">IFERROR(__xludf.DUMMYFUNCTION("IMPORTRANGE(""https://docs.google.com/spreadsheets/d/1IdolZc-dfdgMwAm_KZxYJl1sUOcIgnbGQzbWOlddedo/edit?usp=sharing"",""เลย!J578"")"),78529.3725)</f>
        <v>78529.372499999998</v>
      </c>
      <c r="AY43" s="140">
        <f ca="1">IFERROR(__xludf.DUMMYFUNCTION("IMPORTRANGE(""https://docs.google.com/spreadsheets/d/1IdolZc-dfdgMwAm_KZxYJl1sUOcIgnbGQzbWOlddedo/edit?usp=sharing"",""เลย!J579"")"),8546)</f>
        <v>8546</v>
      </c>
      <c r="AZ43" s="63">
        <f ca="1">IFERROR(__xludf.DUMMYFUNCTION("IMPORTRANGE(""https://docs.google.com/spreadsheets/d/1IdolZc-dfdgMwAm_KZxYJl1sUOcIgnbGQzbWOlddedo/edit?usp=sharing"",""เลย!J580"")"),6754.805)</f>
        <v>6754.8050000000003</v>
      </c>
      <c r="BA43" s="140">
        <f ca="1">IFERROR(__xludf.DUMMYFUNCTION("IMPORTRANGE(""https://docs.google.com/spreadsheets/d/1IdolZc-dfdgMwAm_KZxYJl1sUOcIgnbGQzbWOlddedo/edit?usp=sharing"",""เลย!J581"")"),483)</f>
        <v>483</v>
      </c>
      <c r="BB43" s="63">
        <f ca="1">IFERROR(__xludf.DUMMYFUNCTION("IMPORTRANGE(""https://docs.google.com/spreadsheets/d/1IdolZc-dfdgMwAm_KZxYJl1sUOcIgnbGQzbWOlddedo/edit?usp=sharing"",""เลย!J582"")"),1871.12999999999)</f>
        <v>1871.1299999999901</v>
      </c>
      <c r="BC43" s="140">
        <f ca="1">IFERROR(__xludf.DUMMYFUNCTION("IMPORTRANGE(""https://docs.google.com/spreadsheets/d/1IdolZc-dfdgMwAm_KZxYJl1sUOcIgnbGQzbWOlddedo/edit?usp=sharing"",""เลย!J583"")"),221)</f>
        <v>221</v>
      </c>
      <c r="BD43" s="141">
        <f ca="1">IFERROR(__xludf.DUMMYFUNCTION("IMPORTRANGE(""https://docs.google.com/spreadsheets/d/1IdolZc-dfdgMwAm_KZxYJl1sUOcIgnbGQzbWOlddedo/edit?usp=sharing"",""เลย!J584"")"),1848.6125)</f>
        <v>1848.6125</v>
      </c>
      <c r="BE43" s="140">
        <f ca="1">IFERROR(__xludf.DUMMYFUNCTION("IMPORTRANGE(""https://docs.google.com/spreadsheets/d/1IdolZc-dfdgMwAm_KZxYJl1sUOcIgnbGQzbWOlddedo/edit?usp=sharing"",""เลย!J585"")"),220)</f>
        <v>220</v>
      </c>
      <c r="BF43" s="141">
        <f ca="1">IFERROR(__xludf.DUMMYFUNCTION("IMPORTRANGE(""https://docs.google.com/spreadsheets/d/1IdolZc-dfdgMwAm_KZxYJl1sUOcIgnbGQzbWOlddedo/edit?usp=sharing"",""เลย!J586"")"),22.5175)</f>
        <v>22.517499999999998</v>
      </c>
      <c r="BG43" s="140">
        <f ca="1">IFERROR(__xludf.DUMMYFUNCTION("IMPORTRANGE(""https://docs.google.com/spreadsheets/d/1IdolZc-dfdgMwAm_KZxYJl1sUOcIgnbGQzbWOlddedo/edit?usp=sharing"",""เลย!J587"")"),1)</f>
        <v>1</v>
      </c>
      <c r="BH43" s="63">
        <f ca="1">IFERROR(__xludf.DUMMYFUNCTION("IMPORTRANGE(""https://docs.google.com/spreadsheets/d/1IdolZc-dfdgMwAm_KZxYJl1sUOcIgnbGQzbWOlddedo/edit?usp=sharing"",""เลย!J588"")"),0)</f>
        <v>0</v>
      </c>
      <c r="BI43" s="140">
        <f ca="1">IFERROR(__xludf.DUMMYFUNCTION("IMPORTRANGE(""https://docs.google.com/spreadsheets/d/1IdolZc-dfdgMwAm_KZxYJl1sUOcIgnbGQzbWOlddedo/edit?usp=sharing"",""เลย!J589"")"),0)</f>
        <v>0</v>
      </c>
      <c r="BJ43" s="63">
        <f ca="1">IFERROR(__xludf.DUMMYFUNCTION("IMPORTRANGE(""https://docs.google.com/spreadsheets/d/1IdolZc-dfdgMwAm_KZxYJl1sUOcIgnbGQzbWOlddedo/edit?usp=sharing"",""เลย!J590"")"),0)</f>
        <v>0</v>
      </c>
      <c r="BK43" s="140">
        <f ca="1">IFERROR(__xludf.DUMMYFUNCTION("IMPORTRANGE(""https://docs.google.com/spreadsheets/d/1IdolZc-dfdgMwAm_KZxYJl1sUOcIgnbGQzbWOlddedo/edit?usp=sharing"",""เลย!J591"")"),0)</f>
        <v>0</v>
      </c>
      <c r="BL43" s="57">
        <f ca="1">IFERROR(__xludf.DUMMYFUNCTION("IMPORTRANGE(""https://docs.google.com/spreadsheets/d/1IdolZc-dfdgMwAm_KZxYJl1sUOcIgnbGQzbWOlddedo/edit?usp=sharing"",""เลย!I593"")"),705.7)</f>
        <v>705.7</v>
      </c>
      <c r="BM43" s="57">
        <f ca="1">IFERROR(__xludf.DUMMYFUNCTION("IMPORTRANGE(""https://docs.google.com/spreadsheets/d/1IdolZc-dfdgMwAm_KZxYJl1sUOcIgnbGQzbWOlddedo/edit?usp=sharing"",""เลย!I594"")"),32)</f>
        <v>32</v>
      </c>
      <c r="BN43" s="63">
        <f ca="1">IFERROR(__xludf.DUMMYFUNCTION("IMPORTRANGE(""https://docs.google.com/spreadsheets/d/1IdolZc-dfdgMwAm_KZxYJl1sUOcIgnbGQzbWOlddedo/edit?usp=sharing"",""เลย!J593"")"),54)</f>
        <v>54</v>
      </c>
      <c r="BO43" s="63">
        <f t="shared" ca="1" si="40"/>
        <v>7.651976760663171</v>
      </c>
      <c r="BP43" s="57">
        <f ca="1">IFERROR(__xludf.DUMMYFUNCTION("IMPORTRANGE(""https://docs.google.com/spreadsheets/d/1IdolZc-dfdgMwAm_KZxYJl1sUOcIgnbGQzbWOlddedo/edit?usp=sharing"",""เลย!J594"")"),7)</f>
        <v>7</v>
      </c>
      <c r="BQ43" s="63">
        <f t="shared" ca="1" si="16"/>
        <v>21.875</v>
      </c>
      <c r="BR43" s="63">
        <f ca="1">IFERROR(__xludf.DUMMYFUNCTION("IMPORTRANGE(""https://docs.google.com/spreadsheets/d/1IdolZc-dfdgMwAm_KZxYJl1sUOcIgnbGQzbWOlddedo/edit?usp=sharing"",""เลย!J595"")"),54)</f>
        <v>54</v>
      </c>
      <c r="BS43" s="140">
        <f ca="1">IFERROR(__xludf.DUMMYFUNCTION("IMPORTRANGE(""https://docs.google.com/spreadsheets/d/1IdolZc-dfdgMwAm_KZxYJl1sUOcIgnbGQzbWOlddedo/edit?usp=sharing"",""เลย!J596"")"),7)</f>
        <v>7</v>
      </c>
      <c r="BT43" s="63">
        <f ca="1">IFERROR(__xludf.DUMMYFUNCTION("IMPORTRANGE(""https://docs.google.com/spreadsheets/d/1IdolZc-dfdgMwAm_KZxYJl1sUOcIgnbGQzbWOlddedo/edit?usp=sharing"",""เลย!J597"")"),44)</f>
        <v>44</v>
      </c>
      <c r="BU43" s="140">
        <f ca="1">IFERROR(__xludf.DUMMYFUNCTION("IMPORTRANGE(""https://docs.google.com/spreadsheets/d/1IdolZc-dfdgMwAm_KZxYJl1sUOcIgnbGQzbWOlddedo/edit?usp=sharing"",""เลย!J598"")"),6)</f>
        <v>6</v>
      </c>
      <c r="BV43" s="63">
        <f ca="1">IFERROR(__xludf.DUMMYFUNCTION("IMPORTRANGE(""https://docs.google.com/spreadsheets/d/1IdolZc-dfdgMwAm_KZxYJl1sUOcIgnbGQzbWOlddedo/edit?usp=sharing"",""เลย!J599"")"),10)</f>
        <v>10</v>
      </c>
      <c r="BW43" s="140">
        <f ca="1">IFERROR(__xludf.DUMMYFUNCTION("IMPORTRANGE(""https://docs.google.com/spreadsheets/d/1IdolZc-dfdgMwAm_KZxYJl1sUOcIgnbGQzbWOlddedo/edit?usp=sharing"",""เลย!J600"")"),1)</f>
        <v>1</v>
      </c>
      <c r="BX43" s="141">
        <f ca="1">IFERROR(__xludf.DUMMYFUNCTION("IMPORTRANGE(""https://docs.google.com/spreadsheets/d/1IdolZc-dfdgMwAm_KZxYJl1sUOcIgnbGQzbWOlddedo/edit?usp=sharing"",""เลย!J601"")"),0)</f>
        <v>0</v>
      </c>
      <c r="BY43" s="140">
        <f ca="1">IFERROR(__xludf.DUMMYFUNCTION("IMPORTRANGE(""https://docs.google.com/spreadsheets/d/1IdolZc-dfdgMwAm_KZxYJl1sUOcIgnbGQzbWOlddedo/edit?usp=sharing"",""เลย!J602"")"),0)</f>
        <v>0</v>
      </c>
      <c r="BZ43" s="63">
        <f ca="1">IFERROR(__xludf.DUMMYFUNCTION("IMPORTRANGE(""https://docs.google.com/spreadsheets/d/1IdolZc-dfdgMwAm_KZxYJl1sUOcIgnbGQzbWOlddedo/edit?usp=sharing"",""เลย!J603"")"),0)</f>
        <v>0</v>
      </c>
      <c r="CA43" s="140">
        <f ca="1">IFERROR(__xludf.DUMMYFUNCTION("IMPORTRANGE(""https://docs.google.com/spreadsheets/d/1IdolZc-dfdgMwAm_KZxYJl1sUOcIgnbGQzbWOlddedo/edit?usp=sharing"",""เลย!J604"")"),0)</f>
        <v>0</v>
      </c>
      <c r="CB43" s="63">
        <f ca="1">IFERROR(__xludf.DUMMYFUNCTION("IMPORTRANGE(""https://docs.google.com/spreadsheets/d/1IdolZc-dfdgMwAm_KZxYJl1sUOcIgnbGQzbWOlddedo/edit?usp=sharing"",""เลย!J605"")"),0)</f>
        <v>0</v>
      </c>
      <c r="CC43" s="140">
        <f ca="1">IFERROR(__xludf.DUMMYFUNCTION("IMPORTRANGE(""https://docs.google.com/spreadsheets/d/1IdolZc-dfdgMwAm_KZxYJl1sUOcIgnbGQzbWOlddedo/edit?usp=sharing"",""เลย!J606"")"),0)</f>
        <v>0</v>
      </c>
      <c r="CD43" s="63">
        <f ca="1">IFERROR(__xludf.DUMMYFUNCTION("IMPORTRANGE(""https://docs.google.com/spreadsheets/d/1IdolZc-dfdgMwAm_KZxYJl1sUOcIgnbGQzbWOlddedo/edit?usp=sharing"",""เลย!J607"")"),0)</f>
        <v>0</v>
      </c>
      <c r="CE43" s="140">
        <f ca="1">IFERROR(__xludf.DUMMYFUNCTION("IMPORTRANGE(""https://docs.google.com/spreadsheets/d/1IdolZc-dfdgMwAm_KZxYJl1sUOcIgnbGQzbWOlddedo/edit?usp=sharing"",""เลย!J608"")"),0)</f>
        <v>0</v>
      </c>
      <c r="CF43" s="63">
        <f ca="1">IFERROR(__xludf.DUMMYFUNCTION("IMPORTRANGE(""https://docs.google.com/spreadsheets/d/1IdolZc-dfdgMwAm_KZxYJl1sUOcIgnbGQzbWOlddedo/edit?usp=sharing"",""เลย!J609"")"),0)</f>
        <v>0</v>
      </c>
      <c r="CG43" s="140">
        <f ca="1">IFERROR(__xludf.DUMMYFUNCTION("IMPORTRANGE(""https://docs.google.com/spreadsheets/d/1IdolZc-dfdgMwAm_KZxYJl1sUOcIgnbGQzbWOlddedo/edit?usp=sharing"",""เลย!J610"")"),0)</f>
        <v>0</v>
      </c>
      <c r="CH43" s="140">
        <f ca="1">IFERROR(__xludf.DUMMYFUNCTION("IMPORTRANGE(""https://docs.google.com/spreadsheets/d/1IdolZc-dfdgMwAm_KZxYJl1sUOcIgnbGQzbWOlddedo/edit?usp=sharing"",""เลย!I612"")"),0)</f>
        <v>0</v>
      </c>
      <c r="CI43" s="140">
        <f ca="1">IFERROR(__xludf.DUMMYFUNCTION("IMPORTRANGE(""https://docs.google.com/spreadsheets/d/1IdolZc-dfdgMwAm_KZxYJl1sUOcIgnbGQzbWOlddedo/edit?usp=sharing"",""เลย!I594"")"),32)</f>
        <v>32</v>
      </c>
      <c r="CJ43" s="141">
        <f ca="1">IFERROR(__xludf.DUMMYFUNCTION("IMPORTRANGE(""https://docs.google.com/spreadsheets/d/1IdolZc-dfdgMwAm_KZxYJl1sUOcIgnbGQzbWOlddedo/edit?usp=sharing"",""เลย!J612"")"),0)</f>
        <v>0</v>
      </c>
      <c r="CK43" s="141">
        <f t="shared" ca="1" si="41"/>
        <v>0</v>
      </c>
      <c r="CL43" s="140">
        <f ca="1">IFERROR(__xludf.DUMMYFUNCTION("IMPORTRANGE(""https://docs.google.com/spreadsheets/d/1IdolZc-dfdgMwAm_KZxYJl1sUOcIgnbGQzbWOlddedo/edit?usp=sharing"",""เลย!J613"")"),0)</f>
        <v>0</v>
      </c>
      <c r="CM43" s="141">
        <f t="shared" ca="1" si="19"/>
        <v>0</v>
      </c>
      <c r="CN43" s="63">
        <f ca="1">IFERROR(__xludf.DUMMYFUNCTION("IMPORTRANGE(""https://docs.google.com/spreadsheets/d/1IdolZc-dfdgMwAm_KZxYJl1sUOcIgnbGQzbWOlddedo/edit?usp=sharing"",""เลย!J614"")"),0)</f>
        <v>0</v>
      </c>
      <c r="CO43" s="140">
        <f ca="1">IFERROR(__xludf.DUMMYFUNCTION("IMPORTRANGE(""https://docs.google.com/spreadsheets/d/1IdolZc-dfdgMwAm_KZxYJl1sUOcIgnbGQzbWOlddedo/edit?usp=sharing"",""เลย!J615"")"),0)</f>
        <v>0</v>
      </c>
      <c r="CP43" s="63">
        <f ca="1">IFERROR(__xludf.DUMMYFUNCTION("IMPORTRANGE(""https://docs.google.com/spreadsheets/d/1IdolZc-dfdgMwAm_KZxYJl1sUOcIgnbGQzbWOlddedo/edit?usp=sharing"",""เลย!J616"")"),0)</f>
        <v>0</v>
      </c>
      <c r="CQ43" s="140">
        <f ca="1">IFERROR(__xludf.DUMMYFUNCTION("IMPORTRANGE(""https://docs.google.com/spreadsheets/d/1IdolZc-dfdgMwAm_KZxYJl1sUOcIgnbGQzbWOlddedo/edit?usp=sharing"",""เลย!J617"")"),0)</f>
        <v>0</v>
      </c>
      <c r="CR43" s="140">
        <f ca="1">IFERROR(__xludf.DUMMYFUNCTION("IMPORTRANGE(""https://docs.google.com/spreadsheets/d/1IdolZc-dfdgMwAm_KZxYJl1sUOcIgnbGQzbWOlddedo/edit?usp=sharing"",""เลย!I620"")"),465)</f>
        <v>465</v>
      </c>
      <c r="CS43" s="140">
        <f ca="1">IFERROR(__xludf.DUMMYFUNCTION("IMPORTRANGE(""https://docs.google.com/spreadsheets/d/1IdolZc-dfdgMwAm_KZxYJl1sUOcIgnbGQzbWOlddedo/edit?usp=sharing"",""เลย!I621"")"),37)</f>
        <v>37</v>
      </c>
      <c r="CT43" s="141">
        <f ca="1">IFERROR(__xludf.DUMMYFUNCTION("IMPORTRANGE(""https://docs.google.com/spreadsheets/d/1IdolZc-dfdgMwAm_KZxYJl1sUOcIgnbGQzbWOlddedo/edit?usp=sharing"",""เลย!J620"")"),465)</f>
        <v>465</v>
      </c>
      <c r="CU43" s="141">
        <f t="shared" ca="1" si="42"/>
        <v>100</v>
      </c>
      <c r="CV43" s="140">
        <f ca="1">IFERROR(__xludf.DUMMYFUNCTION("IMPORTRANGE(""https://docs.google.com/spreadsheets/d/1IdolZc-dfdgMwAm_KZxYJl1sUOcIgnbGQzbWOlddedo/edit?usp=sharing"",""เลย!J621"")"),37)</f>
        <v>37</v>
      </c>
      <c r="CW43" s="141">
        <f t="shared" ca="1" si="22"/>
        <v>100</v>
      </c>
      <c r="CX43" s="63">
        <f ca="1">IFERROR(__xludf.DUMMYFUNCTION("IMPORTRANGE(""https://docs.google.com/spreadsheets/d/1IdolZc-dfdgMwAm_KZxYJl1sUOcIgnbGQzbWOlddedo/edit?usp=sharing"",""เลย!J622"")"),292)</f>
        <v>292</v>
      </c>
      <c r="CY43" s="140">
        <f ca="1">IFERROR(__xludf.DUMMYFUNCTION("IMPORTRANGE(""https://docs.google.com/spreadsheets/d/1IdolZc-dfdgMwAm_KZxYJl1sUOcIgnbGQzbWOlddedo/edit?usp=sharing"",""เลย!J623"")"),22)</f>
        <v>22</v>
      </c>
      <c r="CZ43" s="63">
        <f ca="1">IFERROR(__xludf.DUMMYFUNCTION("IMPORTRANGE(""https://docs.google.com/spreadsheets/d/1IdolZc-dfdgMwAm_KZxYJl1sUOcIgnbGQzbWOlddedo/edit?usp=sharing"",""เลย!J624"")"),171)</f>
        <v>171</v>
      </c>
      <c r="DA43" s="140">
        <f ca="1">IFERROR(__xludf.DUMMYFUNCTION("IMPORTRANGE(""https://docs.google.com/spreadsheets/d/1IdolZc-dfdgMwAm_KZxYJl1sUOcIgnbGQzbWOlddedo/edit?usp=sharing"",""เลย!J625"")"),14)</f>
        <v>14</v>
      </c>
      <c r="DB43" s="63">
        <f ca="1">IFERROR(__xludf.DUMMYFUNCTION("IMPORTRANGE(""https://docs.google.com/spreadsheets/d/1IdolZc-dfdgMwAm_KZxYJl1sUOcIgnbGQzbWOlddedo/edit?usp=sharing"",""เลย!J626"")"),2)</f>
        <v>2</v>
      </c>
      <c r="DC43" s="140">
        <f ca="1">IFERROR(__xludf.DUMMYFUNCTION("IMPORTRANGE(""https://docs.google.com/spreadsheets/d/1IdolZc-dfdgMwAm_KZxYJl1sUOcIgnbGQzbWOlddedo/edit?usp=sharing"",""เลย!J627"")"),1)</f>
        <v>1</v>
      </c>
    </row>
    <row r="44" spans="1:107" ht="21" customHeight="1" x14ac:dyDescent="0.3">
      <c r="A44" s="54">
        <v>13</v>
      </c>
      <c r="B44" s="55" t="s">
        <v>65</v>
      </c>
      <c r="C44" s="56">
        <f t="shared" ca="1" si="66"/>
        <v>786183</v>
      </c>
      <c r="D44" s="57">
        <f ca="1">IFERROR(__xludf.DUMMYFUNCTION("IMPORTRANGE(""https://docs.google.com/spreadsheets/d/1tZ0nmtGuIRCaGAMXHlQU8EpR9LOAJvyKfc4f7EFmE34/edit?usp=sharing"",""ศรีสะเกษ!L549"")"),786183)</f>
        <v>786183</v>
      </c>
      <c r="E44" s="64">
        <f ca="1">IFERROR(__xludf.DUMMYFUNCTION("IMPORTRANGE(""https://docs.google.com/spreadsheets/d/1tZ0nmtGuIRCaGAMXHlQU8EpR9LOAJvyKfc4f7EFmE34/edit?usp=sharing"",""ศรีสะเกษ!L557"")"),0)</f>
        <v>0</v>
      </c>
      <c r="F44" s="64">
        <f ca="1">IFERROR(__xludf.DUMMYFUNCTION("IMPORTRANGE(""https://docs.google.com/spreadsheets/d/1tZ0nmtGuIRCaGAMXHlQU8EpR9LOAJvyKfc4f7EFmE34/edit?usp=sharing"",""ศรีสะเกษ!M549"")"),786183)</f>
        <v>786183</v>
      </c>
      <c r="G44" s="64">
        <f ca="1">IFERROR(__xludf.DUMMYFUNCTION("IMPORTRANGE(""https://docs.google.com/spreadsheets/d/1tZ0nmtGuIRCaGAMXHlQU8EpR9LOAJvyKfc4f7EFmE34/edit?usp=sharing"",""ศรีสะเกษ!M557"")"),0)</f>
        <v>0</v>
      </c>
      <c r="H44" s="58">
        <f t="shared" ca="1" si="36"/>
        <v>152760</v>
      </c>
      <c r="I44" s="59">
        <f t="shared" ca="1" si="1"/>
        <v>19.4305905876876</v>
      </c>
      <c r="J44" s="60">
        <f t="shared" ca="1" si="67"/>
        <v>152760</v>
      </c>
      <c r="K44" s="61">
        <f t="shared" ca="1" si="44"/>
        <v>19.4305905876876</v>
      </c>
      <c r="L44" s="61">
        <f t="shared" ca="1" si="45"/>
        <v>19.4305905876876</v>
      </c>
      <c r="M44" s="64">
        <f ca="1">IFERROR(__xludf.DUMMYFUNCTION("IMPORTRANGE(""https://docs.google.com/spreadsheets/d/1tZ0nmtGuIRCaGAMXHlQU8EpR9LOAJvyKfc4f7EFmE34/edit?usp=sharing"",""ศรีสะเกษ!N550"")"),0)</f>
        <v>0</v>
      </c>
      <c r="N44" s="64">
        <f ca="1">IFERROR(__xludf.DUMMYFUNCTION("IMPORTRANGE(""https://docs.google.com/spreadsheets/d/1tZ0nmtGuIRCaGAMXHlQU8EpR9LOAJvyKfc4f7EFmE34/edit?usp=sharing"",""ศรีสะเกษ!N551"")"),0)</f>
        <v>0</v>
      </c>
      <c r="O44" s="64">
        <f ca="1">IFERROR(__xludf.DUMMYFUNCTION("IMPORTRANGE(""https://docs.google.com/spreadsheets/d/1tZ0nmtGuIRCaGAMXHlQU8EpR9LOAJvyKfc4f7EFmE34/edit?usp=sharing"",""ศรีสะเกษ!N552"")"),52000)</f>
        <v>52000</v>
      </c>
      <c r="P44" s="64">
        <f ca="1">IFERROR(__xludf.DUMMYFUNCTION("IMPORTRANGE(""https://docs.google.com/spreadsheets/d/1tZ0nmtGuIRCaGAMXHlQU8EpR9LOAJvyKfc4f7EFmE34/edit?usp=sharing"",""ศรีสะเกษ!N553"")"),100760)</f>
        <v>100760</v>
      </c>
      <c r="Q44" s="64">
        <f ca="1">IFERROR(__xludf.DUMMYFUNCTION("IMPORTRANGE(""https://docs.google.com/spreadsheets/d/1tZ0nmtGuIRCaGAMXHlQU8EpR9LOAJvyKfc4f7EFmE34/edit?usp=sharing"",""ศรีสะเกษ!N554"")"),0)</f>
        <v>0</v>
      </c>
      <c r="R44" s="62">
        <f ca="1">IFERROR(__xludf.DUMMYFUNCTION("IMPORTRANGE(""https://docs.google.com/spreadsheets/d/1tZ0nmtGuIRCaGAMXHlQU8EpR9LOAJvyKfc4f7EFmE34/edit?usp=sharing"",""ศรีสะเกษ!N557"")"),0)</f>
        <v>0</v>
      </c>
      <c r="S44" s="62">
        <f t="shared" ca="1" si="47"/>
        <v>0</v>
      </c>
      <c r="T44" s="57">
        <f ca="1">IFERROR(__xludf.DUMMYFUNCTION("IMPORTRANGE(""https://docs.google.com/spreadsheets/d/1tZ0nmtGuIRCaGAMXHlQU8EpR9LOAJvyKfc4f7EFmE34/edit?usp=sharing"",""ศรีสะเกษ!I560"")"),11002)</f>
        <v>11002</v>
      </c>
      <c r="U44" s="57">
        <f ca="1">IFERROR(__xludf.DUMMYFUNCTION("IMPORTRANGE(""https://docs.google.com/spreadsheets/d/1tZ0nmtGuIRCaGAMXHlQU8EpR9LOAJvyKfc4f7EFmE34/edit?usp=sharing"",""ศรีสะเกษ!I561"")"),4838)</f>
        <v>4838</v>
      </c>
      <c r="V44" s="63">
        <f ca="1">IFERROR(__xludf.DUMMYFUNCTION("IMPORTRANGE(""https://docs.google.com/spreadsheets/d/1tZ0nmtGuIRCaGAMXHlQU8EpR9LOAJvyKfc4f7EFmE34/edit?usp=sharing"",""ศรีสะเกษ!J560"")"),11005.5)</f>
        <v>11005.5</v>
      </c>
      <c r="W44" s="63">
        <f t="shared" ca="1" si="37"/>
        <v>100.03181239774587</v>
      </c>
      <c r="X44" s="57">
        <f ca="1">IFERROR(__xludf.DUMMYFUNCTION("IMPORTRANGE(""https://docs.google.com/spreadsheets/d/1tZ0nmtGuIRCaGAMXHlQU8EpR9LOAJvyKfc4f7EFmE34/edit?usp=sharing"",""ศรีสะเกษ!J561"")"),4838)</f>
        <v>4838</v>
      </c>
      <c r="Y44" s="63">
        <f t="shared" ca="1" si="7"/>
        <v>100</v>
      </c>
      <c r="Z44" s="63">
        <f ca="1">IFERROR(__xludf.DUMMYFUNCTION("IMPORTRANGE(""https://docs.google.com/spreadsheets/d/1tZ0nmtGuIRCaGAMXHlQU8EpR9LOAJvyKfc4f7EFmE34/edit?usp=sharing"",""ศรีสะเกษ!J562"")"),8505.2)</f>
        <v>8505.2000000000007</v>
      </c>
      <c r="AA44" s="140">
        <f ca="1">IFERROR(__xludf.DUMMYFUNCTION("IMPORTRANGE(""https://docs.google.com/spreadsheets/d/1tZ0nmtGuIRCaGAMXHlQU8EpR9LOAJvyKfc4f7EFmE34/edit?usp=sharing"",""ศรีสะเกษ!J563"")"),3981)</f>
        <v>3981</v>
      </c>
      <c r="AB44" s="63">
        <f ca="1">IFERROR(__xludf.DUMMYFUNCTION("IMPORTRANGE(""https://docs.google.com/spreadsheets/d/1tZ0nmtGuIRCaGAMXHlQU8EpR9LOAJvyKfc4f7EFmE34/edit?usp=sharing"",""ศรีสะเกษ!J564"")"),1549.3)</f>
        <v>1549.3</v>
      </c>
      <c r="AC44" s="140">
        <f ca="1">IFERROR(__xludf.DUMMYFUNCTION("IMPORTRANGE(""https://docs.google.com/spreadsheets/d/1tZ0nmtGuIRCaGAMXHlQU8EpR9LOAJvyKfc4f7EFmE34/edit?usp=sharing"",""ศรีสะเกษ!J565"")"),492)</f>
        <v>492</v>
      </c>
      <c r="AD44" s="63">
        <f ca="1">IFERROR(__xludf.DUMMYFUNCTION("IMPORTRANGE(""https://docs.google.com/spreadsheets/d/1tZ0nmtGuIRCaGAMXHlQU8EpR9LOAJvyKfc4f7EFmE34/edit?usp=sharing"",""ศรีสะเกษ!J566"")"),951)</f>
        <v>951</v>
      </c>
      <c r="AE44" s="140">
        <f ca="1">IFERROR(__xludf.DUMMYFUNCTION("IMPORTRANGE(""https://docs.google.com/spreadsheets/d/1tZ0nmtGuIRCaGAMXHlQU8EpR9LOAJvyKfc4f7EFmE34/edit?usp=sharing"",""ศรีสะเกษ!J567"")"),365)</f>
        <v>365</v>
      </c>
      <c r="AF44" s="57">
        <f ca="1">IFERROR(__xludf.DUMMYFUNCTION("IMPORTRANGE(""https://docs.google.com/spreadsheets/d/1tZ0nmtGuIRCaGAMXHlQU8EpR9LOAJvyKfc4f7EFmE34/edit?usp=sharing"",""ศรีสะเกษ!I568"")"),11002)</f>
        <v>11002</v>
      </c>
      <c r="AG44" s="57">
        <f ca="1">IFERROR(__xludf.DUMMYFUNCTION("IMPORTRANGE(""https://docs.google.com/spreadsheets/d/1tZ0nmtGuIRCaGAMXHlQU8EpR9LOAJvyKfc4f7EFmE34/edit?usp=sharing"",""ศรีสะเกษ!I569"")"),4838)</f>
        <v>4838</v>
      </c>
      <c r="AH44" s="63">
        <f ca="1">IFERROR(__xludf.DUMMYFUNCTION("IMPORTRANGE(""https://docs.google.com/spreadsheets/d/1tZ0nmtGuIRCaGAMXHlQU8EpR9LOAJvyKfc4f7EFmE34/edit?usp=sharing"",""ศรีสะเกษ!J568"")"),11002.67)</f>
        <v>11002.67</v>
      </c>
      <c r="AI44" s="63">
        <f t="shared" ca="1" si="38"/>
        <v>100.0060898018542</v>
      </c>
      <c r="AJ44" s="57">
        <f ca="1">IFERROR(__xludf.DUMMYFUNCTION("IMPORTRANGE(""https://docs.google.com/spreadsheets/d/1tZ0nmtGuIRCaGAMXHlQU8EpR9LOAJvyKfc4f7EFmE34/edit?usp=sharing"",""ศรีสะเกษ!J569"")"),4838)</f>
        <v>4838</v>
      </c>
      <c r="AK44" s="63">
        <f t="shared" ca="1" si="10"/>
        <v>100</v>
      </c>
      <c r="AL44" s="63">
        <f ca="1">IFERROR(__xludf.DUMMYFUNCTION("IMPORTRANGE(""https://docs.google.com/spreadsheets/d/1tZ0nmtGuIRCaGAMXHlQU8EpR9LOAJvyKfc4f7EFmE34/edit?usp=sharing"",""ศรีสะเกษ!J570"")"),8560)</f>
        <v>8560</v>
      </c>
      <c r="AM44" s="140">
        <f ca="1">IFERROR(__xludf.DUMMYFUNCTION("IMPORTRANGE(""https://docs.google.com/spreadsheets/d/1tZ0nmtGuIRCaGAMXHlQU8EpR9LOAJvyKfc4f7EFmE34/edit?usp=sharing"",""ศรีสะเกษ!J571"")"),4013)</f>
        <v>4013</v>
      </c>
      <c r="AN44" s="63">
        <f ca="1">IFERROR(__xludf.DUMMYFUNCTION("IMPORTRANGE(""https://docs.google.com/spreadsheets/d/1tZ0nmtGuIRCaGAMXHlQU8EpR9LOAJvyKfc4f7EFmE34/edit?usp=sharing"",""ศรีสะเกษ!J572"")"),1399.67)</f>
        <v>1399.67</v>
      </c>
      <c r="AO44" s="140">
        <f ca="1">IFERROR(__xludf.DUMMYFUNCTION("IMPORTRANGE(""https://docs.google.com/spreadsheets/d/1tZ0nmtGuIRCaGAMXHlQU8EpR9LOAJvyKfc4f7EFmE34/edit?usp=sharing"",""ศรีสะเกษ!J573"")"),440)</f>
        <v>440</v>
      </c>
      <c r="AP44" s="63">
        <f ca="1">IFERROR(__xludf.DUMMYFUNCTION("IMPORTRANGE(""https://docs.google.com/spreadsheets/d/1tZ0nmtGuIRCaGAMXHlQU8EpR9LOAJvyKfc4f7EFmE34/edit?usp=sharing"",""ศรีสะเกษ!J574"")"),1043)</f>
        <v>1043</v>
      </c>
      <c r="AQ44" s="140">
        <f ca="1">IFERROR(__xludf.DUMMYFUNCTION("IMPORTRANGE(""https://docs.google.com/spreadsheets/d/1tZ0nmtGuIRCaGAMXHlQU8EpR9LOAJvyKfc4f7EFmE34/edit?usp=sharing"",""ศรีสะเกษ!J575"")"),385)</f>
        <v>385</v>
      </c>
      <c r="AR44" s="57">
        <f ca="1">IFERROR(__xludf.DUMMYFUNCTION("IMPORTRANGE(""https://docs.google.com/spreadsheets/d/1tZ0nmtGuIRCaGAMXHlQU8EpR9LOAJvyKfc4f7EFmE34/edit?usp=sharing"",""ศรีสะเกษ!I576"")"),11002)</f>
        <v>11002</v>
      </c>
      <c r="AS44" s="57">
        <f ca="1">IFERROR(__xludf.DUMMYFUNCTION("IMPORTRANGE(""https://docs.google.com/spreadsheets/d/1tZ0nmtGuIRCaGAMXHlQU8EpR9LOAJvyKfc4f7EFmE34/edit?usp=sharing"",""ศรีสะเกษ!I577"")"),4838)</f>
        <v>4838</v>
      </c>
      <c r="AT44" s="63">
        <f ca="1">IFERROR(__xludf.DUMMYFUNCTION("IMPORTRANGE(""https://docs.google.com/spreadsheets/d/1tZ0nmtGuIRCaGAMXHlQU8EpR9LOAJvyKfc4f7EFmE34/edit?usp=sharing"",""ศรีสะเกษ!J576"")"),0)</f>
        <v>0</v>
      </c>
      <c r="AU44" s="63">
        <f t="shared" ca="1" si="39"/>
        <v>0</v>
      </c>
      <c r="AV44" s="57">
        <f ca="1">IFERROR(__xludf.DUMMYFUNCTION("IMPORTRANGE(""https://docs.google.com/spreadsheets/d/1tZ0nmtGuIRCaGAMXHlQU8EpR9LOAJvyKfc4f7EFmE34/edit?usp=sharing"",""ศรีสะเกษ!J577"")"),0)</f>
        <v>0</v>
      </c>
      <c r="AW44" s="63">
        <f t="shared" ca="1" si="13"/>
        <v>0</v>
      </c>
      <c r="AX44" s="63">
        <f ca="1">IFERROR(__xludf.DUMMYFUNCTION("IMPORTRANGE(""https://docs.google.com/spreadsheets/d/1tZ0nmtGuIRCaGAMXHlQU8EpR9LOAJvyKfc4f7EFmE34/edit?usp=sharing"",""ศรีสะเกษ!J578"")"),0)</f>
        <v>0</v>
      </c>
      <c r="AY44" s="140">
        <f ca="1">IFERROR(__xludf.DUMMYFUNCTION("IMPORTRANGE(""https://docs.google.com/spreadsheets/d/1tZ0nmtGuIRCaGAMXHlQU8EpR9LOAJvyKfc4f7EFmE34/edit?usp=sharing"",""ศรีสะเกษ!J579"")"),0)</f>
        <v>0</v>
      </c>
      <c r="AZ44" s="63">
        <f ca="1">IFERROR(__xludf.DUMMYFUNCTION("IMPORTRANGE(""https://docs.google.com/spreadsheets/d/1tZ0nmtGuIRCaGAMXHlQU8EpR9LOAJvyKfc4f7EFmE34/edit?usp=sharing"",""ศรีสะเกษ!J580"")"),0)</f>
        <v>0</v>
      </c>
      <c r="BA44" s="140">
        <f ca="1">IFERROR(__xludf.DUMMYFUNCTION("IMPORTRANGE(""https://docs.google.com/spreadsheets/d/1tZ0nmtGuIRCaGAMXHlQU8EpR9LOAJvyKfc4f7EFmE34/edit?usp=sharing"",""ศรีสะเกษ!J581"")"),0)</f>
        <v>0</v>
      </c>
      <c r="BB44" s="63">
        <f ca="1">IFERROR(__xludf.DUMMYFUNCTION("IMPORTRANGE(""https://docs.google.com/spreadsheets/d/1tZ0nmtGuIRCaGAMXHlQU8EpR9LOAJvyKfc4f7EFmE34/edit?usp=sharing"",""ศรีสะเกษ!J582"")"),0)</f>
        <v>0</v>
      </c>
      <c r="BC44" s="140">
        <f ca="1">IFERROR(__xludf.DUMMYFUNCTION("IMPORTRANGE(""https://docs.google.com/spreadsheets/d/1tZ0nmtGuIRCaGAMXHlQU8EpR9LOAJvyKfc4f7EFmE34/edit?usp=sharing"",""ศรีสะเกษ!J583"")"),0)</f>
        <v>0</v>
      </c>
      <c r="BD44" s="141">
        <f ca="1">IFERROR(__xludf.DUMMYFUNCTION("IMPORTRANGE(""https://docs.google.com/spreadsheets/d/1tZ0nmtGuIRCaGAMXHlQU8EpR9LOAJvyKfc4f7EFmE34/edit?usp=sharing"",""ศรีสะเกษ!J584"")"),0)</f>
        <v>0</v>
      </c>
      <c r="BE44" s="140">
        <f ca="1">IFERROR(__xludf.DUMMYFUNCTION("IMPORTRANGE(""https://docs.google.com/spreadsheets/d/1tZ0nmtGuIRCaGAMXHlQU8EpR9LOAJvyKfc4f7EFmE34/edit?usp=sharing"",""ศรีสะเกษ!J585"")"),0)</f>
        <v>0</v>
      </c>
      <c r="BF44" s="141">
        <f ca="1">IFERROR(__xludf.DUMMYFUNCTION("IMPORTRANGE(""https://docs.google.com/spreadsheets/d/1tZ0nmtGuIRCaGAMXHlQU8EpR9LOAJvyKfc4f7EFmE34/edit?usp=sharing"",""ศรีสะเกษ!J586"")"),0)</f>
        <v>0</v>
      </c>
      <c r="BG44" s="140">
        <f ca="1">IFERROR(__xludf.DUMMYFUNCTION("IMPORTRANGE(""https://docs.google.com/spreadsheets/d/1tZ0nmtGuIRCaGAMXHlQU8EpR9LOAJvyKfc4f7EFmE34/edit?usp=sharing"",""ศรีสะเกษ!J587"")"),0)</f>
        <v>0</v>
      </c>
      <c r="BH44" s="63">
        <f ca="1">IFERROR(__xludf.DUMMYFUNCTION("IMPORTRANGE(""https://docs.google.com/spreadsheets/d/1tZ0nmtGuIRCaGAMXHlQU8EpR9LOAJvyKfc4f7EFmE34/edit?usp=sharing"",""ศรีสะเกษ!J588"")"),0)</f>
        <v>0</v>
      </c>
      <c r="BI44" s="140">
        <f ca="1">IFERROR(__xludf.DUMMYFUNCTION("IMPORTRANGE(""https://docs.google.com/spreadsheets/d/1tZ0nmtGuIRCaGAMXHlQU8EpR9LOAJvyKfc4f7EFmE34/edit?usp=sharing"",""ศรีสะเกษ!J589"")"),0)</f>
        <v>0</v>
      </c>
      <c r="BJ44" s="63">
        <f ca="1">IFERROR(__xludf.DUMMYFUNCTION("IMPORTRANGE(""https://docs.google.com/spreadsheets/d/1tZ0nmtGuIRCaGAMXHlQU8EpR9LOAJvyKfc4f7EFmE34/edit?usp=sharing"",""ศรีสะเกษ!J590"")"),0)</f>
        <v>0</v>
      </c>
      <c r="BK44" s="140">
        <f ca="1">IFERROR(__xludf.DUMMYFUNCTION("IMPORTRANGE(""https://docs.google.com/spreadsheets/d/1tZ0nmtGuIRCaGAMXHlQU8EpR9LOAJvyKfc4f7EFmE34/edit?usp=sharing"",""ศรีสะเกษ!J591"")"),0)</f>
        <v>0</v>
      </c>
      <c r="BL44" s="57">
        <f ca="1">IFERROR(__xludf.DUMMYFUNCTION("IMPORTRANGE(""https://docs.google.com/spreadsheets/d/1tZ0nmtGuIRCaGAMXHlQU8EpR9LOAJvyKfc4f7EFmE34/edit?usp=sharing"",""ศรีสะเกษ!I593"")"),5265.94)</f>
        <v>5265.94</v>
      </c>
      <c r="BM44" s="57">
        <f ca="1">IFERROR(__xludf.DUMMYFUNCTION("IMPORTRANGE(""https://docs.google.com/spreadsheets/d/1tZ0nmtGuIRCaGAMXHlQU8EpR9LOAJvyKfc4f7EFmE34/edit?usp=sharing"",""ศรีสะเกษ!I594"")"),1025)</f>
        <v>1025</v>
      </c>
      <c r="BN44" s="63">
        <f ca="1">IFERROR(__xludf.DUMMYFUNCTION("IMPORTRANGE(""https://docs.google.com/spreadsheets/d/1tZ0nmtGuIRCaGAMXHlQU8EpR9LOAJvyKfc4f7EFmE34/edit?usp=sharing"",""ศรีสะเกษ!J593"")"),0)</f>
        <v>0</v>
      </c>
      <c r="BO44" s="63">
        <f t="shared" ca="1" si="40"/>
        <v>0</v>
      </c>
      <c r="BP44" s="57">
        <f ca="1">IFERROR(__xludf.DUMMYFUNCTION("IMPORTRANGE(""https://docs.google.com/spreadsheets/d/1tZ0nmtGuIRCaGAMXHlQU8EpR9LOAJvyKfc4f7EFmE34/edit?usp=sharing"",""ศรีสะเกษ!J594"")"),0)</f>
        <v>0</v>
      </c>
      <c r="BQ44" s="63">
        <f t="shared" ca="1" si="16"/>
        <v>0</v>
      </c>
      <c r="BR44" s="63">
        <f ca="1">IFERROR(__xludf.DUMMYFUNCTION("IMPORTRANGE(""https://docs.google.com/spreadsheets/d/1tZ0nmtGuIRCaGAMXHlQU8EpR9LOAJvyKfc4f7EFmE34/edit?usp=sharing"",""ศรีสะเกษ!J595"")"),0)</f>
        <v>0</v>
      </c>
      <c r="BS44" s="140">
        <f ca="1">IFERROR(__xludf.DUMMYFUNCTION("IMPORTRANGE(""https://docs.google.com/spreadsheets/d/1tZ0nmtGuIRCaGAMXHlQU8EpR9LOAJvyKfc4f7EFmE34/edit?usp=sharing"",""ศรีสะเกษ!J596"")"),0)</f>
        <v>0</v>
      </c>
      <c r="BT44" s="63">
        <f ca="1">IFERROR(__xludf.DUMMYFUNCTION("IMPORTRANGE(""https://docs.google.com/spreadsheets/d/1tZ0nmtGuIRCaGAMXHlQU8EpR9LOAJvyKfc4f7EFmE34/edit?usp=sharing"",""ศรีสะเกษ!J597"")"),0)</f>
        <v>0</v>
      </c>
      <c r="BU44" s="140">
        <f ca="1">IFERROR(__xludf.DUMMYFUNCTION("IMPORTRANGE(""https://docs.google.com/spreadsheets/d/1tZ0nmtGuIRCaGAMXHlQU8EpR9LOAJvyKfc4f7EFmE34/edit?usp=sharing"",""ศรีสะเกษ!J598"")"),0)</f>
        <v>0</v>
      </c>
      <c r="BV44" s="63">
        <f ca="1">IFERROR(__xludf.DUMMYFUNCTION("IMPORTRANGE(""https://docs.google.com/spreadsheets/d/1tZ0nmtGuIRCaGAMXHlQU8EpR9LOAJvyKfc4f7EFmE34/edit?usp=sharing"",""ศรีสะเกษ!J599"")"),0)</f>
        <v>0</v>
      </c>
      <c r="BW44" s="140">
        <f ca="1">IFERROR(__xludf.DUMMYFUNCTION("IMPORTRANGE(""https://docs.google.com/spreadsheets/d/1tZ0nmtGuIRCaGAMXHlQU8EpR9LOAJvyKfc4f7EFmE34/edit?usp=sharing"",""ศรีสะเกษ!J600"")"),0)</f>
        <v>0</v>
      </c>
      <c r="BX44" s="141">
        <f ca="1">IFERROR(__xludf.DUMMYFUNCTION("IMPORTRANGE(""https://docs.google.com/spreadsheets/d/1tZ0nmtGuIRCaGAMXHlQU8EpR9LOAJvyKfc4f7EFmE34/edit?usp=sharing"",""ศรีสะเกษ!J601"")"),0)</f>
        <v>0</v>
      </c>
      <c r="BY44" s="140">
        <f ca="1">IFERROR(__xludf.DUMMYFUNCTION("IMPORTRANGE(""https://docs.google.com/spreadsheets/d/1tZ0nmtGuIRCaGAMXHlQU8EpR9LOAJvyKfc4f7EFmE34/edit?usp=sharing"",""ศรีสะเกษ!J602"")"),0)</f>
        <v>0</v>
      </c>
      <c r="BZ44" s="63">
        <f ca="1">IFERROR(__xludf.DUMMYFUNCTION("IMPORTRANGE(""https://docs.google.com/spreadsheets/d/1tZ0nmtGuIRCaGAMXHlQU8EpR9LOAJvyKfc4f7EFmE34/edit?usp=sharing"",""ศรีสะเกษ!J603"")"),0)</f>
        <v>0</v>
      </c>
      <c r="CA44" s="140">
        <f ca="1">IFERROR(__xludf.DUMMYFUNCTION("IMPORTRANGE(""https://docs.google.com/spreadsheets/d/1tZ0nmtGuIRCaGAMXHlQU8EpR9LOAJvyKfc4f7EFmE34/edit?usp=sharing"",""ศรีสะเกษ!J604"")"),0)</f>
        <v>0</v>
      </c>
      <c r="CB44" s="63">
        <f ca="1">IFERROR(__xludf.DUMMYFUNCTION("IMPORTRANGE(""https://docs.google.com/spreadsheets/d/1tZ0nmtGuIRCaGAMXHlQU8EpR9LOAJvyKfc4f7EFmE34/edit?usp=sharing"",""ศรีสะเกษ!J605"")"),0)</f>
        <v>0</v>
      </c>
      <c r="CC44" s="140">
        <f ca="1">IFERROR(__xludf.DUMMYFUNCTION("IMPORTRANGE(""https://docs.google.com/spreadsheets/d/1tZ0nmtGuIRCaGAMXHlQU8EpR9LOAJvyKfc4f7EFmE34/edit?usp=sharing"",""ศรีสะเกษ!J606"")"),0)</f>
        <v>0</v>
      </c>
      <c r="CD44" s="63">
        <f ca="1">IFERROR(__xludf.DUMMYFUNCTION("IMPORTRANGE(""https://docs.google.com/spreadsheets/d/1tZ0nmtGuIRCaGAMXHlQU8EpR9LOAJvyKfc4f7EFmE34/edit?usp=sharing"",""ศรีสะเกษ!J607"")"),0)</f>
        <v>0</v>
      </c>
      <c r="CE44" s="140">
        <f ca="1">IFERROR(__xludf.DUMMYFUNCTION("IMPORTRANGE(""https://docs.google.com/spreadsheets/d/1tZ0nmtGuIRCaGAMXHlQU8EpR9LOAJvyKfc4f7EFmE34/edit?usp=sharing"",""ศรีสะเกษ!J608"")"),0)</f>
        <v>0</v>
      </c>
      <c r="CF44" s="63">
        <f ca="1">IFERROR(__xludf.DUMMYFUNCTION("IMPORTRANGE(""https://docs.google.com/spreadsheets/d/1tZ0nmtGuIRCaGAMXHlQU8EpR9LOAJvyKfc4f7EFmE34/edit?usp=sharing"",""ศรีสะเกษ!J609"")"),0)</f>
        <v>0</v>
      </c>
      <c r="CG44" s="140">
        <f ca="1">IFERROR(__xludf.DUMMYFUNCTION("IMPORTRANGE(""https://docs.google.com/spreadsheets/d/1tZ0nmtGuIRCaGAMXHlQU8EpR9LOAJvyKfc4f7EFmE34/edit?usp=sharing"",""ศรีสะเกษ!J610"")"),0)</f>
        <v>0</v>
      </c>
      <c r="CH44" s="140">
        <f ca="1">IFERROR(__xludf.DUMMYFUNCTION("IMPORTRANGE(""https://docs.google.com/spreadsheets/d/1tZ0nmtGuIRCaGAMXHlQU8EpR9LOAJvyKfc4f7EFmE34/edit?usp=sharing"",""ศรีสะเกษ!I612"")"),0)</f>
        <v>0</v>
      </c>
      <c r="CI44" s="140">
        <f ca="1">IFERROR(__xludf.DUMMYFUNCTION("IMPORTRANGE(""https://docs.google.com/spreadsheets/d/1tZ0nmtGuIRCaGAMXHlQU8EpR9LOAJvyKfc4f7EFmE34/edit?usp=sharing"",""ศรีสะเกษ!I594"")"),1025)</f>
        <v>1025</v>
      </c>
      <c r="CJ44" s="141">
        <f ca="1">IFERROR(__xludf.DUMMYFUNCTION("IMPORTRANGE(""https://docs.google.com/spreadsheets/d/1tZ0nmtGuIRCaGAMXHlQU8EpR9LOAJvyKfc4f7EFmE34/edit?usp=sharing"",""ศรีสะเกษ!J612"")"),0)</f>
        <v>0</v>
      </c>
      <c r="CK44" s="141">
        <f t="shared" ca="1" si="41"/>
        <v>0</v>
      </c>
      <c r="CL44" s="140">
        <f ca="1">IFERROR(__xludf.DUMMYFUNCTION("IMPORTRANGE(""https://docs.google.com/spreadsheets/d/1tZ0nmtGuIRCaGAMXHlQU8EpR9LOAJvyKfc4f7EFmE34/edit?usp=sharing"",""ศรีสะเกษ!J613"")"),0)</f>
        <v>0</v>
      </c>
      <c r="CM44" s="141">
        <f t="shared" ca="1" si="19"/>
        <v>0</v>
      </c>
      <c r="CN44" s="63">
        <f ca="1">IFERROR(__xludf.DUMMYFUNCTION("IMPORTRANGE(""https://docs.google.com/spreadsheets/d/1tZ0nmtGuIRCaGAMXHlQU8EpR9LOAJvyKfc4f7EFmE34/edit?usp=sharing"",""ศรีสะเกษ!J614"")"),0)</f>
        <v>0</v>
      </c>
      <c r="CO44" s="140">
        <f ca="1">IFERROR(__xludf.DUMMYFUNCTION("IMPORTRANGE(""https://docs.google.com/spreadsheets/d/1tZ0nmtGuIRCaGAMXHlQU8EpR9LOAJvyKfc4f7EFmE34/edit?usp=sharing"",""ศรีสะเกษ!J615"")"),0)</f>
        <v>0</v>
      </c>
      <c r="CP44" s="63">
        <f ca="1">IFERROR(__xludf.DUMMYFUNCTION("IMPORTRANGE(""https://docs.google.com/spreadsheets/d/1tZ0nmtGuIRCaGAMXHlQU8EpR9LOAJvyKfc4f7EFmE34/edit?usp=sharing"",""ศรีสะเกษ!J616"")"),0)</f>
        <v>0</v>
      </c>
      <c r="CQ44" s="140">
        <f ca="1">IFERROR(__xludf.DUMMYFUNCTION("IMPORTRANGE(""https://docs.google.com/spreadsheets/d/1tZ0nmtGuIRCaGAMXHlQU8EpR9LOAJvyKfc4f7EFmE34/edit?usp=sharing"",""ศรีสะเกษ!J617"")"),0)</f>
        <v>0</v>
      </c>
      <c r="CR44" s="140">
        <f ca="1">IFERROR(__xludf.DUMMYFUNCTION("IMPORTRANGE(""https://docs.google.com/spreadsheets/d/1tZ0nmtGuIRCaGAMXHlQU8EpR9LOAJvyKfc4f7EFmE34/edit?usp=sharing"",""ศรีสะเกษ!I620"")"),52)</f>
        <v>52</v>
      </c>
      <c r="CS44" s="140">
        <f ca="1">IFERROR(__xludf.DUMMYFUNCTION("IMPORTRANGE(""https://docs.google.com/spreadsheets/d/1tZ0nmtGuIRCaGAMXHlQU8EpR9LOAJvyKfc4f7EFmE34/edit?usp=sharing"",""ศรีสะเกษ!I621"")"),18)</f>
        <v>18</v>
      </c>
      <c r="CT44" s="141">
        <f ca="1">IFERROR(__xludf.DUMMYFUNCTION("IMPORTRANGE(""https://docs.google.com/spreadsheets/d/1tZ0nmtGuIRCaGAMXHlQU8EpR9LOAJvyKfc4f7EFmE34/edit?usp=sharing"",""ศรีสะเกษ!J620"")"),52)</f>
        <v>52</v>
      </c>
      <c r="CU44" s="141">
        <f t="shared" ca="1" si="42"/>
        <v>100</v>
      </c>
      <c r="CV44" s="140">
        <f ca="1">IFERROR(__xludf.DUMMYFUNCTION("IMPORTRANGE(""https://docs.google.com/spreadsheets/d/1tZ0nmtGuIRCaGAMXHlQU8EpR9LOAJvyKfc4f7EFmE34/edit?usp=sharing"",""ศรีสะเกษ!J621"")"),18)</f>
        <v>18</v>
      </c>
      <c r="CW44" s="141">
        <f t="shared" ca="1" si="22"/>
        <v>100</v>
      </c>
      <c r="CX44" s="63">
        <f ca="1">IFERROR(__xludf.DUMMYFUNCTION("IMPORTRANGE(""https://docs.google.com/spreadsheets/d/1tZ0nmtGuIRCaGAMXHlQU8EpR9LOAJvyKfc4f7EFmE34/edit?usp=sharing"",""ศรีสะเกษ!J622"")"),7)</f>
        <v>7</v>
      </c>
      <c r="CY44" s="140">
        <f ca="1">IFERROR(__xludf.DUMMYFUNCTION("IMPORTRANGE(""https://docs.google.com/spreadsheets/d/1tZ0nmtGuIRCaGAMXHlQU8EpR9LOAJvyKfc4f7EFmE34/edit?usp=sharing"",""ศรีสะเกษ!J623"")"),2)</f>
        <v>2</v>
      </c>
      <c r="CZ44" s="63">
        <f ca="1">IFERROR(__xludf.DUMMYFUNCTION("IMPORTRANGE(""https://docs.google.com/spreadsheets/d/1tZ0nmtGuIRCaGAMXHlQU8EpR9LOAJvyKfc4f7EFmE34/edit?usp=sharing"",""ศรีสะเกษ!J624"")"),38)</f>
        <v>38</v>
      </c>
      <c r="DA44" s="140">
        <f ca="1">IFERROR(__xludf.DUMMYFUNCTION("IMPORTRANGE(""https://docs.google.com/spreadsheets/d/1tZ0nmtGuIRCaGAMXHlQU8EpR9LOAJvyKfc4f7EFmE34/edit?usp=sharing"",""ศรีสะเกษ!J625"")"),14)</f>
        <v>14</v>
      </c>
      <c r="DB44" s="63">
        <f ca="1">IFERROR(__xludf.DUMMYFUNCTION("IMPORTRANGE(""https://docs.google.com/spreadsheets/d/1tZ0nmtGuIRCaGAMXHlQU8EpR9LOAJvyKfc4f7EFmE34/edit?usp=sharing"",""ศรีสะเกษ!J626"")"),7)</f>
        <v>7</v>
      </c>
      <c r="DC44" s="140">
        <f ca="1">IFERROR(__xludf.DUMMYFUNCTION("IMPORTRANGE(""https://docs.google.com/spreadsheets/d/1tZ0nmtGuIRCaGAMXHlQU8EpR9LOAJvyKfc4f7EFmE34/edit?usp=sharing"",""ศรีสะเกษ!J627"")"),2)</f>
        <v>2</v>
      </c>
    </row>
    <row r="45" spans="1:107" ht="21" customHeight="1" x14ac:dyDescent="0.3">
      <c r="A45" s="54">
        <v>14</v>
      </c>
      <c r="B45" s="55" t="s">
        <v>66</v>
      </c>
      <c r="C45" s="56">
        <f t="shared" ca="1" si="66"/>
        <v>402462</v>
      </c>
      <c r="D45" s="57">
        <f ca="1">IFERROR(__xludf.DUMMYFUNCTION("IMPORTRANGE(""https://docs.google.com/spreadsheets/d/1QC8psz9w0f9IVE9Xuc2FT_btkaOzZbbUSgYObpBuetM/edit?usp=sharing"",""สกลนคร!L549"")"),402462)</f>
        <v>402462</v>
      </c>
      <c r="E45" s="64">
        <f ca="1">IFERROR(__xludf.DUMMYFUNCTION("IMPORTRANGE(""https://docs.google.com/spreadsheets/d/1QC8psz9w0f9IVE9Xuc2FT_btkaOzZbbUSgYObpBuetM/edit?usp=sharing"",""สกลนคร!L557"")"),0)</f>
        <v>0</v>
      </c>
      <c r="F45" s="64">
        <f ca="1">IFERROR(__xludf.DUMMYFUNCTION("IMPORTRANGE(""https://docs.google.com/spreadsheets/d/1QC8psz9w0f9IVE9Xuc2FT_btkaOzZbbUSgYObpBuetM/edit?usp=sharing"",""สกลนคร!M549"")"),402462)</f>
        <v>402462</v>
      </c>
      <c r="G45" s="64">
        <f ca="1">IFERROR(__xludf.DUMMYFUNCTION("IMPORTRANGE(""https://docs.google.com/spreadsheets/d/1QC8psz9w0f9IVE9Xuc2FT_btkaOzZbbUSgYObpBuetM/edit?usp=sharing"",""สกลนคร!M557"")"),0)</f>
        <v>0</v>
      </c>
      <c r="H45" s="58">
        <f t="shared" ca="1" si="36"/>
        <v>288684.5</v>
      </c>
      <c r="I45" s="59">
        <f t="shared" ca="1" si="1"/>
        <v>71.729629132688302</v>
      </c>
      <c r="J45" s="60">
        <f t="shared" ca="1" si="67"/>
        <v>288684.5</v>
      </c>
      <c r="K45" s="61">
        <f t="shared" ca="1" si="44"/>
        <v>71.729629132688302</v>
      </c>
      <c r="L45" s="61">
        <f t="shared" ca="1" si="45"/>
        <v>71.729629132688302</v>
      </c>
      <c r="M45" s="64">
        <f ca="1">IFERROR(__xludf.DUMMYFUNCTION("IMPORTRANGE(""https://docs.google.com/spreadsheets/d/1QC8psz9w0f9IVE9Xuc2FT_btkaOzZbbUSgYObpBuetM/edit?usp=sharing"",""สกลนคร!N550"")"),0)</f>
        <v>0</v>
      </c>
      <c r="N45" s="64">
        <f ca="1">IFERROR(__xludf.DUMMYFUNCTION("IMPORTRANGE(""https://docs.google.com/spreadsheets/d/1QC8psz9w0f9IVE9Xuc2FT_btkaOzZbbUSgYObpBuetM/edit?usp=sharing"",""สกลนคร!N551"")"),0)</f>
        <v>0</v>
      </c>
      <c r="O45" s="64">
        <f ca="1">IFERROR(__xludf.DUMMYFUNCTION("IMPORTRANGE(""https://docs.google.com/spreadsheets/d/1QC8psz9w0f9IVE9Xuc2FT_btkaOzZbbUSgYObpBuetM/edit?usp=sharing"",""สกลนคร!N552"")"),78000)</f>
        <v>78000</v>
      </c>
      <c r="P45" s="64">
        <f ca="1">IFERROR(__xludf.DUMMYFUNCTION("IMPORTRANGE(""https://docs.google.com/spreadsheets/d/1QC8psz9w0f9IVE9Xuc2FT_btkaOzZbbUSgYObpBuetM/edit?usp=sharing"",""สกลนคร!N553"")"),210684.5)</f>
        <v>210684.5</v>
      </c>
      <c r="Q45" s="64">
        <f ca="1">IFERROR(__xludf.DUMMYFUNCTION("IMPORTRANGE(""https://docs.google.com/spreadsheets/d/1QC8psz9w0f9IVE9Xuc2FT_btkaOzZbbUSgYObpBuetM/edit?usp=sharing"",""สกลนคร!N554"")"),0)</f>
        <v>0</v>
      </c>
      <c r="R45" s="62">
        <f ca="1">IFERROR(__xludf.DUMMYFUNCTION("IMPORTRANGE(""https://docs.google.com/spreadsheets/d/1QC8psz9w0f9IVE9Xuc2FT_btkaOzZbbUSgYObpBuetM/edit?usp=sharing"",""สกลนคร!N557"")"),0)</f>
        <v>0</v>
      </c>
      <c r="S45" s="62">
        <f t="shared" ca="1" si="47"/>
        <v>0</v>
      </c>
      <c r="T45" s="57">
        <f ca="1">IFERROR(__xludf.DUMMYFUNCTION("IMPORTRANGE(""https://docs.google.com/spreadsheets/d/1QC8psz9w0f9IVE9Xuc2FT_btkaOzZbbUSgYObpBuetM/edit?usp=sharing"",""สกลนคร!I560"")"),59640)</f>
        <v>59640</v>
      </c>
      <c r="U45" s="57">
        <f ca="1">IFERROR(__xludf.DUMMYFUNCTION("IMPORTRANGE(""https://docs.google.com/spreadsheets/d/1QC8psz9w0f9IVE9Xuc2FT_btkaOzZbbUSgYObpBuetM/edit?usp=sharing"",""สกลนคร!I561"")"),7355)</f>
        <v>7355</v>
      </c>
      <c r="V45" s="63">
        <f ca="1">IFERROR(__xludf.DUMMYFUNCTION("IMPORTRANGE(""https://docs.google.com/spreadsheets/d/1QC8psz9w0f9IVE9Xuc2FT_btkaOzZbbUSgYObpBuetM/edit?usp=sharing"",""สกลนคร!J560"")"),59639.4799999999)</f>
        <v>59639.479999999901</v>
      </c>
      <c r="W45" s="63">
        <f t="shared" ca="1" si="37"/>
        <v>99.999128101944834</v>
      </c>
      <c r="X45" s="57">
        <f ca="1">IFERROR(__xludf.DUMMYFUNCTION("IMPORTRANGE(""https://docs.google.com/spreadsheets/d/1QC8psz9w0f9IVE9Xuc2FT_btkaOzZbbUSgYObpBuetM/edit?usp=sharing"",""สกลนคร!J561"")"),7355)</f>
        <v>7355</v>
      </c>
      <c r="Y45" s="63">
        <f t="shared" ca="1" si="7"/>
        <v>100</v>
      </c>
      <c r="Z45" s="63">
        <f ca="1">IFERROR(__xludf.DUMMYFUNCTION("IMPORTRANGE(""https://docs.google.com/spreadsheets/d/1QC8psz9w0f9IVE9Xuc2FT_btkaOzZbbUSgYObpBuetM/edit?usp=sharing"",""สกลนคร!J562"")"),49495)</f>
        <v>49495</v>
      </c>
      <c r="AA45" s="140">
        <f ca="1">IFERROR(__xludf.DUMMYFUNCTION("IMPORTRANGE(""https://docs.google.com/spreadsheets/d/1QC8psz9w0f9IVE9Xuc2FT_btkaOzZbbUSgYObpBuetM/edit?usp=sharing"",""สกลนคร!J563"")"),6495)</f>
        <v>6495</v>
      </c>
      <c r="AB45" s="63">
        <f ca="1">IFERROR(__xludf.DUMMYFUNCTION("IMPORTRANGE(""https://docs.google.com/spreadsheets/d/1QC8psz9w0f9IVE9Xuc2FT_btkaOzZbbUSgYObpBuetM/edit?usp=sharing"",""สกลนคร!J564"")"),8817.73)</f>
        <v>8817.73</v>
      </c>
      <c r="AC45" s="140">
        <f ca="1">IFERROR(__xludf.DUMMYFUNCTION("IMPORTRANGE(""https://docs.google.com/spreadsheets/d/1QC8psz9w0f9IVE9Xuc2FT_btkaOzZbbUSgYObpBuetM/edit?usp=sharing"",""สกลนคร!J565"")"),697)</f>
        <v>697</v>
      </c>
      <c r="AD45" s="63">
        <f ca="1">IFERROR(__xludf.DUMMYFUNCTION("IMPORTRANGE(""https://docs.google.com/spreadsheets/d/1QC8psz9w0f9IVE9Xuc2FT_btkaOzZbbUSgYObpBuetM/edit?usp=sharing"",""สกลนคร!J566"")"),1326.75)</f>
        <v>1326.75</v>
      </c>
      <c r="AE45" s="140">
        <f ca="1">IFERROR(__xludf.DUMMYFUNCTION("IMPORTRANGE(""https://docs.google.com/spreadsheets/d/1QC8psz9w0f9IVE9Xuc2FT_btkaOzZbbUSgYObpBuetM/edit?usp=sharing"",""สกลนคร!J567"")"),163)</f>
        <v>163</v>
      </c>
      <c r="AF45" s="57">
        <f ca="1">IFERROR(__xludf.DUMMYFUNCTION("IMPORTRANGE(""https://docs.google.com/spreadsheets/d/1QC8psz9w0f9IVE9Xuc2FT_btkaOzZbbUSgYObpBuetM/edit?usp=sharing"",""สกลนคร!I568"")"),59640)</f>
        <v>59640</v>
      </c>
      <c r="AG45" s="57">
        <f ca="1">IFERROR(__xludf.DUMMYFUNCTION("IMPORTRANGE(""https://docs.google.com/spreadsheets/d/1QC8psz9w0f9IVE9Xuc2FT_btkaOzZbbUSgYObpBuetM/edit?usp=sharing"",""สกลนคร!I569"")"),7355)</f>
        <v>7355</v>
      </c>
      <c r="AH45" s="63">
        <f ca="1">IFERROR(__xludf.DUMMYFUNCTION("IMPORTRANGE(""https://docs.google.com/spreadsheets/d/1QC8psz9w0f9IVE9Xuc2FT_btkaOzZbbUSgYObpBuetM/edit?usp=sharing"",""สกลนคร!J568"")"),59652)</f>
        <v>59652</v>
      </c>
      <c r="AI45" s="63">
        <f t="shared" ca="1" si="38"/>
        <v>100.02012072434607</v>
      </c>
      <c r="AJ45" s="57">
        <f ca="1">IFERROR(__xludf.DUMMYFUNCTION("IMPORTRANGE(""https://docs.google.com/spreadsheets/d/1QC8psz9w0f9IVE9Xuc2FT_btkaOzZbbUSgYObpBuetM/edit?usp=sharing"",""สกลนคร!J569"")"),7355)</f>
        <v>7355</v>
      </c>
      <c r="AK45" s="63">
        <f t="shared" ca="1" si="10"/>
        <v>100</v>
      </c>
      <c r="AL45" s="63">
        <f ca="1">IFERROR(__xludf.DUMMYFUNCTION("IMPORTRANGE(""https://docs.google.com/spreadsheets/d/1QC8psz9w0f9IVE9Xuc2FT_btkaOzZbbUSgYObpBuetM/edit?usp=sharing"",""สกลนคร!J570"")"),49472.8)</f>
        <v>49472.800000000003</v>
      </c>
      <c r="AM45" s="140">
        <f ca="1">IFERROR(__xludf.DUMMYFUNCTION("IMPORTRANGE(""https://docs.google.com/spreadsheets/d/1QC8psz9w0f9IVE9Xuc2FT_btkaOzZbbUSgYObpBuetM/edit?usp=sharing"",""สกลนคร!J571"")"),6497)</f>
        <v>6497</v>
      </c>
      <c r="AN45" s="63">
        <f ca="1">IFERROR(__xludf.DUMMYFUNCTION("IMPORTRANGE(""https://docs.google.com/spreadsheets/d/1QC8psz9w0f9IVE9Xuc2FT_btkaOzZbbUSgYObpBuetM/edit?usp=sharing"",""สกลนคร!J572"")"),8852.5)</f>
        <v>8852.5</v>
      </c>
      <c r="AO45" s="140">
        <f ca="1">IFERROR(__xludf.DUMMYFUNCTION("IMPORTRANGE(""https://docs.google.com/spreadsheets/d/1QC8psz9w0f9IVE9Xuc2FT_btkaOzZbbUSgYObpBuetM/edit?usp=sharing"",""สกลนคร!J573"")"),695)</f>
        <v>695</v>
      </c>
      <c r="AP45" s="63">
        <f ca="1">IFERROR(__xludf.DUMMYFUNCTION("IMPORTRANGE(""https://docs.google.com/spreadsheets/d/1QC8psz9w0f9IVE9Xuc2FT_btkaOzZbbUSgYObpBuetM/edit?usp=sharing"",""สกลนคร!J574"")"),1326.7)</f>
        <v>1326.7</v>
      </c>
      <c r="AQ45" s="140">
        <f ca="1">IFERROR(__xludf.DUMMYFUNCTION("IMPORTRANGE(""https://docs.google.com/spreadsheets/d/1QC8psz9w0f9IVE9Xuc2FT_btkaOzZbbUSgYObpBuetM/edit?usp=sharing"",""สกลนคร!J575"")"),163)</f>
        <v>163</v>
      </c>
      <c r="AR45" s="57">
        <f ca="1">IFERROR(__xludf.DUMMYFUNCTION("IMPORTRANGE(""https://docs.google.com/spreadsheets/d/1QC8psz9w0f9IVE9Xuc2FT_btkaOzZbbUSgYObpBuetM/edit?usp=sharing"",""สกลนคร!I576"")"),59640)</f>
        <v>59640</v>
      </c>
      <c r="AS45" s="57">
        <f ca="1">IFERROR(__xludf.DUMMYFUNCTION("IMPORTRANGE(""https://docs.google.com/spreadsheets/d/1QC8psz9w0f9IVE9Xuc2FT_btkaOzZbbUSgYObpBuetM/edit?usp=sharing"",""สกลนคร!I577"")"),7355)</f>
        <v>7355</v>
      </c>
      <c r="AT45" s="63">
        <f ca="1">IFERROR(__xludf.DUMMYFUNCTION("IMPORTRANGE(""https://docs.google.com/spreadsheets/d/1QC8psz9w0f9IVE9Xuc2FT_btkaOzZbbUSgYObpBuetM/edit?usp=sharing"",""สกลนคร!J576"")"),59652.9249999999)</f>
        <v>59652.924999999901</v>
      </c>
      <c r="AU45" s="63">
        <f t="shared" ca="1" si="39"/>
        <v>100.02167169684758</v>
      </c>
      <c r="AV45" s="57">
        <f ca="1">IFERROR(__xludf.DUMMYFUNCTION("IMPORTRANGE(""https://docs.google.com/spreadsheets/d/1QC8psz9w0f9IVE9Xuc2FT_btkaOzZbbUSgYObpBuetM/edit?usp=sharing"",""สกลนคร!J577"")"),7355)</f>
        <v>7355</v>
      </c>
      <c r="AW45" s="63">
        <f t="shared" ca="1" si="13"/>
        <v>100</v>
      </c>
      <c r="AX45" s="63">
        <f ca="1">IFERROR(__xludf.DUMMYFUNCTION("IMPORTRANGE(""https://docs.google.com/spreadsheets/d/1QC8psz9w0f9IVE9Xuc2FT_btkaOzZbbUSgYObpBuetM/edit?usp=sharing"",""สกลนคร!J578"")"),49470)</f>
        <v>49470</v>
      </c>
      <c r="AY45" s="140">
        <f ca="1">IFERROR(__xludf.DUMMYFUNCTION("IMPORTRANGE(""https://docs.google.com/spreadsheets/d/1QC8psz9w0f9IVE9Xuc2FT_btkaOzZbbUSgYObpBuetM/edit?usp=sharing"",""สกลนคร!J579"")"),6490)</f>
        <v>6490</v>
      </c>
      <c r="AZ45" s="63">
        <f ca="1">IFERROR(__xludf.DUMMYFUNCTION("IMPORTRANGE(""https://docs.google.com/spreadsheets/d/1QC8psz9w0f9IVE9Xuc2FT_btkaOzZbbUSgYObpBuetM/edit?usp=sharing"",""สกลนคร!J580"")"),8855.73)</f>
        <v>8855.73</v>
      </c>
      <c r="BA45" s="140">
        <f ca="1">IFERROR(__xludf.DUMMYFUNCTION("IMPORTRANGE(""https://docs.google.com/spreadsheets/d/1QC8psz9w0f9IVE9Xuc2FT_btkaOzZbbUSgYObpBuetM/edit?usp=sharing"",""สกลนคร!J581"")"),702)</f>
        <v>702</v>
      </c>
      <c r="BB45" s="63">
        <f ca="1">IFERROR(__xludf.DUMMYFUNCTION("IMPORTRANGE(""https://docs.google.com/spreadsheets/d/1QC8psz9w0f9IVE9Xuc2FT_btkaOzZbbUSgYObpBuetM/edit?usp=sharing"",""สกลนคร!J582"")"),1327.195)</f>
        <v>1327.1949999999999</v>
      </c>
      <c r="BC45" s="140">
        <f ca="1">IFERROR(__xludf.DUMMYFUNCTION("IMPORTRANGE(""https://docs.google.com/spreadsheets/d/1QC8psz9w0f9IVE9Xuc2FT_btkaOzZbbUSgYObpBuetM/edit?usp=sharing"",""สกลนคร!J583"")"),163)</f>
        <v>163</v>
      </c>
      <c r="BD45" s="141">
        <f ca="1">IFERROR(__xludf.DUMMYFUNCTION("IMPORTRANGE(""https://docs.google.com/spreadsheets/d/1QC8psz9w0f9IVE9Xuc2FT_btkaOzZbbUSgYObpBuetM/edit?usp=sharing"",""สกลนคร!J584"")"),1296.67)</f>
        <v>1296.67</v>
      </c>
      <c r="BE45" s="140">
        <f ca="1">IFERROR(__xludf.DUMMYFUNCTION("IMPORTRANGE(""https://docs.google.com/spreadsheets/d/1QC8psz9w0f9IVE9Xuc2FT_btkaOzZbbUSgYObpBuetM/edit?usp=sharing"",""สกลนคร!J585"")"),160)</f>
        <v>160</v>
      </c>
      <c r="BF45" s="141">
        <f ca="1">IFERROR(__xludf.DUMMYFUNCTION("IMPORTRANGE(""https://docs.google.com/spreadsheets/d/1QC8psz9w0f9IVE9Xuc2FT_btkaOzZbbUSgYObpBuetM/edit?usp=sharing"",""สกลนคร!J586"")"),30.525)</f>
        <v>30.524999999999999</v>
      </c>
      <c r="BG45" s="140">
        <f ca="1">IFERROR(__xludf.DUMMYFUNCTION("IMPORTRANGE(""https://docs.google.com/spreadsheets/d/1QC8psz9w0f9IVE9Xuc2FT_btkaOzZbbUSgYObpBuetM/edit?usp=sharing"",""สกลนคร!J587"")"),3)</f>
        <v>3</v>
      </c>
      <c r="BH45" s="63">
        <f ca="1">IFERROR(__xludf.DUMMYFUNCTION("IMPORTRANGE(""https://docs.google.com/spreadsheets/d/1QC8psz9w0f9IVE9Xuc2FT_btkaOzZbbUSgYObpBuetM/edit?usp=sharing"",""สกลนคร!J588"")"),0)</f>
        <v>0</v>
      </c>
      <c r="BI45" s="140">
        <f ca="1">IFERROR(__xludf.DUMMYFUNCTION("IMPORTRANGE(""https://docs.google.com/spreadsheets/d/1QC8psz9w0f9IVE9Xuc2FT_btkaOzZbbUSgYObpBuetM/edit?usp=sharing"",""สกลนคร!J589"")"),0)</f>
        <v>0</v>
      </c>
      <c r="BJ45" s="63">
        <f ca="1">IFERROR(__xludf.DUMMYFUNCTION("IMPORTRANGE(""https://docs.google.com/spreadsheets/d/1QC8psz9w0f9IVE9Xuc2FT_btkaOzZbbUSgYObpBuetM/edit?usp=sharing"",""สกลนคร!J590"")"),0)</f>
        <v>0</v>
      </c>
      <c r="BK45" s="140">
        <f ca="1">IFERROR(__xludf.DUMMYFUNCTION("IMPORTRANGE(""https://docs.google.com/spreadsheets/d/1QC8psz9w0f9IVE9Xuc2FT_btkaOzZbbUSgYObpBuetM/edit?usp=sharing"",""สกลนคร!J591"")"),0)</f>
        <v>0</v>
      </c>
      <c r="BL45" s="57">
        <f ca="1">IFERROR(__xludf.DUMMYFUNCTION("IMPORTRANGE(""https://docs.google.com/spreadsheets/d/1QC8psz9w0f9IVE9Xuc2FT_btkaOzZbbUSgYObpBuetM/edit?usp=sharing"",""สกลนคร!I593"")"),1220.6)</f>
        <v>1220.5999999999999</v>
      </c>
      <c r="BM45" s="57">
        <f ca="1">IFERROR(__xludf.DUMMYFUNCTION("IMPORTRANGE(""https://docs.google.com/spreadsheets/d/1QC8psz9w0f9IVE9Xuc2FT_btkaOzZbbUSgYObpBuetM/edit?usp=sharing"",""สกลนคร!I594"")"),107)</f>
        <v>107</v>
      </c>
      <c r="BN45" s="63">
        <f ca="1">IFERROR(__xludf.DUMMYFUNCTION("IMPORTRANGE(""https://docs.google.com/spreadsheets/d/1QC8psz9w0f9IVE9Xuc2FT_btkaOzZbbUSgYObpBuetM/edit?usp=sharing"",""สกลนคร!J593"")"),1171)</f>
        <v>1171</v>
      </c>
      <c r="BO45" s="63">
        <f t="shared" ca="1" si="40"/>
        <v>95.936424709159439</v>
      </c>
      <c r="BP45" s="57">
        <f ca="1">IFERROR(__xludf.DUMMYFUNCTION("IMPORTRANGE(""https://docs.google.com/spreadsheets/d/1QC8psz9w0f9IVE9Xuc2FT_btkaOzZbbUSgYObpBuetM/edit?usp=sharing"",""สกลนคร!J594"")"),103)</f>
        <v>103</v>
      </c>
      <c r="BQ45" s="63">
        <f t="shared" ca="1" si="16"/>
        <v>96.261682242990659</v>
      </c>
      <c r="BR45" s="63">
        <f ca="1">IFERROR(__xludf.DUMMYFUNCTION("IMPORTRANGE(""https://docs.google.com/spreadsheets/d/1QC8psz9w0f9IVE9Xuc2FT_btkaOzZbbUSgYObpBuetM/edit?usp=sharing"",""สกลนคร!J595"")"),1151)</f>
        <v>1151</v>
      </c>
      <c r="BS45" s="140">
        <f ca="1">IFERROR(__xludf.DUMMYFUNCTION("IMPORTRANGE(""https://docs.google.com/spreadsheets/d/1QC8psz9w0f9IVE9Xuc2FT_btkaOzZbbUSgYObpBuetM/edit?usp=sharing"",""สกลนคร!J596"")"),100)</f>
        <v>100</v>
      </c>
      <c r="BT45" s="63">
        <f ca="1">IFERROR(__xludf.DUMMYFUNCTION("IMPORTRANGE(""https://docs.google.com/spreadsheets/d/1QC8psz9w0f9IVE9Xuc2FT_btkaOzZbbUSgYObpBuetM/edit?usp=sharing"",""สกลนคร!J597"")"),895)</f>
        <v>895</v>
      </c>
      <c r="BU45" s="140">
        <f ca="1">IFERROR(__xludf.DUMMYFUNCTION("IMPORTRANGE(""https://docs.google.com/spreadsheets/d/1QC8psz9w0f9IVE9Xuc2FT_btkaOzZbbUSgYObpBuetM/edit?usp=sharing"",""สกลนคร!J598"")"),84)</f>
        <v>84</v>
      </c>
      <c r="BV45" s="63">
        <f ca="1">IFERROR(__xludf.DUMMYFUNCTION("IMPORTRANGE(""https://docs.google.com/spreadsheets/d/1QC8psz9w0f9IVE9Xuc2FT_btkaOzZbbUSgYObpBuetM/edit?usp=sharing"",""สกลนคร!J599"")"),256)</f>
        <v>256</v>
      </c>
      <c r="BW45" s="140">
        <f ca="1">IFERROR(__xludf.DUMMYFUNCTION("IMPORTRANGE(""https://docs.google.com/spreadsheets/d/1QC8psz9w0f9IVE9Xuc2FT_btkaOzZbbUSgYObpBuetM/edit?usp=sharing"",""สกลนคร!J600"")"),16)</f>
        <v>16</v>
      </c>
      <c r="BX45" s="141">
        <f ca="1">IFERROR(__xludf.DUMMYFUNCTION("IMPORTRANGE(""https://docs.google.com/spreadsheets/d/1QC8psz9w0f9IVE9Xuc2FT_btkaOzZbbUSgYObpBuetM/edit?usp=sharing"",""สกลนคร!J601"")"),0)</f>
        <v>0</v>
      </c>
      <c r="BY45" s="140">
        <f ca="1">IFERROR(__xludf.DUMMYFUNCTION("IMPORTRANGE(""https://docs.google.com/spreadsheets/d/1QC8psz9w0f9IVE9Xuc2FT_btkaOzZbbUSgYObpBuetM/edit?usp=sharing"",""สกลนคร!J602"")"),0)</f>
        <v>0</v>
      </c>
      <c r="BZ45" s="63">
        <f ca="1">IFERROR(__xludf.DUMMYFUNCTION("IMPORTRANGE(""https://docs.google.com/spreadsheets/d/1QC8psz9w0f9IVE9Xuc2FT_btkaOzZbbUSgYObpBuetM/edit?usp=sharing"",""สกลนคร!J603"")"),20)</f>
        <v>20</v>
      </c>
      <c r="CA45" s="140">
        <f ca="1">IFERROR(__xludf.DUMMYFUNCTION("IMPORTRANGE(""https://docs.google.com/spreadsheets/d/1QC8psz9w0f9IVE9Xuc2FT_btkaOzZbbUSgYObpBuetM/edit?usp=sharing"",""สกลนคร!J604"")"),3)</f>
        <v>3</v>
      </c>
      <c r="CB45" s="63">
        <f ca="1">IFERROR(__xludf.DUMMYFUNCTION("IMPORTRANGE(""https://docs.google.com/spreadsheets/d/1QC8psz9w0f9IVE9Xuc2FT_btkaOzZbbUSgYObpBuetM/edit?usp=sharing"",""สกลนคร!J605"")"),20)</f>
        <v>20</v>
      </c>
      <c r="CC45" s="140">
        <f ca="1">IFERROR(__xludf.DUMMYFUNCTION("IMPORTRANGE(""https://docs.google.com/spreadsheets/d/1QC8psz9w0f9IVE9Xuc2FT_btkaOzZbbUSgYObpBuetM/edit?usp=sharing"",""สกลนคร!J606"")"),3)</f>
        <v>3</v>
      </c>
      <c r="CD45" s="63">
        <f ca="1">IFERROR(__xludf.DUMMYFUNCTION("IMPORTRANGE(""https://docs.google.com/spreadsheets/d/1QC8psz9w0f9IVE9Xuc2FT_btkaOzZbbUSgYObpBuetM/edit?usp=sharing"",""สกลนคร!J607"")"),0)</f>
        <v>0</v>
      </c>
      <c r="CE45" s="140">
        <f ca="1">IFERROR(__xludf.DUMMYFUNCTION("IMPORTRANGE(""https://docs.google.com/spreadsheets/d/1QC8psz9w0f9IVE9Xuc2FT_btkaOzZbbUSgYObpBuetM/edit?usp=sharing"",""สกลนคร!J608"")"),0)</f>
        <v>0</v>
      </c>
      <c r="CF45" s="63">
        <f ca="1">IFERROR(__xludf.DUMMYFUNCTION("IMPORTRANGE(""https://docs.google.com/spreadsheets/d/1QC8psz9w0f9IVE9Xuc2FT_btkaOzZbbUSgYObpBuetM/edit?usp=sharing"",""สกลนคร!J609"")"),0)</f>
        <v>0</v>
      </c>
      <c r="CG45" s="140">
        <f ca="1">IFERROR(__xludf.DUMMYFUNCTION("IMPORTRANGE(""https://docs.google.com/spreadsheets/d/1QC8psz9w0f9IVE9Xuc2FT_btkaOzZbbUSgYObpBuetM/edit?usp=sharing"",""สกลนคร!J610"")"),0)</f>
        <v>0</v>
      </c>
      <c r="CH45" s="140">
        <f ca="1">IFERROR(__xludf.DUMMYFUNCTION("IMPORTRANGE(""https://docs.google.com/spreadsheets/d/1QC8psz9w0f9IVE9Xuc2FT_btkaOzZbbUSgYObpBuetM/edit?usp=sharing"",""สกลนคร!I612"")"),0)</f>
        <v>0</v>
      </c>
      <c r="CI45" s="140">
        <f ca="1">IFERROR(__xludf.DUMMYFUNCTION("IMPORTRANGE(""https://docs.google.com/spreadsheets/d/1QC8psz9w0f9IVE9Xuc2FT_btkaOzZbbUSgYObpBuetM/edit?usp=sharing"",""สกลนคร!I594"")"),107)</f>
        <v>107</v>
      </c>
      <c r="CJ45" s="141">
        <f ca="1">IFERROR(__xludf.DUMMYFUNCTION("IMPORTRANGE(""https://docs.google.com/spreadsheets/d/1QC8psz9w0f9IVE9Xuc2FT_btkaOzZbbUSgYObpBuetM/edit?usp=sharing"",""สกลนคร!J612"")"),0)</f>
        <v>0</v>
      </c>
      <c r="CK45" s="141">
        <f t="shared" ca="1" si="41"/>
        <v>0</v>
      </c>
      <c r="CL45" s="140">
        <f ca="1">IFERROR(__xludf.DUMMYFUNCTION("IMPORTRANGE(""https://docs.google.com/spreadsheets/d/1QC8psz9w0f9IVE9Xuc2FT_btkaOzZbbUSgYObpBuetM/edit?usp=sharing"",""สกลนคร!J613"")"),0)</f>
        <v>0</v>
      </c>
      <c r="CM45" s="141">
        <f t="shared" ca="1" si="19"/>
        <v>0</v>
      </c>
      <c r="CN45" s="63">
        <f ca="1">IFERROR(__xludf.DUMMYFUNCTION("IMPORTRANGE(""https://docs.google.com/spreadsheets/d/1QC8psz9w0f9IVE9Xuc2FT_btkaOzZbbUSgYObpBuetM/edit?usp=sharing"",""สกลนคร!J614"")"),0)</f>
        <v>0</v>
      </c>
      <c r="CO45" s="140">
        <f ca="1">IFERROR(__xludf.DUMMYFUNCTION("IMPORTRANGE(""https://docs.google.com/spreadsheets/d/1QC8psz9w0f9IVE9Xuc2FT_btkaOzZbbUSgYObpBuetM/edit?usp=sharing"",""สกลนคร!J615"")"),0)</f>
        <v>0</v>
      </c>
      <c r="CP45" s="63">
        <f ca="1">IFERROR(__xludf.DUMMYFUNCTION("IMPORTRANGE(""https://docs.google.com/spreadsheets/d/1QC8psz9w0f9IVE9Xuc2FT_btkaOzZbbUSgYObpBuetM/edit?usp=sharing"",""สกลนคร!J616"")"),0)</f>
        <v>0</v>
      </c>
      <c r="CQ45" s="140">
        <f ca="1">IFERROR(__xludf.DUMMYFUNCTION("IMPORTRANGE(""https://docs.google.com/spreadsheets/d/1QC8psz9w0f9IVE9Xuc2FT_btkaOzZbbUSgYObpBuetM/edit?usp=sharing"",""สกลนคร!J617"")"),0)</f>
        <v>0</v>
      </c>
      <c r="CR45" s="140">
        <f ca="1">IFERROR(__xludf.DUMMYFUNCTION("IMPORTRANGE(""https://docs.google.com/spreadsheets/d/1QC8psz9w0f9IVE9Xuc2FT_btkaOzZbbUSgYObpBuetM/edit?usp=sharing"",""สกลนคร!I620"")"),24)</f>
        <v>24</v>
      </c>
      <c r="CS45" s="140">
        <f ca="1">IFERROR(__xludf.DUMMYFUNCTION("IMPORTRANGE(""https://docs.google.com/spreadsheets/d/1QC8psz9w0f9IVE9Xuc2FT_btkaOzZbbUSgYObpBuetM/edit?usp=sharing"",""สกลนคร!I621"")"),1)</f>
        <v>1</v>
      </c>
      <c r="CT45" s="141">
        <f ca="1">IFERROR(__xludf.DUMMYFUNCTION("IMPORTRANGE(""https://docs.google.com/spreadsheets/d/1QC8psz9w0f9IVE9Xuc2FT_btkaOzZbbUSgYObpBuetM/edit?usp=sharing"",""สกลนคร!J620"")"),24)</f>
        <v>24</v>
      </c>
      <c r="CU45" s="141">
        <f t="shared" ca="1" si="42"/>
        <v>100</v>
      </c>
      <c r="CV45" s="140">
        <f ca="1">IFERROR(__xludf.DUMMYFUNCTION("IMPORTRANGE(""https://docs.google.com/spreadsheets/d/1QC8psz9w0f9IVE9Xuc2FT_btkaOzZbbUSgYObpBuetM/edit?usp=sharing"",""สกลนคร!J621"")"),1)</f>
        <v>1</v>
      </c>
      <c r="CW45" s="141">
        <f t="shared" ca="1" si="22"/>
        <v>100</v>
      </c>
      <c r="CX45" s="63">
        <f ca="1">IFERROR(__xludf.DUMMYFUNCTION("IMPORTRANGE(""https://docs.google.com/spreadsheets/d/1QC8psz9w0f9IVE9Xuc2FT_btkaOzZbbUSgYObpBuetM/edit?usp=sharing"",""สกลนคร!J622"")"),24)</f>
        <v>24</v>
      </c>
      <c r="CY45" s="140">
        <f ca="1">IFERROR(__xludf.DUMMYFUNCTION("IMPORTRANGE(""https://docs.google.com/spreadsheets/d/1QC8psz9w0f9IVE9Xuc2FT_btkaOzZbbUSgYObpBuetM/edit?usp=sharing"",""สกลนคร!J623"")"),1)</f>
        <v>1</v>
      </c>
      <c r="CZ45" s="63">
        <f ca="1">IFERROR(__xludf.DUMMYFUNCTION("IMPORTRANGE(""https://docs.google.com/spreadsheets/d/1QC8psz9w0f9IVE9Xuc2FT_btkaOzZbbUSgYObpBuetM/edit?usp=sharing"",""สกลนคร!J624"")"),0)</f>
        <v>0</v>
      </c>
      <c r="DA45" s="140">
        <f ca="1">IFERROR(__xludf.DUMMYFUNCTION("IMPORTRANGE(""https://docs.google.com/spreadsheets/d/1QC8psz9w0f9IVE9Xuc2FT_btkaOzZbbUSgYObpBuetM/edit?usp=sharing"",""สกลนคร!J625"")"),0)</f>
        <v>0</v>
      </c>
      <c r="DB45" s="63">
        <f ca="1">IFERROR(__xludf.DUMMYFUNCTION("IMPORTRANGE(""https://docs.google.com/spreadsheets/d/1QC8psz9w0f9IVE9Xuc2FT_btkaOzZbbUSgYObpBuetM/edit?usp=sharing"",""สกลนคร!J626"")"),0)</f>
        <v>0</v>
      </c>
      <c r="DC45" s="140">
        <f ca="1">IFERROR(__xludf.DUMMYFUNCTION("IMPORTRANGE(""https://docs.google.com/spreadsheets/d/1QC8psz9w0f9IVE9Xuc2FT_btkaOzZbbUSgYObpBuetM/edit?usp=sharing"",""สกลนคร!J627"")"),0)</f>
        <v>0</v>
      </c>
    </row>
    <row r="46" spans="1:107" ht="21" customHeight="1" x14ac:dyDescent="0.3">
      <c r="A46" s="54">
        <v>15</v>
      </c>
      <c r="B46" s="55" t="s">
        <v>67</v>
      </c>
      <c r="C46" s="56">
        <f t="shared" ca="1" si="66"/>
        <v>594850</v>
      </c>
      <c r="D46" s="57">
        <f ca="1">IFERROR(__xludf.DUMMYFUNCTION("IMPORTRANGE(""https://docs.google.com/spreadsheets/d/1wPdvRbu02d33MYVlbsCnyTiZpefEBs9NNktAnT1HZvw/edit?usp=sharing"",""สุรินทร์!L549"")"),594850)</f>
        <v>594850</v>
      </c>
      <c r="E46" s="64">
        <f ca="1">IFERROR(__xludf.DUMMYFUNCTION("IMPORTRANGE(""https://docs.google.com/spreadsheets/d/1wPdvRbu02d33MYVlbsCnyTiZpefEBs9NNktAnT1HZvw/edit?usp=sharing"",""สุรินทร์!L557"")"),0)</f>
        <v>0</v>
      </c>
      <c r="F46" s="64">
        <f ca="1">IFERROR(__xludf.DUMMYFUNCTION("IMPORTRANGE(""https://docs.google.com/spreadsheets/d/1wPdvRbu02d33MYVlbsCnyTiZpefEBs9NNktAnT1HZvw/edit?usp=sharing"",""สุรินทร์!M549"")"),594850)</f>
        <v>594850</v>
      </c>
      <c r="G46" s="64">
        <f ca="1">IFERROR(__xludf.DUMMYFUNCTION("IMPORTRANGE(""https://docs.google.com/spreadsheets/d/1wPdvRbu02d33MYVlbsCnyTiZpefEBs9NNktAnT1HZvw/edit?usp=sharing"",""สุรินทร์!M557"")"),0)</f>
        <v>0</v>
      </c>
      <c r="H46" s="58">
        <f t="shared" ca="1" si="36"/>
        <v>309461.5</v>
      </c>
      <c r="I46" s="59">
        <f t="shared" ca="1" si="1"/>
        <v>52.02345129024124</v>
      </c>
      <c r="J46" s="60">
        <f t="shared" ca="1" si="67"/>
        <v>309461.5</v>
      </c>
      <c r="K46" s="61">
        <f t="shared" ca="1" si="44"/>
        <v>52.02345129024124</v>
      </c>
      <c r="L46" s="61">
        <f t="shared" ca="1" si="45"/>
        <v>52.02345129024124</v>
      </c>
      <c r="M46" s="64">
        <f ca="1">IFERROR(__xludf.DUMMYFUNCTION("IMPORTRANGE(""https://docs.google.com/spreadsheets/d/1wPdvRbu02d33MYVlbsCnyTiZpefEBs9NNktAnT1HZvw/edit?usp=sharing"",""สุรินทร์!N550"")"),0)</f>
        <v>0</v>
      </c>
      <c r="N46" s="64">
        <f ca="1">IFERROR(__xludf.DUMMYFUNCTION("IMPORTRANGE(""https://docs.google.com/spreadsheets/d/1wPdvRbu02d33MYVlbsCnyTiZpefEBs9NNktAnT1HZvw/edit?usp=sharing"",""สุรินทร์!N551"")"),0)</f>
        <v>0</v>
      </c>
      <c r="O46" s="64">
        <f ca="1">IFERROR(__xludf.DUMMYFUNCTION("IMPORTRANGE(""https://docs.google.com/spreadsheets/d/1wPdvRbu02d33MYVlbsCnyTiZpefEBs9NNktAnT1HZvw/edit?usp=sharing"",""สุรินทร์!N552"")"),76320)</f>
        <v>76320</v>
      </c>
      <c r="P46" s="64">
        <f ca="1">IFERROR(__xludf.DUMMYFUNCTION("IMPORTRANGE(""https://docs.google.com/spreadsheets/d/1wPdvRbu02d33MYVlbsCnyTiZpefEBs9NNktAnT1HZvw/edit?usp=sharing"",""สุรินทร์!N553"")"),233141.5)</f>
        <v>233141.5</v>
      </c>
      <c r="Q46" s="64">
        <f ca="1">IFERROR(__xludf.DUMMYFUNCTION("IMPORTRANGE(""https://docs.google.com/spreadsheets/d/1wPdvRbu02d33MYVlbsCnyTiZpefEBs9NNktAnT1HZvw/edit?usp=sharing"",""สุรินทร์!N554"")"),0)</f>
        <v>0</v>
      </c>
      <c r="R46" s="62">
        <f ca="1">IFERROR(__xludf.DUMMYFUNCTION("IMPORTRANGE(""https://docs.google.com/spreadsheets/d/1wPdvRbu02d33MYVlbsCnyTiZpefEBs9NNktAnT1HZvw/edit?usp=sharing"",""สุรินทร์!N557"")"),0)</f>
        <v>0</v>
      </c>
      <c r="S46" s="62">
        <f t="shared" ca="1" si="47"/>
        <v>0</v>
      </c>
      <c r="T46" s="57">
        <f ca="1">IFERROR(__xludf.DUMMYFUNCTION("IMPORTRANGE(""https://docs.google.com/spreadsheets/d/1wPdvRbu02d33MYVlbsCnyTiZpefEBs9NNktAnT1HZvw/edit?usp=sharing"",""สุรินทร์!I560"")"),73156)</f>
        <v>73156</v>
      </c>
      <c r="U46" s="57">
        <f ca="1">IFERROR(__xludf.DUMMYFUNCTION("IMPORTRANGE(""https://docs.google.com/spreadsheets/d/1wPdvRbu02d33MYVlbsCnyTiZpefEBs9NNktAnT1HZvw/edit?usp=sharing"",""สุรินทร์!I561"")"),11185)</f>
        <v>11185</v>
      </c>
      <c r="V46" s="63">
        <f ca="1">IFERROR(__xludf.DUMMYFUNCTION("IMPORTRANGE(""https://docs.google.com/spreadsheets/d/1wPdvRbu02d33MYVlbsCnyTiZpefEBs9NNktAnT1HZvw/edit?usp=sharing"",""สุรินทร์!J560"")"),73156)</f>
        <v>73156</v>
      </c>
      <c r="W46" s="63">
        <f t="shared" ca="1" si="37"/>
        <v>100</v>
      </c>
      <c r="X46" s="57">
        <f ca="1">IFERROR(__xludf.DUMMYFUNCTION("IMPORTRANGE(""https://docs.google.com/spreadsheets/d/1wPdvRbu02d33MYVlbsCnyTiZpefEBs9NNktAnT1HZvw/edit?usp=sharing"",""สุรินทร์!J561"")"),11185)</f>
        <v>11185</v>
      </c>
      <c r="Y46" s="63">
        <f t="shared" ca="1" si="7"/>
        <v>100</v>
      </c>
      <c r="Z46" s="63">
        <f ca="1">IFERROR(__xludf.DUMMYFUNCTION("IMPORTRANGE(""https://docs.google.com/spreadsheets/d/1wPdvRbu02d33MYVlbsCnyTiZpefEBs9NNktAnT1HZvw/edit?usp=sharing"",""สุรินทร์!J562"")"),51083)</f>
        <v>51083</v>
      </c>
      <c r="AA46" s="140">
        <f ca="1">IFERROR(__xludf.DUMMYFUNCTION("IMPORTRANGE(""https://docs.google.com/spreadsheets/d/1wPdvRbu02d33MYVlbsCnyTiZpefEBs9NNktAnT1HZvw/edit?usp=sharing"",""สุรินทร์!J563"")"),8859)</f>
        <v>8859</v>
      </c>
      <c r="AB46" s="63">
        <f ca="1">IFERROR(__xludf.DUMMYFUNCTION("IMPORTRANGE(""https://docs.google.com/spreadsheets/d/1wPdvRbu02d33MYVlbsCnyTiZpefEBs9NNktAnT1HZvw/edit?usp=sharing"",""สุรินทร์!J564"")"),18673)</f>
        <v>18673</v>
      </c>
      <c r="AC46" s="140">
        <f ca="1">IFERROR(__xludf.DUMMYFUNCTION("IMPORTRANGE(""https://docs.google.com/spreadsheets/d/1wPdvRbu02d33MYVlbsCnyTiZpefEBs9NNktAnT1HZvw/edit?usp=sharing"",""สุรินทร์!J565"")"),1845)</f>
        <v>1845</v>
      </c>
      <c r="AD46" s="63">
        <f ca="1">IFERROR(__xludf.DUMMYFUNCTION("IMPORTRANGE(""https://docs.google.com/spreadsheets/d/1wPdvRbu02d33MYVlbsCnyTiZpefEBs9NNktAnT1HZvw/edit?usp=sharing"",""สุรินทร์!J566"")"),3400)</f>
        <v>3400</v>
      </c>
      <c r="AE46" s="140">
        <f ca="1">IFERROR(__xludf.DUMMYFUNCTION("IMPORTRANGE(""https://docs.google.com/spreadsheets/d/1wPdvRbu02d33MYVlbsCnyTiZpefEBs9NNktAnT1HZvw/edit?usp=sharing"",""สุรินทร์!J567"")"),481)</f>
        <v>481</v>
      </c>
      <c r="AF46" s="57">
        <f ca="1">IFERROR(__xludf.DUMMYFUNCTION("IMPORTRANGE(""https://docs.google.com/spreadsheets/d/1wPdvRbu02d33MYVlbsCnyTiZpefEBs9NNktAnT1HZvw/edit?usp=sharing"",""สุรินทร์!I568"")"),73156)</f>
        <v>73156</v>
      </c>
      <c r="AG46" s="57">
        <f ca="1">IFERROR(__xludf.DUMMYFUNCTION("IMPORTRANGE(""https://docs.google.com/spreadsheets/d/1wPdvRbu02d33MYVlbsCnyTiZpefEBs9NNktAnT1HZvw/edit?usp=sharing"",""สุรินทร์!I569"")"),11185)</f>
        <v>11185</v>
      </c>
      <c r="AH46" s="63">
        <f ca="1">IFERROR(__xludf.DUMMYFUNCTION("IMPORTRANGE(""https://docs.google.com/spreadsheets/d/1wPdvRbu02d33MYVlbsCnyTiZpefEBs9NNktAnT1HZvw/edit?usp=sharing"",""สุรินทร์!J568"")"),73157)</f>
        <v>73157</v>
      </c>
      <c r="AI46" s="63">
        <f t="shared" ca="1" si="38"/>
        <v>100.00136694187763</v>
      </c>
      <c r="AJ46" s="57">
        <f ca="1">IFERROR(__xludf.DUMMYFUNCTION("IMPORTRANGE(""https://docs.google.com/spreadsheets/d/1wPdvRbu02d33MYVlbsCnyTiZpefEBs9NNktAnT1HZvw/edit?usp=sharing"",""สุรินทร์!J569"")"),11185)</f>
        <v>11185</v>
      </c>
      <c r="AK46" s="63">
        <f t="shared" ca="1" si="10"/>
        <v>100</v>
      </c>
      <c r="AL46" s="63">
        <f ca="1">IFERROR(__xludf.DUMMYFUNCTION("IMPORTRANGE(""https://docs.google.com/spreadsheets/d/1wPdvRbu02d33MYVlbsCnyTiZpefEBs9NNktAnT1HZvw/edit?usp=sharing"",""สุรินทร์!J570"")"),56914)</f>
        <v>56914</v>
      </c>
      <c r="AM46" s="140">
        <f ca="1">IFERROR(__xludf.DUMMYFUNCTION("IMPORTRANGE(""https://docs.google.com/spreadsheets/d/1wPdvRbu02d33MYVlbsCnyTiZpefEBs9NNktAnT1HZvw/edit?usp=sharing"",""สุรินทร์!J571"")"),9466)</f>
        <v>9466</v>
      </c>
      <c r="AN46" s="63">
        <f ca="1">IFERROR(__xludf.DUMMYFUNCTION("IMPORTRANGE(""https://docs.google.com/spreadsheets/d/1wPdvRbu02d33MYVlbsCnyTiZpefEBs9NNktAnT1HZvw/edit?usp=sharing"",""สุรินทร์!J572"")"),12055)</f>
        <v>12055</v>
      </c>
      <c r="AO46" s="140">
        <f ca="1">IFERROR(__xludf.DUMMYFUNCTION("IMPORTRANGE(""https://docs.google.com/spreadsheets/d/1wPdvRbu02d33MYVlbsCnyTiZpefEBs9NNktAnT1HZvw/edit?usp=sharing"",""สุรินทร์!J573"")"),1158)</f>
        <v>1158</v>
      </c>
      <c r="AP46" s="63">
        <f ca="1">IFERROR(__xludf.DUMMYFUNCTION("IMPORTRANGE(""https://docs.google.com/spreadsheets/d/1wPdvRbu02d33MYVlbsCnyTiZpefEBs9NNktAnT1HZvw/edit?usp=sharing"",""สุรินทร์!J574"")"),4188)</f>
        <v>4188</v>
      </c>
      <c r="AQ46" s="140">
        <f ca="1">IFERROR(__xludf.DUMMYFUNCTION("IMPORTRANGE(""https://docs.google.com/spreadsheets/d/1wPdvRbu02d33MYVlbsCnyTiZpefEBs9NNktAnT1HZvw/edit?usp=sharing"",""สุรินทร์!J575"")"),561)</f>
        <v>561</v>
      </c>
      <c r="AR46" s="57">
        <f ca="1">IFERROR(__xludf.DUMMYFUNCTION("IMPORTRANGE(""https://docs.google.com/spreadsheets/d/1wPdvRbu02d33MYVlbsCnyTiZpefEBs9NNktAnT1HZvw/edit?usp=sharing"",""สุรินทร์!I576"")"),73156)</f>
        <v>73156</v>
      </c>
      <c r="AS46" s="57">
        <f ca="1">IFERROR(__xludf.DUMMYFUNCTION("IMPORTRANGE(""https://docs.google.com/spreadsheets/d/1wPdvRbu02d33MYVlbsCnyTiZpefEBs9NNktAnT1HZvw/edit?usp=sharing"",""สุรินทร์!I577"")"),11185)</f>
        <v>11185</v>
      </c>
      <c r="AT46" s="63">
        <f ca="1">IFERROR(__xludf.DUMMYFUNCTION("IMPORTRANGE(""https://docs.google.com/spreadsheets/d/1wPdvRbu02d33MYVlbsCnyTiZpefEBs9NNktAnT1HZvw/edit?usp=sharing"",""สุรินทร์!J576"")"),0)</f>
        <v>0</v>
      </c>
      <c r="AU46" s="63">
        <f t="shared" ca="1" si="39"/>
        <v>0</v>
      </c>
      <c r="AV46" s="57">
        <f ca="1">IFERROR(__xludf.DUMMYFUNCTION("IMPORTRANGE(""https://docs.google.com/spreadsheets/d/1wPdvRbu02d33MYVlbsCnyTiZpefEBs9NNktAnT1HZvw/edit?usp=sharing"",""สุรินทร์!J577"")"),0)</f>
        <v>0</v>
      </c>
      <c r="AW46" s="63">
        <f t="shared" ca="1" si="13"/>
        <v>0</v>
      </c>
      <c r="AX46" s="63">
        <f ca="1">IFERROR(__xludf.DUMMYFUNCTION("IMPORTRANGE(""https://docs.google.com/spreadsheets/d/1wPdvRbu02d33MYVlbsCnyTiZpefEBs9NNktAnT1HZvw/edit?usp=sharing"",""สุรินทร์!J578"")"),0)</f>
        <v>0</v>
      </c>
      <c r="AY46" s="140">
        <f ca="1">IFERROR(__xludf.DUMMYFUNCTION("IMPORTRANGE(""https://docs.google.com/spreadsheets/d/1wPdvRbu02d33MYVlbsCnyTiZpefEBs9NNktAnT1HZvw/edit?usp=sharing"",""สุรินทร์!J579"")"),0)</f>
        <v>0</v>
      </c>
      <c r="AZ46" s="63">
        <f ca="1">IFERROR(__xludf.DUMMYFUNCTION("IMPORTRANGE(""https://docs.google.com/spreadsheets/d/1wPdvRbu02d33MYVlbsCnyTiZpefEBs9NNktAnT1HZvw/edit?usp=sharing"",""สุรินทร์!J580"")"),0)</f>
        <v>0</v>
      </c>
      <c r="BA46" s="140">
        <f ca="1">IFERROR(__xludf.DUMMYFUNCTION("IMPORTRANGE(""https://docs.google.com/spreadsheets/d/1wPdvRbu02d33MYVlbsCnyTiZpefEBs9NNktAnT1HZvw/edit?usp=sharing"",""สุรินทร์!J581"")"),0)</f>
        <v>0</v>
      </c>
      <c r="BB46" s="63">
        <f ca="1">IFERROR(__xludf.DUMMYFUNCTION("IMPORTRANGE(""https://docs.google.com/spreadsheets/d/1wPdvRbu02d33MYVlbsCnyTiZpefEBs9NNktAnT1HZvw/edit?usp=sharing"",""สุรินทร์!J582"")"),0)</f>
        <v>0</v>
      </c>
      <c r="BC46" s="140">
        <f ca="1">IFERROR(__xludf.DUMMYFUNCTION("IMPORTRANGE(""https://docs.google.com/spreadsheets/d/1wPdvRbu02d33MYVlbsCnyTiZpefEBs9NNktAnT1HZvw/edit?usp=sharing"",""สุรินทร์!J583"")"),0)</f>
        <v>0</v>
      </c>
      <c r="BD46" s="141">
        <f ca="1">IFERROR(__xludf.DUMMYFUNCTION("IMPORTRANGE(""https://docs.google.com/spreadsheets/d/1wPdvRbu02d33MYVlbsCnyTiZpefEBs9NNktAnT1HZvw/edit?usp=sharing"",""สุรินทร์!J584"")"),0)</f>
        <v>0</v>
      </c>
      <c r="BE46" s="140">
        <f ca="1">IFERROR(__xludf.DUMMYFUNCTION("IMPORTRANGE(""https://docs.google.com/spreadsheets/d/1wPdvRbu02d33MYVlbsCnyTiZpefEBs9NNktAnT1HZvw/edit?usp=sharing"",""สุรินทร์!J585"")"),0)</f>
        <v>0</v>
      </c>
      <c r="BF46" s="141">
        <f ca="1">IFERROR(__xludf.DUMMYFUNCTION("IMPORTRANGE(""https://docs.google.com/spreadsheets/d/1wPdvRbu02d33MYVlbsCnyTiZpefEBs9NNktAnT1HZvw/edit?usp=sharing"",""สุรินทร์!J586"")"),0)</f>
        <v>0</v>
      </c>
      <c r="BG46" s="140">
        <f ca="1">IFERROR(__xludf.DUMMYFUNCTION("IMPORTRANGE(""https://docs.google.com/spreadsheets/d/1wPdvRbu02d33MYVlbsCnyTiZpefEBs9NNktAnT1HZvw/edit?usp=sharing"",""สุรินทร์!J587"")"),0)</f>
        <v>0</v>
      </c>
      <c r="BH46" s="63">
        <f ca="1">IFERROR(__xludf.DUMMYFUNCTION("IMPORTRANGE(""https://docs.google.com/spreadsheets/d/1wPdvRbu02d33MYVlbsCnyTiZpefEBs9NNktAnT1HZvw/edit?usp=sharing"",""สุรินทร์!J588"")"),0)</f>
        <v>0</v>
      </c>
      <c r="BI46" s="140">
        <f ca="1">IFERROR(__xludf.DUMMYFUNCTION("IMPORTRANGE(""https://docs.google.com/spreadsheets/d/1wPdvRbu02d33MYVlbsCnyTiZpefEBs9NNktAnT1HZvw/edit?usp=sharing"",""สุรินทร์!J589"")"),0)</f>
        <v>0</v>
      </c>
      <c r="BJ46" s="63">
        <f ca="1">IFERROR(__xludf.DUMMYFUNCTION("IMPORTRANGE(""https://docs.google.com/spreadsheets/d/1wPdvRbu02d33MYVlbsCnyTiZpefEBs9NNktAnT1HZvw/edit?usp=sharing"",""สุรินทร์!J590"")"),0)</f>
        <v>0</v>
      </c>
      <c r="BK46" s="140">
        <f ca="1">IFERROR(__xludf.DUMMYFUNCTION("IMPORTRANGE(""https://docs.google.com/spreadsheets/d/1wPdvRbu02d33MYVlbsCnyTiZpefEBs9NNktAnT1HZvw/edit?usp=sharing"",""สุรินทร์!J591"")"),0)</f>
        <v>0</v>
      </c>
      <c r="BL46" s="57">
        <f ca="1">IFERROR(__xludf.DUMMYFUNCTION("IMPORTRANGE(""https://docs.google.com/spreadsheets/d/1wPdvRbu02d33MYVlbsCnyTiZpefEBs9NNktAnT1HZvw/edit?usp=sharing"",""สุรินทร์!I593"")"),4240.65)</f>
        <v>4240.6499999999996</v>
      </c>
      <c r="BM46" s="57">
        <f ca="1">IFERROR(__xludf.DUMMYFUNCTION("IMPORTRANGE(""https://docs.google.com/spreadsheets/d/1wPdvRbu02d33MYVlbsCnyTiZpefEBs9NNktAnT1HZvw/edit?usp=sharing"",""สุรินทร์!I594"")"),384)</f>
        <v>384</v>
      </c>
      <c r="BN46" s="63">
        <f ca="1">IFERROR(__xludf.DUMMYFUNCTION("IMPORTRANGE(""https://docs.google.com/spreadsheets/d/1wPdvRbu02d33MYVlbsCnyTiZpefEBs9NNktAnT1HZvw/edit?usp=sharing"",""สุรินทร์!J593"")"),2223)</f>
        <v>2223</v>
      </c>
      <c r="BO46" s="63">
        <f t="shared" ca="1" si="40"/>
        <v>52.421209012769275</v>
      </c>
      <c r="BP46" s="57">
        <f ca="1">IFERROR(__xludf.DUMMYFUNCTION("IMPORTRANGE(""https://docs.google.com/spreadsheets/d/1wPdvRbu02d33MYVlbsCnyTiZpefEBs9NNktAnT1HZvw/edit?usp=sharing"",""สุรินทร์!J594"")"),248)</f>
        <v>248</v>
      </c>
      <c r="BQ46" s="63">
        <f t="shared" ca="1" si="16"/>
        <v>64.583333333333329</v>
      </c>
      <c r="BR46" s="63">
        <f ca="1">IFERROR(__xludf.DUMMYFUNCTION("IMPORTRANGE(""https://docs.google.com/spreadsheets/d/1wPdvRbu02d33MYVlbsCnyTiZpefEBs9NNktAnT1HZvw/edit?usp=sharing"",""สุรินทร์!J595"")"),2209)</f>
        <v>2209</v>
      </c>
      <c r="BS46" s="140">
        <f ca="1">IFERROR(__xludf.DUMMYFUNCTION("IMPORTRANGE(""https://docs.google.com/spreadsheets/d/1wPdvRbu02d33MYVlbsCnyTiZpefEBs9NNktAnT1HZvw/edit?usp=sharing"",""สุรินทร์!J596"")"),246)</f>
        <v>246</v>
      </c>
      <c r="BT46" s="63">
        <f ca="1">IFERROR(__xludf.DUMMYFUNCTION("IMPORTRANGE(""https://docs.google.com/spreadsheets/d/1wPdvRbu02d33MYVlbsCnyTiZpefEBs9NNktAnT1HZvw/edit?usp=sharing"",""สุรินทร์!J597"")"),555)</f>
        <v>555</v>
      </c>
      <c r="BU46" s="140">
        <f ca="1">IFERROR(__xludf.DUMMYFUNCTION("IMPORTRANGE(""https://docs.google.com/spreadsheets/d/1wPdvRbu02d33MYVlbsCnyTiZpefEBs9NNktAnT1HZvw/edit?usp=sharing"",""สุรินทร์!J598"")"),66)</f>
        <v>66</v>
      </c>
      <c r="BV46" s="63">
        <f ca="1">IFERROR(__xludf.DUMMYFUNCTION("IMPORTRANGE(""https://docs.google.com/spreadsheets/d/1wPdvRbu02d33MYVlbsCnyTiZpefEBs9NNktAnT1HZvw/edit?usp=sharing"",""สุรินทร์!J599"")"),1654)</f>
        <v>1654</v>
      </c>
      <c r="BW46" s="140">
        <f ca="1">IFERROR(__xludf.DUMMYFUNCTION("IMPORTRANGE(""https://docs.google.com/spreadsheets/d/1wPdvRbu02d33MYVlbsCnyTiZpefEBs9NNktAnT1HZvw/edit?usp=sharing"",""สุรินทร์!J600"")"),180)</f>
        <v>180</v>
      </c>
      <c r="BX46" s="141">
        <f ca="1">IFERROR(__xludf.DUMMYFUNCTION("IMPORTRANGE(""https://docs.google.com/spreadsheets/d/1wPdvRbu02d33MYVlbsCnyTiZpefEBs9NNktAnT1HZvw/edit?usp=sharing"",""สุรินทร์!J601"")"),0)</f>
        <v>0</v>
      </c>
      <c r="BY46" s="140">
        <f ca="1">IFERROR(__xludf.DUMMYFUNCTION("IMPORTRANGE(""https://docs.google.com/spreadsheets/d/1wPdvRbu02d33MYVlbsCnyTiZpefEBs9NNktAnT1HZvw/edit?usp=sharing"",""สุรินทร์!J602"")"),0)</f>
        <v>0</v>
      </c>
      <c r="BZ46" s="63">
        <f ca="1">IFERROR(__xludf.DUMMYFUNCTION("IMPORTRANGE(""https://docs.google.com/spreadsheets/d/1wPdvRbu02d33MYVlbsCnyTiZpefEBs9NNktAnT1HZvw/edit?usp=sharing"",""สุรินทร์!J603"")"),14)</f>
        <v>14</v>
      </c>
      <c r="CA46" s="140">
        <f ca="1">IFERROR(__xludf.DUMMYFUNCTION("IMPORTRANGE(""https://docs.google.com/spreadsheets/d/1wPdvRbu02d33MYVlbsCnyTiZpefEBs9NNktAnT1HZvw/edit?usp=sharing"",""สุรินทร์!J604"")"),2)</f>
        <v>2</v>
      </c>
      <c r="CB46" s="63">
        <f ca="1">IFERROR(__xludf.DUMMYFUNCTION("IMPORTRANGE(""https://docs.google.com/spreadsheets/d/1wPdvRbu02d33MYVlbsCnyTiZpefEBs9NNktAnT1HZvw/edit?usp=sharing"",""สุรินทร์!J605"")"),0)</f>
        <v>0</v>
      </c>
      <c r="CC46" s="140">
        <f ca="1">IFERROR(__xludf.DUMMYFUNCTION("IMPORTRANGE(""https://docs.google.com/spreadsheets/d/1wPdvRbu02d33MYVlbsCnyTiZpefEBs9NNktAnT1HZvw/edit?usp=sharing"",""สุรินทร์!J606"")"),0)</f>
        <v>0</v>
      </c>
      <c r="CD46" s="63">
        <f ca="1">IFERROR(__xludf.DUMMYFUNCTION("IMPORTRANGE(""https://docs.google.com/spreadsheets/d/1wPdvRbu02d33MYVlbsCnyTiZpefEBs9NNktAnT1HZvw/edit?usp=sharing"",""สุรินทร์!J607"")"),14)</f>
        <v>14</v>
      </c>
      <c r="CE46" s="140">
        <f ca="1">IFERROR(__xludf.DUMMYFUNCTION("IMPORTRANGE(""https://docs.google.com/spreadsheets/d/1wPdvRbu02d33MYVlbsCnyTiZpefEBs9NNktAnT1HZvw/edit?usp=sharing"",""สุรินทร์!J608"")"),2)</f>
        <v>2</v>
      </c>
      <c r="CF46" s="63">
        <f ca="1">IFERROR(__xludf.DUMMYFUNCTION("IMPORTRANGE(""https://docs.google.com/spreadsheets/d/1wPdvRbu02d33MYVlbsCnyTiZpefEBs9NNktAnT1HZvw/edit?usp=sharing"",""สุรินทร์!J609"")"),0)</f>
        <v>0</v>
      </c>
      <c r="CG46" s="140">
        <f ca="1">IFERROR(__xludf.DUMMYFUNCTION("IMPORTRANGE(""https://docs.google.com/spreadsheets/d/1wPdvRbu02d33MYVlbsCnyTiZpefEBs9NNktAnT1HZvw/edit?usp=sharing"",""สุรินทร์!J610"")"),0)</f>
        <v>0</v>
      </c>
      <c r="CH46" s="140">
        <f ca="1">IFERROR(__xludf.DUMMYFUNCTION("IMPORTRANGE(""https://docs.google.com/spreadsheets/d/1wPdvRbu02d33MYVlbsCnyTiZpefEBs9NNktAnT1HZvw/edit?usp=sharing"",""สุรินทร์!I612"")"),0)</f>
        <v>0</v>
      </c>
      <c r="CI46" s="140">
        <f ca="1">IFERROR(__xludf.DUMMYFUNCTION("IMPORTRANGE(""https://docs.google.com/spreadsheets/d/1wPdvRbu02d33MYVlbsCnyTiZpefEBs9NNktAnT1HZvw/edit?usp=sharing"",""สุรินทร์!I594"")"),384)</f>
        <v>384</v>
      </c>
      <c r="CJ46" s="141">
        <f ca="1">IFERROR(__xludf.DUMMYFUNCTION("IMPORTRANGE(""https://docs.google.com/spreadsheets/d/1wPdvRbu02d33MYVlbsCnyTiZpefEBs9NNktAnT1HZvw/edit?usp=sharing"",""สุรินทร์!J612"")"),0)</f>
        <v>0</v>
      </c>
      <c r="CK46" s="141">
        <f t="shared" ca="1" si="41"/>
        <v>0</v>
      </c>
      <c r="CL46" s="140">
        <f ca="1">IFERROR(__xludf.DUMMYFUNCTION("IMPORTRANGE(""https://docs.google.com/spreadsheets/d/1wPdvRbu02d33MYVlbsCnyTiZpefEBs9NNktAnT1HZvw/edit?usp=sharing"",""สุรินทร์!J613"")"),0)</f>
        <v>0</v>
      </c>
      <c r="CM46" s="141">
        <f t="shared" ca="1" si="19"/>
        <v>0</v>
      </c>
      <c r="CN46" s="63">
        <f ca="1">IFERROR(__xludf.DUMMYFUNCTION("IMPORTRANGE(""https://docs.google.com/spreadsheets/d/1wPdvRbu02d33MYVlbsCnyTiZpefEBs9NNktAnT1HZvw/edit?usp=sharing"",""สุรินทร์!J614"")"),0)</f>
        <v>0</v>
      </c>
      <c r="CO46" s="140">
        <f ca="1">IFERROR(__xludf.DUMMYFUNCTION("IMPORTRANGE(""https://docs.google.com/spreadsheets/d/1wPdvRbu02d33MYVlbsCnyTiZpefEBs9NNktAnT1HZvw/edit?usp=sharing"",""สุรินทร์!J615"")"),0)</f>
        <v>0</v>
      </c>
      <c r="CP46" s="63">
        <f ca="1">IFERROR(__xludf.DUMMYFUNCTION("IMPORTRANGE(""https://docs.google.com/spreadsheets/d/1wPdvRbu02d33MYVlbsCnyTiZpefEBs9NNktAnT1HZvw/edit?usp=sharing"",""สุรินทร์!J616"")"),0)</f>
        <v>0</v>
      </c>
      <c r="CQ46" s="140">
        <f ca="1">IFERROR(__xludf.DUMMYFUNCTION("IMPORTRANGE(""https://docs.google.com/spreadsheets/d/1wPdvRbu02d33MYVlbsCnyTiZpefEBs9NNktAnT1HZvw/edit?usp=sharing"",""สุรินทร์!J617"")"),0)</f>
        <v>0</v>
      </c>
      <c r="CR46" s="140">
        <f ca="1">IFERROR(__xludf.DUMMYFUNCTION("IMPORTRANGE(""https://docs.google.com/spreadsheets/d/1wPdvRbu02d33MYVlbsCnyTiZpefEBs9NNktAnT1HZvw/edit?usp=sharing"",""สุรินทร์!I620"")"),73)</f>
        <v>73</v>
      </c>
      <c r="CS46" s="140">
        <f ca="1">IFERROR(__xludf.DUMMYFUNCTION("IMPORTRANGE(""https://docs.google.com/spreadsheets/d/1wPdvRbu02d33MYVlbsCnyTiZpefEBs9NNktAnT1HZvw/edit?usp=sharing"",""สุรินทร์!I621"")"),8)</f>
        <v>8</v>
      </c>
      <c r="CT46" s="141">
        <f ca="1">IFERROR(__xludf.DUMMYFUNCTION("IMPORTRANGE(""https://docs.google.com/spreadsheets/d/1wPdvRbu02d33MYVlbsCnyTiZpefEBs9NNktAnT1HZvw/edit?usp=sharing"",""สุรินทร์!J620"")"),73)</f>
        <v>73</v>
      </c>
      <c r="CU46" s="141">
        <f t="shared" ca="1" si="42"/>
        <v>100</v>
      </c>
      <c r="CV46" s="140">
        <f ca="1">IFERROR(__xludf.DUMMYFUNCTION("IMPORTRANGE(""https://docs.google.com/spreadsheets/d/1wPdvRbu02d33MYVlbsCnyTiZpefEBs9NNktAnT1HZvw/edit?usp=sharing"",""สุรินทร์!J621"")"),8)</f>
        <v>8</v>
      </c>
      <c r="CW46" s="141">
        <f t="shared" ca="1" si="22"/>
        <v>100</v>
      </c>
      <c r="CX46" s="63">
        <f ca="1">IFERROR(__xludf.DUMMYFUNCTION("IMPORTRANGE(""https://docs.google.com/spreadsheets/d/1wPdvRbu02d33MYVlbsCnyTiZpefEBs9NNktAnT1HZvw/edit?usp=sharing"",""สุรินทร์!J622"")"),29)</f>
        <v>29</v>
      </c>
      <c r="CY46" s="140">
        <f ca="1">IFERROR(__xludf.DUMMYFUNCTION("IMPORTRANGE(""https://docs.google.com/spreadsheets/d/1wPdvRbu02d33MYVlbsCnyTiZpefEBs9NNktAnT1HZvw/edit?usp=sharing"",""สุรินทร์!J623"")"),3)</f>
        <v>3</v>
      </c>
      <c r="CZ46" s="63">
        <f ca="1">IFERROR(__xludf.DUMMYFUNCTION("IMPORTRANGE(""https://docs.google.com/spreadsheets/d/1wPdvRbu02d33MYVlbsCnyTiZpefEBs9NNktAnT1HZvw/edit?usp=sharing"",""สุรินทร์!J624"")"),44)</f>
        <v>44</v>
      </c>
      <c r="DA46" s="140">
        <f ca="1">IFERROR(__xludf.DUMMYFUNCTION("IMPORTRANGE(""https://docs.google.com/spreadsheets/d/1wPdvRbu02d33MYVlbsCnyTiZpefEBs9NNktAnT1HZvw/edit?usp=sharing"",""สุรินทร์!J625"")"),5)</f>
        <v>5</v>
      </c>
      <c r="DB46" s="63">
        <f ca="1">IFERROR(__xludf.DUMMYFUNCTION("IMPORTRANGE(""https://docs.google.com/spreadsheets/d/1wPdvRbu02d33MYVlbsCnyTiZpefEBs9NNktAnT1HZvw/edit?usp=sharing"",""สุรินทร์!J626"")"),0)</f>
        <v>0</v>
      </c>
      <c r="DC46" s="140">
        <f ca="1">IFERROR(__xludf.DUMMYFUNCTION("IMPORTRANGE(""https://docs.google.com/spreadsheets/d/1wPdvRbu02d33MYVlbsCnyTiZpefEBs9NNktAnT1HZvw/edit?usp=sharing"",""สุรินทร์!J627"")"),0)</f>
        <v>0</v>
      </c>
    </row>
    <row r="47" spans="1:107" ht="21" customHeight="1" x14ac:dyDescent="0.3">
      <c r="A47" s="54">
        <v>16</v>
      </c>
      <c r="B47" s="55" t="s">
        <v>68</v>
      </c>
      <c r="C47" s="56">
        <f t="shared" ca="1" si="66"/>
        <v>361311</v>
      </c>
      <c r="D47" s="57">
        <f ca="1">IFERROR(__xludf.DUMMYFUNCTION("IMPORTRANGE(""https://docs.google.com/spreadsheets/d/1GVExpf-Exi_2gmuqTYH28fseTB9MoKPXWcXCbSt_YrM/edit?usp=sharing"",""หนองคาย!L549"")"),361311)</f>
        <v>361311</v>
      </c>
      <c r="E47" s="64">
        <f ca="1">IFERROR(__xludf.DUMMYFUNCTION("IMPORTRANGE(""https://docs.google.com/spreadsheets/d/1GVExpf-Exi_2gmuqTYH28fseTB9MoKPXWcXCbSt_YrM/edit?usp=sharing"",""หนองคาย!L557"")"),0)</f>
        <v>0</v>
      </c>
      <c r="F47" s="64">
        <f ca="1">IFERROR(__xludf.DUMMYFUNCTION("IMPORTRANGE(""https://docs.google.com/spreadsheets/d/1GVExpf-Exi_2gmuqTYH28fseTB9MoKPXWcXCbSt_YrM/edit?usp=sharing"",""หนองคาย!M549"")"),361311)</f>
        <v>361311</v>
      </c>
      <c r="G47" s="64">
        <f ca="1">IFERROR(__xludf.DUMMYFUNCTION("IMPORTRANGE(""https://docs.google.com/spreadsheets/d/1GVExpf-Exi_2gmuqTYH28fseTB9MoKPXWcXCbSt_YrM/edit?usp=sharing"",""หนองคาย!M557"")"),0)</f>
        <v>0</v>
      </c>
      <c r="H47" s="58">
        <f t="shared" ca="1" si="36"/>
        <v>284307</v>
      </c>
      <c r="I47" s="59">
        <f t="shared" ca="1" si="1"/>
        <v>78.687612610742548</v>
      </c>
      <c r="J47" s="60">
        <f t="shared" ca="1" si="67"/>
        <v>284307</v>
      </c>
      <c r="K47" s="61">
        <f t="shared" ca="1" si="44"/>
        <v>78.687612610742548</v>
      </c>
      <c r="L47" s="61">
        <f t="shared" ca="1" si="45"/>
        <v>78.687612610742548</v>
      </c>
      <c r="M47" s="64">
        <f ca="1">IFERROR(__xludf.DUMMYFUNCTION("IMPORTRANGE(""https://docs.google.com/spreadsheets/d/1GVExpf-Exi_2gmuqTYH28fseTB9MoKPXWcXCbSt_YrM/edit?usp=sharing"",""หนองคาย!N550"")"),0)</f>
        <v>0</v>
      </c>
      <c r="N47" s="64">
        <f ca="1">IFERROR(__xludf.DUMMYFUNCTION("IMPORTRANGE(""https://docs.google.com/spreadsheets/d/1GVExpf-Exi_2gmuqTYH28fseTB9MoKPXWcXCbSt_YrM/edit?usp=sharing"",""หนองคาย!N551"")"),0)</f>
        <v>0</v>
      </c>
      <c r="O47" s="64">
        <f ca="1">IFERROR(__xludf.DUMMYFUNCTION("IMPORTRANGE(""https://docs.google.com/spreadsheets/d/1GVExpf-Exi_2gmuqTYH28fseTB9MoKPXWcXCbSt_YrM/edit?usp=sharing"",""หนองคาย!N552"")"),77124)</f>
        <v>77124</v>
      </c>
      <c r="P47" s="64">
        <f ca="1">IFERROR(__xludf.DUMMYFUNCTION("IMPORTRANGE(""https://docs.google.com/spreadsheets/d/1GVExpf-Exi_2gmuqTYH28fseTB9MoKPXWcXCbSt_YrM/edit?usp=sharing"",""หนองคาย!N553"")"),207183)</f>
        <v>207183</v>
      </c>
      <c r="Q47" s="64">
        <f ca="1">IFERROR(__xludf.DUMMYFUNCTION("IMPORTRANGE(""https://docs.google.com/spreadsheets/d/1GVExpf-Exi_2gmuqTYH28fseTB9MoKPXWcXCbSt_YrM/edit?usp=sharing"",""หนองคาย!N554"")"),0)</f>
        <v>0</v>
      </c>
      <c r="R47" s="62">
        <f ca="1">IFERROR(__xludf.DUMMYFUNCTION("IMPORTRANGE(""https://docs.google.com/spreadsheets/d/1GVExpf-Exi_2gmuqTYH28fseTB9MoKPXWcXCbSt_YrM/edit?usp=sharing"",""หนองคาย!N557"")"),0)</f>
        <v>0</v>
      </c>
      <c r="S47" s="62">
        <f t="shared" ca="1" si="47"/>
        <v>0</v>
      </c>
      <c r="T47" s="57">
        <f ca="1">IFERROR(__xludf.DUMMYFUNCTION("IMPORTRANGE(""https://docs.google.com/spreadsheets/d/1GVExpf-Exi_2gmuqTYH28fseTB9MoKPXWcXCbSt_YrM/edit?usp=sharing"",""หนองคาย!I560"")"),3345)</f>
        <v>3345</v>
      </c>
      <c r="U47" s="57">
        <f ca="1">IFERROR(__xludf.DUMMYFUNCTION("IMPORTRANGE(""https://docs.google.com/spreadsheets/d/1GVExpf-Exi_2gmuqTYH28fseTB9MoKPXWcXCbSt_YrM/edit?usp=sharing"",""หนองคาย!I561"")"),1178)</f>
        <v>1178</v>
      </c>
      <c r="V47" s="63">
        <f ca="1">IFERROR(__xludf.DUMMYFUNCTION("IMPORTRANGE(""https://docs.google.com/spreadsheets/d/1GVExpf-Exi_2gmuqTYH28fseTB9MoKPXWcXCbSt_YrM/edit?usp=sharing"",""หนองคาย!J560"")"),3528.72)</f>
        <v>3528.72</v>
      </c>
      <c r="W47" s="63">
        <f t="shared" ca="1" si="37"/>
        <v>105.49237668161435</v>
      </c>
      <c r="X47" s="57">
        <f ca="1">IFERROR(__xludf.DUMMYFUNCTION("IMPORTRANGE(""https://docs.google.com/spreadsheets/d/1GVExpf-Exi_2gmuqTYH28fseTB9MoKPXWcXCbSt_YrM/edit?usp=sharing"",""หนองคาย!J561"")"),1220)</f>
        <v>1220</v>
      </c>
      <c r="Y47" s="63">
        <f t="shared" ca="1" si="7"/>
        <v>103.56536502546689</v>
      </c>
      <c r="Z47" s="63">
        <f ca="1">IFERROR(__xludf.DUMMYFUNCTION("IMPORTRANGE(""https://docs.google.com/spreadsheets/d/1GVExpf-Exi_2gmuqTYH28fseTB9MoKPXWcXCbSt_YrM/edit?usp=sharing"",""หนองคาย!J562"")"),3138.22)</f>
        <v>3138.22</v>
      </c>
      <c r="AA47" s="140">
        <f ca="1">IFERROR(__xludf.DUMMYFUNCTION("IMPORTRANGE(""https://docs.google.com/spreadsheets/d/1GVExpf-Exi_2gmuqTYH28fseTB9MoKPXWcXCbSt_YrM/edit?usp=sharing"",""หนองคาย!J563"")"),1122)</f>
        <v>1122</v>
      </c>
      <c r="AB47" s="63">
        <f ca="1">IFERROR(__xludf.DUMMYFUNCTION("IMPORTRANGE(""https://docs.google.com/spreadsheets/d/1GVExpf-Exi_2gmuqTYH28fseTB9MoKPXWcXCbSt_YrM/edit?usp=sharing"",""หนองคาย!J564"")"),304)</f>
        <v>304</v>
      </c>
      <c r="AC47" s="140">
        <f ca="1">IFERROR(__xludf.DUMMYFUNCTION("IMPORTRANGE(""https://docs.google.com/spreadsheets/d/1GVExpf-Exi_2gmuqTYH28fseTB9MoKPXWcXCbSt_YrM/edit?usp=sharing"",""หนองคาย!J565"")"),80)</f>
        <v>80</v>
      </c>
      <c r="AD47" s="63">
        <f ca="1">IFERROR(__xludf.DUMMYFUNCTION("IMPORTRANGE(""https://docs.google.com/spreadsheets/d/1GVExpf-Exi_2gmuqTYH28fseTB9MoKPXWcXCbSt_YrM/edit?usp=sharing"",""หนองคาย!J566"")"),86.5)</f>
        <v>86.5</v>
      </c>
      <c r="AE47" s="140">
        <f ca="1">IFERROR(__xludf.DUMMYFUNCTION("IMPORTRANGE(""https://docs.google.com/spreadsheets/d/1GVExpf-Exi_2gmuqTYH28fseTB9MoKPXWcXCbSt_YrM/edit?usp=sharing"",""หนองคาย!J567"")"),18)</f>
        <v>18</v>
      </c>
      <c r="AF47" s="57">
        <f ca="1">IFERROR(__xludf.DUMMYFUNCTION("IMPORTRANGE(""https://docs.google.com/spreadsheets/d/1GVExpf-Exi_2gmuqTYH28fseTB9MoKPXWcXCbSt_YrM/edit?usp=sharing"",""หนองคาย!I568"")"),3345)</f>
        <v>3345</v>
      </c>
      <c r="AG47" s="57">
        <f ca="1">IFERROR(__xludf.DUMMYFUNCTION("IMPORTRANGE(""https://docs.google.com/spreadsheets/d/1GVExpf-Exi_2gmuqTYH28fseTB9MoKPXWcXCbSt_YrM/edit?usp=sharing"",""หนองคาย!I569"")"),1178)</f>
        <v>1178</v>
      </c>
      <c r="AH47" s="63">
        <f ca="1">IFERROR(__xludf.DUMMYFUNCTION("IMPORTRANGE(""https://docs.google.com/spreadsheets/d/1GVExpf-Exi_2gmuqTYH28fseTB9MoKPXWcXCbSt_YrM/edit?usp=sharing"",""หนองคาย!J568"")"),3345.5)</f>
        <v>3345.5</v>
      </c>
      <c r="AI47" s="63">
        <f t="shared" ca="1" si="38"/>
        <v>100.01494768310911</v>
      </c>
      <c r="AJ47" s="57">
        <f ca="1">IFERROR(__xludf.DUMMYFUNCTION("IMPORTRANGE(""https://docs.google.com/spreadsheets/d/1GVExpf-Exi_2gmuqTYH28fseTB9MoKPXWcXCbSt_YrM/edit?usp=sharing"",""หนองคาย!J569"")"),1178)</f>
        <v>1178</v>
      </c>
      <c r="AK47" s="63">
        <f t="shared" ca="1" si="10"/>
        <v>100</v>
      </c>
      <c r="AL47" s="63">
        <f ca="1">IFERROR(__xludf.DUMMYFUNCTION("IMPORTRANGE(""https://docs.google.com/spreadsheets/d/1GVExpf-Exi_2gmuqTYH28fseTB9MoKPXWcXCbSt_YrM/edit?usp=sharing"",""หนองคาย!J570"")"),3025.6)</f>
        <v>3025.6</v>
      </c>
      <c r="AM47" s="140">
        <f ca="1">IFERROR(__xludf.DUMMYFUNCTION("IMPORTRANGE(""https://docs.google.com/spreadsheets/d/1GVExpf-Exi_2gmuqTYH28fseTB9MoKPXWcXCbSt_YrM/edit?usp=sharing"",""หนองคาย!J571"")"),1088)</f>
        <v>1088</v>
      </c>
      <c r="AN47" s="63">
        <f ca="1">IFERROR(__xludf.DUMMYFUNCTION("IMPORTRANGE(""https://docs.google.com/spreadsheets/d/1GVExpf-Exi_2gmuqTYH28fseTB9MoKPXWcXCbSt_YrM/edit?usp=sharing"",""หนองคาย!J572"")"),233.4)</f>
        <v>233.4</v>
      </c>
      <c r="AO47" s="140">
        <f ca="1">IFERROR(__xludf.DUMMYFUNCTION("IMPORTRANGE(""https://docs.google.com/spreadsheets/d/1GVExpf-Exi_2gmuqTYH28fseTB9MoKPXWcXCbSt_YrM/edit?usp=sharing"",""หนองคาย!J573"")"),72)</f>
        <v>72</v>
      </c>
      <c r="AP47" s="63">
        <f ca="1">IFERROR(__xludf.DUMMYFUNCTION("IMPORTRANGE(""https://docs.google.com/spreadsheets/d/1GVExpf-Exi_2gmuqTYH28fseTB9MoKPXWcXCbSt_YrM/edit?usp=sharing"",""หนองคาย!J574"")"),86.5)</f>
        <v>86.5</v>
      </c>
      <c r="AQ47" s="140">
        <f ca="1">IFERROR(__xludf.DUMMYFUNCTION("IMPORTRANGE(""https://docs.google.com/spreadsheets/d/1GVExpf-Exi_2gmuqTYH28fseTB9MoKPXWcXCbSt_YrM/edit?usp=sharing"",""หนองคาย!J575"")"),18)</f>
        <v>18</v>
      </c>
      <c r="AR47" s="57">
        <f ca="1">IFERROR(__xludf.DUMMYFUNCTION("IMPORTRANGE(""https://docs.google.com/spreadsheets/d/1GVExpf-Exi_2gmuqTYH28fseTB9MoKPXWcXCbSt_YrM/edit?usp=sharing"",""หนองคาย!I576"")"),3345)</f>
        <v>3345</v>
      </c>
      <c r="AS47" s="57">
        <f ca="1">IFERROR(__xludf.DUMMYFUNCTION("IMPORTRANGE(""https://docs.google.com/spreadsheets/d/1GVExpf-Exi_2gmuqTYH28fseTB9MoKPXWcXCbSt_YrM/edit?usp=sharing"",""หนองคาย!I577"")"),1178)</f>
        <v>1178</v>
      </c>
      <c r="AT47" s="63">
        <f ca="1">IFERROR(__xludf.DUMMYFUNCTION("IMPORTRANGE(""https://docs.google.com/spreadsheets/d/1GVExpf-Exi_2gmuqTYH28fseTB9MoKPXWcXCbSt_YrM/edit?usp=sharing"",""หนองคาย!J576"")"),3329)</f>
        <v>3329</v>
      </c>
      <c r="AU47" s="63">
        <f t="shared" ca="1" si="39"/>
        <v>99.521674140508225</v>
      </c>
      <c r="AV47" s="57">
        <f ca="1">IFERROR(__xludf.DUMMYFUNCTION("IMPORTRANGE(""https://docs.google.com/spreadsheets/d/1GVExpf-Exi_2gmuqTYH28fseTB9MoKPXWcXCbSt_YrM/edit?usp=sharing"",""หนองคาย!J577"")"),1176)</f>
        <v>1176</v>
      </c>
      <c r="AW47" s="63">
        <f t="shared" ca="1" si="13"/>
        <v>99.830220713073004</v>
      </c>
      <c r="AX47" s="63">
        <f ca="1">IFERROR(__xludf.DUMMYFUNCTION("IMPORTRANGE(""https://docs.google.com/spreadsheets/d/1GVExpf-Exi_2gmuqTYH28fseTB9MoKPXWcXCbSt_YrM/edit?usp=sharing"",""หนองคาย!J578"")"),3148)</f>
        <v>3148</v>
      </c>
      <c r="AY47" s="140">
        <f ca="1">IFERROR(__xludf.DUMMYFUNCTION("IMPORTRANGE(""https://docs.google.com/spreadsheets/d/1GVExpf-Exi_2gmuqTYH28fseTB9MoKPXWcXCbSt_YrM/edit?usp=sharing"",""หนองคาย!J579"")"),1129)</f>
        <v>1129</v>
      </c>
      <c r="AZ47" s="63">
        <f ca="1">IFERROR(__xludf.DUMMYFUNCTION("IMPORTRANGE(""https://docs.google.com/spreadsheets/d/1GVExpf-Exi_2gmuqTYH28fseTB9MoKPXWcXCbSt_YrM/edit?usp=sharing"",""หนองคาย!J580"")"),13)</f>
        <v>13</v>
      </c>
      <c r="BA47" s="140">
        <f ca="1">IFERROR(__xludf.DUMMYFUNCTION("IMPORTRANGE(""https://docs.google.com/spreadsheets/d/1GVExpf-Exi_2gmuqTYH28fseTB9MoKPXWcXCbSt_YrM/edit?usp=sharing"",""หนองคาย!J581"")"),3)</f>
        <v>3</v>
      </c>
      <c r="BB47" s="63">
        <f ca="1">IFERROR(__xludf.DUMMYFUNCTION("IMPORTRANGE(""https://docs.google.com/spreadsheets/d/1GVExpf-Exi_2gmuqTYH28fseTB9MoKPXWcXCbSt_YrM/edit?usp=sharing"",""หนองคาย!J582"")"),70)</f>
        <v>70</v>
      </c>
      <c r="BC47" s="140">
        <f ca="1">IFERROR(__xludf.DUMMYFUNCTION("IMPORTRANGE(""https://docs.google.com/spreadsheets/d/1GVExpf-Exi_2gmuqTYH28fseTB9MoKPXWcXCbSt_YrM/edit?usp=sharing"",""หนองคาย!J583"")"),16)</f>
        <v>16</v>
      </c>
      <c r="BD47" s="141">
        <f ca="1">IFERROR(__xludf.DUMMYFUNCTION("IMPORTRANGE(""https://docs.google.com/spreadsheets/d/1GVExpf-Exi_2gmuqTYH28fseTB9MoKPXWcXCbSt_YrM/edit?usp=sharing"",""หนองคาย!J584"")"),70)</f>
        <v>70</v>
      </c>
      <c r="BE47" s="140">
        <f ca="1">IFERROR(__xludf.DUMMYFUNCTION("IMPORTRANGE(""https://docs.google.com/spreadsheets/d/1GVExpf-Exi_2gmuqTYH28fseTB9MoKPXWcXCbSt_YrM/edit?usp=sharing"",""หนองคาย!J585"")"),16)</f>
        <v>16</v>
      </c>
      <c r="BF47" s="141">
        <f ca="1">IFERROR(__xludf.DUMMYFUNCTION("IMPORTRANGE(""https://docs.google.com/spreadsheets/d/1GVExpf-Exi_2gmuqTYH28fseTB9MoKPXWcXCbSt_YrM/edit?usp=sharing"",""หนองคาย!J586"")"),0)</f>
        <v>0</v>
      </c>
      <c r="BG47" s="140">
        <f ca="1">IFERROR(__xludf.DUMMYFUNCTION("IMPORTRANGE(""https://docs.google.com/spreadsheets/d/1GVExpf-Exi_2gmuqTYH28fseTB9MoKPXWcXCbSt_YrM/edit?usp=sharing"",""หนองคาย!J587"")"),0)</f>
        <v>0</v>
      </c>
      <c r="BH47" s="63">
        <f ca="1">IFERROR(__xludf.DUMMYFUNCTION("IMPORTRANGE(""https://docs.google.com/spreadsheets/d/1GVExpf-Exi_2gmuqTYH28fseTB9MoKPXWcXCbSt_YrM/edit?usp=sharing"",""หนองคาย!J588"")"),98)</f>
        <v>98</v>
      </c>
      <c r="BI47" s="140">
        <f ca="1">IFERROR(__xludf.DUMMYFUNCTION("IMPORTRANGE(""https://docs.google.com/spreadsheets/d/1GVExpf-Exi_2gmuqTYH28fseTB9MoKPXWcXCbSt_YrM/edit?usp=sharing"",""หนองคาย!J589"")"),28)</f>
        <v>28</v>
      </c>
      <c r="BJ47" s="63">
        <f ca="1">IFERROR(__xludf.DUMMYFUNCTION("IMPORTRANGE(""https://docs.google.com/spreadsheets/d/1GVExpf-Exi_2gmuqTYH28fseTB9MoKPXWcXCbSt_YrM/edit?usp=sharing"",""หนองคาย!J590"")"),0)</f>
        <v>0</v>
      </c>
      <c r="BK47" s="140">
        <f ca="1">IFERROR(__xludf.DUMMYFUNCTION("IMPORTRANGE(""https://docs.google.com/spreadsheets/d/1GVExpf-Exi_2gmuqTYH28fseTB9MoKPXWcXCbSt_YrM/edit?usp=sharing"",""หนองคาย!J591"")"),0)</f>
        <v>0</v>
      </c>
      <c r="BL47" s="57">
        <f ca="1">IFERROR(__xludf.DUMMYFUNCTION("IMPORTRANGE(""https://docs.google.com/spreadsheets/d/1GVExpf-Exi_2gmuqTYH28fseTB9MoKPXWcXCbSt_YrM/edit?usp=sharing"",""หนองคาย!I593"")"),5126.55)</f>
        <v>5126.55</v>
      </c>
      <c r="BM47" s="57">
        <f ca="1">IFERROR(__xludf.DUMMYFUNCTION("IMPORTRANGE(""https://docs.google.com/spreadsheets/d/1GVExpf-Exi_2gmuqTYH28fseTB9MoKPXWcXCbSt_YrM/edit?usp=sharing"",""หนองคาย!I594"")"),350)</f>
        <v>350</v>
      </c>
      <c r="BN47" s="63">
        <f ca="1">IFERROR(__xludf.DUMMYFUNCTION("IMPORTRANGE(""https://docs.google.com/spreadsheets/d/1GVExpf-Exi_2gmuqTYH28fseTB9MoKPXWcXCbSt_YrM/edit?usp=sharing"",""หนองคาย!J593"")"),2387)</f>
        <v>2387</v>
      </c>
      <c r="BO47" s="63">
        <f t="shared" ca="1" si="40"/>
        <v>46.561527733075849</v>
      </c>
      <c r="BP47" s="57">
        <f ca="1">IFERROR(__xludf.DUMMYFUNCTION("IMPORTRANGE(""https://docs.google.com/spreadsheets/d/1GVExpf-Exi_2gmuqTYH28fseTB9MoKPXWcXCbSt_YrM/edit?usp=sharing"",""หนองคาย!J594"")"),160)</f>
        <v>160</v>
      </c>
      <c r="BQ47" s="63">
        <f t="shared" ca="1" si="16"/>
        <v>45.714285714285715</v>
      </c>
      <c r="BR47" s="63">
        <f ca="1">IFERROR(__xludf.DUMMYFUNCTION("IMPORTRANGE(""https://docs.google.com/spreadsheets/d/1GVExpf-Exi_2gmuqTYH28fseTB9MoKPXWcXCbSt_YrM/edit?usp=sharing"",""หนองคาย!J595"")"),1978)</f>
        <v>1978</v>
      </c>
      <c r="BS47" s="140">
        <f ca="1">IFERROR(__xludf.DUMMYFUNCTION("IMPORTRANGE(""https://docs.google.com/spreadsheets/d/1GVExpf-Exi_2gmuqTYH28fseTB9MoKPXWcXCbSt_YrM/edit?usp=sharing"",""หนองคาย!J596"")"),130)</f>
        <v>130</v>
      </c>
      <c r="BT47" s="63">
        <f ca="1">IFERROR(__xludf.DUMMYFUNCTION("IMPORTRANGE(""https://docs.google.com/spreadsheets/d/1GVExpf-Exi_2gmuqTYH28fseTB9MoKPXWcXCbSt_YrM/edit?usp=sharing"",""หนองคาย!J597"")"),936)</f>
        <v>936</v>
      </c>
      <c r="BU47" s="140">
        <f ca="1">IFERROR(__xludf.DUMMYFUNCTION("IMPORTRANGE(""https://docs.google.com/spreadsheets/d/1GVExpf-Exi_2gmuqTYH28fseTB9MoKPXWcXCbSt_YrM/edit?usp=sharing"",""หนองคาย!J598"")"),76)</f>
        <v>76</v>
      </c>
      <c r="BV47" s="63">
        <f ca="1">IFERROR(__xludf.DUMMYFUNCTION("IMPORTRANGE(""https://docs.google.com/spreadsheets/d/1GVExpf-Exi_2gmuqTYH28fseTB9MoKPXWcXCbSt_YrM/edit?usp=sharing"",""หนองคาย!J599"")"),1042)</f>
        <v>1042</v>
      </c>
      <c r="BW47" s="140">
        <f ca="1">IFERROR(__xludf.DUMMYFUNCTION("IMPORTRANGE(""https://docs.google.com/spreadsheets/d/1GVExpf-Exi_2gmuqTYH28fseTB9MoKPXWcXCbSt_YrM/edit?usp=sharing"",""หนองคาย!J600"")"),54)</f>
        <v>54</v>
      </c>
      <c r="BX47" s="141">
        <f ca="1">IFERROR(__xludf.DUMMYFUNCTION("IMPORTRANGE(""https://docs.google.com/spreadsheets/d/1GVExpf-Exi_2gmuqTYH28fseTB9MoKPXWcXCbSt_YrM/edit?usp=sharing"",""หนองคาย!J601"")"),149)</f>
        <v>149</v>
      </c>
      <c r="BY47" s="140">
        <f ca="1">IFERROR(__xludf.DUMMYFUNCTION("IMPORTRANGE(""https://docs.google.com/spreadsheets/d/1GVExpf-Exi_2gmuqTYH28fseTB9MoKPXWcXCbSt_YrM/edit?usp=sharing"",""หนองคาย!J602"")"),10)</f>
        <v>10</v>
      </c>
      <c r="BZ47" s="63">
        <f ca="1">IFERROR(__xludf.DUMMYFUNCTION("IMPORTRANGE(""https://docs.google.com/spreadsheets/d/1GVExpf-Exi_2gmuqTYH28fseTB9MoKPXWcXCbSt_YrM/edit?usp=sharing"",""หนองคาย!J603"")"),323)</f>
        <v>323</v>
      </c>
      <c r="CA47" s="140">
        <f ca="1">IFERROR(__xludf.DUMMYFUNCTION("IMPORTRANGE(""https://docs.google.com/spreadsheets/d/1GVExpf-Exi_2gmuqTYH28fseTB9MoKPXWcXCbSt_YrM/edit?usp=sharing"",""หนองคาย!J604"")"),21)</f>
        <v>21</v>
      </c>
      <c r="CB47" s="63">
        <f ca="1">IFERROR(__xludf.DUMMYFUNCTION("IMPORTRANGE(""https://docs.google.com/spreadsheets/d/1GVExpf-Exi_2gmuqTYH28fseTB9MoKPXWcXCbSt_YrM/edit?usp=sharing"",""หนองคาย!J605"")"),4)</f>
        <v>4</v>
      </c>
      <c r="CC47" s="140">
        <f ca="1">IFERROR(__xludf.DUMMYFUNCTION("IMPORTRANGE(""https://docs.google.com/spreadsheets/d/1GVExpf-Exi_2gmuqTYH28fseTB9MoKPXWcXCbSt_YrM/edit?usp=sharing"",""หนองคาย!J606"")"),1)</f>
        <v>1</v>
      </c>
      <c r="CD47" s="63">
        <f ca="1">IFERROR(__xludf.DUMMYFUNCTION("IMPORTRANGE(""https://docs.google.com/spreadsheets/d/1GVExpf-Exi_2gmuqTYH28fseTB9MoKPXWcXCbSt_YrM/edit?usp=sharing"",""หนองคาย!J607"")"),319)</f>
        <v>319</v>
      </c>
      <c r="CE47" s="140">
        <f ca="1">IFERROR(__xludf.DUMMYFUNCTION("IMPORTRANGE(""https://docs.google.com/spreadsheets/d/1GVExpf-Exi_2gmuqTYH28fseTB9MoKPXWcXCbSt_YrM/edit?usp=sharing"",""หนองคาย!J608"")"),17)</f>
        <v>17</v>
      </c>
      <c r="CF47" s="63">
        <f ca="1">IFERROR(__xludf.DUMMYFUNCTION("IMPORTRANGE(""https://docs.google.com/spreadsheets/d/1GVExpf-Exi_2gmuqTYH28fseTB9MoKPXWcXCbSt_YrM/edit?usp=sharing"",""หนองคาย!J609"")"),86)</f>
        <v>86</v>
      </c>
      <c r="CG47" s="140">
        <f ca="1">IFERROR(__xludf.DUMMYFUNCTION("IMPORTRANGE(""https://docs.google.com/spreadsheets/d/1GVExpf-Exi_2gmuqTYH28fseTB9MoKPXWcXCbSt_YrM/edit?usp=sharing"",""หนองคาย!J610"")"),9)</f>
        <v>9</v>
      </c>
      <c r="CH47" s="140">
        <f ca="1">IFERROR(__xludf.DUMMYFUNCTION("IMPORTRANGE(""https://docs.google.com/spreadsheets/d/1GVExpf-Exi_2gmuqTYH28fseTB9MoKPXWcXCbSt_YrM/edit?usp=sharing"",""หนองคาย!I612"")"),0)</f>
        <v>0</v>
      </c>
      <c r="CI47" s="140">
        <f ca="1">IFERROR(__xludf.DUMMYFUNCTION("IMPORTRANGE(""https://docs.google.com/spreadsheets/d/1GVExpf-Exi_2gmuqTYH28fseTB9MoKPXWcXCbSt_YrM/edit?usp=sharing"",""หนองคาย!I594"")"),350)</f>
        <v>350</v>
      </c>
      <c r="CJ47" s="141">
        <f ca="1">IFERROR(__xludf.DUMMYFUNCTION("IMPORTRANGE(""https://docs.google.com/spreadsheets/d/1GVExpf-Exi_2gmuqTYH28fseTB9MoKPXWcXCbSt_YrM/edit?usp=sharing"",""หนองคาย!J612"")"),0)</f>
        <v>0</v>
      </c>
      <c r="CK47" s="141">
        <f t="shared" ca="1" si="41"/>
        <v>0</v>
      </c>
      <c r="CL47" s="140">
        <f ca="1">IFERROR(__xludf.DUMMYFUNCTION("IMPORTRANGE(""https://docs.google.com/spreadsheets/d/1GVExpf-Exi_2gmuqTYH28fseTB9MoKPXWcXCbSt_YrM/edit?usp=sharing"",""หนองคาย!J613"")"),0)</f>
        <v>0</v>
      </c>
      <c r="CM47" s="141">
        <f t="shared" ca="1" si="19"/>
        <v>0</v>
      </c>
      <c r="CN47" s="63">
        <f ca="1">IFERROR(__xludf.DUMMYFUNCTION("IMPORTRANGE(""https://docs.google.com/spreadsheets/d/1GVExpf-Exi_2gmuqTYH28fseTB9MoKPXWcXCbSt_YrM/edit?usp=sharing"",""หนองคาย!J614"")"),0)</f>
        <v>0</v>
      </c>
      <c r="CO47" s="140">
        <f ca="1">IFERROR(__xludf.DUMMYFUNCTION("IMPORTRANGE(""https://docs.google.com/spreadsheets/d/1GVExpf-Exi_2gmuqTYH28fseTB9MoKPXWcXCbSt_YrM/edit?usp=sharing"",""หนองคาย!J615"")"),0)</f>
        <v>0</v>
      </c>
      <c r="CP47" s="63">
        <f ca="1">IFERROR(__xludf.DUMMYFUNCTION("IMPORTRANGE(""https://docs.google.com/spreadsheets/d/1GVExpf-Exi_2gmuqTYH28fseTB9MoKPXWcXCbSt_YrM/edit?usp=sharing"",""หนองคาย!J616"")"),0)</f>
        <v>0</v>
      </c>
      <c r="CQ47" s="140">
        <f ca="1">IFERROR(__xludf.DUMMYFUNCTION("IMPORTRANGE(""https://docs.google.com/spreadsheets/d/1GVExpf-Exi_2gmuqTYH28fseTB9MoKPXWcXCbSt_YrM/edit?usp=sharing"",""หนองคาย!J617"")"),0)</f>
        <v>0</v>
      </c>
      <c r="CR47" s="140">
        <f ca="1">IFERROR(__xludf.DUMMYFUNCTION("IMPORTRANGE(""https://docs.google.com/spreadsheets/d/1GVExpf-Exi_2gmuqTYH28fseTB9MoKPXWcXCbSt_YrM/edit?usp=sharing"",""หนองคาย!I620"")"),1)</f>
        <v>1</v>
      </c>
      <c r="CS47" s="140">
        <f ca="1">IFERROR(__xludf.DUMMYFUNCTION("IMPORTRANGE(""https://docs.google.com/spreadsheets/d/1GVExpf-Exi_2gmuqTYH28fseTB9MoKPXWcXCbSt_YrM/edit?usp=sharing"",""หนองคาย!I621"")"),1)</f>
        <v>1</v>
      </c>
      <c r="CT47" s="141">
        <f ca="1">IFERROR(__xludf.DUMMYFUNCTION("IMPORTRANGE(""https://docs.google.com/spreadsheets/d/1GVExpf-Exi_2gmuqTYH28fseTB9MoKPXWcXCbSt_YrM/edit?usp=sharing"",""หนองคาย!J620"")"),0)</f>
        <v>0</v>
      </c>
      <c r="CU47" s="141">
        <f t="shared" ca="1" si="42"/>
        <v>0</v>
      </c>
      <c r="CV47" s="140">
        <f ca="1">IFERROR(__xludf.DUMMYFUNCTION("IMPORTRANGE(""https://docs.google.com/spreadsheets/d/1GVExpf-Exi_2gmuqTYH28fseTB9MoKPXWcXCbSt_YrM/edit?usp=sharing"",""หนองคาย!J621"")"),0)</f>
        <v>0</v>
      </c>
      <c r="CW47" s="141">
        <f t="shared" ca="1" si="22"/>
        <v>0</v>
      </c>
      <c r="CX47" s="63">
        <f ca="1">IFERROR(__xludf.DUMMYFUNCTION("IMPORTRANGE(""https://docs.google.com/spreadsheets/d/1GVExpf-Exi_2gmuqTYH28fseTB9MoKPXWcXCbSt_YrM/edit?usp=sharing"",""หนองคาย!J622"")"),0)</f>
        <v>0</v>
      </c>
      <c r="CY47" s="140">
        <f ca="1">IFERROR(__xludf.DUMMYFUNCTION("IMPORTRANGE(""https://docs.google.com/spreadsheets/d/1GVExpf-Exi_2gmuqTYH28fseTB9MoKPXWcXCbSt_YrM/edit?usp=sharing"",""หนองคาย!J623"")"),0)</f>
        <v>0</v>
      </c>
      <c r="CZ47" s="63">
        <f ca="1">IFERROR(__xludf.DUMMYFUNCTION("IMPORTRANGE(""https://docs.google.com/spreadsheets/d/1GVExpf-Exi_2gmuqTYH28fseTB9MoKPXWcXCbSt_YrM/edit?usp=sharing"",""หนองคาย!J624"")"),0)</f>
        <v>0</v>
      </c>
      <c r="DA47" s="140">
        <f ca="1">IFERROR(__xludf.DUMMYFUNCTION("IMPORTRANGE(""https://docs.google.com/spreadsheets/d/1GVExpf-Exi_2gmuqTYH28fseTB9MoKPXWcXCbSt_YrM/edit?usp=sharing"",""หนองคาย!J625"")"),0)</f>
        <v>0</v>
      </c>
      <c r="DB47" s="63">
        <f ca="1">IFERROR(__xludf.DUMMYFUNCTION("IMPORTRANGE(""https://docs.google.com/spreadsheets/d/1GVExpf-Exi_2gmuqTYH28fseTB9MoKPXWcXCbSt_YrM/edit?usp=sharing"",""หนองคาย!J626"")"),0)</f>
        <v>0</v>
      </c>
      <c r="DC47" s="140">
        <f ca="1">IFERROR(__xludf.DUMMYFUNCTION("IMPORTRANGE(""https://docs.google.com/spreadsheets/d/1GVExpf-Exi_2gmuqTYH28fseTB9MoKPXWcXCbSt_YrM/edit?usp=sharing"",""หนองคาย!J627"")"),0)</f>
        <v>0</v>
      </c>
    </row>
    <row r="48" spans="1:107" ht="21" customHeight="1" x14ac:dyDescent="0.3">
      <c r="A48" s="54">
        <v>17</v>
      </c>
      <c r="B48" s="55" t="s">
        <v>69</v>
      </c>
      <c r="C48" s="56">
        <f t="shared" ca="1" si="66"/>
        <v>514752</v>
      </c>
      <c r="D48" s="57">
        <f ca="1">IFERROR(__xludf.DUMMYFUNCTION("IMPORTRANGE(""https://docs.google.com/spreadsheets/d/16UeMz0UgOB5BZcoxP75eYGcLFtGYRn9GoesD4OX9m5U/edit?usp=sharing"",""หนองบัวลำภู!L549"")"),514752)</f>
        <v>514752</v>
      </c>
      <c r="E48" s="64">
        <f ca="1">IFERROR(__xludf.DUMMYFUNCTION("IMPORTRANGE(""https://docs.google.com/spreadsheets/d/16UeMz0UgOB5BZcoxP75eYGcLFtGYRn9GoesD4OX9m5U/edit?usp=sharing"",""หนองบัวลำภู!L557"")"),0)</f>
        <v>0</v>
      </c>
      <c r="F48" s="64">
        <f ca="1">IFERROR(__xludf.DUMMYFUNCTION("IMPORTRANGE(""https://docs.google.com/spreadsheets/d/16UeMz0UgOB5BZcoxP75eYGcLFtGYRn9GoesD4OX9m5U/edit?usp=sharing"",""หนองบัวลำภู!M549"")"),514752)</f>
        <v>514752</v>
      </c>
      <c r="G48" s="64">
        <f ca="1">IFERROR(__xludf.DUMMYFUNCTION("IMPORTRANGE(""https://docs.google.com/spreadsheets/d/16UeMz0UgOB5BZcoxP75eYGcLFtGYRn9GoesD4OX9m5U/edit?usp=sharing"",""หนองบัวลำภู!M557"")"),0)</f>
        <v>0</v>
      </c>
      <c r="H48" s="58">
        <f t="shared" ca="1" si="36"/>
        <v>160079</v>
      </c>
      <c r="I48" s="59">
        <f t="shared" ca="1" si="1"/>
        <v>31.098276451572797</v>
      </c>
      <c r="J48" s="60">
        <f t="shared" ca="1" si="67"/>
        <v>160079</v>
      </c>
      <c r="K48" s="61">
        <f t="shared" ca="1" si="44"/>
        <v>31.098276451572797</v>
      </c>
      <c r="L48" s="61">
        <f t="shared" ca="1" si="45"/>
        <v>31.098276451572797</v>
      </c>
      <c r="M48" s="64">
        <f ca="1">IFERROR(__xludf.DUMMYFUNCTION("IMPORTRANGE(""https://docs.google.com/spreadsheets/d/16UeMz0UgOB5BZcoxP75eYGcLFtGYRn9GoesD4OX9m5U/edit?usp=sharing"",""หนองบัวลำภู!N550"")"),0)</f>
        <v>0</v>
      </c>
      <c r="N48" s="64">
        <f ca="1">IFERROR(__xludf.DUMMYFUNCTION("IMPORTRANGE(""https://docs.google.com/spreadsheets/d/16UeMz0UgOB5BZcoxP75eYGcLFtGYRn9GoesD4OX9m5U/edit?usp=sharing"",""หนองบัวลำภู!N551"")"),0)</f>
        <v>0</v>
      </c>
      <c r="O48" s="64">
        <f ca="1">IFERROR(__xludf.DUMMYFUNCTION("IMPORTRANGE(""https://docs.google.com/spreadsheets/d/16UeMz0UgOB5BZcoxP75eYGcLFtGYRn9GoesD4OX9m5U/edit?usp=sharing"",""หนองบัวลำภู!N552"")"),78000)</f>
        <v>78000</v>
      </c>
      <c r="P48" s="64">
        <f ca="1">IFERROR(__xludf.DUMMYFUNCTION("IMPORTRANGE(""https://docs.google.com/spreadsheets/d/16UeMz0UgOB5BZcoxP75eYGcLFtGYRn9GoesD4OX9m5U/edit?usp=sharing"",""หนองบัวลำภู!N553"")"),82079)</f>
        <v>82079</v>
      </c>
      <c r="Q48" s="64">
        <f ca="1">IFERROR(__xludf.DUMMYFUNCTION("IMPORTRANGE(""https://docs.google.com/spreadsheets/d/16UeMz0UgOB5BZcoxP75eYGcLFtGYRn9GoesD4OX9m5U/edit?usp=sharing"",""หนองบัวลำภู!N554"")"),0)</f>
        <v>0</v>
      </c>
      <c r="R48" s="62">
        <f ca="1">IFERROR(__xludf.DUMMYFUNCTION("IMPORTRANGE(""https://docs.google.com/spreadsheets/d/16UeMz0UgOB5BZcoxP75eYGcLFtGYRn9GoesD4OX9m5U/edit?usp=sharing"",""หนองบัวลำภู!N557"")"),0)</f>
        <v>0</v>
      </c>
      <c r="S48" s="62">
        <f t="shared" ca="1" si="47"/>
        <v>0</v>
      </c>
      <c r="T48" s="57">
        <f ca="1">IFERROR(__xludf.DUMMYFUNCTION("IMPORTRANGE(""https://docs.google.com/spreadsheets/d/16UeMz0UgOB5BZcoxP75eYGcLFtGYRn9GoesD4OX9m5U/edit?usp=sharing"",""หนองบัวลำภู!I560"")"),41140)</f>
        <v>41140</v>
      </c>
      <c r="U48" s="57">
        <f ca="1">IFERROR(__xludf.DUMMYFUNCTION("IMPORTRANGE(""https://docs.google.com/spreadsheets/d/16UeMz0UgOB5BZcoxP75eYGcLFtGYRn9GoesD4OX9m5U/edit?usp=sharing"",""หนองบัวลำภู!I561"")"),4331)</f>
        <v>4331</v>
      </c>
      <c r="V48" s="63">
        <f ca="1">IFERROR(__xludf.DUMMYFUNCTION("IMPORTRANGE(""https://docs.google.com/spreadsheets/d/16UeMz0UgOB5BZcoxP75eYGcLFtGYRn9GoesD4OX9m5U/edit?usp=sharing"",""หนองบัวลำภู!J560"")"),41143)</f>
        <v>41143</v>
      </c>
      <c r="W48" s="63">
        <f t="shared" ca="1" si="37"/>
        <v>100.00729217306757</v>
      </c>
      <c r="X48" s="57">
        <f ca="1">IFERROR(__xludf.DUMMYFUNCTION("IMPORTRANGE(""https://docs.google.com/spreadsheets/d/16UeMz0UgOB5BZcoxP75eYGcLFtGYRn9GoesD4OX9m5U/edit?usp=sharing"",""หนองบัวลำภู!J561"")"),4331)</f>
        <v>4331</v>
      </c>
      <c r="Y48" s="63">
        <f t="shared" ca="1" si="7"/>
        <v>100</v>
      </c>
      <c r="Z48" s="63">
        <f ca="1">IFERROR(__xludf.DUMMYFUNCTION("IMPORTRANGE(""https://docs.google.com/spreadsheets/d/16UeMz0UgOB5BZcoxP75eYGcLFtGYRn9GoesD4OX9m5U/edit?usp=sharing"",""หนองบัวลำภู!J562"")"),37156)</f>
        <v>37156</v>
      </c>
      <c r="AA48" s="140">
        <f ca="1">IFERROR(__xludf.DUMMYFUNCTION("IMPORTRANGE(""https://docs.google.com/spreadsheets/d/16UeMz0UgOB5BZcoxP75eYGcLFtGYRn9GoesD4OX9m5U/edit?usp=sharing"",""หนองบัวลำภู!J563"")"),4016)</f>
        <v>4016</v>
      </c>
      <c r="AB48" s="63">
        <f ca="1">IFERROR(__xludf.DUMMYFUNCTION("IMPORTRANGE(""https://docs.google.com/spreadsheets/d/16UeMz0UgOB5BZcoxP75eYGcLFtGYRn9GoesD4OX9m5U/edit?usp=sharing"",""หนองบัวลำภู!J564"")"),3123)</f>
        <v>3123</v>
      </c>
      <c r="AC48" s="140">
        <f ca="1">IFERROR(__xludf.DUMMYFUNCTION("IMPORTRANGE(""https://docs.google.com/spreadsheets/d/16UeMz0UgOB5BZcoxP75eYGcLFtGYRn9GoesD4OX9m5U/edit?usp=sharing"",""หนองบัวลำภู!J565"")"),234)</f>
        <v>234</v>
      </c>
      <c r="AD48" s="63">
        <f ca="1">IFERROR(__xludf.DUMMYFUNCTION("IMPORTRANGE(""https://docs.google.com/spreadsheets/d/16UeMz0UgOB5BZcoxP75eYGcLFtGYRn9GoesD4OX9m5U/edit?usp=sharing"",""หนองบัวลำภู!J566"")"),864)</f>
        <v>864</v>
      </c>
      <c r="AE48" s="140">
        <f ca="1">IFERROR(__xludf.DUMMYFUNCTION("IMPORTRANGE(""https://docs.google.com/spreadsheets/d/16UeMz0UgOB5BZcoxP75eYGcLFtGYRn9GoesD4OX9m5U/edit?usp=sharing"",""หนองบัวลำภู!J567"")"),81)</f>
        <v>81</v>
      </c>
      <c r="AF48" s="57">
        <f ca="1">IFERROR(__xludf.DUMMYFUNCTION("IMPORTRANGE(""https://docs.google.com/spreadsheets/d/16UeMz0UgOB5BZcoxP75eYGcLFtGYRn9GoesD4OX9m5U/edit?usp=sharing"",""หนองบัวลำภู!I568"")"),41140)</f>
        <v>41140</v>
      </c>
      <c r="AG48" s="57">
        <f ca="1">IFERROR(__xludf.DUMMYFUNCTION("IMPORTRANGE(""https://docs.google.com/spreadsheets/d/16UeMz0UgOB5BZcoxP75eYGcLFtGYRn9GoesD4OX9m5U/edit?usp=sharing"",""หนองบัวลำภู!I569"")"),4331)</f>
        <v>4331</v>
      </c>
      <c r="AH48" s="63">
        <f ca="1">IFERROR(__xludf.DUMMYFUNCTION("IMPORTRANGE(""https://docs.google.com/spreadsheets/d/16UeMz0UgOB5BZcoxP75eYGcLFtGYRn9GoesD4OX9m5U/edit?usp=sharing"",""หนองบัวลำภู!J568"")"),41143)</f>
        <v>41143</v>
      </c>
      <c r="AI48" s="63">
        <f t="shared" ca="1" si="38"/>
        <v>100.00729217306757</v>
      </c>
      <c r="AJ48" s="57">
        <f ca="1">IFERROR(__xludf.DUMMYFUNCTION("IMPORTRANGE(""https://docs.google.com/spreadsheets/d/16UeMz0UgOB5BZcoxP75eYGcLFtGYRn9GoesD4OX9m5U/edit?usp=sharing"",""หนองบัวลำภู!J569"")"),4331)</f>
        <v>4331</v>
      </c>
      <c r="AK48" s="63">
        <f t="shared" ca="1" si="10"/>
        <v>100</v>
      </c>
      <c r="AL48" s="63">
        <f ca="1">IFERROR(__xludf.DUMMYFUNCTION("IMPORTRANGE(""https://docs.google.com/spreadsheets/d/16UeMz0UgOB5BZcoxP75eYGcLFtGYRn9GoesD4OX9m5U/edit?usp=sharing"",""หนองบัวลำภู!J570"")"),38129)</f>
        <v>38129</v>
      </c>
      <c r="AM48" s="140">
        <f ca="1">IFERROR(__xludf.DUMMYFUNCTION("IMPORTRANGE(""https://docs.google.com/spreadsheets/d/16UeMz0UgOB5BZcoxP75eYGcLFtGYRn9GoesD4OX9m5U/edit?usp=sharing"",""หนองบัวลำภู!J571"")"),4080)</f>
        <v>4080</v>
      </c>
      <c r="AN48" s="63">
        <f ca="1">IFERROR(__xludf.DUMMYFUNCTION("IMPORTRANGE(""https://docs.google.com/spreadsheets/d/16UeMz0UgOB5BZcoxP75eYGcLFtGYRn9GoesD4OX9m5U/edit?usp=sharing"",""หนองบัวลำภู!J572"")"),2117)</f>
        <v>2117</v>
      </c>
      <c r="AO48" s="140">
        <f ca="1">IFERROR(__xludf.DUMMYFUNCTION("IMPORTRANGE(""https://docs.google.com/spreadsheets/d/16UeMz0UgOB5BZcoxP75eYGcLFtGYRn9GoesD4OX9m5U/edit?usp=sharing"",""หนองบัวลำภู!J573"")"),159)</f>
        <v>159</v>
      </c>
      <c r="AP48" s="63">
        <f ca="1">IFERROR(__xludf.DUMMYFUNCTION("IMPORTRANGE(""https://docs.google.com/spreadsheets/d/16UeMz0UgOB5BZcoxP75eYGcLFtGYRn9GoesD4OX9m5U/edit?usp=sharing"",""หนองบัวลำภู!J574"")"),897)</f>
        <v>897</v>
      </c>
      <c r="AQ48" s="140">
        <f ca="1">IFERROR(__xludf.DUMMYFUNCTION("IMPORTRANGE(""https://docs.google.com/spreadsheets/d/16UeMz0UgOB5BZcoxP75eYGcLFtGYRn9GoesD4OX9m5U/edit?usp=sharing"",""หนองบัวลำภู!J575"")"),92)</f>
        <v>92</v>
      </c>
      <c r="AR48" s="57">
        <f ca="1">IFERROR(__xludf.DUMMYFUNCTION("IMPORTRANGE(""https://docs.google.com/spreadsheets/d/16UeMz0UgOB5BZcoxP75eYGcLFtGYRn9GoesD4OX9m5U/edit?usp=sharing"",""หนองบัวลำภู!I576"")"),41140)</f>
        <v>41140</v>
      </c>
      <c r="AS48" s="57">
        <f ca="1">IFERROR(__xludf.DUMMYFUNCTION("IMPORTRANGE(""https://docs.google.com/spreadsheets/d/16UeMz0UgOB5BZcoxP75eYGcLFtGYRn9GoesD4OX9m5U/edit?usp=sharing"",""หนองบัวลำภู!I577"")"),4331)</f>
        <v>4331</v>
      </c>
      <c r="AT48" s="63">
        <f ca="1">IFERROR(__xludf.DUMMYFUNCTION("IMPORTRANGE(""https://docs.google.com/spreadsheets/d/16UeMz0UgOB5BZcoxP75eYGcLFtGYRn9GoesD4OX9m5U/edit?usp=sharing"",""หนองบัวลำภู!J576"")"),0)</f>
        <v>0</v>
      </c>
      <c r="AU48" s="63">
        <f t="shared" ca="1" si="39"/>
        <v>0</v>
      </c>
      <c r="AV48" s="57">
        <f ca="1">IFERROR(__xludf.DUMMYFUNCTION("IMPORTRANGE(""https://docs.google.com/spreadsheets/d/16UeMz0UgOB5BZcoxP75eYGcLFtGYRn9GoesD4OX9m5U/edit?usp=sharing"",""หนองบัวลำภู!J577"")"),0)</f>
        <v>0</v>
      </c>
      <c r="AW48" s="63">
        <f t="shared" ca="1" si="13"/>
        <v>0</v>
      </c>
      <c r="AX48" s="63">
        <f ca="1">IFERROR(__xludf.DUMMYFUNCTION("IMPORTRANGE(""https://docs.google.com/spreadsheets/d/16UeMz0UgOB5BZcoxP75eYGcLFtGYRn9GoesD4OX9m5U/edit?usp=sharing"",""หนองบัวลำภู!J578"")"),0)</f>
        <v>0</v>
      </c>
      <c r="AY48" s="140">
        <f ca="1">IFERROR(__xludf.DUMMYFUNCTION("IMPORTRANGE(""https://docs.google.com/spreadsheets/d/16UeMz0UgOB5BZcoxP75eYGcLFtGYRn9GoesD4OX9m5U/edit?usp=sharing"",""หนองบัวลำภู!J579"")"),0)</f>
        <v>0</v>
      </c>
      <c r="AZ48" s="63">
        <f ca="1">IFERROR(__xludf.DUMMYFUNCTION("IMPORTRANGE(""https://docs.google.com/spreadsheets/d/16UeMz0UgOB5BZcoxP75eYGcLFtGYRn9GoesD4OX9m5U/edit?usp=sharing"",""หนองบัวลำภู!J580"")"),0)</f>
        <v>0</v>
      </c>
      <c r="BA48" s="140">
        <f ca="1">IFERROR(__xludf.DUMMYFUNCTION("IMPORTRANGE(""https://docs.google.com/spreadsheets/d/16UeMz0UgOB5BZcoxP75eYGcLFtGYRn9GoesD4OX9m5U/edit?usp=sharing"",""หนองบัวลำภู!J581"")"),0)</f>
        <v>0</v>
      </c>
      <c r="BB48" s="63">
        <f ca="1">IFERROR(__xludf.DUMMYFUNCTION("IMPORTRANGE(""https://docs.google.com/spreadsheets/d/16UeMz0UgOB5BZcoxP75eYGcLFtGYRn9GoesD4OX9m5U/edit?usp=sharing"",""หนองบัวลำภู!J582"")"),0)</f>
        <v>0</v>
      </c>
      <c r="BC48" s="140">
        <f ca="1">IFERROR(__xludf.DUMMYFUNCTION("IMPORTRANGE(""https://docs.google.com/spreadsheets/d/16UeMz0UgOB5BZcoxP75eYGcLFtGYRn9GoesD4OX9m5U/edit?usp=sharing"",""หนองบัวลำภู!J583"")"),0)</f>
        <v>0</v>
      </c>
      <c r="BD48" s="141">
        <f ca="1">IFERROR(__xludf.DUMMYFUNCTION("IMPORTRANGE(""https://docs.google.com/spreadsheets/d/16UeMz0UgOB5BZcoxP75eYGcLFtGYRn9GoesD4OX9m5U/edit?usp=sharing"",""หนองบัวลำภู!J584"")"),0)</f>
        <v>0</v>
      </c>
      <c r="BE48" s="140">
        <f ca="1">IFERROR(__xludf.DUMMYFUNCTION("IMPORTRANGE(""https://docs.google.com/spreadsheets/d/16UeMz0UgOB5BZcoxP75eYGcLFtGYRn9GoesD4OX9m5U/edit?usp=sharing"",""หนองบัวลำภู!J585"")"),0)</f>
        <v>0</v>
      </c>
      <c r="BF48" s="141">
        <f ca="1">IFERROR(__xludf.DUMMYFUNCTION("IMPORTRANGE(""https://docs.google.com/spreadsheets/d/16UeMz0UgOB5BZcoxP75eYGcLFtGYRn9GoesD4OX9m5U/edit?usp=sharing"",""หนองบัวลำภู!J586"")"),0)</f>
        <v>0</v>
      </c>
      <c r="BG48" s="140">
        <f ca="1">IFERROR(__xludf.DUMMYFUNCTION("IMPORTRANGE(""https://docs.google.com/spreadsheets/d/16UeMz0UgOB5BZcoxP75eYGcLFtGYRn9GoesD4OX9m5U/edit?usp=sharing"",""หนองบัวลำภู!J587"")"),0)</f>
        <v>0</v>
      </c>
      <c r="BH48" s="63">
        <f ca="1">IFERROR(__xludf.DUMMYFUNCTION("IMPORTRANGE(""https://docs.google.com/spreadsheets/d/16UeMz0UgOB5BZcoxP75eYGcLFtGYRn9GoesD4OX9m5U/edit?usp=sharing"",""หนองบัวลำภู!J588"")"),0)</f>
        <v>0</v>
      </c>
      <c r="BI48" s="140">
        <f ca="1">IFERROR(__xludf.DUMMYFUNCTION("IMPORTRANGE(""https://docs.google.com/spreadsheets/d/16UeMz0UgOB5BZcoxP75eYGcLFtGYRn9GoesD4OX9m5U/edit?usp=sharing"",""หนองบัวลำภู!J589"")"),0)</f>
        <v>0</v>
      </c>
      <c r="BJ48" s="63">
        <f ca="1">IFERROR(__xludf.DUMMYFUNCTION("IMPORTRANGE(""https://docs.google.com/spreadsheets/d/16UeMz0UgOB5BZcoxP75eYGcLFtGYRn9GoesD4OX9m5U/edit?usp=sharing"",""หนองบัวลำภู!J590"")"),0)</f>
        <v>0</v>
      </c>
      <c r="BK48" s="140">
        <f ca="1">IFERROR(__xludf.DUMMYFUNCTION("IMPORTRANGE(""https://docs.google.com/spreadsheets/d/16UeMz0UgOB5BZcoxP75eYGcLFtGYRn9GoesD4OX9m5U/edit?usp=sharing"",""หนองบัวลำภู!J591"")"),0)</f>
        <v>0</v>
      </c>
      <c r="BL48" s="57">
        <f ca="1">IFERROR(__xludf.DUMMYFUNCTION("IMPORTRANGE(""https://docs.google.com/spreadsheets/d/16UeMz0UgOB5BZcoxP75eYGcLFtGYRn9GoesD4OX9m5U/edit?usp=sharing"",""หนองบัวลำภู!I593"")"),11282.62)</f>
        <v>11282.62</v>
      </c>
      <c r="BM48" s="57">
        <f ca="1">IFERROR(__xludf.DUMMYFUNCTION("IMPORTRANGE(""https://docs.google.com/spreadsheets/d/16UeMz0UgOB5BZcoxP75eYGcLFtGYRn9GoesD4OX9m5U/edit?usp=sharing"",""หนองบัวลำภู!I594"")"),633)</f>
        <v>633</v>
      </c>
      <c r="BN48" s="63">
        <f ca="1">IFERROR(__xludf.DUMMYFUNCTION("IMPORTRANGE(""https://docs.google.com/spreadsheets/d/16UeMz0UgOB5BZcoxP75eYGcLFtGYRn9GoesD4OX9m5U/edit?usp=sharing"",""หนองบัวลำภู!J593"")"),0)</f>
        <v>0</v>
      </c>
      <c r="BO48" s="63">
        <f t="shared" ca="1" si="40"/>
        <v>0</v>
      </c>
      <c r="BP48" s="57">
        <f ca="1">IFERROR(__xludf.DUMMYFUNCTION("IMPORTRANGE(""https://docs.google.com/spreadsheets/d/16UeMz0UgOB5BZcoxP75eYGcLFtGYRn9GoesD4OX9m5U/edit?usp=sharing"",""หนองบัวลำภู!J594"")"),0)</f>
        <v>0</v>
      </c>
      <c r="BQ48" s="63">
        <f t="shared" ca="1" si="16"/>
        <v>0</v>
      </c>
      <c r="BR48" s="63">
        <f ca="1">IFERROR(__xludf.DUMMYFUNCTION("IMPORTRANGE(""https://docs.google.com/spreadsheets/d/16UeMz0UgOB5BZcoxP75eYGcLFtGYRn9GoesD4OX9m5U/edit?usp=sharing"",""หนองบัวลำภู!J595"")"),0)</f>
        <v>0</v>
      </c>
      <c r="BS48" s="140">
        <f ca="1">IFERROR(__xludf.DUMMYFUNCTION("IMPORTRANGE(""https://docs.google.com/spreadsheets/d/16UeMz0UgOB5BZcoxP75eYGcLFtGYRn9GoesD4OX9m5U/edit?usp=sharing"",""หนองบัวลำภู!J596"")"),0)</f>
        <v>0</v>
      </c>
      <c r="BT48" s="63">
        <f ca="1">IFERROR(__xludf.DUMMYFUNCTION("IMPORTRANGE(""https://docs.google.com/spreadsheets/d/16UeMz0UgOB5BZcoxP75eYGcLFtGYRn9GoesD4OX9m5U/edit?usp=sharing"",""หนองบัวลำภู!J597"")"),0)</f>
        <v>0</v>
      </c>
      <c r="BU48" s="140">
        <f ca="1">IFERROR(__xludf.DUMMYFUNCTION("IMPORTRANGE(""https://docs.google.com/spreadsheets/d/16UeMz0UgOB5BZcoxP75eYGcLFtGYRn9GoesD4OX9m5U/edit?usp=sharing"",""หนองบัวลำภู!J598"")"),0)</f>
        <v>0</v>
      </c>
      <c r="BV48" s="63">
        <f ca="1">IFERROR(__xludf.DUMMYFUNCTION("IMPORTRANGE(""https://docs.google.com/spreadsheets/d/16UeMz0UgOB5BZcoxP75eYGcLFtGYRn9GoesD4OX9m5U/edit?usp=sharing"",""หนองบัวลำภู!J599"")"),0)</f>
        <v>0</v>
      </c>
      <c r="BW48" s="140">
        <f ca="1">IFERROR(__xludf.DUMMYFUNCTION("IMPORTRANGE(""https://docs.google.com/spreadsheets/d/16UeMz0UgOB5BZcoxP75eYGcLFtGYRn9GoesD4OX9m5U/edit?usp=sharing"",""หนองบัวลำภู!J600"")"),0)</f>
        <v>0</v>
      </c>
      <c r="BX48" s="141">
        <f ca="1">IFERROR(__xludf.DUMMYFUNCTION("IMPORTRANGE(""https://docs.google.com/spreadsheets/d/16UeMz0UgOB5BZcoxP75eYGcLFtGYRn9GoesD4OX9m5U/edit?usp=sharing"",""หนองบัวลำภู!J601"")"),0)</f>
        <v>0</v>
      </c>
      <c r="BY48" s="140">
        <f ca="1">IFERROR(__xludf.DUMMYFUNCTION("IMPORTRANGE(""https://docs.google.com/spreadsheets/d/16UeMz0UgOB5BZcoxP75eYGcLFtGYRn9GoesD4OX9m5U/edit?usp=sharing"",""หนองบัวลำภู!J602"")"),0)</f>
        <v>0</v>
      </c>
      <c r="BZ48" s="63">
        <f ca="1">IFERROR(__xludf.DUMMYFUNCTION("IMPORTRANGE(""https://docs.google.com/spreadsheets/d/16UeMz0UgOB5BZcoxP75eYGcLFtGYRn9GoesD4OX9m5U/edit?usp=sharing"",""หนองบัวลำภู!J603"")"),0)</f>
        <v>0</v>
      </c>
      <c r="CA48" s="140">
        <f ca="1">IFERROR(__xludf.DUMMYFUNCTION("IMPORTRANGE(""https://docs.google.com/spreadsheets/d/16UeMz0UgOB5BZcoxP75eYGcLFtGYRn9GoesD4OX9m5U/edit?usp=sharing"",""หนองบัวลำภู!J604"")"),0)</f>
        <v>0</v>
      </c>
      <c r="CB48" s="63">
        <f ca="1">IFERROR(__xludf.DUMMYFUNCTION("IMPORTRANGE(""https://docs.google.com/spreadsheets/d/16UeMz0UgOB5BZcoxP75eYGcLFtGYRn9GoesD4OX9m5U/edit?usp=sharing"",""หนองบัวลำภู!J605"")"),0)</f>
        <v>0</v>
      </c>
      <c r="CC48" s="140">
        <f ca="1">IFERROR(__xludf.DUMMYFUNCTION("IMPORTRANGE(""https://docs.google.com/spreadsheets/d/16UeMz0UgOB5BZcoxP75eYGcLFtGYRn9GoesD4OX9m5U/edit?usp=sharing"",""หนองบัวลำภู!J606"")"),0)</f>
        <v>0</v>
      </c>
      <c r="CD48" s="63">
        <f ca="1">IFERROR(__xludf.DUMMYFUNCTION("IMPORTRANGE(""https://docs.google.com/spreadsheets/d/16UeMz0UgOB5BZcoxP75eYGcLFtGYRn9GoesD4OX9m5U/edit?usp=sharing"",""หนองบัวลำภู!J607"")"),0)</f>
        <v>0</v>
      </c>
      <c r="CE48" s="140">
        <f ca="1">IFERROR(__xludf.DUMMYFUNCTION("IMPORTRANGE(""https://docs.google.com/spreadsheets/d/16UeMz0UgOB5BZcoxP75eYGcLFtGYRn9GoesD4OX9m5U/edit?usp=sharing"",""หนองบัวลำภู!J608"")"),0)</f>
        <v>0</v>
      </c>
      <c r="CF48" s="63">
        <f ca="1">IFERROR(__xludf.DUMMYFUNCTION("IMPORTRANGE(""https://docs.google.com/spreadsheets/d/16UeMz0UgOB5BZcoxP75eYGcLFtGYRn9GoesD4OX9m5U/edit?usp=sharing"",""หนองบัวลำภู!J609"")"),0)</f>
        <v>0</v>
      </c>
      <c r="CG48" s="140">
        <f ca="1">IFERROR(__xludf.DUMMYFUNCTION("IMPORTRANGE(""https://docs.google.com/spreadsheets/d/16UeMz0UgOB5BZcoxP75eYGcLFtGYRn9GoesD4OX9m5U/edit?usp=sharing"",""หนองบัวลำภู!J610"")"),0)</f>
        <v>0</v>
      </c>
      <c r="CH48" s="140">
        <f ca="1">IFERROR(__xludf.DUMMYFUNCTION("IMPORTRANGE(""https://docs.google.com/spreadsheets/d/16UeMz0UgOB5BZcoxP75eYGcLFtGYRn9GoesD4OX9m5U/edit?usp=sharing"",""หนองบัวลำภู!I612"")"),0)</f>
        <v>0</v>
      </c>
      <c r="CI48" s="140">
        <f ca="1">IFERROR(__xludf.DUMMYFUNCTION("IMPORTRANGE(""https://docs.google.com/spreadsheets/d/16UeMz0UgOB5BZcoxP75eYGcLFtGYRn9GoesD4OX9m5U/edit?usp=sharing"",""หนองบัวลำภู!I594"")"),633)</f>
        <v>633</v>
      </c>
      <c r="CJ48" s="141">
        <f ca="1">IFERROR(__xludf.DUMMYFUNCTION("IMPORTRANGE(""https://docs.google.com/spreadsheets/d/16UeMz0UgOB5BZcoxP75eYGcLFtGYRn9GoesD4OX9m5U/edit?usp=sharing"",""หนองบัวลำภู!J612"")"),0)</f>
        <v>0</v>
      </c>
      <c r="CK48" s="141">
        <f t="shared" ca="1" si="41"/>
        <v>0</v>
      </c>
      <c r="CL48" s="140">
        <f ca="1">IFERROR(__xludf.DUMMYFUNCTION("IMPORTRANGE(""https://docs.google.com/spreadsheets/d/16UeMz0UgOB5BZcoxP75eYGcLFtGYRn9GoesD4OX9m5U/edit?usp=sharing"",""หนองบัวลำภู!J613"")"),0)</f>
        <v>0</v>
      </c>
      <c r="CM48" s="141">
        <f t="shared" ca="1" si="19"/>
        <v>0</v>
      </c>
      <c r="CN48" s="63">
        <f ca="1">IFERROR(__xludf.DUMMYFUNCTION("IMPORTRANGE(""https://docs.google.com/spreadsheets/d/16UeMz0UgOB5BZcoxP75eYGcLFtGYRn9GoesD4OX9m5U/edit?usp=sharing"",""หนองบัวลำภู!J614"")"),0)</f>
        <v>0</v>
      </c>
      <c r="CO48" s="140">
        <f ca="1">IFERROR(__xludf.DUMMYFUNCTION("IMPORTRANGE(""https://docs.google.com/spreadsheets/d/16UeMz0UgOB5BZcoxP75eYGcLFtGYRn9GoesD4OX9m5U/edit?usp=sharing"",""หนองบัวลำภู!J615"")"),0)</f>
        <v>0</v>
      </c>
      <c r="CP48" s="63">
        <f ca="1">IFERROR(__xludf.DUMMYFUNCTION("IMPORTRANGE(""https://docs.google.com/spreadsheets/d/16UeMz0UgOB5BZcoxP75eYGcLFtGYRn9GoesD4OX9m5U/edit?usp=sharing"",""หนองบัวลำภู!J616"")"),0)</f>
        <v>0</v>
      </c>
      <c r="CQ48" s="140">
        <f ca="1">IFERROR(__xludf.DUMMYFUNCTION("IMPORTRANGE(""https://docs.google.com/spreadsheets/d/16UeMz0UgOB5BZcoxP75eYGcLFtGYRn9GoesD4OX9m5U/edit?usp=sharing"",""หนองบัวลำภู!J617"")"),0)</f>
        <v>0</v>
      </c>
      <c r="CR48" s="140">
        <f ca="1">IFERROR(__xludf.DUMMYFUNCTION("IMPORTRANGE(""https://docs.google.com/spreadsheets/d/16UeMz0UgOB5BZcoxP75eYGcLFtGYRn9GoesD4OX9m5U/edit?usp=sharing"",""หนองบัวลำภู!I620"")"),44)</f>
        <v>44</v>
      </c>
      <c r="CS48" s="140">
        <f ca="1">IFERROR(__xludf.DUMMYFUNCTION("IMPORTRANGE(""https://docs.google.com/spreadsheets/d/16UeMz0UgOB5BZcoxP75eYGcLFtGYRn9GoesD4OX9m5U/edit?usp=sharing"",""หนองบัวลำภู!I621"")"),3)</f>
        <v>3</v>
      </c>
      <c r="CT48" s="141">
        <f ca="1">IFERROR(__xludf.DUMMYFUNCTION("IMPORTRANGE(""https://docs.google.com/spreadsheets/d/16UeMz0UgOB5BZcoxP75eYGcLFtGYRn9GoesD4OX9m5U/edit?usp=sharing"",""หนองบัวลำภู!J620"")"),0)</f>
        <v>0</v>
      </c>
      <c r="CU48" s="141">
        <f t="shared" ca="1" si="42"/>
        <v>0</v>
      </c>
      <c r="CV48" s="140">
        <f ca="1">IFERROR(__xludf.DUMMYFUNCTION("IMPORTRANGE(""https://docs.google.com/spreadsheets/d/16UeMz0UgOB5BZcoxP75eYGcLFtGYRn9GoesD4OX9m5U/edit?usp=sharing"",""หนองบัวลำภู!J621"")"),0)</f>
        <v>0</v>
      </c>
      <c r="CW48" s="141">
        <f t="shared" ca="1" si="22"/>
        <v>0</v>
      </c>
      <c r="CX48" s="63">
        <f ca="1">IFERROR(__xludf.DUMMYFUNCTION("IMPORTRANGE(""https://docs.google.com/spreadsheets/d/16UeMz0UgOB5BZcoxP75eYGcLFtGYRn9GoesD4OX9m5U/edit?usp=sharing"",""หนองบัวลำภู!J622"")"),0)</f>
        <v>0</v>
      </c>
      <c r="CY48" s="140">
        <f ca="1">IFERROR(__xludf.DUMMYFUNCTION("IMPORTRANGE(""https://docs.google.com/spreadsheets/d/16UeMz0UgOB5BZcoxP75eYGcLFtGYRn9GoesD4OX9m5U/edit?usp=sharing"",""หนองบัวลำภู!J623"")"),0)</f>
        <v>0</v>
      </c>
      <c r="CZ48" s="63">
        <f ca="1">IFERROR(__xludf.DUMMYFUNCTION("IMPORTRANGE(""https://docs.google.com/spreadsheets/d/16UeMz0UgOB5BZcoxP75eYGcLFtGYRn9GoesD4OX9m5U/edit?usp=sharing"",""หนองบัวลำภู!J624"")"),0)</f>
        <v>0</v>
      </c>
      <c r="DA48" s="140">
        <f ca="1">IFERROR(__xludf.DUMMYFUNCTION("IMPORTRANGE(""https://docs.google.com/spreadsheets/d/16UeMz0UgOB5BZcoxP75eYGcLFtGYRn9GoesD4OX9m5U/edit?usp=sharing"",""หนองบัวลำภู!J625"")"),0)</f>
        <v>0</v>
      </c>
      <c r="DB48" s="63">
        <f ca="1">IFERROR(__xludf.DUMMYFUNCTION("IMPORTRANGE(""https://docs.google.com/spreadsheets/d/16UeMz0UgOB5BZcoxP75eYGcLFtGYRn9GoesD4OX9m5U/edit?usp=sharing"",""หนองบัวลำภู!J626"")"),0)</f>
        <v>0</v>
      </c>
      <c r="DC48" s="140">
        <f ca="1">IFERROR(__xludf.DUMMYFUNCTION("IMPORTRANGE(""https://docs.google.com/spreadsheets/d/16UeMz0UgOB5BZcoxP75eYGcLFtGYRn9GoesD4OX9m5U/edit?usp=sharing"",""หนองบัวลำภู!J627"")"),0)</f>
        <v>0</v>
      </c>
    </row>
    <row r="49" spans="1:107" ht="21" customHeight="1" x14ac:dyDescent="0.3">
      <c r="A49" s="54">
        <v>18</v>
      </c>
      <c r="B49" s="55" t="s">
        <v>70</v>
      </c>
      <c r="C49" s="56">
        <f t="shared" ca="1" si="66"/>
        <v>397413</v>
      </c>
      <c r="D49" s="57">
        <f ca="1">IFERROR(__xludf.DUMMYFUNCTION("IMPORTRANGE(""https://docs.google.com/spreadsheets/d/1uUP8Zo1-qaJLuIkRU0qlwLSE3DHkbdrrj2JGJiWBQZE/edit?usp=sharing"",""อำนาจเจริญ!L549"")"),397413)</f>
        <v>397413</v>
      </c>
      <c r="E49" s="64">
        <f ca="1">IFERROR(__xludf.DUMMYFUNCTION("IMPORTRANGE(""https://docs.google.com/spreadsheets/d/1uUP8Zo1-qaJLuIkRU0qlwLSE3DHkbdrrj2JGJiWBQZE/edit?usp=sharing"",""อำนาจเจริญ!L557"")"),0)</f>
        <v>0</v>
      </c>
      <c r="F49" s="64">
        <f ca="1">IFERROR(__xludf.DUMMYFUNCTION("IMPORTRANGE(""https://docs.google.com/spreadsheets/d/1uUP8Zo1-qaJLuIkRU0qlwLSE3DHkbdrrj2JGJiWBQZE/edit?usp=sharing"",""อำนาจเจริญ!M549"")"),397413)</f>
        <v>397413</v>
      </c>
      <c r="G49" s="64">
        <f ca="1">IFERROR(__xludf.DUMMYFUNCTION("IMPORTRANGE(""https://docs.google.com/spreadsheets/d/1uUP8Zo1-qaJLuIkRU0qlwLSE3DHkbdrrj2JGJiWBQZE/edit?usp=sharing"",""อำนาจเจริญ!M557"")"),0)</f>
        <v>0</v>
      </c>
      <c r="H49" s="58">
        <f t="shared" ca="1" si="36"/>
        <v>105715</v>
      </c>
      <c r="I49" s="59">
        <f t="shared" ca="1" si="1"/>
        <v>26.600790613291462</v>
      </c>
      <c r="J49" s="60">
        <f t="shared" ca="1" si="67"/>
        <v>105715</v>
      </c>
      <c r="K49" s="61">
        <f t="shared" ca="1" si="44"/>
        <v>26.600790613291462</v>
      </c>
      <c r="L49" s="61">
        <f t="shared" ca="1" si="45"/>
        <v>26.600790613291462</v>
      </c>
      <c r="M49" s="64">
        <f ca="1">IFERROR(__xludf.DUMMYFUNCTION("IMPORTRANGE(""https://docs.google.com/spreadsheets/d/1uUP8Zo1-qaJLuIkRU0qlwLSE3DHkbdrrj2JGJiWBQZE/edit?usp=sharing"",""อำนาจเจริญ!N550"")"),0)</f>
        <v>0</v>
      </c>
      <c r="N49" s="64">
        <f ca="1">IFERROR(__xludf.DUMMYFUNCTION("IMPORTRANGE(""https://docs.google.com/spreadsheets/d/1uUP8Zo1-qaJLuIkRU0qlwLSE3DHkbdrrj2JGJiWBQZE/edit?usp=sharing"",""อำนาจเจริญ!N551"")"),0)</f>
        <v>0</v>
      </c>
      <c r="O49" s="64">
        <f ca="1">IFERROR(__xludf.DUMMYFUNCTION("IMPORTRANGE(""https://docs.google.com/spreadsheets/d/1uUP8Zo1-qaJLuIkRU0qlwLSE3DHkbdrrj2JGJiWBQZE/edit?usp=sharing"",""อำนาจเจริญ!N552"")"),65000)</f>
        <v>65000</v>
      </c>
      <c r="P49" s="64">
        <f ca="1">IFERROR(__xludf.DUMMYFUNCTION("IMPORTRANGE(""https://docs.google.com/spreadsheets/d/1uUP8Zo1-qaJLuIkRU0qlwLSE3DHkbdrrj2JGJiWBQZE/edit?usp=sharing"",""อำนาจเจริญ!N553"")"),40715)</f>
        <v>40715</v>
      </c>
      <c r="Q49" s="64">
        <f ca="1">IFERROR(__xludf.DUMMYFUNCTION("IMPORTRANGE(""https://docs.google.com/spreadsheets/d/1uUP8Zo1-qaJLuIkRU0qlwLSE3DHkbdrrj2JGJiWBQZE/edit?usp=sharing"",""อำนาจเจริญ!N554"")"),0)</f>
        <v>0</v>
      </c>
      <c r="R49" s="62">
        <f ca="1">IFERROR(__xludf.DUMMYFUNCTION("IMPORTRANGE(""https://docs.google.com/spreadsheets/d/1uUP8Zo1-qaJLuIkRU0qlwLSE3DHkbdrrj2JGJiWBQZE/edit?usp=sharing"",""อำนาจเจริญ!N557"")"),0)</f>
        <v>0</v>
      </c>
      <c r="S49" s="62">
        <f t="shared" ca="1" si="47"/>
        <v>0</v>
      </c>
      <c r="T49" s="57">
        <f ca="1">IFERROR(__xludf.DUMMYFUNCTION("IMPORTRANGE(""https://docs.google.com/spreadsheets/d/1uUP8Zo1-qaJLuIkRU0qlwLSE3DHkbdrrj2JGJiWBQZE/edit?usp=sharing"",""อำนาจเจริญ!I560"")"),22152)</f>
        <v>22152</v>
      </c>
      <c r="U49" s="57">
        <f ca="1">IFERROR(__xludf.DUMMYFUNCTION("IMPORTRANGE(""https://docs.google.com/spreadsheets/d/1uUP8Zo1-qaJLuIkRU0qlwLSE3DHkbdrrj2JGJiWBQZE/edit?usp=sharing"",""อำนาจเจริญ!I561"")"),1801)</f>
        <v>1801</v>
      </c>
      <c r="V49" s="63">
        <f ca="1">IFERROR(__xludf.DUMMYFUNCTION("IMPORTRANGE(""https://docs.google.com/spreadsheets/d/1uUP8Zo1-qaJLuIkRU0qlwLSE3DHkbdrrj2JGJiWBQZE/edit?usp=sharing"",""อำนาจเจริญ!J560"")"),22152)</f>
        <v>22152</v>
      </c>
      <c r="W49" s="63">
        <f t="shared" ca="1" si="37"/>
        <v>100</v>
      </c>
      <c r="X49" s="57">
        <f ca="1">IFERROR(__xludf.DUMMYFUNCTION("IMPORTRANGE(""https://docs.google.com/spreadsheets/d/1uUP8Zo1-qaJLuIkRU0qlwLSE3DHkbdrrj2JGJiWBQZE/edit?usp=sharing"",""อำนาจเจริญ!J561"")"),1801)</f>
        <v>1801</v>
      </c>
      <c r="Y49" s="63">
        <f t="shared" ca="1" si="7"/>
        <v>100</v>
      </c>
      <c r="Z49" s="63">
        <f ca="1">IFERROR(__xludf.DUMMYFUNCTION("IMPORTRANGE(""https://docs.google.com/spreadsheets/d/1uUP8Zo1-qaJLuIkRU0qlwLSE3DHkbdrrj2JGJiWBQZE/edit?usp=sharing"",""อำนาจเจริญ!J562"")"),19211)</f>
        <v>19211</v>
      </c>
      <c r="AA49" s="140">
        <f ca="1">IFERROR(__xludf.DUMMYFUNCTION("IMPORTRANGE(""https://docs.google.com/spreadsheets/d/1uUP8Zo1-qaJLuIkRU0qlwLSE3DHkbdrrj2JGJiWBQZE/edit?usp=sharing"",""อำนาจเจริญ!J563"")"),1574)</f>
        <v>1574</v>
      </c>
      <c r="AB49" s="63">
        <f ca="1">IFERROR(__xludf.DUMMYFUNCTION("IMPORTRANGE(""https://docs.google.com/spreadsheets/d/1uUP8Zo1-qaJLuIkRU0qlwLSE3DHkbdrrj2JGJiWBQZE/edit?usp=sharing"",""อำนาจเจริญ!J564"")"),2002)</f>
        <v>2002</v>
      </c>
      <c r="AC49" s="140">
        <f ca="1">IFERROR(__xludf.DUMMYFUNCTION("IMPORTRANGE(""https://docs.google.com/spreadsheets/d/1uUP8Zo1-qaJLuIkRU0qlwLSE3DHkbdrrj2JGJiWBQZE/edit?usp=sharing"",""อำนาจเจริญ!J565"")"),156)</f>
        <v>156</v>
      </c>
      <c r="AD49" s="63">
        <f ca="1">IFERROR(__xludf.DUMMYFUNCTION("IMPORTRANGE(""https://docs.google.com/spreadsheets/d/1uUP8Zo1-qaJLuIkRU0qlwLSE3DHkbdrrj2JGJiWBQZE/edit?usp=sharing"",""อำนาจเจริญ!J566"")"),939)</f>
        <v>939</v>
      </c>
      <c r="AE49" s="140">
        <f ca="1">IFERROR(__xludf.DUMMYFUNCTION("IMPORTRANGE(""https://docs.google.com/spreadsheets/d/1uUP8Zo1-qaJLuIkRU0qlwLSE3DHkbdrrj2JGJiWBQZE/edit?usp=sharing"",""อำนาจเจริญ!J567"")"),71)</f>
        <v>71</v>
      </c>
      <c r="AF49" s="57">
        <f ca="1">IFERROR(__xludf.DUMMYFUNCTION("IMPORTRANGE(""https://docs.google.com/spreadsheets/d/1uUP8Zo1-qaJLuIkRU0qlwLSE3DHkbdrrj2JGJiWBQZE/edit?usp=sharing"",""อำนาจเจริญ!I568"")"),22152)</f>
        <v>22152</v>
      </c>
      <c r="AG49" s="57">
        <f ca="1">IFERROR(__xludf.DUMMYFUNCTION("IMPORTRANGE(""https://docs.google.com/spreadsheets/d/1uUP8Zo1-qaJLuIkRU0qlwLSE3DHkbdrrj2JGJiWBQZE/edit?usp=sharing"",""อำนาจเจริญ!I569"")"),1801)</f>
        <v>1801</v>
      </c>
      <c r="AH49" s="63">
        <f ca="1">IFERROR(__xludf.DUMMYFUNCTION("IMPORTRANGE(""https://docs.google.com/spreadsheets/d/1uUP8Zo1-qaJLuIkRU0qlwLSE3DHkbdrrj2JGJiWBQZE/edit?usp=sharing"",""อำนาจเจริญ!J568"")"),0)</f>
        <v>0</v>
      </c>
      <c r="AI49" s="63">
        <f t="shared" ca="1" si="38"/>
        <v>0</v>
      </c>
      <c r="AJ49" s="57">
        <f ca="1">IFERROR(__xludf.DUMMYFUNCTION("IMPORTRANGE(""https://docs.google.com/spreadsheets/d/1uUP8Zo1-qaJLuIkRU0qlwLSE3DHkbdrrj2JGJiWBQZE/edit?usp=sharing"",""อำนาจเจริญ!J569"")"),0)</f>
        <v>0</v>
      </c>
      <c r="AK49" s="63">
        <f t="shared" ca="1" si="10"/>
        <v>0</v>
      </c>
      <c r="AL49" s="63">
        <f ca="1">IFERROR(__xludf.DUMMYFUNCTION("IMPORTRANGE(""https://docs.google.com/spreadsheets/d/1uUP8Zo1-qaJLuIkRU0qlwLSE3DHkbdrrj2JGJiWBQZE/edit?usp=sharing"",""อำนาจเจริญ!J570"")"),0)</f>
        <v>0</v>
      </c>
      <c r="AM49" s="140">
        <f ca="1">IFERROR(__xludf.DUMMYFUNCTION("IMPORTRANGE(""https://docs.google.com/spreadsheets/d/1uUP8Zo1-qaJLuIkRU0qlwLSE3DHkbdrrj2JGJiWBQZE/edit?usp=sharing"",""อำนาจเจริญ!J571"")"),0)</f>
        <v>0</v>
      </c>
      <c r="AN49" s="63">
        <f ca="1">IFERROR(__xludf.DUMMYFUNCTION("IMPORTRANGE(""https://docs.google.com/spreadsheets/d/1uUP8Zo1-qaJLuIkRU0qlwLSE3DHkbdrrj2JGJiWBQZE/edit?usp=sharing"",""อำนาจเจริญ!J572"")"),0)</f>
        <v>0</v>
      </c>
      <c r="AO49" s="140">
        <f ca="1">IFERROR(__xludf.DUMMYFUNCTION("IMPORTRANGE(""https://docs.google.com/spreadsheets/d/1uUP8Zo1-qaJLuIkRU0qlwLSE3DHkbdrrj2JGJiWBQZE/edit?usp=sharing"",""อำนาจเจริญ!J573"")"),0)</f>
        <v>0</v>
      </c>
      <c r="AP49" s="63">
        <f ca="1">IFERROR(__xludf.DUMMYFUNCTION("IMPORTRANGE(""https://docs.google.com/spreadsheets/d/1uUP8Zo1-qaJLuIkRU0qlwLSE3DHkbdrrj2JGJiWBQZE/edit?usp=sharing"",""อำนาจเจริญ!J574"")"),0)</f>
        <v>0</v>
      </c>
      <c r="AQ49" s="140">
        <f ca="1">IFERROR(__xludf.DUMMYFUNCTION("IMPORTRANGE(""https://docs.google.com/spreadsheets/d/1uUP8Zo1-qaJLuIkRU0qlwLSE3DHkbdrrj2JGJiWBQZE/edit?usp=sharing"",""อำนาจเจริญ!J575"")"),0)</f>
        <v>0</v>
      </c>
      <c r="AR49" s="57">
        <f ca="1">IFERROR(__xludf.DUMMYFUNCTION("IMPORTRANGE(""https://docs.google.com/spreadsheets/d/1uUP8Zo1-qaJLuIkRU0qlwLSE3DHkbdrrj2JGJiWBQZE/edit?usp=sharing"",""อำนาจเจริญ!I576"")"),22152)</f>
        <v>22152</v>
      </c>
      <c r="AS49" s="57">
        <f ca="1">IFERROR(__xludf.DUMMYFUNCTION("IMPORTRANGE(""https://docs.google.com/spreadsheets/d/1uUP8Zo1-qaJLuIkRU0qlwLSE3DHkbdrrj2JGJiWBQZE/edit?usp=sharing"",""อำนาจเจริญ!I577"")"),1801)</f>
        <v>1801</v>
      </c>
      <c r="AT49" s="63">
        <f ca="1">IFERROR(__xludf.DUMMYFUNCTION("IMPORTRANGE(""https://docs.google.com/spreadsheets/d/1uUP8Zo1-qaJLuIkRU0qlwLSE3DHkbdrrj2JGJiWBQZE/edit?usp=sharing"",""อำนาจเจริญ!J576"")"),0)</f>
        <v>0</v>
      </c>
      <c r="AU49" s="63">
        <f t="shared" ca="1" si="39"/>
        <v>0</v>
      </c>
      <c r="AV49" s="57">
        <f ca="1">IFERROR(__xludf.DUMMYFUNCTION("IMPORTRANGE(""https://docs.google.com/spreadsheets/d/1uUP8Zo1-qaJLuIkRU0qlwLSE3DHkbdrrj2JGJiWBQZE/edit?usp=sharing"",""อำนาจเจริญ!J577"")"),0)</f>
        <v>0</v>
      </c>
      <c r="AW49" s="63">
        <f t="shared" ca="1" si="13"/>
        <v>0</v>
      </c>
      <c r="AX49" s="63">
        <f ca="1">IFERROR(__xludf.DUMMYFUNCTION("IMPORTRANGE(""https://docs.google.com/spreadsheets/d/1uUP8Zo1-qaJLuIkRU0qlwLSE3DHkbdrrj2JGJiWBQZE/edit?usp=sharing"",""อำนาจเจริญ!J578"")"),0)</f>
        <v>0</v>
      </c>
      <c r="AY49" s="140">
        <f ca="1">IFERROR(__xludf.DUMMYFUNCTION("IMPORTRANGE(""https://docs.google.com/spreadsheets/d/1uUP8Zo1-qaJLuIkRU0qlwLSE3DHkbdrrj2JGJiWBQZE/edit?usp=sharing"",""อำนาจเจริญ!J579"")"),0)</f>
        <v>0</v>
      </c>
      <c r="AZ49" s="63">
        <f ca="1">IFERROR(__xludf.DUMMYFUNCTION("IMPORTRANGE(""https://docs.google.com/spreadsheets/d/1uUP8Zo1-qaJLuIkRU0qlwLSE3DHkbdrrj2JGJiWBQZE/edit?usp=sharing"",""อำนาจเจริญ!J580"")"),0)</f>
        <v>0</v>
      </c>
      <c r="BA49" s="140">
        <f ca="1">IFERROR(__xludf.DUMMYFUNCTION("IMPORTRANGE(""https://docs.google.com/spreadsheets/d/1uUP8Zo1-qaJLuIkRU0qlwLSE3DHkbdrrj2JGJiWBQZE/edit?usp=sharing"",""อำนาจเจริญ!J581"")"),0)</f>
        <v>0</v>
      </c>
      <c r="BB49" s="63">
        <f ca="1">IFERROR(__xludf.DUMMYFUNCTION("IMPORTRANGE(""https://docs.google.com/spreadsheets/d/1uUP8Zo1-qaJLuIkRU0qlwLSE3DHkbdrrj2JGJiWBQZE/edit?usp=sharing"",""อำนาจเจริญ!J582"")"),0)</f>
        <v>0</v>
      </c>
      <c r="BC49" s="140">
        <f ca="1">IFERROR(__xludf.DUMMYFUNCTION("IMPORTRANGE(""https://docs.google.com/spreadsheets/d/1uUP8Zo1-qaJLuIkRU0qlwLSE3DHkbdrrj2JGJiWBQZE/edit?usp=sharing"",""อำนาจเจริญ!J583"")"),0)</f>
        <v>0</v>
      </c>
      <c r="BD49" s="141">
        <f ca="1">IFERROR(__xludf.DUMMYFUNCTION("IMPORTRANGE(""https://docs.google.com/spreadsheets/d/1uUP8Zo1-qaJLuIkRU0qlwLSE3DHkbdrrj2JGJiWBQZE/edit?usp=sharing"",""อำนาจเจริญ!J584"")"),0)</f>
        <v>0</v>
      </c>
      <c r="BE49" s="140">
        <f ca="1">IFERROR(__xludf.DUMMYFUNCTION("IMPORTRANGE(""https://docs.google.com/spreadsheets/d/1uUP8Zo1-qaJLuIkRU0qlwLSE3DHkbdrrj2JGJiWBQZE/edit?usp=sharing"",""อำนาจเจริญ!J585"")"),0)</f>
        <v>0</v>
      </c>
      <c r="BF49" s="141">
        <f ca="1">IFERROR(__xludf.DUMMYFUNCTION("IMPORTRANGE(""https://docs.google.com/spreadsheets/d/1uUP8Zo1-qaJLuIkRU0qlwLSE3DHkbdrrj2JGJiWBQZE/edit?usp=sharing"",""อำนาจเจริญ!J586"")"),0)</f>
        <v>0</v>
      </c>
      <c r="BG49" s="140">
        <f ca="1">IFERROR(__xludf.DUMMYFUNCTION("IMPORTRANGE(""https://docs.google.com/spreadsheets/d/1uUP8Zo1-qaJLuIkRU0qlwLSE3DHkbdrrj2JGJiWBQZE/edit?usp=sharing"",""อำนาจเจริญ!J587"")"),0)</f>
        <v>0</v>
      </c>
      <c r="BH49" s="63">
        <f ca="1">IFERROR(__xludf.DUMMYFUNCTION("IMPORTRANGE(""https://docs.google.com/spreadsheets/d/1uUP8Zo1-qaJLuIkRU0qlwLSE3DHkbdrrj2JGJiWBQZE/edit?usp=sharing"",""อำนาจเจริญ!J588"")"),0)</f>
        <v>0</v>
      </c>
      <c r="BI49" s="140">
        <f ca="1">IFERROR(__xludf.DUMMYFUNCTION("IMPORTRANGE(""https://docs.google.com/spreadsheets/d/1uUP8Zo1-qaJLuIkRU0qlwLSE3DHkbdrrj2JGJiWBQZE/edit?usp=sharing"",""อำนาจเจริญ!J589"")"),0)</f>
        <v>0</v>
      </c>
      <c r="BJ49" s="63">
        <f ca="1">IFERROR(__xludf.DUMMYFUNCTION("IMPORTRANGE(""https://docs.google.com/spreadsheets/d/1uUP8Zo1-qaJLuIkRU0qlwLSE3DHkbdrrj2JGJiWBQZE/edit?usp=sharing"",""อำนาจเจริญ!J590"")"),0)</f>
        <v>0</v>
      </c>
      <c r="BK49" s="140">
        <f ca="1">IFERROR(__xludf.DUMMYFUNCTION("IMPORTRANGE(""https://docs.google.com/spreadsheets/d/1uUP8Zo1-qaJLuIkRU0qlwLSE3DHkbdrrj2JGJiWBQZE/edit?usp=sharing"",""อำนาจเจริญ!J591"")"),0)</f>
        <v>0</v>
      </c>
      <c r="BL49" s="57">
        <f ca="1">IFERROR(__xludf.DUMMYFUNCTION("IMPORTRANGE(""https://docs.google.com/spreadsheets/d/1uUP8Zo1-qaJLuIkRU0qlwLSE3DHkbdrrj2JGJiWBQZE/edit?usp=sharing"",""อำนาจเจริญ!I593"")"),1063.6)</f>
        <v>1063.5999999999999</v>
      </c>
      <c r="BM49" s="57">
        <f ca="1">IFERROR(__xludf.DUMMYFUNCTION("IMPORTRANGE(""https://docs.google.com/spreadsheets/d/1uUP8Zo1-qaJLuIkRU0qlwLSE3DHkbdrrj2JGJiWBQZE/edit?usp=sharing"",""อำนาจเจริญ!I594"")"),385)</f>
        <v>385</v>
      </c>
      <c r="BN49" s="63">
        <f ca="1">IFERROR(__xludf.DUMMYFUNCTION("IMPORTRANGE(""https://docs.google.com/spreadsheets/d/1uUP8Zo1-qaJLuIkRU0qlwLSE3DHkbdrrj2JGJiWBQZE/edit?usp=sharing"",""อำนาจเจริญ!J593"")"),1063.85)</f>
        <v>1063.8499999999999</v>
      </c>
      <c r="BO49" s="63">
        <f t="shared" ca="1" si="40"/>
        <v>100.02350507709664</v>
      </c>
      <c r="BP49" s="57">
        <f ca="1">IFERROR(__xludf.DUMMYFUNCTION("IMPORTRANGE(""https://docs.google.com/spreadsheets/d/1uUP8Zo1-qaJLuIkRU0qlwLSE3DHkbdrrj2JGJiWBQZE/edit?usp=sharing"",""อำนาจเจริญ!J594"")"),385)</f>
        <v>385</v>
      </c>
      <c r="BQ49" s="63">
        <f t="shared" ca="1" si="16"/>
        <v>100</v>
      </c>
      <c r="BR49" s="63">
        <f ca="1">IFERROR(__xludf.DUMMYFUNCTION("IMPORTRANGE(""https://docs.google.com/spreadsheets/d/1uUP8Zo1-qaJLuIkRU0qlwLSE3DHkbdrrj2JGJiWBQZE/edit?usp=sharing"",""อำนาจเจริญ!J595"")"),1033.28)</f>
        <v>1033.28</v>
      </c>
      <c r="BS49" s="140">
        <f ca="1">IFERROR(__xludf.DUMMYFUNCTION("IMPORTRANGE(""https://docs.google.com/spreadsheets/d/1uUP8Zo1-qaJLuIkRU0qlwLSE3DHkbdrrj2JGJiWBQZE/edit?usp=sharing"",""อำนาจเจริญ!J596"")"),376)</f>
        <v>376</v>
      </c>
      <c r="BT49" s="63">
        <f ca="1">IFERROR(__xludf.DUMMYFUNCTION("IMPORTRANGE(""https://docs.google.com/spreadsheets/d/1uUP8Zo1-qaJLuIkRU0qlwLSE3DHkbdrrj2JGJiWBQZE/edit?usp=sharing"",""อำนาจเจริญ!J597"")"),1033.28)</f>
        <v>1033.28</v>
      </c>
      <c r="BU49" s="140">
        <f ca="1">IFERROR(__xludf.DUMMYFUNCTION("IMPORTRANGE(""https://docs.google.com/spreadsheets/d/1uUP8Zo1-qaJLuIkRU0qlwLSE3DHkbdrrj2JGJiWBQZE/edit?usp=sharing"",""อำนาจเจริญ!J598"")"),376)</f>
        <v>376</v>
      </c>
      <c r="BV49" s="63">
        <f ca="1">IFERROR(__xludf.DUMMYFUNCTION("IMPORTRANGE(""https://docs.google.com/spreadsheets/d/1uUP8Zo1-qaJLuIkRU0qlwLSE3DHkbdrrj2JGJiWBQZE/edit?usp=sharing"",""อำนาจเจริญ!J599"")"),0)</f>
        <v>0</v>
      </c>
      <c r="BW49" s="140">
        <f ca="1">IFERROR(__xludf.DUMMYFUNCTION("IMPORTRANGE(""https://docs.google.com/spreadsheets/d/1uUP8Zo1-qaJLuIkRU0qlwLSE3DHkbdrrj2JGJiWBQZE/edit?usp=sharing"",""อำนาจเจริญ!J600"")"),0)</f>
        <v>0</v>
      </c>
      <c r="BX49" s="141">
        <f ca="1">IFERROR(__xludf.DUMMYFUNCTION("IMPORTRANGE(""https://docs.google.com/spreadsheets/d/1uUP8Zo1-qaJLuIkRU0qlwLSE3DHkbdrrj2JGJiWBQZE/edit?usp=sharing"",""อำนาจเจริญ!J601"")"),0)</f>
        <v>0</v>
      </c>
      <c r="BY49" s="140">
        <f ca="1">IFERROR(__xludf.DUMMYFUNCTION("IMPORTRANGE(""https://docs.google.com/spreadsheets/d/1uUP8Zo1-qaJLuIkRU0qlwLSE3DHkbdrrj2JGJiWBQZE/edit?usp=sharing"",""อำนาจเจริญ!J602"")"),0)</f>
        <v>0</v>
      </c>
      <c r="BZ49" s="63">
        <f ca="1">IFERROR(__xludf.DUMMYFUNCTION("IMPORTRANGE(""https://docs.google.com/spreadsheets/d/1uUP8Zo1-qaJLuIkRU0qlwLSE3DHkbdrrj2JGJiWBQZE/edit?usp=sharing"",""อำนาจเจริญ!J603"")"),30.32)</f>
        <v>30.32</v>
      </c>
      <c r="CA49" s="140">
        <f ca="1">IFERROR(__xludf.DUMMYFUNCTION("IMPORTRANGE(""https://docs.google.com/spreadsheets/d/1uUP8Zo1-qaJLuIkRU0qlwLSE3DHkbdrrj2JGJiWBQZE/edit?usp=sharing"",""อำนาจเจริญ!J604"")"),8)</f>
        <v>8</v>
      </c>
      <c r="CB49" s="63">
        <f ca="1">IFERROR(__xludf.DUMMYFUNCTION("IMPORTRANGE(""https://docs.google.com/spreadsheets/d/1uUP8Zo1-qaJLuIkRU0qlwLSE3DHkbdrrj2JGJiWBQZE/edit?usp=sharing"",""อำนาจเจริญ!J605"")"),30.32)</f>
        <v>30.32</v>
      </c>
      <c r="CC49" s="140">
        <f ca="1">IFERROR(__xludf.DUMMYFUNCTION("IMPORTRANGE(""https://docs.google.com/spreadsheets/d/1uUP8Zo1-qaJLuIkRU0qlwLSE3DHkbdrrj2JGJiWBQZE/edit?usp=sharing"",""อำนาจเจริญ!J606"")"),8)</f>
        <v>8</v>
      </c>
      <c r="CD49" s="63">
        <f ca="1">IFERROR(__xludf.DUMMYFUNCTION("IMPORTRANGE(""https://docs.google.com/spreadsheets/d/1uUP8Zo1-qaJLuIkRU0qlwLSE3DHkbdrrj2JGJiWBQZE/edit?usp=sharing"",""อำนาจเจริญ!J607"")"),0)</f>
        <v>0</v>
      </c>
      <c r="CE49" s="140">
        <f ca="1">IFERROR(__xludf.DUMMYFUNCTION("IMPORTRANGE(""https://docs.google.com/spreadsheets/d/1uUP8Zo1-qaJLuIkRU0qlwLSE3DHkbdrrj2JGJiWBQZE/edit?usp=sharing"",""อำนาจเจริญ!J608"")"),0)</f>
        <v>0</v>
      </c>
      <c r="CF49" s="63">
        <f ca="1">IFERROR(__xludf.DUMMYFUNCTION("IMPORTRANGE(""https://docs.google.com/spreadsheets/d/1uUP8Zo1-qaJLuIkRU0qlwLSE3DHkbdrrj2JGJiWBQZE/edit?usp=sharing"",""อำนาจเจริญ!J609"")"),0.25)</f>
        <v>0.25</v>
      </c>
      <c r="CG49" s="140">
        <f ca="1">IFERROR(__xludf.DUMMYFUNCTION("IMPORTRANGE(""https://docs.google.com/spreadsheets/d/1uUP8Zo1-qaJLuIkRU0qlwLSE3DHkbdrrj2JGJiWBQZE/edit?usp=sharing"",""อำนาจเจริญ!J610"")"),1)</f>
        <v>1</v>
      </c>
      <c r="CH49" s="140">
        <f ca="1">IFERROR(__xludf.DUMMYFUNCTION("IMPORTRANGE(""https://docs.google.com/spreadsheets/d/1uUP8Zo1-qaJLuIkRU0qlwLSE3DHkbdrrj2JGJiWBQZE/edit?usp=sharing"",""อำนาจเจริญ!I612"")"),0)</f>
        <v>0</v>
      </c>
      <c r="CI49" s="140">
        <f ca="1">IFERROR(__xludf.DUMMYFUNCTION("IMPORTRANGE(""https://docs.google.com/spreadsheets/d/1uUP8Zo1-qaJLuIkRU0qlwLSE3DHkbdrrj2JGJiWBQZE/edit?usp=sharing"",""อำนาจเจริญ!I594"")"),385)</f>
        <v>385</v>
      </c>
      <c r="CJ49" s="141">
        <f ca="1">IFERROR(__xludf.DUMMYFUNCTION("IMPORTRANGE(""https://docs.google.com/spreadsheets/d/1uUP8Zo1-qaJLuIkRU0qlwLSE3DHkbdrrj2JGJiWBQZE/edit?usp=sharing"",""อำนาจเจริญ!J612"")"),0)</f>
        <v>0</v>
      </c>
      <c r="CK49" s="141">
        <f t="shared" ca="1" si="41"/>
        <v>0</v>
      </c>
      <c r="CL49" s="140">
        <f ca="1">IFERROR(__xludf.DUMMYFUNCTION("IMPORTRANGE(""https://docs.google.com/spreadsheets/d/1uUP8Zo1-qaJLuIkRU0qlwLSE3DHkbdrrj2JGJiWBQZE/edit?usp=sharing"",""อำนาจเจริญ!J613"")"),0)</f>
        <v>0</v>
      </c>
      <c r="CM49" s="141">
        <f t="shared" ca="1" si="19"/>
        <v>0</v>
      </c>
      <c r="CN49" s="63">
        <f ca="1">IFERROR(__xludf.DUMMYFUNCTION("IMPORTRANGE(""https://docs.google.com/spreadsheets/d/1uUP8Zo1-qaJLuIkRU0qlwLSE3DHkbdrrj2JGJiWBQZE/edit?usp=sharing"",""อำนาจเจริญ!J614"")"),0)</f>
        <v>0</v>
      </c>
      <c r="CO49" s="140">
        <f ca="1">IFERROR(__xludf.DUMMYFUNCTION("IMPORTRANGE(""https://docs.google.com/spreadsheets/d/1uUP8Zo1-qaJLuIkRU0qlwLSE3DHkbdrrj2JGJiWBQZE/edit?usp=sharing"",""อำนาจเจริญ!J615"")"),0)</f>
        <v>0</v>
      </c>
      <c r="CP49" s="63">
        <f ca="1">IFERROR(__xludf.DUMMYFUNCTION("IMPORTRANGE(""https://docs.google.com/spreadsheets/d/1uUP8Zo1-qaJLuIkRU0qlwLSE3DHkbdrrj2JGJiWBQZE/edit?usp=sharing"",""อำนาจเจริญ!J616"")"),0)</f>
        <v>0</v>
      </c>
      <c r="CQ49" s="140">
        <f ca="1">IFERROR(__xludf.DUMMYFUNCTION("IMPORTRANGE(""https://docs.google.com/spreadsheets/d/1uUP8Zo1-qaJLuIkRU0qlwLSE3DHkbdrrj2JGJiWBQZE/edit?usp=sharing"",""อำนาจเจริญ!J617"")"),0)</f>
        <v>0</v>
      </c>
      <c r="CR49" s="140">
        <f ca="1">IFERROR(__xludf.DUMMYFUNCTION("IMPORTRANGE(""https://docs.google.com/spreadsheets/d/1uUP8Zo1-qaJLuIkRU0qlwLSE3DHkbdrrj2JGJiWBQZE/edit?usp=sharing"",""อำนาจเจริญ!I620"")"),0)</f>
        <v>0</v>
      </c>
      <c r="CS49" s="140">
        <f ca="1">IFERROR(__xludf.DUMMYFUNCTION("IMPORTRANGE(""https://docs.google.com/spreadsheets/d/1uUP8Zo1-qaJLuIkRU0qlwLSE3DHkbdrrj2JGJiWBQZE/edit?usp=sharing"",""อำนาจเจริญ!I621"")"),0)</f>
        <v>0</v>
      </c>
      <c r="CT49" s="141">
        <f ca="1">IFERROR(__xludf.DUMMYFUNCTION("IMPORTRANGE(""https://docs.google.com/spreadsheets/d/1uUP8Zo1-qaJLuIkRU0qlwLSE3DHkbdrrj2JGJiWBQZE/edit?usp=sharing"",""อำนาจเจริญ!J620"")"),0)</f>
        <v>0</v>
      </c>
      <c r="CU49" s="141">
        <f t="shared" ca="1" si="42"/>
        <v>0</v>
      </c>
      <c r="CV49" s="140">
        <f ca="1">IFERROR(__xludf.DUMMYFUNCTION("IMPORTRANGE(""https://docs.google.com/spreadsheets/d/1uUP8Zo1-qaJLuIkRU0qlwLSE3DHkbdrrj2JGJiWBQZE/edit?usp=sharing"",""อำนาจเจริญ!J621"")"),0)</f>
        <v>0</v>
      </c>
      <c r="CW49" s="141">
        <f t="shared" ca="1" si="22"/>
        <v>0</v>
      </c>
      <c r="CX49" s="63">
        <f ca="1">IFERROR(__xludf.DUMMYFUNCTION("IMPORTRANGE(""https://docs.google.com/spreadsheets/d/1uUP8Zo1-qaJLuIkRU0qlwLSE3DHkbdrrj2JGJiWBQZE/edit?usp=sharing"",""อำนาจเจริญ!J622"")"),0)</f>
        <v>0</v>
      </c>
      <c r="CY49" s="140">
        <f ca="1">IFERROR(__xludf.DUMMYFUNCTION("IMPORTRANGE(""https://docs.google.com/spreadsheets/d/1uUP8Zo1-qaJLuIkRU0qlwLSE3DHkbdrrj2JGJiWBQZE/edit?usp=sharing"",""อำนาจเจริญ!J623"")"),0)</f>
        <v>0</v>
      </c>
      <c r="CZ49" s="63">
        <f ca="1">IFERROR(__xludf.DUMMYFUNCTION("IMPORTRANGE(""https://docs.google.com/spreadsheets/d/1uUP8Zo1-qaJLuIkRU0qlwLSE3DHkbdrrj2JGJiWBQZE/edit?usp=sharing"",""อำนาจเจริญ!J624"")"),0)</f>
        <v>0</v>
      </c>
      <c r="DA49" s="140">
        <f ca="1">IFERROR(__xludf.DUMMYFUNCTION("IMPORTRANGE(""https://docs.google.com/spreadsheets/d/1uUP8Zo1-qaJLuIkRU0qlwLSE3DHkbdrrj2JGJiWBQZE/edit?usp=sharing"",""อำนาจเจริญ!J625"")"),0)</f>
        <v>0</v>
      </c>
      <c r="DB49" s="63">
        <f ca="1">IFERROR(__xludf.DUMMYFUNCTION("IMPORTRANGE(""https://docs.google.com/spreadsheets/d/1uUP8Zo1-qaJLuIkRU0qlwLSE3DHkbdrrj2JGJiWBQZE/edit?usp=sharing"",""อำนาจเจริญ!J626"")"),0)</f>
        <v>0</v>
      </c>
      <c r="DC49" s="140">
        <f ca="1">IFERROR(__xludf.DUMMYFUNCTION("IMPORTRANGE(""https://docs.google.com/spreadsheets/d/1uUP8Zo1-qaJLuIkRU0qlwLSE3DHkbdrrj2JGJiWBQZE/edit?usp=sharing"",""อำนาจเจริญ!J627"")"),0)</f>
        <v>0</v>
      </c>
    </row>
    <row r="50" spans="1:107" ht="21" customHeight="1" x14ac:dyDescent="0.3">
      <c r="A50" s="54">
        <v>19</v>
      </c>
      <c r="B50" s="55" t="s">
        <v>71</v>
      </c>
      <c r="C50" s="56">
        <f t="shared" ca="1" si="66"/>
        <v>493687</v>
      </c>
      <c r="D50" s="57">
        <f ca="1">IFERROR(__xludf.DUMMYFUNCTION("IMPORTRANGE(""https://docs.google.com/spreadsheets/d/1hb_taSOHanzRjqfzWPiFo8yiT83VV1L7vvUCLhOiHKc/edit?usp=sharing"",""อุดรธานี!L549"")"),493687)</f>
        <v>493687</v>
      </c>
      <c r="E50" s="64">
        <f ca="1">IFERROR(__xludf.DUMMYFUNCTION("IMPORTRANGE(""https://docs.google.com/spreadsheets/d/1hb_taSOHanzRjqfzWPiFo8yiT83VV1L7vvUCLhOiHKc/edit?usp=sharing"",""อุดรธานี!L557"")"),0)</f>
        <v>0</v>
      </c>
      <c r="F50" s="64">
        <f ca="1">IFERROR(__xludf.DUMMYFUNCTION("IMPORTRANGE(""https://docs.google.com/spreadsheets/d/1hb_taSOHanzRjqfzWPiFo8yiT83VV1L7vvUCLhOiHKc/edit?usp=sharing"",""อุดรธานี!M549"")"),493687)</f>
        <v>493687</v>
      </c>
      <c r="G50" s="64">
        <f ca="1">IFERROR(__xludf.DUMMYFUNCTION("IMPORTRANGE(""https://docs.google.com/spreadsheets/d/1hb_taSOHanzRjqfzWPiFo8yiT83VV1L7vvUCLhOiHKc/edit?usp=sharing"",""อุดรธานี!M557"")"),0)</f>
        <v>0</v>
      </c>
      <c r="H50" s="58">
        <f t="shared" ca="1" si="36"/>
        <v>439650.29</v>
      </c>
      <c r="I50" s="59">
        <f t="shared" ca="1" si="1"/>
        <v>89.054459606997952</v>
      </c>
      <c r="J50" s="60">
        <f t="shared" ca="1" si="67"/>
        <v>439650.29</v>
      </c>
      <c r="K50" s="61">
        <f t="shared" ca="1" si="44"/>
        <v>89.054459606997952</v>
      </c>
      <c r="L50" s="61">
        <f t="shared" ca="1" si="45"/>
        <v>89.054459606997952</v>
      </c>
      <c r="M50" s="64">
        <f ca="1">IFERROR(__xludf.DUMMYFUNCTION("IMPORTRANGE(""https://docs.google.com/spreadsheets/d/1hb_taSOHanzRjqfzWPiFo8yiT83VV1L7vvUCLhOiHKc/edit?usp=sharing"",""อุดรธานี!N550"")"),0)</f>
        <v>0</v>
      </c>
      <c r="N50" s="64">
        <f ca="1">IFERROR(__xludf.DUMMYFUNCTION("IMPORTRANGE(""https://docs.google.com/spreadsheets/d/1hb_taSOHanzRjqfzWPiFo8yiT83VV1L7vvUCLhOiHKc/edit?usp=sharing"",""อุดรธานี!N551"")"),0)</f>
        <v>0</v>
      </c>
      <c r="O50" s="64">
        <f ca="1">IFERROR(__xludf.DUMMYFUNCTION("IMPORTRANGE(""https://docs.google.com/spreadsheets/d/1hb_taSOHanzRjqfzWPiFo8yiT83VV1L7vvUCLhOiHKc/edit?usp=sharing"",""อุดรธานี!N552"")"),77161.29)</f>
        <v>77161.289999999994</v>
      </c>
      <c r="P50" s="64">
        <f ca="1">IFERROR(__xludf.DUMMYFUNCTION("IMPORTRANGE(""https://docs.google.com/spreadsheets/d/1hb_taSOHanzRjqfzWPiFo8yiT83VV1L7vvUCLhOiHKc/edit?usp=sharing"",""อุดรธานี!N553"")"),362489)</f>
        <v>362489</v>
      </c>
      <c r="Q50" s="64">
        <f ca="1">IFERROR(__xludf.DUMMYFUNCTION("IMPORTRANGE(""https://docs.google.com/spreadsheets/d/1hb_taSOHanzRjqfzWPiFo8yiT83VV1L7vvUCLhOiHKc/edit?usp=sharing"",""อุดรธานี!N554"")"),0)</f>
        <v>0</v>
      </c>
      <c r="R50" s="62">
        <f ca="1">IFERROR(__xludf.DUMMYFUNCTION("IMPORTRANGE(""https://docs.google.com/spreadsheets/d/1hb_taSOHanzRjqfzWPiFo8yiT83VV1L7vvUCLhOiHKc/edit?usp=sharing"",""อุดรธานี!N557"")"),0)</f>
        <v>0</v>
      </c>
      <c r="S50" s="62">
        <f t="shared" ca="1" si="47"/>
        <v>0</v>
      </c>
      <c r="T50" s="57">
        <f ca="1">IFERROR(__xludf.DUMMYFUNCTION("IMPORTRANGE(""https://docs.google.com/spreadsheets/d/1hb_taSOHanzRjqfzWPiFo8yiT83VV1L7vvUCLhOiHKc/edit?usp=sharing"",""อุดรธานี!I560"")"),80104)</f>
        <v>80104</v>
      </c>
      <c r="U50" s="57">
        <f ca="1">IFERROR(__xludf.DUMMYFUNCTION("IMPORTRANGE(""https://docs.google.com/spreadsheets/d/1hb_taSOHanzRjqfzWPiFo8yiT83VV1L7vvUCLhOiHKc/edit?usp=sharing"",""อุดรธานี!I561"")"),6736)</f>
        <v>6736</v>
      </c>
      <c r="V50" s="63">
        <f ca="1">IFERROR(__xludf.DUMMYFUNCTION("IMPORTRANGE(""https://docs.google.com/spreadsheets/d/1hb_taSOHanzRjqfzWPiFo8yiT83VV1L7vvUCLhOiHKc/edit?usp=sharing"",""อุดรธานี!J560"")"),80104.92)</f>
        <v>80104.92</v>
      </c>
      <c r="W50" s="63">
        <f t="shared" ca="1" si="37"/>
        <v>100.00114850694098</v>
      </c>
      <c r="X50" s="57">
        <f ca="1">IFERROR(__xludf.DUMMYFUNCTION("IMPORTRANGE(""https://docs.google.com/spreadsheets/d/1hb_taSOHanzRjqfzWPiFo8yiT83VV1L7vvUCLhOiHKc/edit?usp=sharing"",""อุดรธานี!J561"")"),6736)</f>
        <v>6736</v>
      </c>
      <c r="Y50" s="63">
        <f t="shared" ca="1" si="7"/>
        <v>100</v>
      </c>
      <c r="Z50" s="63">
        <f ca="1">IFERROR(__xludf.DUMMYFUNCTION("IMPORTRANGE(""https://docs.google.com/spreadsheets/d/1hb_taSOHanzRjqfzWPiFo8yiT83VV1L7vvUCLhOiHKc/edit?usp=sharing"",""อุดรธานี!J562"")"),60622.07)</f>
        <v>60622.07</v>
      </c>
      <c r="AA50" s="140">
        <f ca="1">IFERROR(__xludf.DUMMYFUNCTION("IMPORTRANGE(""https://docs.google.com/spreadsheets/d/1hb_taSOHanzRjqfzWPiFo8yiT83VV1L7vvUCLhOiHKc/edit?usp=sharing"",""อุดรธานี!J563"")"),5276)</f>
        <v>5276</v>
      </c>
      <c r="AB50" s="63">
        <f ca="1">IFERROR(__xludf.DUMMYFUNCTION("IMPORTRANGE(""https://docs.google.com/spreadsheets/d/1hb_taSOHanzRjqfzWPiFo8yiT83VV1L7vvUCLhOiHKc/edit?usp=sharing"",""อุดรธานี!J564"")"),15846.72)</f>
        <v>15846.72</v>
      </c>
      <c r="AC50" s="140">
        <f ca="1">IFERROR(__xludf.DUMMYFUNCTION("IMPORTRANGE(""https://docs.google.com/spreadsheets/d/1hb_taSOHanzRjqfzWPiFo8yiT83VV1L7vvUCLhOiHKc/edit?usp=sharing"",""อุดรธานี!J565"")"),1176)</f>
        <v>1176</v>
      </c>
      <c r="AD50" s="63">
        <f ca="1">IFERROR(__xludf.DUMMYFUNCTION("IMPORTRANGE(""https://docs.google.com/spreadsheets/d/1hb_taSOHanzRjqfzWPiFo8yiT83VV1L7vvUCLhOiHKc/edit?usp=sharing"",""อุดรธานี!J566"")"),3636.13)</f>
        <v>3636.13</v>
      </c>
      <c r="AE50" s="140">
        <f ca="1">IFERROR(__xludf.DUMMYFUNCTION("IMPORTRANGE(""https://docs.google.com/spreadsheets/d/1hb_taSOHanzRjqfzWPiFo8yiT83VV1L7vvUCLhOiHKc/edit?usp=sharing"",""อุดรธานี!J567"")"),284)</f>
        <v>284</v>
      </c>
      <c r="AF50" s="57">
        <f ca="1">IFERROR(__xludf.DUMMYFUNCTION("IMPORTRANGE(""https://docs.google.com/spreadsheets/d/1hb_taSOHanzRjqfzWPiFo8yiT83VV1L7vvUCLhOiHKc/edit?usp=sharing"",""อุดรธานี!I568"")"),80104)</f>
        <v>80104</v>
      </c>
      <c r="AG50" s="57">
        <f ca="1">IFERROR(__xludf.DUMMYFUNCTION("IMPORTRANGE(""https://docs.google.com/spreadsheets/d/1hb_taSOHanzRjqfzWPiFo8yiT83VV1L7vvUCLhOiHKc/edit?usp=sharing"",""อุดรธานี!I569"")"),6736)</f>
        <v>6736</v>
      </c>
      <c r="AH50" s="63">
        <f ca="1">IFERROR(__xludf.DUMMYFUNCTION("IMPORTRANGE(""https://docs.google.com/spreadsheets/d/1hb_taSOHanzRjqfzWPiFo8yiT83VV1L7vvUCLhOiHKc/edit?usp=sharing"",""อุดรธานี!J568"")"),80104.92)</f>
        <v>80104.92</v>
      </c>
      <c r="AI50" s="63">
        <f t="shared" ca="1" si="38"/>
        <v>100.00114850694098</v>
      </c>
      <c r="AJ50" s="57">
        <f ca="1">IFERROR(__xludf.DUMMYFUNCTION("IMPORTRANGE(""https://docs.google.com/spreadsheets/d/1hb_taSOHanzRjqfzWPiFo8yiT83VV1L7vvUCLhOiHKc/edit?usp=sharing"",""อุดรธานี!J569"")"),6736)</f>
        <v>6736</v>
      </c>
      <c r="AK50" s="63">
        <f t="shared" ca="1" si="10"/>
        <v>100</v>
      </c>
      <c r="AL50" s="63">
        <f ca="1">IFERROR(__xludf.DUMMYFUNCTION("IMPORTRANGE(""https://docs.google.com/spreadsheets/d/1hb_taSOHanzRjqfzWPiFo8yiT83VV1L7vvUCLhOiHKc/edit?usp=sharing"",""อุดรธานี!J570"")"),60622.07)</f>
        <v>60622.07</v>
      </c>
      <c r="AM50" s="140">
        <f ca="1">IFERROR(__xludf.DUMMYFUNCTION("IMPORTRANGE(""https://docs.google.com/spreadsheets/d/1hb_taSOHanzRjqfzWPiFo8yiT83VV1L7vvUCLhOiHKc/edit?usp=sharing"",""อุดรธานี!J571"")"),5276)</f>
        <v>5276</v>
      </c>
      <c r="AN50" s="63">
        <f ca="1">IFERROR(__xludf.DUMMYFUNCTION("IMPORTRANGE(""https://docs.google.com/spreadsheets/d/1hb_taSOHanzRjqfzWPiFo8yiT83VV1L7vvUCLhOiHKc/edit?usp=sharing"",""อุดรธานี!J572"")"),15846.72)</f>
        <v>15846.72</v>
      </c>
      <c r="AO50" s="140">
        <f ca="1">IFERROR(__xludf.DUMMYFUNCTION("IMPORTRANGE(""https://docs.google.com/spreadsheets/d/1hb_taSOHanzRjqfzWPiFo8yiT83VV1L7vvUCLhOiHKc/edit?usp=sharing"",""อุดรธานี!J573"")"),1176)</f>
        <v>1176</v>
      </c>
      <c r="AP50" s="63">
        <f ca="1">IFERROR(__xludf.DUMMYFUNCTION("IMPORTRANGE(""https://docs.google.com/spreadsheets/d/1hb_taSOHanzRjqfzWPiFo8yiT83VV1L7vvUCLhOiHKc/edit?usp=sharing"",""อุดรธานี!J574"")"),3636.13)</f>
        <v>3636.13</v>
      </c>
      <c r="AQ50" s="140">
        <f ca="1">IFERROR(__xludf.DUMMYFUNCTION("IMPORTRANGE(""https://docs.google.com/spreadsheets/d/1hb_taSOHanzRjqfzWPiFo8yiT83VV1L7vvUCLhOiHKc/edit?usp=sharing"",""อุดรธานี!J575"")"),284)</f>
        <v>284</v>
      </c>
      <c r="AR50" s="57">
        <f ca="1">IFERROR(__xludf.DUMMYFUNCTION("IMPORTRANGE(""https://docs.google.com/spreadsheets/d/1hb_taSOHanzRjqfzWPiFo8yiT83VV1L7vvUCLhOiHKc/edit?usp=sharing"",""อุดรธานี!I576"")"),80104)</f>
        <v>80104</v>
      </c>
      <c r="AS50" s="57">
        <f ca="1">IFERROR(__xludf.DUMMYFUNCTION("IMPORTRANGE(""https://docs.google.com/spreadsheets/d/1hb_taSOHanzRjqfzWPiFo8yiT83VV1L7vvUCLhOiHKc/edit?usp=sharing"",""อุดรธานี!I577"")"),6736)</f>
        <v>6736</v>
      </c>
      <c r="AT50" s="63">
        <f ca="1">IFERROR(__xludf.DUMMYFUNCTION("IMPORTRANGE(""https://docs.google.com/spreadsheets/d/1hb_taSOHanzRjqfzWPiFo8yiT83VV1L7vvUCLhOiHKc/edit?usp=sharing"",""อุดรธานี!J576"")"),80105.78)</f>
        <v>80105.78</v>
      </c>
      <c r="AU50" s="63">
        <f t="shared" ca="1" si="39"/>
        <v>100.00222211125536</v>
      </c>
      <c r="AV50" s="57">
        <f ca="1">IFERROR(__xludf.DUMMYFUNCTION("IMPORTRANGE(""https://docs.google.com/spreadsheets/d/1hb_taSOHanzRjqfzWPiFo8yiT83VV1L7vvUCLhOiHKc/edit?usp=sharing"",""อุดรธานี!J577"")"),6736)</f>
        <v>6736</v>
      </c>
      <c r="AW50" s="63">
        <f t="shared" ca="1" si="13"/>
        <v>100</v>
      </c>
      <c r="AX50" s="63">
        <f ca="1">IFERROR(__xludf.DUMMYFUNCTION("IMPORTRANGE(""https://docs.google.com/spreadsheets/d/1hb_taSOHanzRjqfzWPiFo8yiT83VV1L7vvUCLhOiHKc/edit?usp=sharing"",""อุดรธานี!J578"")"),60622.07)</f>
        <v>60622.07</v>
      </c>
      <c r="AY50" s="140">
        <f ca="1">IFERROR(__xludf.DUMMYFUNCTION("IMPORTRANGE(""https://docs.google.com/spreadsheets/d/1hb_taSOHanzRjqfzWPiFo8yiT83VV1L7vvUCLhOiHKc/edit?usp=sharing"",""อุดรธานี!J579"")"),5276)</f>
        <v>5276</v>
      </c>
      <c r="AZ50" s="63">
        <f ca="1">IFERROR(__xludf.DUMMYFUNCTION("IMPORTRANGE(""https://docs.google.com/spreadsheets/d/1hb_taSOHanzRjqfzWPiFo8yiT83VV1L7vvUCLhOiHKc/edit?usp=sharing"",""อุดรธานี!J580"")"),15846.72)</f>
        <v>15846.72</v>
      </c>
      <c r="BA50" s="140">
        <f ca="1">IFERROR(__xludf.DUMMYFUNCTION("IMPORTRANGE(""https://docs.google.com/spreadsheets/d/1hb_taSOHanzRjqfzWPiFo8yiT83VV1L7vvUCLhOiHKc/edit?usp=sharing"",""อุดรธานี!J581"")"),1176)</f>
        <v>1176</v>
      </c>
      <c r="BB50" s="63">
        <f ca="1">IFERROR(__xludf.DUMMYFUNCTION("IMPORTRANGE(""https://docs.google.com/spreadsheets/d/1hb_taSOHanzRjqfzWPiFo8yiT83VV1L7vvUCLhOiHKc/edit?usp=sharing"",""อุดรธานี!J582"")"),3636.99)</f>
        <v>3636.99</v>
      </c>
      <c r="BC50" s="140">
        <f ca="1">IFERROR(__xludf.DUMMYFUNCTION("IMPORTRANGE(""https://docs.google.com/spreadsheets/d/1hb_taSOHanzRjqfzWPiFo8yiT83VV1L7vvUCLhOiHKc/edit?usp=sharing"",""อุดรธานี!J583"")"),284)</f>
        <v>284</v>
      </c>
      <c r="BD50" s="141">
        <f ca="1">IFERROR(__xludf.DUMMYFUNCTION("IMPORTRANGE(""https://docs.google.com/spreadsheets/d/1hb_taSOHanzRjqfzWPiFo8yiT83VV1L7vvUCLhOiHKc/edit?usp=sharing"",""อุดรธานี!J584"")"),3635.99)</f>
        <v>3635.99</v>
      </c>
      <c r="BE50" s="140">
        <f ca="1">IFERROR(__xludf.DUMMYFUNCTION("IMPORTRANGE(""https://docs.google.com/spreadsheets/d/1hb_taSOHanzRjqfzWPiFo8yiT83VV1L7vvUCLhOiHKc/edit?usp=sharing"",""อุดรธานี!J585"")"),283)</f>
        <v>283</v>
      </c>
      <c r="BF50" s="141">
        <f ca="1">IFERROR(__xludf.DUMMYFUNCTION("IMPORTRANGE(""https://docs.google.com/spreadsheets/d/1hb_taSOHanzRjqfzWPiFo8yiT83VV1L7vvUCLhOiHKc/edit?usp=sharing"",""อุดรธานี!J586"")"),1)</f>
        <v>1</v>
      </c>
      <c r="BG50" s="140">
        <f ca="1">IFERROR(__xludf.DUMMYFUNCTION("IMPORTRANGE(""https://docs.google.com/spreadsheets/d/1hb_taSOHanzRjqfzWPiFo8yiT83VV1L7vvUCLhOiHKc/edit?usp=sharing"",""อุดรธานี!J587"")"),1)</f>
        <v>1</v>
      </c>
      <c r="BH50" s="63">
        <f ca="1">IFERROR(__xludf.DUMMYFUNCTION("IMPORTRANGE(""https://docs.google.com/spreadsheets/d/1hb_taSOHanzRjqfzWPiFo8yiT83VV1L7vvUCLhOiHKc/edit?usp=sharing"",""อุดรธานี!J588"")"),0)</f>
        <v>0</v>
      </c>
      <c r="BI50" s="140">
        <f ca="1">IFERROR(__xludf.DUMMYFUNCTION("IMPORTRANGE(""https://docs.google.com/spreadsheets/d/1hb_taSOHanzRjqfzWPiFo8yiT83VV1L7vvUCLhOiHKc/edit?usp=sharing"",""อุดรธานี!J589"")"),0)</f>
        <v>0</v>
      </c>
      <c r="BJ50" s="63">
        <f ca="1">IFERROR(__xludf.DUMMYFUNCTION("IMPORTRANGE(""https://docs.google.com/spreadsheets/d/1hb_taSOHanzRjqfzWPiFo8yiT83VV1L7vvUCLhOiHKc/edit?usp=sharing"",""อุดรธานี!J590"")"),0)</f>
        <v>0</v>
      </c>
      <c r="BK50" s="140">
        <f ca="1">IFERROR(__xludf.DUMMYFUNCTION("IMPORTRANGE(""https://docs.google.com/spreadsheets/d/1hb_taSOHanzRjqfzWPiFo8yiT83VV1L7vvUCLhOiHKc/edit?usp=sharing"",""อุดรธานี!J591"")"),0)</f>
        <v>0</v>
      </c>
      <c r="BL50" s="57">
        <f ca="1">IFERROR(__xludf.DUMMYFUNCTION("IMPORTRANGE(""https://docs.google.com/spreadsheets/d/1hb_taSOHanzRjqfzWPiFo8yiT83VV1L7vvUCLhOiHKc/edit?usp=sharing"",""อุดรธานี!I593"")"),1116.18)</f>
        <v>1116.18</v>
      </c>
      <c r="BM50" s="57">
        <f ca="1">IFERROR(__xludf.DUMMYFUNCTION("IMPORTRANGE(""https://docs.google.com/spreadsheets/d/1hb_taSOHanzRjqfzWPiFo8yiT83VV1L7vvUCLhOiHKc/edit?usp=sharing"",""อุดรธานี!I594"")"),66)</f>
        <v>66</v>
      </c>
      <c r="BN50" s="63">
        <f ca="1">IFERROR(__xludf.DUMMYFUNCTION("IMPORTRANGE(""https://docs.google.com/spreadsheets/d/1hb_taSOHanzRjqfzWPiFo8yiT83VV1L7vvUCLhOiHKc/edit?usp=sharing"",""อุดรธานี!J593"")"),0)</f>
        <v>0</v>
      </c>
      <c r="BO50" s="63">
        <f t="shared" ca="1" si="40"/>
        <v>0</v>
      </c>
      <c r="BP50" s="57">
        <f ca="1">IFERROR(__xludf.DUMMYFUNCTION("IMPORTRANGE(""https://docs.google.com/spreadsheets/d/1hb_taSOHanzRjqfzWPiFo8yiT83VV1L7vvUCLhOiHKc/edit?usp=sharing"",""อุดรธานี!J594"")"),0)</f>
        <v>0</v>
      </c>
      <c r="BQ50" s="63">
        <f t="shared" ca="1" si="16"/>
        <v>0</v>
      </c>
      <c r="BR50" s="63">
        <f ca="1">IFERROR(__xludf.DUMMYFUNCTION("IMPORTRANGE(""https://docs.google.com/spreadsheets/d/1hb_taSOHanzRjqfzWPiFo8yiT83VV1L7vvUCLhOiHKc/edit?usp=sharing"",""อุดรธานี!J595"")"),0)</f>
        <v>0</v>
      </c>
      <c r="BS50" s="140">
        <f ca="1">IFERROR(__xludf.DUMMYFUNCTION("IMPORTRANGE(""https://docs.google.com/spreadsheets/d/1hb_taSOHanzRjqfzWPiFo8yiT83VV1L7vvUCLhOiHKc/edit?usp=sharing"",""อุดรธานี!J596"")"),0)</f>
        <v>0</v>
      </c>
      <c r="BT50" s="63">
        <f ca="1">IFERROR(__xludf.DUMMYFUNCTION("IMPORTRANGE(""https://docs.google.com/spreadsheets/d/1hb_taSOHanzRjqfzWPiFo8yiT83VV1L7vvUCLhOiHKc/edit?usp=sharing"",""อุดรธานี!J597"")"),0)</f>
        <v>0</v>
      </c>
      <c r="BU50" s="140">
        <f ca="1">IFERROR(__xludf.DUMMYFUNCTION("IMPORTRANGE(""https://docs.google.com/spreadsheets/d/1hb_taSOHanzRjqfzWPiFo8yiT83VV1L7vvUCLhOiHKc/edit?usp=sharing"",""อุดรธานี!J598"")"),0)</f>
        <v>0</v>
      </c>
      <c r="BV50" s="63">
        <f ca="1">IFERROR(__xludf.DUMMYFUNCTION("IMPORTRANGE(""https://docs.google.com/spreadsheets/d/1hb_taSOHanzRjqfzWPiFo8yiT83VV1L7vvUCLhOiHKc/edit?usp=sharing"",""อุดรธานี!J599"")"),0)</f>
        <v>0</v>
      </c>
      <c r="BW50" s="140">
        <f ca="1">IFERROR(__xludf.DUMMYFUNCTION("IMPORTRANGE(""https://docs.google.com/spreadsheets/d/1hb_taSOHanzRjqfzWPiFo8yiT83VV1L7vvUCLhOiHKc/edit?usp=sharing"",""อุดรธานี!J600"")"),0)</f>
        <v>0</v>
      </c>
      <c r="BX50" s="141">
        <f ca="1">IFERROR(__xludf.DUMMYFUNCTION("IMPORTRANGE(""https://docs.google.com/spreadsheets/d/1hb_taSOHanzRjqfzWPiFo8yiT83VV1L7vvUCLhOiHKc/edit?usp=sharing"",""อุดรธานี!J601"")"),0)</f>
        <v>0</v>
      </c>
      <c r="BY50" s="140">
        <f ca="1">IFERROR(__xludf.DUMMYFUNCTION("IMPORTRANGE(""https://docs.google.com/spreadsheets/d/1hb_taSOHanzRjqfzWPiFo8yiT83VV1L7vvUCLhOiHKc/edit?usp=sharing"",""อุดรธานี!J602"")"),0)</f>
        <v>0</v>
      </c>
      <c r="BZ50" s="63">
        <f ca="1">IFERROR(__xludf.DUMMYFUNCTION("IMPORTRANGE(""https://docs.google.com/spreadsheets/d/1hb_taSOHanzRjqfzWPiFo8yiT83VV1L7vvUCLhOiHKc/edit?usp=sharing"",""อุดรธานี!J603"")"),0)</f>
        <v>0</v>
      </c>
      <c r="CA50" s="140">
        <f ca="1">IFERROR(__xludf.DUMMYFUNCTION("IMPORTRANGE(""https://docs.google.com/spreadsheets/d/1hb_taSOHanzRjqfzWPiFo8yiT83VV1L7vvUCLhOiHKc/edit?usp=sharing"",""อุดรธานี!J604"")"),0)</f>
        <v>0</v>
      </c>
      <c r="CB50" s="63">
        <f ca="1">IFERROR(__xludf.DUMMYFUNCTION("IMPORTRANGE(""https://docs.google.com/spreadsheets/d/1hb_taSOHanzRjqfzWPiFo8yiT83VV1L7vvUCLhOiHKc/edit?usp=sharing"",""อุดรธานี!J605"")"),0)</f>
        <v>0</v>
      </c>
      <c r="CC50" s="140">
        <f ca="1">IFERROR(__xludf.DUMMYFUNCTION("IMPORTRANGE(""https://docs.google.com/spreadsheets/d/1hb_taSOHanzRjqfzWPiFo8yiT83VV1L7vvUCLhOiHKc/edit?usp=sharing"",""อุดรธานี!J606"")"),0)</f>
        <v>0</v>
      </c>
      <c r="CD50" s="63">
        <f ca="1">IFERROR(__xludf.DUMMYFUNCTION("IMPORTRANGE(""https://docs.google.com/spreadsheets/d/1hb_taSOHanzRjqfzWPiFo8yiT83VV1L7vvUCLhOiHKc/edit?usp=sharing"",""อุดรธานี!J607"")"),0)</f>
        <v>0</v>
      </c>
      <c r="CE50" s="140">
        <f ca="1">IFERROR(__xludf.DUMMYFUNCTION("IMPORTRANGE(""https://docs.google.com/spreadsheets/d/1hb_taSOHanzRjqfzWPiFo8yiT83VV1L7vvUCLhOiHKc/edit?usp=sharing"",""อุดรธานี!J608"")"),0)</f>
        <v>0</v>
      </c>
      <c r="CF50" s="63">
        <f ca="1">IFERROR(__xludf.DUMMYFUNCTION("IMPORTRANGE(""https://docs.google.com/spreadsheets/d/1hb_taSOHanzRjqfzWPiFo8yiT83VV1L7vvUCLhOiHKc/edit?usp=sharing"",""อุดรธานี!J609"")"),0)</f>
        <v>0</v>
      </c>
      <c r="CG50" s="140">
        <f ca="1">IFERROR(__xludf.DUMMYFUNCTION("IMPORTRANGE(""https://docs.google.com/spreadsheets/d/1hb_taSOHanzRjqfzWPiFo8yiT83VV1L7vvUCLhOiHKc/edit?usp=sharing"",""อุดรธานี!J610"")"),0)</f>
        <v>0</v>
      </c>
      <c r="CH50" s="140">
        <f ca="1">IFERROR(__xludf.DUMMYFUNCTION("IMPORTRANGE(""https://docs.google.com/spreadsheets/d/1hb_taSOHanzRjqfzWPiFo8yiT83VV1L7vvUCLhOiHKc/edit?usp=sharing"",""อุดรธานี!I612"")"),0)</f>
        <v>0</v>
      </c>
      <c r="CI50" s="140">
        <f ca="1">IFERROR(__xludf.DUMMYFUNCTION("IMPORTRANGE(""https://docs.google.com/spreadsheets/d/1hb_taSOHanzRjqfzWPiFo8yiT83VV1L7vvUCLhOiHKc/edit?usp=sharing"",""อุดรธานี!I594"")"),66)</f>
        <v>66</v>
      </c>
      <c r="CJ50" s="141">
        <f ca="1">IFERROR(__xludf.DUMMYFUNCTION("IMPORTRANGE(""https://docs.google.com/spreadsheets/d/1hb_taSOHanzRjqfzWPiFo8yiT83VV1L7vvUCLhOiHKc/edit?usp=sharing"",""อุดรธานี!J612"")"),0)</f>
        <v>0</v>
      </c>
      <c r="CK50" s="141">
        <f t="shared" ca="1" si="41"/>
        <v>0</v>
      </c>
      <c r="CL50" s="140">
        <f ca="1">IFERROR(__xludf.DUMMYFUNCTION("IMPORTRANGE(""https://docs.google.com/spreadsheets/d/1hb_taSOHanzRjqfzWPiFo8yiT83VV1L7vvUCLhOiHKc/edit?usp=sharing"",""อุดรธานี!J613"")"),0)</f>
        <v>0</v>
      </c>
      <c r="CM50" s="141">
        <f t="shared" ca="1" si="19"/>
        <v>0</v>
      </c>
      <c r="CN50" s="63">
        <f ca="1">IFERROR(__xludf.DUMMYFUNCTION("IMPORTRANGE(""https://docs.google.com/spreadsheets/d/1hb_taSOHanzRjqfzWPiFo8yiT83VV1L7vvUCLhOiHKc/edit?usp=sharing"",""อุดรธานี!J614"")"),0)</f>
        <v>0</v>
      </c>
      <c r="CO50" s="140">
        <f ca="1">IFERROR(__xludf.DUMMYFUNCTION("IMPORTRANGE(""https://docs.google.com/spreadsheets/d/1hb_taSOHanzRjqfzWPiFo8yiT83VV1L7vvUCLhOiHKc/edit?usp=sharing"",""อุดรธานี!J615"")"),0)</f>
        <v>0</v>
      </c>
      <c r="CP50" s="63">
        <f ca="1">IFERROR(__xludf.DUMMYFUNCTION("IMPORTRANGE(""https://docs.google.com/spreadsheets/d/1hb_taSOHanzRjqfzWPiFo8yiT83VV1L7vvUCLhOiHKc/edit?usp=sharing"",""อุดรธานี!J616"")"),0)</f>
        <v>0</v>
      </c>
      <c r="CQ50" s="140">
        <f ca="1">IFERROR(__xludf.DUMMYFUNCTION("IMPORTRANGE(""https://docs.google.com/spreadsheets/d/1hb_taSOHanzRjqfzWPiFo8yiT83VV1L7vvUCLhOiHKc/edit?usp=sharing"",""อุดรธานี!J617"")"),0)</f>
        <v>0</v>
      </c>
      <c r="CR50" s="140">
        <f ca="1">IFERROR(__xludf.DUMMYFUNCTION("IMPORTRANGE(""https://docs.google.com/spreadsheets/d/1hb_taSOHanzRjqfzWPiFo8yiT83VV1L7vvUCLhOiHKc/edit?usp=sharing"",""อุดรธานี!I620"")"),22)</f>
        <v>22</v>
      </c>
      <c r="CS50" s="140">
        <f ca="1">IFERROR(__xludf.DUMMYFUNCTION("IMPORTRANGE(""https://docs.google.com/spreadsheets/d/1hb_taSOHanzRjqfzWPiFo8yiT83VV1L7vvUCLhOiHKc/edit?usp=sharing"",""อุดรธานี!I621"")"),1)</f>
        <v>1</v>
      </c>
      <c r="CT50" s="141">
        <f ca="1">IFERROR(__xludf.DUMMYFUNCTION("IMPORTRANGE(""https://docs.google.com/spreadsheets/d/1hb_taSOHanzRjqfzWPiFo8yiT83VV1L7vvUCLhOiHKc/edit?usp=sharing"",""อุดรธานี!J620"")"),22)</f>
        <v>22</v>
      </c>
      <c r="CU50" s="141">
        <f t="shared" ca="1" si="42"/>
        <v>100</v>
      </c>
      <c r="CV50" s="140">
        <f ca="1">IFERROR(__xludf.DUMMYFUNCTION("IMPORTRANGE(""https://docs.google.com/spreadsheets/d/1hb_taSOHanzRjqfzWPiFo8yiT83VV1L7vvUCLhOiHKc/edit?usp=sharing"",""อุดรธานี!J621"")"),1)</f>
        <v>1</v>
      </c>
      <c r="CW50" s="141">
        <f t="shared" ca="1" si="22"/>
        <v>100</v>
      </c>
      <c r="CX50" s="63">
        <f ca="1">IFERROR(__xludf.DUMMYFUNCTION("IMPORTRANGE(""https://docs.google.com/spreadsheets/d/1hb_taSOHanzRjqfzWPiFo8yiT83VV1L7vvUCLhOiHKc/edit?usp=sharing"",""อุดรธานี!J622"")"),0)</f>
        <v>0</v>
      </c>
      <c r="CY50" s="140">
        <f ca="1">IFERROR(__xludf.DUMMYFUNCTION("IMPORTRANGE(""https://docs.google.com/spreadsheets/d/1hb_taSOHanzRjqfzWPiFo8yiT83VV1L7vvUCLhOiHKc/edit?usp=sharing"",""อุดรธานี!J623"")"),0)</f>
        <v>0</v>
      </c>
      <c r="CZ50" s="63">
        <f ca="1">IFERROR(__xludf.DUMMYFUNCTION("IMPORTRANGE(""https://docs.google.com/spreadsheets/d/1hb_taSOHanzRjqfzWPiFo8yiT83VV1L7vvUCLhOiHKc/edit?usp=sharing"",""อุดรธานี!J624"")"),22)</f>
        <v>22</v>
      </c>
      <c r="DA50" s="140">
        <f ca="1">IFERROR(__xludf.DUMMYFUNCTION("IMPORTRANGE(""https://docs.google.com/spreadsheets/d/1hb_taSOHanzRjqfzWPiFo8yiT83VV1L7vvUCLhOiHKc/edit?usp=sharing"",""อุดรธานี!J625"")"),1)</f>
        <v>1</v>
      </c>
      <c r="DB50" s="63">
        <f ca="1">IFERROR(__xludf.DUMMYFUNCTION("IMPORTRANGE(""https://docs.google.com/spreadsheets/d/1hb_taSOHanzRjqfzWPiFo8yiT83VV1L7vvUCLhOiHKc/edit?usp=sharing"",""อุดรธานี!J626"")"),0)</f>
        <v>0</v>
      </c>
      <c r="DC50" s="140">
        <f ca="1">IFERROR(__xludf.DUMMYFUNCTION("IMPORTRANGE(""https://docs.google.com/spreadsheets/d/1hb_taSOHanzRjqfzWPiFo8yiT83VV1L7vvUCLhOiHKc/edit?usp=sharing"",""อุดรธานี!J627"")"),0)</f>
        <v>0</v>
      </c>
    </row>
    <row r="51" spans="1:107" ht="21" customHeight="1" x14ac:dyDescent="0.3">
      <c r="A51" s="65">
        <v>20</v>
      </c>
      <c r="B51" s="66" t="s">
        <v>72</v>
      </c>
      <c r="C51" s="67">
        <f t="shared" ca="1" si="66"/>
        <v>517164</v>
      </c>
      <c r="D51" s="68">
        <f ca="1">IFERROR(__xludf.DUMMYFUNCTION("IMPORTRANGE(""https://docs.google.com/spreadsheets/d/17IOkEwkUd63EGNfyNDnM5de9YlZ7rwzTiW6-dokVjKI/edit?usp=sharing"",""อุบลราชธานี!L549"")"),517164)</f>
        <v>517164</v>
      </c>
      <c r="E51" s="69">
        <f ca="1">IFERROR(__xludf.DUMMYFUNCTION("IMPORTRANGE(""https://docs.google.com/spreadsheets/d/17IOkEwkUd63EGNfyNDnM5de9YlZ7rwzTiW6-dokVjKI/edit?usp=sharing"",""อุบลราชธานี!L557"")"),0)</f>
        <v>0</v>
      </c>
      <c r="F51" s="69">
        <f ca="1">IFERROR(__xludf.DUMMYFUNCTION("IMPORTRANGE(""https://docs.google.com/spreadsheets/d/17IOkEwkUd63EGNfyNDnM5de9YlZ7rwzTiW6-dokVjKI/edit?usp=sharing"",""อุบลราชธานี!M549"")"),517164)</f>
        <v>517164</v>
      </c>
      <c r="G51" s="69">
        <f ca="1">IFERROR(__xludf.DUMMYFUNCTION("IMPORTRANGE(""https://docs.google.com/spreadsheets/d/17IOkEwkUd63EGNfyNDnM5de9YlZ7rwzTiW6-dokVjKI/edit?usp=sharing"",""อุบลราชธานี!M557"")"),0)</f>
        <v>0</v>
      </c>
      <c r="H51" s="70">
        <f t="shared" ca="1" si="36"/>
        <v>336170.25</v>
      </c>
      <c r="I51" s="71">
        <f t="shared" ca="1" si="1"/>
        <v>65.002639394853475</v>
      </c>
      <c r="J51" s="72">
        <f t="shared" ca="1" si="67"/>
        <v>336170.25</v>
      </c>
      <c r="K51" s="73">
        <f t="shared" ca="1" si="44"/>
        <v>65.002639394853475</v>
      </c>
      <c r="L51" s="73">
        <f t="shared" ca="1" si="45"/>
        <v>65.002639394853475</v>
      </c>
      <c r="M51" s="69">
        <f ca="1">IFERROR(__xludf.DUMMYFUNCTION("IMPORTRANGE(""https://docs.google.com/spreadsheets/d/17IOkEwkUd63EGNfyNDnM5de9YlZ7rwzTiW6-dokVjKI/edit?usp=sharing"",""อุบลราชธานี!N550"")"),0)</f>
        <v>0</v>
      </c>
      <c r="N51" s="69">
        <f ca="1">IFERROR(__xludf.DUMMYFUNCTION("IMPORTRANGE(""https://docs.google.com/spreadsheets/d/17IOkEwkUd63EGNfyNDnM5de9YlZ7rwzTiW6-dokVjKI/edit?usp=sharing"",""อุบลราชธานี!N551"")"),0)</f>
        <v>0</v>
      </c>
      <c r="O51" s="69">
        <f ca="1">IFERROR(__xludf.DUMMYFUNCTION("IMPORTRANGE(""https://docs.google.com/spreadsheets/d/17IOkEwkUd63EGNfyNDnM5de9YlZ7rwzTiW6-dokVjKI/edit?usp=sharing"",""อุบลราชธานี!N552"")"),77133)</f>
        <v>77133</v>
      </c>
      <c r="P51" s="69">
        <f ca="1">IFERROR(__xludf.DUMMYFUNCTION("IMPORTRANGE(""https://docs.google.com/spreadsheets/d/17IOkEwkUd63EGNfyNDnM5de9YlZ7rwzTiW6-dokVjKI/edit?usp=sharing"",""อุบลราชธานี!N553"")"),259037.25)</f>
        <v>259037.25</v>
      </c>
      <c r="Q51" s="69">
        <f ca="1">IFERROR(__xludf.DUMMYFUNCTION("IMPORTRANGE(""https://docs.google.com/spreadsheets/d/17IOkEwkUd63EGNfyNDnM5de9YlZ7rwzTiW6-dokVjKI/edit?usp=sharing"",""อุบลราชธานี!N554"")"),0)</f>
        <v>0</v>
      </c>
      <c r="R51" s="74">
        <f ca="1">IFERROR(__xludf.DUMMYFUNCTION("IMPORTRANGE(""https://docs.google.com/spreadsheets/d/17IOkEwkUd63EGNfyNDnM5de9YlZ7rwzTiW6-dokVjKI/edit?usp=sharing"",""อุบลราชธานี!N557"")"),0)</f>
        <v>0</v>
      </c>
      <c r="S51" s="74">
        <f t="shared" ca="1" si="47"/>
        <v>0</v>
      </c>
      <c r="T51" s="68">
        <f ca="1">IFERROR(__xludf.DUMMYFUNCTION("IMPORTRANGE(""https://docs.google.com/spreadsheets/d/17IOkEwkUd63EGNfyNDnM5de9YlZ7rwzTiW6-dokVjKI/edit?usp=sharing"",""อุบลราชธานี!I560"")"),88522)</f>
        <v>88522</v>
      </c>
      <c r="U51" s="68">
        <f ca="1">IFERROR(__xludf.DUMMYFUNCTION("IMPORTRANGE(""https://docs.google.com/spreadsheets/d/17IOkEwkUd63EGNfyNDnM5de9YlZ7rwzTiW6-dokVjKI/edit?usp=sharing"",""อุบลราชธานี!I561"")"),8669)</f>
        <v>8669</v>
      </c>
      <c r="V51" s="75">
        <f ca="1">IFERROR(__xludf.DUMMYFUNCTION("IMPORTRANGE(""https://docs.google.com/spreadsheets/d/17IOkEwkUd63EGNfyNDnM5de9YlZ7rwzTiW6-dokVjKI/edit?usp=sharing"",""อุบลราชธานี!J560"")"),88522.4925)</f>
        <v>88522.492499999993</v>
      </c>
      <c r="W51" s="75">
        <f t="shared" ca="1" si="37"/>
        <v>100.00055635887124</v>
      </c>
      <c r="X51" s="68">
        <f ca="1">IFERROR(__xludf.DUMMYFUNCTION("IMPORTRANGE(""https://docs.google.com/spreadsheets/d/17IOkEwkUd63EGNfyNDnM5de9YlZ7rwzTiW6-dokVjKI/edit?usp=sharing"",""อุบลราชธานี!J561"")"),8669)</f>
        <v>8669</v>
      </c>
      <c r="Y51" s="75">
        <f t="shared" ca="1" si="7"/>
        <v>100</v>
      </c>
      <c r="Z51" s="75">
        <f ca="1">IFERROR(__xludf.DUMMYFUNCTION("IMPORTRANGE(""https://docs.google.com/spreadsheets/d/17IOkEwkUd63EGNfyNDnM5de9YlZ7rwzTiW6-dokVjKI/edit?usp=sharing"",""อุบลราชธานี!J562"")"),63806)</f>
        <v>63806</v>
      </c>
      <c r="AA51" s="142">
        <f ca="1">IFERROR(__xludf.DUMMYFUNCTION("IMPORTRANGE(""https://docs.google.com/spreadsheets/d/17IOkEwkUd63EGNfyNDnM5de9YlZ7rwzTiW6-dokVjKI/edit?usp=sharing"",""อุบลราชธานี!J563"")"),6638)</f>
        <v>6638</v>
      </c>
      <c r="AB51" s="75">
        <f ca="1">IFERROR(__xludf.DUMMYFUNCTION("IMPORTRANGE(""https://docs.google.com/spreadsheets/d/17IOkEwkUd63EGNfyNDnM5de9YlZ7rwzTiW6-dokVjKI/edit?usp=sharing"",""อุบลราชธานี!J564"")"),20079.0975)</f>
        <v>20079.0975</v>
      </c>
      <c r="AC51" s="142">
        <f ca="1">IFERROR(__xludf.DUMMYFUNCTION("IMPORTRANGE(""https://docs.google.com/spreadsheets/d/17IOkEwkUd63EGNfyNDnM5de9YlZ7rwzTiW6-dokVjKI/edit?usp=sharing"",""อุบลราชธานี!J565"")"),1654)</f>
        <v>1654</v>
      </c>
      <c r="AD51" s="75">
        <f ca="1">IFERROR(__xludf.DUMMYFUNCTION("IMPORTRANGE(""https://docs.google.com/spreadsheets/d/17IOkEwkUd63EGNfyNDnM5de9YlZ7rwzTiW6-dokVjKI/edit?usp=sharing"",""อุบลราชธานี!J566"")"),4637.395)</f>
        <v>4637.3950000000004</v>
      </c>
      <c r="AE51" s="142">
        <f ca="1">IFERROR(__xludf.DUMMYFUNCTION("IMPORTRANGE(""https://docs.google.com/spreadsheets/d/17IOkEwkUd63EGNfyNDnM5de9YlZ7rwzTiW6-dokVjKI/edit?usp=sharing"",""อุบลราชธานี!J567"")"),377)</f>
        <v>377</v>
      </c>
      <c r="AF51" s="68">
        <f ca="1">IFERROR(__xludf.DUMMYFUNCTION("IMPORTRANGE(""https://docs.google.com/spreadsheets/d/17IOkEwkUd63EGNfyNDnM5de9YlZ7rwzTiW6-dokVjKI/edit?usp=sharing"",""อุบลราชธานี!I568"")"),88522)</f>
        <v>88522</v>
      </c>
      <c r="AG51" s="68">
        <f ca="1">IFERROR(__xludf.DUMMYFUNCTION("IMPORTRANGE(""https://docs.google.com/spreadsheets/d/17IOkEwkUd63EGNfyNDnM5de9YlZ7rwzTiW6-dokVjKI/edit?usp=sharing"",""อุบลราชธานี!I569"")"),8669)</f>
        <v>8669</v>
      </c>
      <c r="AH51" s="75">
        <f ca="1">IFERROR(__xludf.DUMMYFUNCTION("IMPORTRANGE(""https://docs.google.com/spreadsheets/d/17IOkEwkUd63EGNfyNDnM5de9YlZ7rwzTiW6-dokVjKI/edit?usp=sharing"",""อุบลราชธานี!J568"")"),88522)</f>
        <v>88522</v>
      </c>
      <c r="AI51" s="75">
        <f t="shared" ca="1" si="38"/>
        <v>100</v>
      </c>
      <c r="AJ51" s="68">
        <f ca="1">IFERROR(__xludf.DUMMYFUNCTION("IMPORTRANGE(""https://docs.google.com/spreadsheets/d/17IOkEwkUd63EGNfyNDnM5de9YlZ7rwzTiW6-dokVjKI/edit?usp=sharing"",""อุบลราชธานี!J569"")"),8669)</f>
        <v>8669</v>
      </c>
      <c r="AK51" s="75">
        <f t="shared" ca="1" si="10"/>
        <v>100</v>
      </c>
      <c r="AL51" s="75">
        <f ca="1">IFERROR(__xludf.DUMMYFUNCTION("IMPORTRANGE(""https://docs.google.com/spreadsheets/d/17IOkEwkUd63EGNfyNDnM5de9YlZ7rwzTiW6-dokVjKI/edit?usp=sharing"",""อุบลราชธานี!J570"")"),68458)</f>
        <v>68458</v>
      </c>
      <c r="AM51" s="142">
        <f ca="1">IFERROR(__xludf.DUMMYFUNCTION("IMPORTRANGE(""https://docs.google.com/spreadsheets/d/17IOkEwkUd63EGNfyNDnM5de9YlZ7rwzTiW6-dokVjKI/edit?usp=sharing"",""อุบลราชธานี!J571"")"),7114)</f>
        <v>7114</v>
      </c>
      <c r="AN51" s="75">
        <f ca="1">IFERROR(__xludf.DUMMYFUNCTION("IMPORTRANGE(""https://docs.google.com/spreadsheets/d/17IOkEwkUd63EGNfyNDnM5de9YlZ7rwzTiW6-dokVjKI/edit?usp=sharing"",""อุบลราชธานี!J572"")"),15430)</f>
        <v>15430</v>
      </c>
      <c r="AO51" s="142">
        <f ca="1">IFERROR(__xludf.DUMMYFUNCTION("IMPORTRANGE(""https://docs.google.com/spreadsheets/d/17IOkEwkUd63EGNfyNDnM5de9YlZ7rwzTiW6-dokVjKI/edit?usp=sharing"",""อุบลราชธานี!J573"")"),1142)</f>
        <v>1142</v>
      </c>
      <c r="AP51" s="75">
        <f ca="1">IFERROR(__xludf.DUMMYFUNCTION("IMPORTRANGE(""https://docs.google.com/spreadsheets/d/17IOkEwkUd63EGNfyNDnM5de9YlZ7rwzTiW6-dokVjKI/edit?usp=sharing"",""อุบลราชธานี!J574"")"),4634)</f>
        <v>4634</v>
      </c>
      <c r="AQ51" s="142">
        <f ca="1">IFERROR(__xludf.DUMMYFUNCTION("IMPORTRANGE(""https://docs.google.com/spreadsheets/d/17IOkEwkUd63EGNfyNDnM5de9YlZ7rwzTiW6-dokVjKI/edit?usp=sharing"",""อุบลราชธานี!J575"")"),413)</f>
        <v>413</v>
      </c>
      <c r="AR51" s="68">
        <f ca="1">IFERROR(__xludf.DUMMYFUNCTION("IMPORTRANGE(""https://docs.google.com/spreadsheets/d/17IOkEwkUd63EGNfyNDnM5de9YlZ7rwzTiW6-dokVjKI/edit?usp=sharing"",""อุบลราชธานี!I576"")"),88522)</f>
        <v>88522</v>
      </c>
      <c r="AS51" s="68">
        <f ca="1">IFERROR(__xludf.DUMMYFUNCTION("IMPORTRANGE(""https://docs.google.com/spreadsheets/d/17IOkEwkUd63EGNfyNDnM5de9YlZ7rwzTiW6-dokVjKI/edit?usp=sharing"",""อุบลราชธานี!I577"")"),8669)</f>
        <v>8669</v>
      </c>
      <c r="AT51" s="75">
        <f ca="1">IFERROR(__xludf.DUMMYFUNCTION("IMPORTRANGE(""https://docs.google.com/spreadsheets/d/17IOkEwkUd63EGNfyNDnM5de9YlZ7rwzTiW6-dokVjKI/edit?usp=sharing"",""อุบลราชธานี!J576"")"),88521.9325)</f>
        <v>88521.932499999995</v>
      </c>
      <c r="AU51" s="75">
        <f t="shared" ca="1" si="39"/>
        <v>99.999923747768918</v>
      </c>
      <c r="AV51" s="68">
        <f ca="1">IFERROR(__xludf.DUMMYFUNCTION("IMPORTRANGE(""https://docs.google.com/spreadsheets/d/17IOkEwkUd63EGNfyNDnM5de9YlZ7rwzTiW6-dokVjKI/edit?usp=sharing"",""อุบลราชธานี!J577"")"),8669)</f>
        <v>8669</v>
      </c>
      <c r="AW51" s="75">
        <f t="shared" ca="1" si="13"/>
        <v>100</v>
      </c>
      <c r="AX51" s="75">
        <f ca="1">IFERROR(__xludf.DUMMYFUNCTION("IMPORTRANGE(""https://docs.google.com/spreadsheets/d/17IOkEwkUd63EGNfyNDnM5de9YlZ7rwzTiW6-dokVjKI/edit?usp=sharing"",""อุบลราชธานี!J578"")"),68515.5375)</f>
        <v>68515.537500000006</v>
      </c>
      <c r="AY51" s="142">
        <f ca="1">IFERROR(__xludf.DUMMYFUNCTION("IMPORTRANGE(""https://docs.google.com/spreadsheets/d/17IOkEwkUd63EGNfyNDnM5de9YlZ7rwzTiW6-dokVjKI/edit?usp=sharing"",""อุบลราชธานี!J579"")"),7120)</f>
        <v>7120</v>
      </c>
      <c r="AZ51" s="75">
        <f ca="1">IFERROR(__xludf.DUMMYFUNCTION("IMPORTRANGE(""https://docs.google.com/spreadsheets/d/17IOkEwkUd63EGNfyNDnM5de9YlZ7rwzTiW6-dokVjKI/edit?usp=sharing"",""อุบลราชธานี!J580"")"),14993)</f>
        <v>14993</v>
      </c>
      <c r="BA51" s="142">
        <f ca="1">IFERROR(__xludf.DUMMYFUNCTION("IMPORTRANGE(""https://docs.google.com/spreadsheets/d/17IOkEwkUd63EGNfyNDnM5de9YlZ7rwzTiW6-dokVjKI/edit?usp=sharing"",""อุบลราชธานี!J581"")"),1172)</f>
        <v>1172</v>
      </c>
      <c r="BB51" s="75">
        <f ca="1">IFERROR(__xludf.DUMMYFUNCTION("IMPORTRANGE(""https://docs.google.com/spreadsheets/d/17IOkEwkUd63EGNfyNDnM5de9YlZ7rwzTiW6-dokVjKI/edit?usp=sharing"",""อุบลราชธานี!J582"")"),5013.395)</f>
        <v>5013.3950000000004</v>
      </c>
      <c r="BC51" s="142">
        <f ca="1">IFERROR(__xludf.DUMMYFUNCTION("IMPORTRANGE(""https://docs.google.com/spreadsheets/d/17IOkEwkUd63EGNfyNDnM5de9YlZ7rwzTiW6-dokVjKI/edit?usp=sharing"",""อุบลราชธานี!J583"")"),377)</f>
        <v>377</v>
      </c>
      <c r="BD51" s="143">
        <f ca="1">IFERROR(__xludf.DUMMYFUNCTION("IMPORTRANGE(""https://docs.google.com/spreadsheets/d/17IOkEwkUd63EGNfyNDnM5de9YlZ7rwzTiW6-dokVjKI/edit?usp=sharing"",""อุบลราชธานี!J584"")"),5003.395)</f>
        <v>5003.3950000000004</v>
      </c>
      <c r="BE51" s="142">
        <f ca="1">IFERROR(__xludf.DUMMYFUNCTION("IMPORTRANGE(""https://docs.google.com/spreadsheets/d/17IOkEwkUd63EGNfyNDnM5de9YlZ7rwzTiW6-dokVjKI/edit?usp=sharing"",""อุบลราชธานี!J585"")"),376)</f>
        <v>376</v>
      </c>
      <c r="BF51" s="143">
        <f ca="1">IFERROR(__xludf.DUMMYFUNCTION("IMPORTRANGE(""https://docs.google.com/spreadsheets/d/17IOkEwkUd63EGNfyNDnM5de9YlZ7rwzTiW6-dokVjKI/edit?usp=sharing"",""อุบลราชธานี!J586"")"),10)</f>
        <v>10</v>
      </c>
      <c r="BG51" s="142">
        <f ca="1">IFERROR(__xludf.DUMMYFUNCTION("IMPORTRANGE(""https://docs.google.com/spreadsheets/d/17IOkEwkUd63EGNfyNDnM5de9YlZ7rwzTiW6-dokVjKI/edit?usp=sharing"",""อุบลราชธานี!J587"")"),1)</f>
        <v>1</v>
      </c>
      <c r="BH51" s="75">
        <f ca="1">IFERROR(__xludf.DUMMYFUNCTION("IMPORTRANGE(""https://docs.google.com/spreadsheets/d/17IOkEwkUd63EGNfyNDnM5de9YlZ7rwzTiW6-dokVjKI/edit?usp=sharing"",""อุบลราชธานี!J588"")"),0)</f>
        <v>0</v>
      </c>
      <c r="BI51" s="142">
        <f ca="1">IFERROR(__xludf.DUMMYFUNCTION("IMPORTRANGE(""https://docs.google.com/spreadsheets/d/17IOkEwkUd63EGNfyNDnM5de9YlZ7rwzTiW6-dokVjKI/edit?usp=sharing"",""อุบลราชธานี!J589"")"),0)</f>
        <v>0</v>
      </c>
      <c r="BJ51" s="75">
        <f ca="1">IFERROR(__xludf.DUMMYFUNCTION("IMPORTRANGE(""https://docs.google.com/spreadsheets/d/17IOkEwkUd63EGNfyNDnM5de9YlZ7rwzTiW6-dokVjKI/edit?usp=sharing"",""อุบลราชธานี!J590"")"),0)</f>
        <v>0</v>
      </c>
      <c r="BK51" s="142">
        <f ca="1">IFERROR(__xludf.DUMMYFUNCTION("IMPORTRANGE(""https://docs.google.com/spreadsheets/d/17IOkEwkUd63EGNfyNDnM5de9YlZ7rwzTiW6-dokVjKI/edit?usp=sharing"",""อุบลราชธานี!J591"")"),0)</f>
        <v>0</v>
      </c>
      <c r="BL51" s="68">
        <f ca="1">IFERROR(__xludf.DUMMYFUNCTION("IMPORTRANGE(""https://docs.google.com/spreadsheets/d/17IOkEwkUd63EGNfyNDnM5de9YlZ7rwzTiW6-dokVjKI/edit?usp=sharing"",""อุบลราชธานี!I593"")"),1760.88)</f>
        <v>1760.88</v>
      </c>
      <c r="BM51" s="68">
        <f ca="1">IFERROR(__xludf.DUMMYFUNCTION("IMPORTRANGE(""https://docs.google.com/spreadsheets/d/17IOkEwkUd63EGNfyNDnM5de9YlZ7rwzTiW6-dokVjKI/edit?usp=sharing"",""อุบลราชธานี!I594"")"),128)</f>
        <v>128</v>
      </c>
      <c r="BN51" s="75">
        <f ca="1">IFERROR(__xludf.DUMMYFUNCTION("IMPORTRANGE(""https://docs.google.com/spreadsheets/d/17IOkEwkUd63EGNfyNDnM5de9YlZ7rwzTiW6-dokVjKI/edit?usp=sharing"",""อุบลราชธานี!J593"")"),1.58)</f>
        <v>1.58</v>
      </c>
      <c r="BO51" s="75">
        <f t="shared" ca="1" si="40"/>
        <v>8.9727863341056743E-2</v>
      </c>
      <c r="BP51" s="68">
        <f ca="1">IFERROR(__xludf.DUMMYFUNCTION("IMPORTRANGE(""https://docs.google.com/spreadsheets/d/17IOkEwkUd63EGNfyNDnM5de9YlZ7rwzTiW6-dokVjKI/edit?usp=sharing"",""อุบลราชธานี!J594"")"),5)</f>
        <v>5</v>
      </c>
      <c r="BQ51" s="75">
        <f t="shared" ca="1" si="16"/>
        <v>3.90625</v>
      </c>
      <c r="BR51" s="75">
        <f ca="1">IFERROR(__xludf.DUMMYFUNCTION("IMPORTRANGE(""https://docs.google.com/spreadsheets/d/17IOkEwkUd63EGNfyNDnM5de9YlZ7rwzTiW6-dokVjKI/edit?usp=sharing"",""อุบลราชธานี!J595"")"),1.58)</f>
        <v>1.58</v>
      </c>
      <c r="BS51" s="142">
        <f ca="1">IFERROR(__xludf.DUMMYFUNCTION("IMPORTRANGE(""https://docs.google.com/spreadsheets/d/17IOkEwkUd63EGNfyNDnM5de9YlZ7rwzTiW6-dokVjKI/edit?usp=sharing"",""อุบลราชธานี!J596"")"),5)</f>
        <v>5</v>
      </c>
      <c r="BT51" s="75">
        <f ca="1">IFERROR(__xludf.DUMMYFUNCTION("IMPORTRANGE(""https://docs.google.com/spreadsheets/d/17IOkEwkUd63EGNfyNDnM5de9YlZ7rwzTiW6-dokVjKI/edit?usp=sharing"",""อุบลราชธานี!J597"")"),1.58)</f>
        <v>1.58</v>
      </c>
      <c r="BU51" s="142">
        <f ca="1">IFERROR(__xludf.DUMMYFUNCTION("IMPORTRANGE(""https://docs.google.com/spreadsheets/d/17IOkEwkUd63EGNfyNDnM5de9YlZ7rwzTiW6-dokVjKI/edit?usp=sharing"",""อุบลราชธานี!J598"")"),5)</f>
        <v>5</v>
      </c>
      <c r="BV51" s="75">
        <f ca="1">IFERROR(__xludf.DUMMYFUNCTION("IMPORTRANGE(""https://docs.google.com/spreadsheets/d/17IOkEwkUd63EGNfyNDnM5de9YlZ7rwzTiW6-dokVjKI/edit?usp=sharing"",""อุบลราชธานี!J599"")"),0)</f>
        <v>0</v>
      </c>
      <c r="BW51" s="142">
        <f ca="1">IFERROR(__xludf.DUMMYFUNCTION("IMPORTRANGE(""https://docs.google.com/spreadsheets/d/17IOkEwkUd63EGNfyNDnM5de9YlZ7rwzTiW6-dokVjKI/edit?usp=sharing"",""อุบลราชธานี!J600"")"),0)</f>
        <v>0</v>
      </c>
      <c r="BX51" s="143">
        <f ca="1">IFERROR(__xludf.DUMMYFUNCTION("IMPORTRANGE(""https://docs.google.com/spreadsheets/d/17IOkEwkUd63EGNfyNDnM5de9YlZ7rwzTiW6-dokVjKI/edit?usp=sharing"",""อุบลราชธานี!J601"")"),0)</f>
        <v>0</v>
      </c>
      <c r="BY51" s="142">
        <f ca="1">IFERROR(__xludf.DUMMYFUNCTION("IMPORTRANGE(""https://docs.google.com/spreadsheets/d/17IOkEwkUd63EGNfyNDnM5de9YlZ7rwzTiW6-dokVjKI/edit?usp=sharing"",""อุบลราชธานี!J602"")"),0)</f>
        <v>0</v>
      </c>
      <c r="BZ51" s="75">
        <f ca="1">IFERROR(__xludf.DUMMYFUNCTION("IMPORTRANGE(""https://docs.google.com/spreadsheets/d/17IOkEwkUd63EGNfyNDnM5de9YlZ7rwzTiW6-dokVjKI/edit?usp=sharing"",""อุบลราชธานี!J603"")"),0)</f>
        <v>0</v>
      </c>
      <c r="CA51" s="142">
        <f ca="1">IFERROR(__xludf.DUMMYFUNCTION("IMPORTRANGE(""https://docs.google.com/spreadsheets/d/17IOkEwkUd63EGNfyNDnM5de9YlZ7rwzTiW6-dokVjKI/edit?usp=sharing"",""อุบลราชธานี!J604"")"),0)</f>
        <v>0</v>
      </c>
      <c r="CB51" s="75">
        <f ca="1">IFERROR(__xludf.DUMMYFUNCTION("IMPORTRANGE(""https://docs.google.com/spreadsheets/d/17IOkEwkUd63EGNfyNDnM5de9YlZ7rwzTiW6-dokVjKI/edit?usp=sharing"",""อุบลราชธานี!J605"")"),0)</f>
        <v>0</v>
      </c>
      <c r="CC51" s="142">
        <f ca="1">IFERROR(__xludf.DUMMYFUNCTION("IMPORTRANGE(""https://docs.google.com/spreadsheets/d/17IOkEwkUd63EGNfyNDnM5de9YlZ7rwzTiW6-dokVjKI/edit?usp=sharing"",""อุบลราชธานี!J606"")"),0)</f>
        <v>0</v>
      </c>
      <c r="CD51" s="75">
        <f ca="1">IFERROR(__xludf.DUMMYFUNCTION("IMPORTRANGE(""https://docs.google.com/spreadsheets/d/17IOkEwkUd63EGNfyNDnM5de9YlZ7rwzTiW6-dokVjKI/edit?usp=sharing"",""อุบลราชธานี!J607"")"),0)</f>
        <v>0</v>
      </c>
      <c r="CE51" s="142">
        <f ca="1">IFERROR(__xludf.DUMMYFUNCTION("IMPORTRANGE(""https://docs.google.com/spreadsheets/d/17IOkEwkUd63EGNfyNDnM5de9YlZ7rwzTiW6-dokVjKI/edit?usp=sharing"",""อุบลราชธานี!J608"")"),0)</f>
        <v>0</v>
      </c>
      <c r="CF51" s="75">
        <f ca="1">IFERROR(__xludf.DUMMYFUNCTION("IMPORTRANGE(""https://docs.google.com/spreadsheets/d/17IOkEwkUd63EGNfyNDnM5de9YlZ7rwzTiW6-dokVjKI/edit?usp=sharing"",""อุบลราชธานี!J609"")"),0)</f>
        <v>0</v>
      </c>
      <c r="CG51" s="142">
        <f ca="1">IFERROR(__xludf.DUMMYFUNCTION("IMPORTRANGE(""https://docs.google.com/spreadsheets/d/17IOkEwkUd63EGNfyNDnM5de9YlZ7rwzTiW6-dokVjKI/edit?usp=sharing"",""อุบลราชธานี!J610"")"),0)</f>
        <v>0</v>
      </c>
      <c r="CH51" s="142">
        <f ca="1">IFERROR(__xludf.DUMMYFUNCTION("IMPORTRANGE(""https://docs.google.com/spreadsheets/d/17IOkEwkUd63EGNfyNDnM5de9YlZ7rwzTiW6-dokVjKI/edit?usp=sharing"",""อุบลราชธานี!I612"")"),0)</f>
        <v>0</v>
      </c>
      <c r="CI51" s="142">
        <f ca="1">IFERROR(__xludf.DUMMYFUNCTION("IMPORTRANGE(""https://docs.google.com/spreadsheets/d/17IOkEwkUd63EGNfyNDnM5de9YlZ7rwzTiW6-dokVjKI/edit?usp=sharing"",""อุบลราชธานี!I594"")"),128)</f>
        <v>128</v>
      </c>
      <c r="CJ51" s="143">
        <f ca="1">IFERROR(__xludf.DUMMYFUNCTION("IMPORTRANGE(""https://docs.google.com/spreadsheets/d/17IOkEwkUd63EGNfyNDnM5de9YlZ7rwzTiW6-dokVjKI/edit?usp=sharing"",""อุบลราชธานี!J612"")"),0)</f>
        <v>0</v>
      </c>
      <c r="CK51" s="143">
        <f t="shared" ca="1" si="41"/>
        <v>0</v>
      </c>
      <c r="CL51" s="142">
        <f ca="1">IFERROR(__xludf.DUMMYFUNCTION("IMPORTRANGE(""https://docs.google.com/spreadsheets/d/17IOkEwkUd63EGNfyNDnM5de9YlZ7rwzTiW6-dokVjKI/edit?usp=sharing"",""อุบลราชธานี!J613"")"),0)</f>
        <v>0</v>
      </c>
      <c r="CM51" s="143">
        <f t="shared" ca="1" si="19"/>
        <v>0</v>
      </c>
      <c r="CN51" s="75">
        <f ca="1">IFERROR(__xludf.DUMMYFUNCTION("IMPORTRANGE(""https://docs.google.com/spreadsheets/d/17IOkEwkUd63EGNfyNDnM5de9YlZ7rwzTiW6-dokVjKI/edit?usp=sharing"",""อุบลราชธานี!J614"")"),0)</f>
        <v>0</v>
      </c>
      <c r="CO51" s="142">
        <f ca="1">IFERROR(__xludf.DUMMYFUNCTION("IMPORTRANGE(""https://docs.google.com/spreadsheets/d/17IOkEwkUd63EGNfyNDnM5de9YlZ7rwzTiW6-dokVjKI/edit?usp=sharing"",""อุบลราชธานี!J615"")"),0)</f>
        <v>0</v>
      </c>
      <c r="CP51" s="75">
        <f ca="1">IFERROR(__xludf.DUMMYFUNCTION("IMPORTRANGE(""https://docs.google.com/spreadsheets/d/17IOkEwkUd63EGNfyNDnM5de9YlZ7rwzTiW6-dokVjKI/edit?usp=sharing"",""อุบลราชธานี!J616"")"),0)</f>
        <v>0</v>
      </c>
      <c r="CQ51" s="142">
        <f ca="1">IFERROR(__xludf.DUMMYFUNCTION("IMPORTRANGE(""https://docs.google.com/spreadsheets/d/17IOkEwkUd63EGNfyNDnM5de9YlZ7rwzTiW6-dokVjKI/edit?usp=sharing"",""อุบลราชธานี!J617"")"),0)</f>
        <v>0</v>
      </c>
      <c r="CR51" s="142">
        <f ca="1">IFERROR(__xludf.DUMMYFUNCTION("IMPORTRANGE(""https://docs.google.com/spreadsheets/d/17IOkEwkUd63EGNfyNDnM5de9YlZ7rwzTiW6-dokVjKI/edit?usp=sharing"",""อุบลราชธานี!I620"")"),70)</f>
        <v>70</v>
      </c>
      <c r="CS51" s="142">
        <f ca="1">IFERROR(__xludf.DUMMYFUNCTION("IMPORTRANGE(""https://docs.google.com/spreadsheets/d/17IOkEwkUd63EGNfyNDnM5de9YlZ7rwzTiW6-dokVjKI/edit?usp=sharing"",""อุบลราชธานี!I621"")"),3)</f>
        <v>3</v>
      </c>
      <c r="CT51" s="143">
        <f ca="1">IFERROR(__xludf.DUMMYFUNCTION("IMPORTRANGE(""https://docs.google.com/spreadsheets/d/17IOkEwkUd63EGNfyNDnM5de9YlZ7rwzTiW6-dokVjKI/edit?usp=sharing"",""อุบลราชธานี!J620"")"),0)</f>
        <v>0</v>
      </c>
      <c r="CU51" s="143">
        <f t="shared" ca="1" si="42"/>
        <v>0</v>
      </c>
      <c r="CV51" s="142">
        <f ca="1">IFERROR(__xludf.DUMMYFUNCTION("IMPORTRANGE(""https://docs.google.com/spreadsheets/d/17IOkEwkUd63EGNfyNDnM5de9YlZ7rwzTiW6-dokVjKI/edit?usp=sharing"",""อุบลราชธานี!J621"")"),0)</f>
        <v>0</v>
      </c>
      <c r="CW51" s="143">
        <f t="shared" ca="1" si="22"/>
        <v>0</v>
      </c>
      <c r="CX51" s="75">
        <f ca="1">IFERROR(__xludf.DUMMYFUNCTION("IMPORTRANGE(""https://docs.google.com/spreadsheets/d/17IOkEwkUd63EGNfyNDnM5de9YlZ7rwzTiW6-dokVjKI/edit?usp=sharing"",""อุบลราชธานี!J622"")"),0)</f>
        <v>0</v>
      </c>
      <c r="CY51" s="142">
        <f ca="1">IFERROR(__xludf.DUMMYFUNCTION("IMPORTRANGE(""https://docs.google.com/spreadsheets/d/17IOkEwkUd63EGNfyNDnM5de9YlZ7rwzTiW6-dokVjKI/edit?usp=sharing"",""อุบลราชธานี!J623"")"),0)</f>
        <v>0</v>
      </c>
      <c r="CZ51" s="75">
        <f ca="1">IFERROR(__xludf.DUMMYFUNCTION("IMPORTRANGE(""https://docs.google.com/spreadsheets/d/17IOkEwkUd63EGNfyNDnM5de9YlZ7rwzTiW6-dokVjKI/edit?usp=sharing"",""อุบลราชธานี!J624"")"),0)</f>
        <v>0</v>
      </c>
      <c r="DA51" s="142">
        <f ca="1">IFERROR(__xludf.DUMMYFUNCTION("IMPORTRANGE(""https://docs.google.com/spreadsheets/d/17IOkEwkUd63EGNfyNDnM5de9YlZ7rwzTiW6-dokVjKI/edit?usp=sharing"",""อุบลราชธานี!J625"")"),0)</f>
        <v>0</v>
      </c>
      <c r="DB51" s="75">
        <f ca="1">IFERROR(__xludf.DUMMYFUNCTION("IMPORTRANGE(""https://docs.google.com/spreadsheets/d/17IOkEwkUd63EGNfyNDnM5de9YlZ7rwzTiW6-dokVjKI/edit?usp=sharing"",""อุบลราชธานี!J626"")"),0)</f>
        <v>0</v>
      </c>
      <c r="DC51" s="142">
        <f ca="1">IFERROR(__xludf.DUMMYFUNCTION("IMPORTRANGE(""https://docs.google.com/spreadsheets/d/17IOkEwkUd63EGNfyNDnM5de9YlZ7rwzTiW6-dokVjKI/edit?usp=sharing"",""อุบลราชธานี!J627"")"),0)</f>
        <v>0</v>
      </c>
    </row>
    <row r="52" spans="1:107" ht="21" customHeight="1" x14ac:dyDescent="0.3">
      <c r="A52" s="186" t="s">
        <v>73</v>
      </c>
      <c r="B52" s="178"/>
      <c r="C52" s="76">
        <f t="shared" ref="C52:G52" ca="1" si="68">SUM(C53:C73)</f>
        <v>6053541</v>
      </c>
      <c r="D52" s="34">
        <f t="shared" ca="1" si="68"/>
        <v>6053541</v>
      </c>
      <c r="E52" s="34">
        <f t="shared" ca="1" si="68"/>
        <v>0</v>
      </c>
      <c r="F52" s="34">
        <f t="shared" ca="1" si="68"/>
        <v>6013541</v>
      </c>
      <c r="G52" s="34">
        <f t="shared" ca="1" si="68"/>
        <v>0</v>
      </c>
      <c r="H52" s="34">
        <f t="shared" ca="1" si="36"/>
        <v>2247571.04</v>
      </c>
      <c r="I52" s="35">
        <f t="shared" ca="1" si="1"/>
        <v>37.128203806664565</v>
      </c>
      <c r="J52" s="34">
        <f ca="1">SUM(J53:J73)</f>
        <v>2247571.04</v>
      </c>
      <c r="K52" s="35">
        <f t="shared" ca="1" si="44"/>
        <v>37.128203806664565</v>
      </c>
      <c r="L52" s="35">
        <f t="shared" ca="1" si="45"/>
        <v>37.375167808783544</v>
      </c>
      <c r="M52" s="34">
        <f t="shared" ref="M52:R52" ca="1" si="69">SUM(M53:M73)</f>
        <v>0</v>
      </c>
      <c r="N52" s="34">
        <f t="shared" ca="1" si="69"/>
        <v>91660</v>
      </c>
      <c r="O52" s="34">
        <f t="shared" ca="1" si="69"/>
        <v>1001773.24</v>
      </c>
      <c r="P52" s="34">
        <f t="shared" ca="1" si="69"/>
        <v>1154137.8</v>
      </c>
      <c r="Q52" s="34">
        <f t="shared" ca="1" si="69"/>
        <v>0</v>
      </c>
      <c r="R52" s="36">
        <f t="shared" ca="1" si="69"/>
        <v>0</v>
      </c>
      <c r="S52" s="36">
        <f t="shared" ca="1" si="47"/>
        <v>0</v>
      </c>
      <c r="T52" s="34">
        <f t="shared" ref="T52:V52" ca="1" si="70">SUM(T53:T73)</f>
        <v>264163</v>
      </c>
      <c r="U52" s="34">
        <f t="shared" ca="1" si="70"/>
        <v>21507</v>
      </c>
      <c r="V52" s="37">
        <f t="shared" ca="1" si="70"/>
        <v>264163.10250000004</v>
      </c>
      <c r="W52" s="37">
        <f t="shared" ca="1" si="37"/>
        <v>100.00003880180041</v>
      </c>
      <c r="X52" s="34">
        <f ca="1">SUM(X53:X73)</f>
        <v>21507</v>
      </c>
      <c r="Y52" s="37">
        <f t="shared" ca="1" si="7"/>
        <v>100</v>
      </c>
      <c r="Z52" s="37">
        <f t="shared" ref="Z52:AH52" ca="1" si="71">SUM(Z53:Z73)</f>
        <v>199605.96</v>
      </c>
      <c r="AA52" s="113">
        <f t="shared" ca="1" si="71"/>
        <v>17243</v>
      </c>
      <c r="AB52" s="37">
        <f t="shared" ca="1" si="71"/>
        <v>54680.717499999999</v>
      </c>
      <c r="AC52" s="113">
        <f t="shared" ca="1" si="71"/>
        <v>3535</v>
      </c>
      <c r="AD52" s="37">
        <f t="shared" ca="1" si="71"/>
        <v>9876.4249999999993</v>
      </c>
      <c r="AE52" s="113">
        <f t="shared" ca="1" si="71"/>
        <v>729</v>
      </c>
      <c r="AF52" s="34">
        <f t="shared" ca="1" si="71"/>
        <v>264163</v>
      </c>
      <c r="AG52" s="34">
        <f t="shared" ca="1" si="71"/>
        <v>21507</v>
      </c>
      <c r="AH52" s="37">
        <f t="shared" ca="1" si="71"/>
        <v>264166.37</v>
      </c>
      <c r="AI52" s="37">
        <f t="shared" ca="1" si="38"/>
        <v>100.00127572748644</v>
      </c>
      <c r="AJ52" s="34">
        <f ca="1">SUM(AJ53:AJ73)</f>
        <v>21507</v>
      </c>
      <c r="AK52" s="37">
        <f t="shared" ca="1" si="10"/>
        <v>100</v>
      </c>
      <c r="AL52" s="37">
        <f t="shared" ref="AL52:AT52" ca="1" si="72">SUM(AL53:AL73)</f>
        <v>228297.96</v>
      </c>
      <c r="AM52" s="113">
        <f t="shared" ca="1" si="72"/>
        <v>18682</v>
      </c>
      <c r="AN52" s="37">
        <f t="shared" ca="1" si="72"/>
        <v>24195</v>
      </c>
      <c r="AO52" s="113">
        <f t="shared" ca="1" si="72"/>
        <v>1996</v>
      </c>
      <c r="AP52" s="37">
        <f t="shared" ca="1" si="72"/>
        <v>11673.41</v>
      </c>
      <c r="AQ52" s="113">
        <f t="shared" ca="1" si="72"/>
        <v>829</v>
      </c>
      <c r="AR52" s="34">
        <f t="shared" ca="1" si="72"/>
        <v>264163</v>
      </c>
      <c r="AS52" s="34">
        <f t="shared" ca="1" si="72"/>
        <v>21507</v>
      </c>
      <c r="AT52" s="37">
        <f t="shared" ca="1" si="72"/>
        <v>27893</v>
      </c>
      <c r="AU52" s="37">
        <f t="shared" ca="1" si="39"/>
        <v>10.559010913716152</v>
      </c>
      <c r="AV52" s="34">
        <f ca="1">SUM(AV53:AV73)</f>
        <v>2413</v>
      </c>
      <c r="AW52" s="37">
        <f t="shared" ca="1" si="13"/>
        <v>11.219602919979542</v>
      </c>
      <c r="AX52" s="37">
        <f t="shared" ref="AX52:BN52" ca="1" si="73">SUM(AX53:AX73)</f>
        <v>23940</v>
      </c>
      <c r="AY52" s="113">
        <f t="shared" ca="1" si="73"/>
        <v>2070</v>
      </c>
      <c r="AZ52" s="37">
        <f t="shared" ca="1" si="73"/>
        <v>2745</v>
      </c>
      <c r="BA52" s="113">
        <f t="shared" ca="1" si="73"/>
        <v>242</v>
      </c>
      <c r="BB52" s="37">
        <f t="shared" ca="1" si="73"/>
        <v>1208</v>
      </c>
      <c r="BC52" s="113">
        <f t="shared" ca="1" si="73"/>
        <v>101</v>
      </c>
      <c r="BD52" s="135">
        <f t="shared" ca="1" si="73"/>
        <v>1208</v>
      </c>
      <c r="BE52" s="113">
        <f t="shared" ca="1" si="73"/>
        <v>101</v>
      </c>
      <c r="BF52" s="135">
        <f t="shared" ca="1" si="73"/>
        <v>0</v>
      </c>
      <c r="BG52" s="113">
        <f t="shared" ca="1" si="73"/>
        <v>0</v>
      </c>
      <c r="BH52" s="37">
        <f t="shared" ca="1" si="73"/>
        <v>0</v>
      </c>
      <c r="BI52" s="113">
        <f t="shared" ca="1" si="73"/>
        <v>0</v>
      </c>
      <c r="BJ52" s="37">
        <f t="shared" ca="1" si="73"/>
        <v>0</v>
      </c>
      <c r="BK52" s="113">
        <f t="shared" ca="1" si="73"/>
        <v>0</v>
      </c>
      <c r="BL52" s="34">
        <f t="shared" ca="1" si="73"/>
        <v>81061</v>
      </c>
      <c r="BM52" s="34">
        <f t="shared" ca="1" si="73"/>
        <v>5357</v>
      </c>
      <c r="BN52" s="37">
        <f t="shared" ca="1" si="73"/>
        <v>24248.802499999998</v>
      </c>
      <c r="BO52" s="37">
        <f t="shared" ca="1" si="40"/>
        <v>29.914265183010325</v>
      </c>
      <c r="BP52" s="34">
        <f ca="1">SUM(BP53:BP73)</f>
        <v>1359</v>
      </c>
      <c r="BQ52" s="37">
        <f t="shared" ca="1" si="16"/>
        <v>25.36867649803995</v>
      </c>
      <c r="BR52" s="37">
        <f t="shared" ref="BR52:CJ52" ca="1" si="74">SUM(BR53:BR73)</f>
        <v>23146.834999999999</v>
      </c>
      <c r="BS52" s="113">
        <f t="shared" ca="1" si="74"/>
        <v>1296</v>
      </c>
      <c r="BT52" s="37">
        <f t="shared" ca="1" si="74"/>
        <v>15985.835000000001</v>
      </c>
      <c r="BU52" s="113">
        <f t="shared" ca="1" si="74"/>
        <v>978</v>
      </c>
      <c r="BV52" s="37">
        <f t="shared" ca="1" si="74"/>
        <v>7161</v>
      </c>
      <c r="BW52" s="113">
        <f t="shared" ca="1" si="74"/>
        <v>318</v>
      </c>
      <c r="BX52" s="135">
        <f t="shared" ca="1" si="74"/>
        <v>72.835000000000008</v>
      </c>
      <c r="BY52" s="113">
        <f t="shared" ca="1" si="74"/>
        <v>3</v>
      </c>
      <c r="BZ52" s="37">
        <f t="shared" ca="1" si="74"/>
        <v>1079.9675</v>
      </c>
      <c r="CA52" s="113">
        <f t="shared" ca="1" si="74"/>
        <v>59</v>
      </c>
      <c r="CB52" s="37">
        <f t="shared" ca="1" si="74"/>
        <v>1079.9675</v>
      </c>
      <c r="CC52" s="113">
        <f t="shared" ca="1" si="74"/>
        <v>59</v>
      </c>
      <c r="CD52" s="37">
        <f t="shared" ca="1" si="74"/>
        <v>0</v>
      </c>
      <c r="CE52" s="113">
        <f t="shared" ca="1" si="74"/>
        <v>0</v>
      </c>
      <c r="CF52" s="37">
        <f t="shared" ca="1" si="74"/>
        <v>22</v>
      </c>
      <c r="CG52" s="113">
        <f t="shared" ca="1" si="74"/>
        <v>4</v>
      </c>
      <c r="CH52" s="113">
        <f t="shared" ca="1" si="74"/>
        <v>0</v>
      </c>
      <c r="CI52" s="113">
        <f t="shared" ca="1" si="74"/>
        <v>5357</v>
      </c>
      <c r="CJ52" s="135">
        <f t="shared" ca="1" si="74"/>
        <v>0</v>
      </c>
      <c r="CK52" s="135">
        <f t="shared" ca="1" si="41"/>
        <v>0</v>
      </c>
      <c r="CL52" s="113">
        <f ca="1">SUM(CL53:CL73)</f>
        <v>0</v>
      </c>
      <c r="CM52" s="135">
        <f t="shared" ca="1" si="19"/>
        <v>0</v>
      </c>
      <c r="CN52" s="37">
        <f t="shared" ref="CN52:CT52" ca="1" si="75">SUM(CN53:CN73)</f>
        <v>0</v>
      </c>
      <c r="CO52" s="113">
        <f t="shared" ca="1" si="75"/>
        <v>0</v>
      </c>
      <c r="CP52" s="37">
        <f t="shared" ca="1" si="75"/>
        <v>0</v>
      </c>
      <c r="CQ52" s="113">
        <f t="shared" ca="1" si="75"/>
        <v>0</v>
      </c>
      <c r="CR52" s="113">
        <f t="shared" ca="1" si="75"/>
        <v>946</v>
      </c>
      <c r="CS52" s="113">
        <f t="shared" ca="1" si="75"/>
        <v>59</v>
      </c>
      <c r="CT52" s="135">
        <f t="shared" ca="1" si="75"/>
        <v>5</v>
      </c>
      <c r="CU52" s="135">
        <f t="shared" ca="1" si="42"/>
        <v>0.52854122621564481</v>
      </c>
      <c r="CV52" s="113">
        <f ca="1">SUM(CV53:CV73)</f>
        <v>8</v>
      </c>
      <c r="CW52" s="135">
        <f t="shared" ca="1" si="22"/>
        <v>13.559322033898304</v>
      </c>
      <c r="CX52" s="37">
        <f t="shared" ref="CX52:DC52" ca="1" si="76">SUM(CX53:CX73)</f>
        <v>1</v>
      </c>
      <c r="CY52" s="113">
        <f t="shared" ca="1" si="76"/>
        <v>1</v>
      </c>
      <c r="CZ52" s="37">
        <f t="shared" ca="1" si="76"/>
        <v>0</v>
      </c>
      <c r="DA52" s="113">
        <f t="shared" ca="1" si="76"/>
        <v>0</v>
      </c>
      <c r="DB52" s="37">
        <f t="shared" ca="1" si="76"/>
        <v>4</v>
      </c>
      <c r="DC52" s="113">
        <f t="shared" ca="1" si="76"/>
        <v>7</v>
      </c>
    </row>
    <row r="53" spans="1:107" ht="21" customHeight="1" x14ac:dyDescent="0.3">
      <c r="A53" s="54">
        <v>1</v>
      </c>
      <c r="B53" s="55" t="s">
        <v>74</v>
      </c>
      <c r="C53" s="56">
        <f t="shared" ref="C53:C73" ca="1" si="77">D53+E53</f>
        <v>989703</v>
      </c>
      <c r="D53" s="57">
        <f ca="1">IFERROR(__xludf.DUMMYFUNCTION("IMPORTRANGE(""https://docs.google.com/spreadsheets/d/1hKO5uv94SSRZWOvrh72HRcpyoEQF9TsE_Cvxl77XNU4/edit?usp=sharing"",""กาญจนบุรี!L549"")"),989703)</f>
        <v>989703</v>
      </c>
      <c r="E53" s="57">
        <f ca="1">IFERROR(__xludf.DUMMYFUNCTION("IMPORTRANGE(""https://docs.google.com/spreadsheets/d/1hKO5uv94SSRZWOvrh72HRcpyoEQF9TsE_Cvxl77XNU4/edit?usp=sharing"",""กาญจนบุรี!L557"")"),0)</f>
        <v>0</v>
      </c>
      <c r="F53" s="57">
        <f ca="1">IFERROR(__xludf.DUMMYFUNCTION("IMPORTRANGE(""https://docs.google.com/spreadsheets/d/1hKO5uv94SSRZWOvrh72HRcpyoEQF9TsE_Cvxl77XNU4/edit?usp=sharing"",""กาญจนบุรี!M549"")"),989703)</f>
        <v>989703</v>
      </c>
      <c r="G53" s="57">
        <f ca="1">IFERROR(__xludf.DUMMYFUNCTION("IMPORTRANGE(""https://docs.google.com/spreadsheets/d/1hKO5uv94SSRZWOvrh72HRcpyoEQF9TsE_Cvxl77XNU4/edit?usp=sharing"",""กาญจนบุรี!M557"")"),0)</f>
        <v>0</v>
      </c>
      <c r="H53" s="58">
        <f t="shared" ca="1" si="36"/>
        <v>208386.21000000002</v>
      </c>
      <c r="I53" s="59">
        <f t="shared" ca="1" si="1"/>
        <v>21.055428749837077</v>
      </c>
      <c r="J53" s="60">
        <f t="shared" ref="J53:J73" ca="1" si="78">M53+N53+O53+P53+Q53</f>
        <v>208386.21000000002</v>
      </c>
      <c r="K53" s="61">
        <f t="shared" ca="1" si="44"/>
        <v>21.055428749837077</v>
      </c>
      <c r="L53" s="61">
        <f t="shared" ca="1" si="45"/>
        <v>21.055428749837077</v>
      </c>
      <c r="M53" s="57">
        <f ca="1">IFERROR(__xludf.DUMMYFUNCTION("IMPORTRANGE(""https://docs.google.com/spreadsheets/d/1hKO5uv94SSRZWOvrh72HRcpyoEQF9TsE_Cvxl77XNU4/edit?usp=sharing"",""กาญจนบุรี!N550"")"),0)</f>
        <v>0</v>
      </c>
      <c r="N53" s="57">
        <f ca="1">IFERROR(__xludf.DUMMYFUNCTION("IMPORTRANGE(""https://docs.google.com/spreadsheets/d/1hKO5uv94SSRZWOvrh72HRcpyoEQF9TsE_Cvxl77XNU4/edit?usp=sharing"",""กาญจนบุรี!N551"")"),0)</f>
        <v>0</v>
      </c>
      <c r="O53" s="57">
        <f ca="1">IFERROR(__xludf.DUMMYFUNCTION("IMPORTRANGE(""https://docs.google.com/spreadsheets/d/1hKO5uv94SSRZWOvrh72HRcpyoEQF9TsE_Cvxl77XNU4/edit?usp=sharing"",""กาญจนบุรี!N552"")"),78000)</f>
        <v>78000</v>
      </c>
      <c r="P53" s="57">
        <f ca="1">IFERROR(__xludf.DUMMYFUNCTION("IMPORTRANGE(""https://docs.google.com/spreadsheets/d/1hKO5uv94SSRZWOvrh72HRcpyoEQF9TsE_Cvxl77XNU4/edit?usp=sharing"",""กาญจนบุรี!N553"")"),130386.21)</f>
        <v>130386.21</v>
      </c>
      <c r="Q53" s="57">
        <f ca="1">IFERROR(__xludf.DUMMYFUNCTION("IMPORTRANGE(""https://docs.google.com/spreadsheets/d/1hKO5uv94SSRZWOvrh72HRcpyoEQF9TsE_Cvxl77XNU4/edit?usp=sharing"",""กาญจนบุรี!N554"")"),0)</f>
        <v>0</v>
      </c>
      <c r="R53" s="62">
        <f ca="1">IFERROR(__xludf.DUMMYFUNCTION("IMPORTRANGE(""https://docs.google.com/spreadsheets/d/1hKO5uv94SSRZWOvrh72HRcpyoEQF9TsE_Cvxl77XNU4/edit?usp=sharing"",""กาญจนบุรี!N557"")"),0)</f>
        <v>0</v>
      </c>
      <c r="S53" s="62">
        <f t="shared" ca="1" si="47"/>
        <v>0</v>
      </c>
      <c r="T53" s="57">
        <f ca="1">IFERROR(__xludf.DUMMYFUNCTION("IMPORTRANGE(""https://docs.google.com/spreadsheets/d/1hKO5uv94SSRZWOvrh72HRcpyoEQF9TsE_Cvxl77XNU4/edit?usp=sharing"",""กาญจนบุรี!I560"")"),62938)</f>
        <v>62938</v>
      </c>
      <c r="U53" s="57">
        <f ca="1">IFERROR(__xludf.DUMMYFUNCTION("IMPORTRANGE(""https://docs.google.com/spreadsheets/d/1hKO5uv94SSRZWOvrh72HRcpyoEQF9TsE_Cvxl77XNU4/edit?usp=sharing"",""กาญจนบุรี!I561"")"),4165)</f>
        <v>4165</v>
      </c>
      <c r="V53" s="63">
        <f ca="1">IFERROR(__xludf.DUMMYFUNCTION("IMPORTRANGE(""https://docs.google.com/spreadsheets/d/1hKO5uv94SSRZWOvrh72HRcpyoEQF9TsE_Cvxl77XNU4/edit?usp=sharing"",""กาญจนบุรี!J560"")"),62937.7325)</f>
        <v>62937.732499999998</v>
      </c>
      <c r="W53" s="63">
        <f t="shared" ca="1" si="37"/>
        <v>99.999574978550314</v>
      </c>
      <c r="X53" s="57">
        <f ca="1">IFERROR(__xludf.DUMMYFUNCTION("IMPORTRANGE(""https://docs.google.com/spreadsheets/d/1hKO5uv94SSRZWOvrh72HRcpyoEQF9TsE_Cvxl77XNU4/edit?usp=sharing"",""กาญจนบุรี!J561"")"),4165)</f>
        <v>4165</v>
      </c>
      <c r="Y53" s="63">
        <f t="shared" ca="1" si="7"/>
        <v>100</v>
      </c>
      <c r="Z53" s="63">
        <f ca="1">IFERROR(__xludf.DUMMYFUNCTION("IMPORTRANGE(""https://docs.google.com/spreadsheets/d/1hKO5uv94SSRZWOvrh72HRcpyoEQF9TsE_Cvxl77XNU4/edit?usp=sharing"",""กาญจนบุรี!J562"")"),43021)</f>
        <v>43021</v>
      </c>
      <c r="AA53" s="140">
        <f ca="1">IFERROR(__xludf.DUMMYFUNCTION("IMPORTRANGE(""https://docs.google.com/spreadsheets/d/1hKO5uv94SSRZWOvrh72HRcpyoEQF9TsE_Cvxl77XNU4/edit?usp=sharing"",""กาญจนบุรี!J563"")"),3038)</f>
        <v>3038</v>
      </c>
      <c r="AB53" s="63">
        <f ca="1">IFERROR(__xludf.DUMMYFUNCTION("IMPORTRANGE(""https://docs.google.com/spreadsheets/d/1hKO5uv94SSRZWOvrh72HRcpyoEQF9TsE_Cvxl77XNU4/edit?usp=sharing"",""กาญจนบุรี!J564"")"),15782.7175)</f>
        <v>15782.717500000001</v>
      </c>
      <c r="AC53" s="140">
        <f ca="1">IFERROR(__xludf.DUMMYFUNCTION("IMPORTRANGE(""https://docs.google.com/spreadsheets/d/1hKO5uv94SSRZWOvrh72HRcpyoEQF9TsE_Cvxl77XNU4/edit?usp=sharing"",""กาญจนบุรี!J565"")"),858)</f>
        <v>858</v>
      </c>
      <c r="AD53" s="63">
        <f ca="1">IFERROR(__xludf.DUMMYFUNCTION("IMPORTRANGE(""https://docs.google.com/spreadsheets/d/1hKO5uv94SSRZWOvrh72HRcpyoEQF9TsE_Cvxl77XNU4/edit?usp=sharing"",""กาญจนบุรี!J566"")"),4134.015)</f>
        <v>4134.0150000000003</v>
      </c>
      <c r="AE53" s="140">
        <f ca="1">IFERROR(__xludf.DUMMYFUNCTION("IMPORTRANGE(""https://docs.google.com/spreadsheets/d/1hKO5uv94SSRZWOvrh72HRcpyoEQF9TsE_Cvxl77XNU4/edit?usp=sharing"",""กาญจนบุรี!J567"")"),269)</f>
        <v>269</v>
      </c>
      <c r="AF53" s="57">
        <f ca="1">IFERROR(__xludf.DUMMYFUNCTION("IMPORTRANGE(""https://docs.google.com/spreadsheets/d/1hKO5uv94SSRZWOvrh72HRcpyoEQF9TsE_Cvxl77XNU4/edit?usp=sharing"",""กาญจนบุรี!I568"")"),62938)</f>
        <v>62938</v>
      </c>
      <c r="AG53" s="57">
        <f ca="1">IFERROR(__xludf.DUMMYFUNCTION("IMPORTRANGE(""https://docs.google.com/spreadsheets/d/1hKO5uv94SSRZWOvrh72HRcpyoEQF9TsE_Cvxl77XNU4/edit?usp=sharing"",""กาญจนบุรี!I569"")"),4165)</f>
        <v>4165</v>
      </c>
      <c r="AH53" s="63">
        <f ca="1">IFERROR(__xludf.DUMMYFUNCTION("IMPORTRANGE(""https://docs.google.com/spreadsheets/d/1hKO5uv94SSRZWOvrh72HRcpyoEQF9TsE_Cvxl77XNU4/edit?usp=sharing"",""กาญจนบุรี!J568"")"),62939)</f>
        <v>62939</v>
      </c>
      <c r="AI53" s="63">
        <f t="shared" ca="1" si="38"/>
        <v>100.00158886523245</v>
      </c>
      <c r="AJ53" s="57">
        <f ca="1">IFERROR(__xludf.DUMMYFUNCTION("IMPORTRANGE(""https://docs.google.com/spreadsheets/d/1hKO5uv94SSRZWOvrh72HRcpyoEQF9TsE_Cvxl77XNU4/edit?usp=sharing"",""กาญจนบุรี!J569"")"),4165)</f>
        <v>4165</v>
      </c>
      <c r="AK53" s="63">
        <f t="shared" ca="1" si="10"/>
        <v>100</v>
      </c>
      <c r="AL53" s="63">
        <f ca="1">IFERROR(__xludf.DUMMYFUNCTION("IMPORTRANGE(""https://docs.google.com/spreadsheets/d/1hKO5uv94SSRZWOvrh72HRcpyoEQF9TsE_Cvxl77XNU4/edit?usp=sharing"",""กาญจนบุรี!J570"")"),58451)</f>
        <v>58451</v>
      </c>
      <c r="AM53" s="140">
        <f ca="1">IFERROR(__xludf.DUMMYFUNCTION("IMPORTRANGE(""https://docs.google.com/spreadsheets/d/1hKO5uv94SSRZWOvrh72HRcpyoEQF9TsE_Cvxl77XNU4/edit?usp=sharing"",""กาญจนบุรี!J571"")"),3879)</f>
        <v>3879</v>
      </c>
      <c r="AN53" s="63">
        <f ca="1">IFERROR(__xludf.DUMMYFUNCTION("IMPORTRANGE(""https://docs.google.com/spreadsheets/d/1hKO5uv94SSRZWOvrh72HRcpyoEQF9TsE_Cvxl77XNU4/edit?usp=sharing"",""กาญจนบุรี!J572"")"),0)</f>
        <v>0</v>
      </c>
      <c r="AO53" s="140">
        <f ca="1">IFERROR(__xludf.DUMMYFUNCTION("IMPORTRANGE(""https://docs.google.com/spreadsheets/d/1hKO5uv94SSRZWOvrh72HRcpyoEQF9TsE_Cvxl77XNU4/edit?usp=sharing"",""กาญจนบุรี!J573"")"),0)</f>
        <v>0</v>
      </c>
      <c r="AP53" s="63">
        <f ca="1">IFERROR(__xludf.DUMMYFUNCTION("IMPORTRANGE(""https://docs.google.com/spreadsheets/d/1hKO5uv94SSRZWOvrh72HRcpyoEQF9TsE_Cvxl77XNU4/edit?usp=sharing"",""กาญจนบุรี!J574"")"),4488)</f>
        <v>4488</v>
      </c>
      <c r="AQ53" s="140">
        <f ca="1">IFERROR(__xludf.DUMMYFUNCTION("IMPORTRANGE(""https://docs.google.com/spreadsheets/d/1hKO5uv94SSRZWOvrh72HRcpyoEQF9TsE_Cvxl77XNU4/edit?usp=sharing"",""กาญจนบุรี!J575"")"),286)</f>
        <v>286</v>
      </c>
      <c r="AR53" s="57">
        <f ca="1">IFERROR(__xludf.DUMMYFUNCTION("IMPORTRANGE(""https://docs.google.com/spreadsheets/d/1hKO5uv94SSRZWOvrh72HRcpyoEQF9TsE_Cvxl77XNU4/edit?usp=sharing"",""กาญจนบุรี!I576"")"),62938)</f>
        <v>62938</v>
      </c>
      <c r="AS53" s="57">
        <f ca="1">IFERROR(__xludf.DUMMYFUNCTION("IMPORTRANGE(""https://docs.google.com/spreadsheets/d/1hKO5uv94SSRZWOvrh72HRcpyoEQF9TsE_Cvxl77XNU4/edit?usp=sharing"",""กาญจนบุรี!I577"")"),4165)</f>
        <v>4165</v>
      </c>
      <c r="AT53" s="63">
        <f ca="1">IFERROR(__xludf.DUMMYFUNCTION("IMPORTRANGE(""https://docs.google.com/spreadsheets/d/1hKO5uv94SSRZWOvrh72HRcpyoEQF9TsE_Cvxl77XNU4/edit?usp=sharing"",""กาญจนบุรี!J576"")"),0)</f>
        <v>0</v>
      </c>
      <c r="AU53" s="63">
        <f t="shared" ca="1" si="39"/>
        <v>0</v>
      </c>
      <c r="AV53" s="57">
        <f ca="1">IFERROR(__xludf.DUMMYFUNCTION("IMPORTRANGE(""https://docs.google.com/spreadsheets/d/1hKO5uv94SSRZWOvrh72HRcpyoEQF9TsE_Cvxl77XNU4/edit?usp=sharing"",""กาญจนบุรี!J577"")"),0)</f>
        <v>0</v>
      </c>
      <c r="AW53" s="63">
        <f t="shared" ca="1" si="13"/>
        <v>0</v>
      </c>
      <c r="AX53" s="63">
        <f ca="1">IFERROR(__xludf.DUMMYFUNCTION("IMPORTRANGE(""https://docs.google.com/spreadsheets/d/1hKO5uv94SSRZWOvrh72HRcpyoEQF9TsE_Cvxl77XNU4/edit?usp=sharing"",""กาญจนบุรี!J578"")"),0)</f>
        <v>0</v>
      </c>
      <c r="AY53" s="140">
        <f ca="1">IFERROR(__xludf.DUMMYFUNCTION("IMPORTRANGE(""https://docs.google.com/spreadsheets/d/1hKO5uv94SSRZWOvrh72HRcpyoEQF9TsE_Cvxl77XNU4/edit?usp=sharing"",""กาญจนบุรี!J579"")"),0)</f>
        <v>0</v>
      </c>
      <c r="AZ53" s="63">
        <f ca="1">IFERROR(__xludf.DUMMYFUNCTION("IMPORTRANGE(""https://docs.google.com/spreadsheets/d/1hKO5uv94SSRZWOvrh72HRcpyoEQF9TsE_Cvxl77XNU4/edit?usp=sharing"",""กาญจนบุรี!J580"")"),0)</f>
        <v>0</v>
      </c>
      <c r="BA53" s="140">
        <f ca="1">IFERROR(__xludf.DUMMYFUNCTION("IMPORTRANGE(""https://docs.google.com/spreadsheets/d/1hKO5uv94SSRZWOvrh72HRcpyoEQF9TsE_Cvxl77XNU4/edit?usp=sharing"",""กาญจนบุรี!J581"")"),0)</f>
        <v>0</v>
      </c>
      <c r="BB53" s="63">
        <f ca="1">IFERROR(__xludf.DUMMYFUNCTION("IMPORTRANGE(""https://docs.google.com/spreadsheets/d/1hKO5uv94SSRZWOvrh72HRcpyoEQF9TsE_Cvxl77XNU4/edit?usp=sharing"",""กาญจนบุรี!J582"")"),0)</f>
        <v>0</v>
      </c>
      <c r="BC53" s="140">
        <f ca="1">IFERROR(__xludf.DUMMYFUNCTION("IMPORTRANGE(""https://docs.google.com/spreadsheets/d/1hKO5uv94SSRZWOvrh72HRcpyoEQF9TsE_Cvxl77XNU4/edit?usp=sharing"",""กาญจนบุรี!J583"")"),0)</f>
        <v>0</v>
      </c>
      <c r="BD53" s="141">
        <f ca="1">IFERROR(__xludf.DUMMYFUNCTION("IMPORTRANGE(""https://docs.google.com/spreadsheets/d/1hKO5uv94SSRZWOvrh72HRcpyoEQF9TsE_Cvxl77XNU4/edit?usp=sharing"",""กาญจนบุรี!J584"")"),0)</f>
        <v>0</v>
      </c>
      <c r="BE53" s="140">
        <f ca="1">IFERROR(__xludf.DUMMYFUNCTION("IMPORTRANGE(""https://docs.google.com/spreadsheets/d/1hKO5uv94SSRZWOvrh72HRcpyoEQF9TsE_Cvxl77XNU4/edit?usp=sharing"",""กาญจนบุรี!J585"")"),0)</f>
        <v>0</v>
      </c>
      <c r="BF53" s="141">
        <f ca="1">IFERROR(__xludf.DUMMYFUNCTION("IMPORTRANGE(""https://docs.google.com/spreadsheets/d/1hKO5uv94SSRZWOvrh72HRcpyoEQF9TsE_Cvxl77XNU4/edit?usp=sharing"",""กาญจนบุรี!J586"")"),0)</f>
        <v>0</v>
      </c>
      <c r="BG53" s="140">
        <f ca="1">IFERROR(__xludf.DUMMYFUNCTION("IMPORTRANGE(""https://docs.google.com/spreadsheets/d/1hKO5uv94SSRZWOvrh72HRcpyoEQF9TsE_Cvxl77XNU4/edit?usp=sharing"",""กาญจนบุรี!J587"")"),0)</f>
        <v>0</v>
      </c>
      <c r="BH53" s="63">
        <f ca="1">IFERROR(__xludf.DUMMYFUNCTION("IMPORTRANGE(""https://docs.google.com/spreadsheets/d/1hKO5uv94SSRZWOvrh72HRcpyoEQF9TsE_Cvxl77XNU4/edit?usp=sharing"",""กาญจนบุรี!J588"")"),0)</f>
        <v>0</v>
      </c>
      <c r="BI53" s="140">
        <f ca="1">IFERROR(__xludf.DUMMYFUNCTION("IMPORTRANGE(""https://docs.google.com/spreadsheets/d/1hKO5uv94SSRZWOvrh72HRcpyoEQF9TsE_Cvxl77XNU4/edit?usp=sharing"",""กาญจนบุรี!J589"")"),0)</f>
        <v>0</v>
      </c>
      <c r="BJ53" s="63">
        <f ca="1">IFERROR(__xludf.DUMMYFUNCTION("IMPORTRANGE(""https://docs.google.com/spreadsheets/d/1hKO5uv94SSRZWOvrh72HRcpyoEQF9TsE_Cvxl77XNU4/edit?usp=sharing"",""กาญจนบุรี!J590"")"),0)</f>
        <v>0</v>
      </c>
      <c r="BK53" s="140">
        <f ca="1">IFERROR(__xludf.DUMMYFUNCTION("IMPORTRANGE(""https://docs.google.com/spreadsheets/d/1hKO5uv94SSRZWOvrh72HRcpyoEQF9TsE_Cvxl77XNU4/edit?usp=sharing"",""กาญจนบุรี!J591"")"),0)</f>
        <v>0</v>
      </c>
      <c r="BL53" s="57">
        <f ca="1">IFERROR(__xludf.DUMMYFUNCTION("IMPORTRANGE(""https://docs.google.com/spreadsheets/d/1hKO5uv94SSRZWOvrh72HRcpyoEQF9TsE_Cvxl77XNU4/edit?usp=sharing"",""กาญจนบุรี!I593"")"),36174.33)</f>
        <v>36174.33</v>
      </c>
      <c r="BM53" s="57">
        <f ca="1">IFERROR(__xludf.DUMMYFUNCTION("IMPORTRANGE(""https://docs.google.com/spreadsheets/d/1hKO5uv94SSRZWOvrh72HRcpyoEQF9TsE_Cvxl77XNU4/edit?usp=sharing"",""กาญจนบุรี!I594"")"),2161)</f>
        <v>2161</v>
      </c>
      <c r="BN53" s="63">
        <f ca="1">IFERROR(__xludf.DUMMYFUNCTION("IMPORTRANGE(""https://docs.google.com/spreadsheets/d/1hKO5uv94SSRZWOvrh72HRcpyoEQF9TsE_Cvxl77XNU4/edit?usp=sharing"",""กาญจนบุรี!J593"")"),8253)</f>
        <v>8253</v>
      </c>
      <c r="BO53" s="63">
        <f t="shared" ca="1" si="40"/>
        <v>22.814520683589716</v>
      </c>
      <c r="BP53" s="57">
        <f ca="1">IFERROR(__xludf.DUMMYFUNCTION("IMPORTRANGE(""https://docs.google.com/spreadsheets/d/1hKO5uv94SSRZWOvrh72HRcpyoEQF9TsE_Cvxl77XNU4/edit?usp=sharing"",""กาญจนบุรี!J594"")"),416)</f>
        <v>416</v>
      </c>
      <c r="BQ53" s="63">
        <f t="shared" ca="1" si="16"/>
        <v>19.250347061545583</v>
      </c>
      <c r="BR53" s="63">
        <f ca="1">IFERROR(__xludf.DUMMYFUNCTION("IMPORTRANGE(""https://docs.google.com/spreadsheets/d/1hKO5uv94SSRZWOvrh72HRcpyoEQF9TsE_Cvxl77XNU4/edit?usp=sharing"",""กาญจนบุรี!J595"")"),7832)</f>
        <v>7832</v>
      </c>
      <c r="BS53" s="140">
        <f ca="1">IFERROR(__xludf.DUMMYFUNCTION("IMPORTRANGE(""https://docs.google.com/spreadsheets/d/1hKO5uv94SSRZWOvrh72HRcpyoEQF9TsE_Cvxl77XNU4/edit?usp=sharing"",""กาญจนบุรี!J596"")"),398)</f>
        <v>398</v>
      </c>
      <c r="BT53" s="63">
        <f ca="1">IFERROR(__xludf.DUMMYFUNCTION("IMPORTRANGE(""https://docs.google.com/spreadsheets/d/1hKO5uv94SSRZWOvrh72HRcpyoEQF9TsE_Cvxl77XNU4/edit?usp=sharing"",""กาญจนบุรี!J597"")"),7832)</f>
        <v>7832</v>
      </c>
      <c r="BU53" s="140">
        <f ca="1">IFERROR(__xludf.DUMMYFUNCTION("IMPORTRANGE(""https://docs.google.com/spreadsheets/d/1hKO5uv94SSRZWOvrh72HRcpyoEQF9TsE_Cvxl77XNU4/edit?usp=sharing"",""กาญจนบุรี!J598"")"),398)</f>
        <v>398</v>
      </c>
      <c r="BV53" s="63">
        <f ca="1">IFERROR(__xludf.DUMMYFUNCTION("IMPORTRANGE(""https://docs.google.com/spreadsheets/d/1hKO5uv94SSRZWOvrh72HRcpyoEQF9TsE_Cvxl77XNU4/edit?usp=sharing"",""กาญจนบุรี!J599"")"),0)</f>
        <v>0</v>
      </c>
      <c r="BW53" s="140">
        <f ca="1">IFERROR(__xludf.DUMMYFUNCTION("IMPORTRANGE(""https://docs.google.com/spreadsheets/d/1hKO5uv94SSRZWOvrh72HRcpyoEQF9TsE_Cvxl77XNU4/edit?usp=sharing"",""กาญจนบุรี!J600"")"),0)</f>
        <v>0</v>
      </c>
      <c r="BX53" s="141">
        <f ca="1">IFERROR(__xludf.DUMMYFUNCTION("IMPORTRANGE(""https://docs.google.com/spreadsheets/d/1hKO5uv94SSRZWOvrh72HRcpyoEQF9TsE_Cvxl77XNU4/edit?usp=sharing"",""กาญจนบุรี!J601"")"),0)</f>
        <v>0</v>
      </c>
      <c r="BY53" s="140">
        <f ca="1">IFERROR(__xludf.DUMMYFUNCTION("IMPORTRANGE(""https://docs.google.com/spreadsheets/d/1hKO5uv94SSRZWOvrh72HRcpyoEQF9TsE_Cvxl77XNU4/edit?usp=sharing"",""กาญจนบุรี!J602"")"),0)</f>
        <v>0</v>
      </c>
      <c r="BZ53" s="63">
        <f ca="1">IFERROR(__xludf.DUMMYFUNCTION("IMPORTRANGE(""https://docs.google.com/spreadsheets/d/1hKO5uv94SSRZWOvrh72HRcpyoEQF9TsE_Cvxl77XNU4/edit?usp=sharing"",""กาญจนบุรี!J603"")"),421)</f>
        <v>421</v>
      </c>
      <c r="CA53" s="140">
        <f ca="1">IFERROR(__xludf.DUMMYFUNCTION("IMPORTRANGE(""https://docs.google.com/spreadsheets/d/1hKO5uv94SSRZWOvrh72HRcpyoEQF9TsE_Cvxl77XNU4/edit?usp=sharing"",""กาญจนบุรี!J604"")"),18)</f>
        <v>18</v>
      </c>
      <c r="CB53" s="63">
        <f ca="1">IFERROR(__xludf.DUMMYFUNCTION("IMPORTRANGE(""https://docs.google.com/spreadsheets/d/1hKO5uv94SSRZWOvrh72HRcpyoEQF9TsE_Cvxl77XNU4/edit?usp=sharing"",""กาญจนบุรี!J605"")"),421)</f>
        <v>421</v>
      </c>
      <c r="CC53" s="140">
        <f ca="1">IFERROR(__xludf.DUMMYFUNCTION("IMPORTRANGE(""https://docs.google.com/spreadsheets/d/1hKO5uv94SSRZWOvrh72HRcpyoEQF9TsE_Cvxl77XNU4/edit?usp=sharing"",""กาญจนบุรี!J606"")"),18)</f>
        <v>18</v>
      </c>
      <c r="CD53" s="63">
        <f ca="1">IFERROR(__xludf.DUMMYFUNCTION("IMPORTRANGE(""https://docs.google.com/spreadsheets/d/1hKO5uv94SSRZWOvrh72HRcpyoEQF9TsE_Cvxl77XNU4/edit?usp=sharing"",""กาญจนบุรี!J607"")"),0)</f>
        <v>0</v>
      </c>
      <c r="CE53" s="140">
        <f ca="1">IFERROR(__xludf.DUMMYFUNCTION("IMPORTRANGE(""https://docs.google.com/spreadsheets/d/1hKO5uv94SSRZWOvrh72HRcpyoEQF9TsE_Cvxl77XNU4/edit?usp=sharing"",""กาญจนบุรี!J608"")"),0)</f>
        <v>0</v>
      </c>
      <c r="CF53" s="63">
        <f ca="1">IFERROR(__xludf.DUMMYFUNCTION("IMPORTRANGE(""https://docs.google.com/spreadsheets/d/1hKO5uv94SSRZWOvrh72HRcpyoEQF9TsE_Cvxl77XNU4/edit?usp=sharing"",""กาญจนบุรี!J609"")"),0)</f>
        <v>0</v>
      </c>
      <c r="CG53" s="140">
        <f ca="1">IFERROR(__xludf.DUMMYFUNCTION("IMPORTRANGE(""https://docs.google.com/spreadsheets/d/1hKO5uv94SSRZWOvrh72HRcpyoEQF9TsE_Cvxl77XNU4/edit?usp=sharing"",""กาญจนบุรี!J610"")"),0)</f>
        <v>0</v>
      </c>
      <c r="CH53" s="140">
        <f ca="1">IFERROR(__xludf.DUMMYFUNCTION("IMPORTRANGE(""https://docs.google.com/spreadsheets/d/1hKO5uv94SSRZWOvrh72HRcpyoEQF9TsE_Cvxl77XNU4/edit?usp=sharing"",""กาญจนบุรี!I612"")"),0)</f>
        <v>0</v>
      </c>
      <c r="CI53" s="140">
        <f ca="1">IFERROR(__xludf.DUMMYFUNCTION("IMPORTRANGE(""https://docs.google.com/spreadsheets/d/1hKO5uv94SSRZWOvrh72HRcpyoEQF9TsE_Cvxl77XNU4/edit?usp=sharing"",""กาญจนบุรี!I594"")"),2161)</f>
        <v>2161</v>
      </c>
      <c r="CJ53" s="141">
        <f ca="1">IFERROR(__xludf.DUMMYFUNCTION("IMPORTRANGE(""https://docs.google.com/spreadsheets/d/1hKO5uv94SSRZWOvrh72HRcpyoEQF9TsE_Cvxl77XNU4/edit?usp=sharing"",""กาญจนบุรี!J612"")"),0)</f>
        <v>0</v>
      </c>
      <c r="CK53" s="141">
        <f t="shared" ca="1" si="41"/>
        <v>0</v>
      </c>
      <c r="CL53" s="140">
        <f ca="1">IFERROR(__xludf.DUMMYFUNCTION("IMPORTRANGE(""https://docs.google.com/spreadsheets/d/1hKO5uv94SSRZWOvrh72HRcpyoEQF9TsE_Cvxl77XNU4/edit?usp=sharing"",""กาญจนบุรี!J613"")"),0)</f>
        <v>0</v>
      </c>
      <c r="CM53" s="141">
        <f t="shared" ca="1" si="19"/>
        <v>0</v>
      </c>
      <c r="CN53" s="63">
        <f ca="1">IFERROR(__xludf.DUMMYFUNCTION("IMPORTRANGE(""https://docs.google.com/spreadsheets/d/1hKO5uv94SSRZWOvrh72HRcpyoEQF9TsE_Cvxl77XNU4/edit?usp=sharing"",""กาญจนบุรี!J614"")"),0)</f>
        <v>0</v>
      </c>
      <c r="CO53" s="140">
        <f ca="1">IFERROR(__xludf.DUMMYFUNCTION("IMPORTRANGE(""https://docs.google.com/spreadsheets/d/1hKO5uv94SSRZWOvrh72HRcpyoEQF9TsE_Cvxl77XNU4/edit?usp=sharing"",""กาญจนบุรี!J615"")"),0)</f>
        <v>0</v>
      </c>
      <c r="CP53" s="63">
        <f ca="1">IFERROR(__xludf.DUMMYFUNCTION("IMPORTRANGE(""https://docs.google.com/spreadsheets/d/1hKO5uv94SSRZWOvrh72HRcpyoEQF9TsE_Cvxl77XNU4/edit?usp=sharing"",""กาญจนบุรี!J616"")"),0)</f>
        <v>0</v>
      </c>
      <c r="CQ53" s="140">
        <f ca="1">IFERROR(__xludf.DUMMYFUNCTION("IMPORTRANGE(""https://docs.google.com/spreadsheets/d/1hKO5uv94SSRZWOvrh72HRcpyoEQF9TsE_Cvxl77XNU4/edit?usp=sharing"",""กาญจนบุรี!J617"")"),0)</f>
        <v>0</v>
      </c>
      <c r="CR53" s="140">
        <f ca="1">IFERROR(__xludf.DUMMYFUNCTION("IMPORTRANGE(""https://docs.google.com/spreadsheets/d/1hKO5uv94SSRZWOvrh72HRcpyoEQF9TsE_Cvxl77XNU4/edit?usp=sharing"",""กาญจนบุรี!I620"")"),666)</f>
        <v>666</v>
      </c>
      <c r="CS53" s="140">
        <f ca="1">IFERROR(__xludf.DUMMYFUNCTION("IMPORTRANGE(""https://docs.google.com/spreadsheets/d/1hKO5uv94SSRZWOvrh72HRcpyoEQF9TsE_Cvxl77XNU4/edit?usp=sharing"",""กาญจนบุรี!I621"")"),26)</f>
        <v>26</v>
      </c>
      <c r="CT53" s="141">
        <f ca="1">IFERROR(__xludf.DUMMYFUNCTION("IMPORTRANGE(""https://docs.google.com/spreadsheets/d/1hKO5uv94SSRZWOvrh72HRcpyoEQF9TsE_Cvxl77XNU4/edit?usp=sharing"",""กาญจนบุรี!J620"")"),0)</f>
        <v>0</v>
      </c>
      <c r="CU53" s="141">
        <f t="shared" ca="1" si="42"/>
        <v>0</v>
      </c>
      <c r="CV53" s="140">
        <f ca="1">IFERROR(__xludf.DUMMYFUNCTION("IMPORTRANGE(""https://docs.google.com/spreadsheets/d/1hKO5uv94SSRZWOvrh72HRcpyoEQF9TsE_Cvxl77XNU4/edit?usp=sharing"",""กาญจนบุรี!J621"")"),0)</f>
        <v>0</v>
      </c>
      <c r="CW53" s="141">
        <f t="shared" ca="1" si="22"/>
        <v>0</v>
      </c>
      <c r="CX53" s="63">
        <f ca="1">IFERROR(__xludf.DUMMYFUNCTION("IMPORTRANGE(""https://docs.google.com/spreadsheets/d/1hKO5uv94SSRZWOvrh72HRcpyoEQF9TsE_Cvxl77XNU4/edit?usp=sharing"",""กาญจนบุรี!J622"")"),0)</f>
        <v>0</v>
      </c>
      <c r="CY53" s="140">
        <f ca="1">IFERROR(__xludf.DUMMYFUNCTION("IMPORTRANGE(""https://docs.google.com/spreadsheets/d/1hKO5uv94SSRZWOvrh72HRcpyoEQF9TsE_Cvxl77XNU4/edit?usp=sharing"",""กาญจนบุรี!J623"")"),0)</f>
        <v>0</v>
      </c>
      <c r="CZ53" s="63">
        <f ca="1">IFERROR(__xludf.DUMMYFUNCTION("IMPORTRANGE(""https://docs.google.com/spreadsheets/d/1hKO5uv94SSRZWOvrh72HRcpyoEQF9TsE_Cvxl77XNU4/edit?usp=sharing"",""กาญจนบุรี!J624"")"),0)</f>
        <v>0</v>
      </c>
      <c r="DA53" s="140">
        <f ca="1">IFERROR(__xludf.DUMMYFUNCTION("IMPORTRANGE(""https://docs.google.com/spreadsheets/d/1hKO5uv94SSRZWOvrh72HRcpyoEQF9TsE_Cvxl77XNU4/edit?usp=sharing"",""กาญจนบุรี!J625"")"),0)</f>
        <v>0</v>
      </c>
      <c r="DB53" s="63">
        <f ca="1">IFERROR(__xludf.DUMMYFUNCTION("IMPORTRANGE(""https://docs.google.com/spreadsheets/d/1hKO5uv94SSRZWOvrh72HRcpyoEQF9TsE_Cvxl77XNU4/edit?usp=sharing"",""กาญจนบุรี!J626"")"),0)</f>
        <v>0</v>
      </c>
      <c r="DC53" s="140">
        <f ca="1">IFERROR(__xludf.DUMMYFUNCTION("IMPORTRANGE(""https://docs.google.com/spreadsheets/d/1hKO5uv94SSRZWOvrh72HRcpyoEQF9TsE_Cvxl77XNU4/edit?usp=sharing"",""กาญจนบุรี!J627"")"),0)</f>
        <v>0</v>
      </c>
    </row>
    <row r="54" spans="1:107" ht="21" customHeight="1" x14ac:dyDescent="0.3">
      <c r="A54" s="54">
        <v>2</v>
      </c>
      <c r="B54" s="55" t="s">
        <v>75</v>
      </c>
      <c r="C54" s="56">
        <f t="shared" ca="1" si="77"/>
        <v>284300</v>
      </c>
      <c r="D54" s="57">
        <f ca="1">IFERROR(__xludf.DUMMYFUNCTION("IMPORTRANGE(""https://docs.google.com/spreadsheets/d/1njBaP_xXd-Uotvo2D9zb01TTCFkLJLDK97Tk1l9Qux0/edit?usp=sharing"",""จันทบุรี!L549"")"),284300)</f>
        <v>284300</v>
      </c>
      <c r="E54" s="64">
        <f ca="1">IFERROR(__xludf.DUMMYFUNCTION("IMPORTRANGE(""https://docs.google.com/spreadsheets/d/1njBaP_xXd-Uotvo2D9zb01TTCFkLJLDK97Tk1l9Qux0/edit?usp=sharing"",""จันทบุรี!L557"")"),0)</f>
        <v>0</v>
      </c>
      <c r="F54" s="64">
        <f ca="1">IFERROR(__xludf.DUMMYFUNCTION("IMPORTRANGE(""https://docs.google.com/spreadsheets/d/1njBaP_xXd-Uotvo2D9zb01TTCFkLJLDK97Tk1l9Qux0/edit?usp=sharing"",""จันทบุรี!M549"")"),284300)</f>
        <v>284300</v>
      </c>
      <c r="G54" s="64">
        <f ca="1">IFERROR(__xludf.DUMMYFUNCTION("IMPORTRANGE(""https://docs.google.com/spreadsheets/d/1njBaP_xXd-Uotvo2D9zb01TTCFkLJLDK97Tk1l9Qux0/edit?usp=sharing"",""จันทบุรี!M557"")"),0)</f>
        <v>0</v>
      </c>
      <c r="H54" s="58">
        <f t="shared" ca="1" si="36"/>
        <v>112600</v>
      </c>
      <c r="I54" s="59">
        <f t="shared" ca="1" si="1"/>
        <v>39.60604994723883</v>
      </c>
      <c r="J54" s="60">
        <f t="shared" ca="1" si="78"/>
        <v>112600</v>
      </c>
      <c r="K54" s="61">
        <f t="shared" ca="1" si="44"/>
        <v>39.60604994723883</v>
      </c>
      <c r="L54" s="61">
        <f t="shared" ca="1" si="45"/>
        <v>39.60604994723883</v>
      </c>
      <c r="M54" s="64">
        <f ca="1">IFERROR(__xludf.DUMMYFUNCTION("IMPORTRANGE(""https://docs.google.com/spreadsheets/d/1njBaP_xXd-Uotvo2D9zb01TTCFkLJLDK97Tk1l9Qux0/edit?usp=sharing"",""จันทบุรี!N550"")"),0)</f>
        <v>0</v>
      </c>
      <c r="N54" s="64">
        <f ca="1">IFERROR(__xludf.DUMMYFUNCTION("IMPORTRANGE(""https://docs.google.com/spreadsheets/d/1njBaP_xXd-Uotvo2D9zb01TTCFkLJLDK97Tk1l9Qux0/edit?usp=sharing"",""จันทบุรี!N551"")"),0)</f>
        <v>0</v>
      </c>
      <c r="O54" s="64">
        <f ca="1">IFERROR(__xludf.DUMMYFUNCTION("IMPORTRANGE(""https://docs.google.com/spreadsheets/d/1njBaP_xXd-Uotvo2D9zb01TTCFkLJLDK97Tk1l9Qux0/edit?usp=sharing"",""จันทบุรี!N552"")"),62830)</f>
        <v>62830</v>
      </c>
      <c r="P54" s="64">
        <f ca="1">IFERROR(__xludf.DUMMYFUNCTION("IMPORTRANGE(""https://docs.google.com/spreadsheets/d/1njBaP_xXd-Uotvo2D9zb01TTCFkLJLDK97Tk1l9Qux0/edit?usp=sharing"",""จันทบุรี!N553"")"),49770)</f>
        <v>49770</v>
      </c>
      <c r="Q54" s="64">
        <f ca="1">IFERROR(__xludf.DUMMYFUNCTION("IMPORTRANGE(""https://docs.google.com/spreadsheets/d/1njBaP_xXd-Uotvo2D9zb01TTCFkLJLDK97Tk1l9Qux0/edit?usp=sharing"",""จันทบุรี!N554"")"),0)</f>
        <v>0</v>
      </c>
      <c r="R54" s="62">
        <f ca="1">IFERROR(__xludf.DUMMYFUNCTION("IMPORTRANGE(""https://docs.google.com/spreadsheets/d/1njBaP_xXd-Uotvo2D9zb01TTCFkLJLDK97Tk1l9Qux0/edit?usp=sharing"",""จันทบุรี!N557"")"),0)</f>
        <v>0</v>
      </c>
      <c r="S54" s="62">
        <f t="shared" ca="1" si="47"/>
        <v>0</v>
      </c>
      <c r="T54" s="57">
        <f ca="1">IFERROR(__xludf.DUMMYFUNCTION("IMPORTRANGE(""https://docs.google.com/spreadsheets/d/1njBaP_xXd-Uotvo2D9zb01TTCFkLJLDK97Tk1l9Qux0/edit?usp=sharing"",""จันทบุรี!I560"")"),0)</f>
        <v>0</v>
      </c>
      <c r="U54" s="57">
        <f ca="1">IFERROR(__xludf.DUMMYFUNCTION("IMPORTRANGE(""https://docs.google.com/spreadsheets/d/1njBaP_xXd-Uotvo2D9zb01TTCFkLJLDK97Tk1l9Qux0/edit?usp=sharing"",""จันทบุรี!I561"")"),0)</f>
        <v>0</v>
      </c>
      <c r="V54" s="63">
        <f ca="1">IFERROR(__xludf.DUMMYFUNCTION("IMPORTRANGE(""https://docs.google.com/spreadsheets/d/1njBaP_xXd-Uotvo2D9zb01TTCFkLJLDK97Tk1l9Qux0/edit?usp=sharing"",""จันทบุรี!J560"")"),0)</f>
        <v>0</v>
      </c>
      <c r="W54" s="63">
        <f t="shared" ca="1" si="37"/>
        <v>0</v>
      </c>
      <c r="X54" s="57">
        <f ca="1">IFERROR(__xludf.DUMMYFUNCTION("IMPORTRANGE(""https://docs.google.com/spreadsheets/d/1njBaP_xXd-Uotvo2D9zb01TTCFkLJLDK97Tk1l9Qux0/edit?usp=sharing"",""จันทบุรี!J561"")"),0)</f>
        <v>0</v>
      </c>
      <c r="Y54" s="63">
        <f t="shared" ca="1" si="7"/>
        <v>0</v>
      </c>
      <c r="Z54" s="63">
        <f ca="1">IFERROR(__xludf.DUMMYFUNCTION("IMPORTRANGE(""https://docs.google.com/spreadsheets/d/1njBaP_xXd-Uotvo2D9zb01TTCFkLJLDK97Tk1l9Qux0/edit?usp=sharing"",""จันทบุรี!J562"")"),0)</f>
        <v>0</v>
      </c>
      <c r="AA54" s="140">
        <f ca="1">IFERROR(__xludf.DUMMYFUNCTION("IMPORTRANGE(""https://docs.google.com/spreadsheets/d/1njBaP_xXd-Uotvo2D9zb01TTCFkLJLDK97Tk1l9Qux0/edit?usp=sharing"",""จันทบุรี!J563"")"),0)</f>
        <v>0</v>
      </c>
      <c r="AB54" s="63">
        <f ca="1">IFERROR(__xludf.DUMMYFUNCTION("IMPORTRANGE(""https://docs.google.com/spreadsheets/d/1njBaP_xXd-Uotvo2D9zb01TTCFkLJLDK97Tk1l9Qux0/edit?usp=sharing"",""จันทบุรี!J564"")"),0)</f>
        <v>0</v>
      </c>
      <c r="AC54" s="140">
        <f ca="1">IFERROR(__xludf.DUMMYFUNCTION("IMPORTRANGE(""https://docs.google.com/spreadsheets/d/1njBaP_xXd-Uotvo2D9zb01TTCFkLJLDK97Tk1l9Qux0/edit?usp=sharing"",""จันทบุรี!J565"")"),0)</f>
        <v>0</v>
      </c>
      <c r="AD54" s="63">
        <f ca="1">IFERROR(__xludf.DUMMYFUNCTION("IMPORTRANGE(""https://docs.google.com/spreadsheets/d/1njBaP_xXd-Uotvo2D9zb01TTCFkLJLDK97Tk1l9Qux0/edit?usp=sharing"",""จันทบุรี!J566"")"),0)</f>
        <v>0</v>
      </c>
      <c r="AE54" s="140">
        <f ca="1">IFERROR(__xludf.DUMMYFUNCTION("IMPORTRANGE(""https://docs.google.com/spreadsheets/d/1njBaP_xXd-Uotvo2D9zb01TTCFkLJLDK97Tk1l9Qux0/edit?usp=sharing"",""จันทบุรี!J567"")"),0)</f>
        <v>0</v>
      </c>
      <c r="AF54" s="57">
        <f ca="1">IFERROR(__xludf.DUMMYFUNCTION("IMPORTRANGE(""https://docs.google.com/spreadsheets/d/1njBaP_xXd-Uotvo2D9zb01TTCFkLJLDK97Tk1l9Qux0/edit?usp=sharing"",""จันทบุรี!I568"")"),0)</f>
        <v>0</v>
      </c>
      <c r="AG54" s="57">
        <f ca="1">IFERROR(__xludf.DUMMYFUNCTION("IMPORTRANGE(""https://docs.google.com/spreadsheets/d/1njBaP_xXd-Uotvo2D9zb01TTCFkLJLDK97Tk1l9Qux0/edit?usp=sharing"",""จันทบุรี!I569"")"),0)</f>
        <v>0</v>
      </c>
      <c r="AH54" s="63">
        <f ca="1">IFERROR(__xludf.DUMMYFUNCTION("IMPORTRANGE(""https://docs.google.com/spreadsheets/d/1njBaP_xXd-Uotvo2D9zb01TTCFkLJLDK97Tk1l9Qux0/edit?usp=sharing"",""จันทบุรี!J568"")"),0)</f>
        <v>0</v>
      </c>
      <c r="AI54" s="63">
        <f t="shared" ca="1" si="38"/>
        <v>0</v>
      </c>
      <c r="AJ54" s="57">
        <f ca="1">IFERROR(__xludf.DUMMYFUNCTION("IMPORTRANGE(""https://docs.google.com/spreadsheets/d/1njBaP_xXd-Uotvo2D9zb01TTCFkLJLDK97Tk1l9Qux0/edit?usp=sharing"",""จันทบุรี!J569"")"),0)</f>
        <v>0</v>
      </c>
      <c r="AK54" s="63">
        <f t="shared" ca="1" si="10"/>
        <v>0</v>
      </c>
      <c r="AL54" s="63">
        <f ca="1">IFERROR(__xludf.DUMMYFUNCTION("IMPORTRANGE(""https://docs.google.com/spreadsheets/d/1njBaP_xXd-Uotvo2D9zb01TTCFkLJLDK97Tk1l9Qux0/edit?usp=sharing"",""จันทบุรี!J570"")"),0)</f>
        <v>0</v>
      </c>
      <c r="AM54" s="140">
        <f ca="1">IFERROR(__xludf.DUMMYFUNCTION("IMPORTRANGE(""https://docs.google.com/spreadsheets/d/1njBaP_xXd-Uotvo2D9zb01TTCFkLJLDK97Tk1l9Qux0/edit?usp=sharing"",""จันทบุรี!J571"")"),0)</f>
        <v>0</v>
      </c>
      <c r="AN54" s="63">
        <f ca="1">IFERROR(__xludf.DUMMYFUNCTION("IMPORTRANGE(""https://docs.google.com/spreadsheets/d/1njBaP_xXd-Uotvo2D9zb01TTCFkLJLDK97Tk1l9Qux0/edit?usp=sharing"",""จันทบุรี!J572"")"),0)</f>
        <v>0</v>
      </c>
      <c r="AO54" s="140">
        <f ca="1">IFERROR(__xludf.DUMMYFUNCTION("IMPORTRANGE(""https://docs.google.com/spreadsheets/d/1njBaP_xXd-Uotvo2D9zb01TTCFkLJLDK97Tk1l9Qux0/edit?usp=sharing"",""จันทบุรี!J573"")"),0)</f>
        <v>0</v>
      </c>
      <c r="AP54" s="63">
        <f ca="1">IFERROR(__xludf.DUMMYFUNCTION("IMPORTRANGE(""https://docs.google.com/spreadsheets/d/1njBaP_xXd-Uotvo2D9zb01TTCFkLJLDK97Tk1l9Qux0/edit?usp=sharing"",""จันทบุรี!J574"")"),0)</f>
        <v>0</v>
      </c>
      <c r="AQ54" s="140">
        <f ca="1">IFERROR(__xludf.DUMMYFUNCTION("IMPORTRANGE(""https://docs.google.com/spreadsheets/d/1njBaP_xXd-Uotvo2D9zb01TTCFkLJLDK97Tk1l9Qux0/edit?usp=sharing"",""จันทบุรี!J575"")"),0)</f>
        <v>0</v>
      </c>
      <c r="AR54" s="57">
        <f ca="1">IFERROR(__xludf.DUMMYFUNCTION("IMPORTRANGE(""https://docs.google.com/spreadsheets/d/1njBaP_xXd-Uotvo2D9zb01TTCFkLJLDK97Tk1l9Qux0/edit?usp=sharing"",""จันทบุรี!I576"")"),0)</f>
        <v>0</v>
      </c>
      <c r="AS54" s="57">
        <f ca="1">IFERROR(__xludf.DUMMYFUNCTION("IMPORTRANGE(""https://docs.google.com/spreadsheets/d/1njBaP_xXd-Uotvo2D9zb01TTCFkLJLDK97Tk1l9Qux0/edit?usp=sharing"",""จันทบุรี!I577"")"),0)</f>
        <v>0</v>
      </c>
      <c r="AT54" s="63">
        <f ca="1">IFERROR(__xludf.DUMMYFUNCTION("IMPORTRANGE(""https://docs.google.com/spreadsheets/d/1njBaP_xXd-Uotvo2D9zb01TTCFkLJLDK97Tk1l9Qux0/edit?usp=sharing"",""จันทบุรี!J576"")"),0)</f>
        <v>0</v>
      </c>
      <c r="AU54" s="63">
        <f t="shared" ca="1" si="39"/>
        <v>0</v>
      </c>
      <c r="AV54" s="57">
        <f ca="1">IFERROR(__xludf.DUMMYFUNCTION("IMPORTRANGE(""https://docs.google.com/spreadsheets/d/1njBaP_xXd-Uotvo2D9zb01TTCFkLJLDK97Tk1l9Qux0/edit?usp=sharing"",""จันทบุรี!J577"")"),0)</f>
        <v>0</v>
      </c>
      <c r="AW54" s="63">
        <f t="shared" ca="1" si="13"/>
        <v>0</v>
      </c>
      <c r="AX54" s="63">
        <f ca="1">IFERROR(__xludf.DUMMYFUNCTION("IMPORTRANGE(""https://docs.google.com/spreadsheets/d/1njBaP_xXd-Uotvo2D9zb01TTCFkLJLDK97Tk1l9Qux0/edit?usp=sharing"",""จันทบุรี!J578"")"),0)</f>
        <v>0</v>
      </c>
      <c r="AY54" s="140">
        <f ca="1">IFERROR(__xludf.DUMMYFUNCTION("IMPORTRANGE(""https://docs.google.com/spreadsheets/d/1njBaP_xXd-Uotvo2D9zb01TTCFkLJLDK97Tk1l9Qux0/edit?usp=sharing"",""จันทบุรี!J579"")"),0)</f>
        <v>0</v>
      </c>
      <c r="AZ54" s="63">
        <f ca="1">IFERROR(__xludf.DUMMYFUNCTION("IMPORTRANGE(""https://docs.google.com/spreadsheets/d/1njBaP_xXd-Uotvo2D9zb01TTCFkLJLDK97Tk1l9Qux0/edit?usp=sharing"",""จันทบุรี!J580"")"),0)</f>
        <v>0</v>
      </c>
      <c r="BA54" s="140">
        <f ca="1">IFERROR(__xludf.DUMMYFUNCTION("IMPORTRANGE(""https://docs.google.com/spreadsheets/d/1njBaP_xXd-Uotvo2D9zb01TTCFkLJLDK97Tk1l9Qux0/edit?usp=sharing"",""จันทบุรี!J581"")"),0)</f>
        <v>0</v>
      </c>
      <c r="BB54" s="63">
        <f ca="1">IFERROR(__xludf.DUMMYFUNCTION("IMPORTRANGE(""https://docs.google.com/spreadsheets/d/1njBaP_xXd-Uotvo2D9zb01TTCFkLJLDK97Tk1l9Qux0/edit?usp=sharing"",""จันทบุรี!J582"")"),0)</f>
        <v>0</v>
      </c>
      <c r="BC54" s="140">
        <f ca="1">IFERROR(__xludf.DUMMYFUNCTION("IMPORTRANGE(""https://docs.google.com/spreadsheets/d/1njBaP_xXd-Uotvo2D9zb01TTCFkLJLDK97Tk1l9Qux0/edit?usp=sharing"",""จันทบุรี!J583"")"),0)</f>
        <v>0</v>
      </c>
      <c r="BD54" s="141">
        <f ca="1">IFERROR(__xludf.DUMMYFUNCTION("IMPORTRANGE(""https://docs.google.com/spreadsheets/d/1njBaP_xXd-Uotvo2D9zb01TTCFkLJLDK97Tk1l9Qux0/edit?usp=sharing"",""จันทบุรี!J584"")"),0)</f>
        <v>0</v>
      </c>
      <c r="BE54" s="140">
        <f ca="1">IFERROR(__xludf.DUMMYFUNCTION("IMPORTRANGE(""https://docs.google.com/spreadsheets/d/1njBaP_xXd-Uotvo2D9zb01TTCFkLJLDK97Tk1l9Qux0/edit?usp=sharing"",""จันทบุรี!J585"")"),0)</f>
        <v>0</v>
      </c>
      <c r="BF54" s="141">
        <f ca="1">IFERROR(__xludf.DUMMYFUNCTION("IMPORTRANGE(""https://docs.google.com/spreadsheets/d/1njBaP_xXd-Uotvo2D9zb01TTCFkLJLDK97Tk1l9Qux0/edit?usp=sharing"",""จันทบุรี!J586"")"),0)</f>
        <v>0</v>
      </c>
      <c r="BG54" s="140">
        <f ca="1">IFERROR(__xludf.DUMMYFUNCTION("IMPORTRANGE(""https://docs.google.com/spreadsheets/d/1njBaP_xXd-Uotvo2D9zb01TTCFkLJLDK97Tk1l9Qux0/edit?usp=sharing"",""จันทบุรี!J587"")"),0)</f>
        <v>0</v>
      </c>
      <c r="BH54" s="63">
        <f ca="1">IFERROR(__xludf.DUMMYFUNCTION("IMPORTRANGE(""https://docs.google.com/spreadsheets/d/1njBaP_xXd-Uotvo2D9zb01TTCFkLJLDK97Tk1l9Qux0/edit?usp=sharing"",""จันทบุรี!J588"")"),0)</f>
        <v>0</v>
      </c>
      <c r="BI54" s="140">
        <f ca="1">IFERROR(__xludf.DUMMYFUNCTION("IMPORTRANGE(""https://docs.google.com/spreadsheets/d/1njBaP_xXd-Uotvo2D9zb01TTCFkLJLDK97Tk1l9Qux0/edit?usp=sharing"",""จันทบุรี!J589"")"),0)</f>
        <v>0</v>
      </c>
      <c r="BJ54" s="63">
        <f ca="1">IFERROR(__xludf.DUMMYFUNCTION("IMPORTRANGE(""https://docs.google.com/spreadsheets/d/1njBaP_xXd-Uotvo2D9zb01TTCFkLJLDK97Tk1l9Qux0/edit?usp=sharing"",""จันทบุรี!J590"")"),0)</f>
        <v>0</v>
      </c>
      <c r="BK54" s="140">
        <f ca="1">IFERROR(__xludf.DUMMYFUNCTION("IMPORTRANGE(""https://docs.google.com/spreadsheets/d/1njBaP_xXd-Uotvo2D9zb01TTCFkLJLDK97Tk1l9Qux0/edit?usp=sharing"",""จันทบุรี!J591"")"),0)</f>
        <v>0</v>
      </c>
      <c r="BL54" s="57">
        <f ca="1">IFERROR(__xludf.DUMMYFUNCTION("IMPORTRANGE(""https://docs.google.com/spreadsheets/d/1njBaP_xXd-Uotvo2D9zb01TTCFkLJLDK97Tk1l9Qux0/edit?usp=sharing"",""จันทบุรี!I593"")"),3092.89)</f>
        <v>3092.89</v>
      </c>
      <c r="BM54" s="57">
        <f ca="1">IFERROR(__xludf.DUMMYFUNCTION("IMPORTRANGE(""https://docs.google.com/spreadsheets/d/1njBaP_xXd-Uotvo2D9zb01TTCFkLJLDK97Tk1l9Qux0/edit?usp=sharing"",""จันทบุรี!I594"")"),241)</f>
        <v>241</v>
      </c>
      <c r="BN54" s="63">
        <f ca="1">IFERROR(__xludf.DUMMYFUNCTION("IMPORTRANGE(""https://docs.google.com/spreadsheets/d/1njBaP_xXd-Uotvo2D9zb01TTCFkLJLDK97Tk1l9Qux0/edit?usp=sharing"",""จันทบุรี!J593"")"),617)</f>
        <v>617</v>
      </c>
      <c r="BO54" s="63">
        <f t="shared" ca="1" si="40"/>
        <v>19.948979756797041</v>
      </c>
      <c r="BP54" s="57">
        <f ca="1">IFERROR(__xludf.DUMMYFUNCTION("IMPORTRANGE(""https://docs.google.com/spreadsheets/d/1njBaP_xXd-Uotvo2D9zb01TTCFkLJLDK97Tk1l9Qux0/edit?usp=sharing"",""จันทบุรี!J594"")"),49)</f>
        <v>49</v>
      </c>
      <c r="BQ54" s="63">
        <f t="shared" ca="1" si="16"/>
        <v>20.331950207468878</v>
      </c>
      <c r="BR54" s="63">
        <f ca="1">IFERROR(__xludf.DUMMYFUNCTION("IMPORTRANGE(""https://docs.google.com/spreadsheets/d/1njBaP_xXd-Uotvo2D9zb01TTCFkLJLDK97Tk1l9Qux0/edit?usp=sharing"",""จันทบุรี!J595"")"),617)</f>
        <v>617</v>
      </c>
      <c r="BS54" s="140">
        <f ca="1">IFERROR(__xludf.DUMMYFUNCTION("IMPORTRANGE(""https://docs.google.com/spreadsheets/d/1njBaP_xXd-Uotvo2D9zb01TTCFkLJLDK97Tk1l9Qux0/edit?usp=sharing"",""จันทบุรี!J596"")"),49)</f>
        <v>49</v>
      </c>
      <c r="BT54" s="63">
        <f ca="1">IFERROR(__xludf.DUMMYFUNCTION("IMPORTRANGE(""https://docs.google.com/spreadsheets/d/1njBaP_xXd-Uotvo2D9zb01TTCFkLJLDK97Tk1l9Qux0/edit?usp=sharing"",""จันทบุรี!J597"")"),617)</f>
        <v>617</v>
      </c>
      <c r="BU54" s="140">
        <f ca="1">IFERROR(__xludf.DUMMYFUNCTION("IMPORTRANGE(""https://docs.google.com/spreadsheets/d/1njBaP_xXd-Uotvo2D9zb01TTCFkLJLDK97Tk1l9Qux0/edit?usp=sharing"",""จันทบุรี!J598"")"),49)</f>
        <v>49</v>
      </c>
      <c r="BV54" s="63">
        <f ca="1">IFERROR(__xludf.DUMMYFUNCTION("IMPORTRANGE(""https://docs.google.com/spreadsheets/d/1njBaP_xXd-Uotvo2D9zb01TTCFkLJLDK97Tk1l9Qux0/edit?usp=sharing"",""จันทบุรี!J599"")"),0)</f>
        <v>0</v>
      </c>
      <c r="BW54" s="140">
        <f ca="1">IFERROR(__xludf.DUMMYFUNCTION("IMPORTRANGE(""https://docs.google.com/spreadsheets/d/1njBaP_xXd-Uotvo2D9zb01TTCFkLJLDK97Tk1l9Qux0/edit?usp=sharing"",""จันทบุรี!J600"")"),0)</f>
        <v>0</v>
      </c>
      <c r="BX54" s="141">
        <f ca="1">IFERROR(__xludf.DUMMYFUNCTION("IMPORTRANGE(""https://docs.google.com/spreadsheets/d/1njBaP_xXd-Uotvo2D9zb01TTCFkLJLDK97Tk1l9Qux0/edit?usp=sharing"",""จันทบุรี!J601"")"),0)</f>
        <v>0</v>
      </c>
      <c r="BY54" s="140">
        <f ca="1">IFERROR(__xludf.DUMMYFUNCTION("IMPORTRANGE(""https://docs.google.com/spreadsheets/d/1njBaP_xXd-Uotvo2D9zb01TTCFkLJLDK97Tk1l9Qux0/edit?usp=sharing"",""จันทบุรี!J602"")"),0)</f>
        <v>0</v>
      </c>
      <c r="BZ54" s="63">
        <f ca="1">IFERROR(__xludf.DUMMYFUNCTION("IMPORTRANGE(""https://docs.google.com/spreadsheets/d/1njBaP_xXd-Uotvo2D9zb01TTCFkLJLDK97Tk1l9Qux0/edit?usp=sharing"",""จันทบุรี!J603"")"),0)</f>
        <v>0</v>
      </c>
      <c r="CA54" s="140">
        <f ca="1">IFERROR(__xludf.DUMMYFUNCTION("IMPORTRANGE(""https://docs.google.com/spreadsheets/d/1njBaP_xXd-Uotvo2D9zb01TTCFkLJLDK97Tk1l9Qux0/edit?usp=sharing"",""จันทบุรี!J604"")"),0)</f>
        <v>0</v>
      </c>
      <c r="CB54" s="63">
        <f ca="1">IFERROR(__xludf.DUMMYFUNCTION("IMPORTRANGE(""https://docs.google.com/spreadsheets/d/1njBaP_xXd-Uotvo2D9zb01TTCFkLJLDK97Tk1l9Qux0/edit?usp=sharing"",""จันทบุรี!J605"")"),0)</f>
        <v>0</v>
      </c>
      <c r="CC54" s="140">
        <f ca="1">IFERROR(__xludf.DUMMYFUNCTION("IMPORTRANGE(""https://docs.google.com/spreadsheets/d/1njBaP_xXd-Uotvo2D9zb01TTCFkLJLDK97Tk1l9Qux0/edit?usp=sharing"",""จันทบุรี!J606"")"),0)</f>
        <v>0</v>
      </c>
      <c r="CD54" s="63">
        <f ca="1">IFERROR(__xludf.DUMMYFUNCTION("IMPORTRANGE(""https://docs.google.com/spreadsheets/d/1njBaP_xXd-Uotvo2D9zb01TTCFkLJLDK97Tk1l9Qux0/edit?usp=sharing"",""จันทบุรี!J607"")"),0)</f>
        <v>0</v>
      </c>
      <c r="CE54" s="140">
        <f ca="1">IFERROR(__xludf.DUMMYFUNCTION("IMPORTRANGE(""https://docs.google.com/spreadsheets/d/1njBaP_xXd-Uotvo2D9zb01TTCFkLJLDK97Tk1l9Qux0/edit?usp=sharing"",""จันทบุรี!J608"")"),0)</f>
        <v>0</v>
      </c>
      <c r="CF54" s="63">
        <f ca="1">IFERROR(__xludf.DUMMYFUNCTION("IMPORTRANGE(""https://docs.google.com/spreadsheets/d/1njBaP_xXd-Uotvo2D9zb01TTCFkLJLDK97Tk1l9Qux0/edit?usp=sharing"",""จันทบุรี!J609"")"),0)</f>
        <v>0</v>
      </c>
      <c r="CG54" s="140">
        <f ca="1">IFERROR(__xludf.DUMMYFUNCTION("IMPORTRANGE(""https://docs.google.com/spreadsheets/d/1njBaP_xXd-Uotvo2D9zb01TTCFkLJLDK97Tk1l9Qux0/edit?usp=sharing"",""จันทบุรี!J610"")"),0)</f>
        <v>0</v>
      </c>
      <c r="CH54" s="140">
        <f ca="1">IFERROR(__xludf.DUMMYFUNCTION("IMPORTRANGE(""https://docs.google.com/spreadsheets/d/1njBaP_xXd-Uotvo2D9zb01TTCFkLJLDK97Tk1l9Qux0/edit?usp=sharing"",""จันทบุรี!I612"")"),0)</f>
        <v>0</v>
      </c>
      <c r="CI54" s="140">
        <f ca="1">IFERROR(__xludf.DUMMYFUNCTION("IMPORTRANGE(""https://docs.google.com/spreadsheets/d/1njBaP_xXd-Uotvo2D9zb01TTCFkLJLDK97Tk1l9Qux0/edit?usp=sharing"",""จันทบุรี!I594"")"),241)</f>
        <v>241</v>
      </c>
      <c r="CJ54" s="141">
        <f ca="1">IFERROR(__xludf.DUMMYFUNCTION("IMPORTRANGE(""https://docs.google.com/spreadsheets/d/1njBaP_xXd-Uotvo2D9zb01TTCFkLJLDK97Tk1l9Qux0/edit?usp=sharing"",""จันทบุรี!J612"")"),0)</f>
        <v>0</v>
      </c>
      <c r="CK54" s="141">
        <f t="shared" ca="1" si="41"/>
        <v>0</v>
      </c>
      <c r="CL54" s="140">
        <f ca="1">IFERROR(__xludf.DUMMYFUNCTION("IMPORTRANGE(""https://docs.google.com/spreadsheets/d/1njBaP_xXd-Uotvo2D9zb01TTCFkLJLDK97Tk1l9Qux0/edit?usp=sharing"",""จันทบุรี!J613"")"),0)</f>
        <v>0</v>
      </c>
      <c r="CM54" s="141">
        <f t="shared" ca="1" si="19"/>
        <v>0</v>
      </c>
      <c r="CN54" s="63">
        <f ca="1">IFERROR(__xludf.DUMMYFUNCTION("IMPORTRANGE(""https://docs.google.com/spreadsheets/d/1njBaP_xXd-Uotvo2D9zb01TTCFkLJLDK97Tk1l9Qux0/edit?usp=sharing"",""จันทบุรี!J614"")"),0)</f>
        <v>0</v>
      </c>
      <c r="CO54" s="140">
        <f ca="1">IFERROR(__xludf.DUMMYFUNCTION("IMPORTRANGE(""https://docs.google.com/spreadsheets/d/1njBaP_xXd-Uotvo2D9zb01TTCFkLJLDK97Tk1l9Qux0/edit?usp=sharing"",""จันทบุรี!J615"")"),0)</f>
        <v>0</v>
      </c>
      <c r="CP54" s="63">
        <f ca="1">IFERROR(__xludf.DUMMYFUNCTION("IMPORTRANGE(""https://docs.google.com/spreadsheets/d/1njBaP_xXd-Uotvo2D9zb01TTCFkLJLDK97Tk1l9Qux0/edit?usp=sharing"",""จันทบุรี!J616"")"),0)</f>
        <v>0</v>
      </c>
      <c r="CQ54" s="140">
        <f ca="1">IFERROR(__xludf.DUMMYFUNCTION("IMPORTRANGE(""https://docs.google.com/spreadsheets/d/1njBaP_xXd-Uotvo2D9zb01TTCFkLJLDK97Tk1l9Qux0/edit?usp=sharing"",""จันทบุรี!J617"")"),0)</f>
        <v>0</v>
      </c>
      <c r="CR54" s="140">
        <f ca="1">IFERROR(__xludf.DUMMYFUNCTION("IMPORTRANGE(""https://docs.google.com/spreadsheets/d/1njBaP_xXd-Uotvo2D9zb01TTCFkLJLDK97Tk1l9Qux0/edit?usp=sharing"",""จันทบุรี!I620"")"),0)</f>
        <v>0</v>
      </c>
      <c r="CS54" s="140">
        <f ca="1">IFERROR(__xludf.DUMMYFUNCTION("IMPORTRANGE(""https://docs.google.com/spreadsheets/d/1njBaP_xXd-Uotvo2D9zb01TTCFkLJLDK97Tk1l9Qux0/edit?usp=sharing"",""จันทบุรี!I621"")"),0)</f>
        <v>0</v>
      </c>
      <c r="CT54" s="141">
        <f ca="1">IFERROR(__xludf.DUMMYFUNCTION("IMPORTRANGE(""https://docs.google.com/spreadsheets/d/1njBaP_xXd-Uotvo2D9zb01TTCFkLJLDK97Tk1l9Qux0/edit?usp=sharing"",""จันทบุรี!J620"")"),0)</f>
        <v>0</v>
      </c>
      <c r="CU54" s="141">
        <f t="shared" ca="1" si="42"/>
        <v>0</v>
      </c>
      <c r="CV54" s="140">
        <f ca="1">IFERROR(__xludf.DUMMYFUNCTION("IMPORTRANGE(""https://docs.google.com/spreadsheets/d/1njBaP_xXd-Uotvo2D9zb01TTCFkLJLDK97Tk1l9Qux0/edit?usp=sharing"",""จันทบุรี!J621"")"),0)</f>
        <v>0</v>
      </c>
      <c r="CW54" s="141">
        <f t="shared" ca="1" si="22"/>
        <v>0</v>
      </c>
      <c r="CX54" s="63">
        <f ca="1">IFERROR(__xludf.DUMMYFUNCTION("IMPORTRANGE(""https://docs.google.com/spreadsheets/d/1njBaP_xXd-Uotvo2D9zb01TTCFkLJLDK97Tk1l9Qux0/edit?usp=sharing"",""จันทบุรี!J622"")"),0)</f>
        <v>0</v>
      </c>
      <c r="CY54" s="140">
        <f ca="1">IFERROR(__xludf.DUMMYFUNCTION("IMPORTRANGE(""https://docs.google.com/spreadsheets/d/1njBaP_xXd-Uotvo2D9zb01TTCFkLJLDK97Tk1l9Qux0/edit?usp=sharing"",""จันทบุรี!J623"")"),0)</f>
        <v>0</v>
      </c>
      <c r="CZ54" s="63">
        <f ca="1">IFERROR(__xludf.DUMMYFUNCTION("IMPORTRANGE(""https://docs.google.com/spreadsheets/d/1njBaP_xXd-Uotvo2D9zb01TTCFkLJLDK97Tk1l9Qux0/edit?usp=sharing"",""จันทบุรี!J624"")"),0)</f>
        <v>0</v>
      </c>
      <c r="DA54" s="140">
        <f ca="1">IFERROR(__xludf.DUMMYFUNCTION("IMPORTRANGE(""https://docs.google.com/spreadsheets/d/1njBaP_xXd-Uotvo2D9zb01TTCFkLJLDK97Tk1l9Qux0/edit?usp=sharing"",""จันทบุรี!J625"")"),0)</f>
        <v>0</v>
      </c>
      <c r="DB54" s="63">
        <f ca="1">IFERROR(__xludf.DUMMYFUNCTION("IMPORTRANGE(""https://docs.google.com/spreadsheets/d/1njBaP_xXd-Uotvo2D9zb01TTCFkLJLDK97Tk1l9Qux0/edit?usp=sharing"",""จันทบุรี!J626"")"),0)</f>
        <v>0</v>
      </c>
      <c r="DC54" s="140">
        <f ca="1">IFERROR(__xludf.DUMMYFUNCTION("IMPORTRANGE(""https://docs.google.com/spreadsheets/d/1njBaP_xXd-Uotvo2D9zb01TTCFkLJLDK97Tk1l9Qux0/edit?usp=sharing"",""จันทบุรี!J627"")"),0)</f>
        <v>0</v>
      </c>
    </row>
    <row r="55" spans="1:107" ht="21" customHeight="1" x14ac:dyDescent="0.3">
      <c r="A55" s="54">
        <v>3</v>
      </c>
      <c r="B55" s="55" t="s">
        <v>76</v>
      </c>
      <c r="C55" s="56">
        <f t="shared" ca="1" si="77"/>
        <v>261500</v>
      </c>
      <c r="D55" s="57">
        <f ca="1">IFERROR(__xludf.DUMMYFUNCTION("IMPORTRANGE(""https://docs.google.com/spreadsheets/d/14xp6qUzrGFnUk_qnc1eEmfiaNRd4_grkhpfQH_46fa8/edit?usp=sharing"",""ฉะเชิงเทรา!L549"")"),261500)</f>
        <v>261500</v>
      </c>
      <c r="E55" s="64">
        <f ca="1">IFERROR(__xludf.DUMMYFUNCTION("IMPORTRANGE(""https://docs.google.com/spreadsheets/d/14xp6qUzrGFnUk_qnc1eEmfiaNRd4_grkhpfQH_46fa8/edit?usp=sharing"",""ฉะเชิงเทรา!L557"")"),0)</f>
        <v>0</v>
      </c>
      <c r="F55" s="64">
        <f ca="1">IFERROR(__xludf.DUMMYFUNCTION("IMPORTRANGE(""https://docs.google.com/spreadsheets/d/14xp6qUzrGFnUk_qnc1eEmfiaNRd4_grkhpfQH_46fa8/edit?usp=sharing"",""ฉะเชิงเทรา!M549"")"),261500)</f>
        <v>261500</v>
      </c>
      <c r="G55" s="64">
        <f ca="1">IFERROR(__xludf.DUMMYFUNCTION("IMPORTRANGE(""https://docs.google.com/spreadsheets/d/14xp6qUzrGFnUk_qnc1eEmfiaNRd4_grkhpfQH_46fa8/edit?usp=sharing"",""ฉะเชิงเทรา!M557"")"),0)</f>
        <v>0</v>
      </c>
      <c r="H55" s="58">
        <f t="shared" ca="1" si="36"/>
        <v>115777.3</v>
      </c>
      <c r="I55" s="59">
        <f t="shared" ca="1" si="1"/>
        <v>44.274302103250477</v>
      </c>
      <c r="J55" s="60">
        <f t="shared" ca="1" si="78"/>
        <v>115777.3</v>
      </c>
      <c r="K55" s="61">
        <f t="shared" ca="1" si="44"/>
        <v>44.274302103250477</v>
      </c>
      <c r="L55" s="61">
        <f t="shared" ca="1" si="45"/>
        <v>44.274302103250477</v>
      </c>
      <c r="M55" s="64">
        <f ca="1">IFERROR(__xludf.DUMMYFUNCTION("IMPORTRANGE(""https://docs.google.com/spreadsheets/d/14xp6qUzrGFnUk_qnc1eEmfiaNRd4_grkhpfQH_46fa8/edit?usp=sharing"",""ฉะเชิงเทรา!N550"")"),0)</f>
        <v>0</v>
      </c>
      <c r="N55" s="64">
        <f ca="1">IFERROR(__xludf.DUMMYFUNCTION("IMPORTRANGE(""https://docs.google.com/spreadsheets/d/14xp6qUzrGFnUk_qnc1eEmfiaNRd4_grkhpfQH_46fa8/edit?usp=sharing"",""ฉะเชิงเทรา!N551"")"),0)</f>
        <v>0</v>
      </c>
      <c r="O55" s="64">
        <f ca="1">IFERROR(__xludf.DUMMYFUNCTION("IMPORTRANGE(""https://docs.google.com/spreadsheets/d/14xp6qUzrGFnUk_qnc1eEmfiaNRd4_grkhpfQH_46fa8/edit?usp=sharing"",""ฉะเชิงเทรา!N552"")"),78000)</f>
        <v>78000</v>
      </c>
      <c r="P55" s="64">
        <f ca="1">IFERROR(__xludf.DUMMYFUNCTION("IMPORTRANGE(""https://docs.google.com/spreadsheets/d/14xp6qUzrGFnUk_qnc1eEmfiaNRd4_grkhpfQH_46fa8/edit?usp=sharing"",""ฉะเชิงเทรา!N553"")"),37777.3)</f>
        <v>37777.300000000003</v>
      </c>
      <c r="Q55" s="64">
        <f ca="1">IFERROR(__xludf.DUMMYFUNCTION("IMPORTRANGE(""https://docs.google.com/spreadsheets/d/14xp6qUzrGFnUk_qnc1eEmfiaNRd4_grkhpfQH_46fa8/edit?usp=sharing"",""ฉะเชิงเทรา!N554"")"),0)</f>
        <v>0</v>
      </c>
      <c r="R55" s="62">
        <f ca="1">IFERROR(__xludf.DUMMYFUNCTION("IMPORTRANGE(""https://docs.google.com/spreadsheets/d/14xp6qUzrGFnUk_qnc1eEmfiaNRd4_grkhpfQH_46fa8/edit?usp=sharing"",""ฉะเชิงเทรา!N557"")"),0)</f>
        <v>0</v>
      </c>
      <c r="S55" s="62">
        <f t="shared" ca="1" si="47"/>
        <v>0</v>
      </c>
      <c r="T55" s="57">
        <f ca="1">IFERROR(__xludf.DUMMYFUNCTION("IMPORTRANGE(""https://docs.google.com/spreadsheets/d/14xp6qUzrGFnUk_qnc1eEmfiaNRd4_grkhpfQH_46fa8/edit?usp=sharing"",""ฉะเชิงเทรา!I560"")"),0)</f>
        <v>0</v>
      </c>
      <c r="U55" s="57">
        <f ca="1">IFERROR(__xludf.DUMMYFUNCTION("IMPORTRANGE(""https://docs.google.com/spreadsheets/d/14xp6qUzrGFnUk_qnc1eEmfiaNRd4_grkhpfQH_46fa8/edit?usp=sharing"",""ฉะเชิงเทรา!I561"")"),0)</f>
        <v>0</v>
      </c>
      <c r="V55" s="63">
        <f ca="1">IFERROR(__xludf.DUMMYFUNCTION("IMPORTRANGE(""https://docs.google.com/spreadsheets/d/14xp6qUzrGFnUk_qnc1eEmfiaNRd4_grkhpfQH_46fa8/edit?usp=sharing"",""ฉะเชิงเทรา!J560"")"),0)</f>
        <v>0</v>
      </c>
      <c r="W55" s="63">
        <f t="shared" ca="1" si="37"/>
        <v>0</v>
      </c>
      <c r="X55" s="57">
        <f ca="1">IFERROR(__xludf.DUMMYFUNCTION("IMPORTRANGE(""https://docs.google.com/spreadsheets/d/14xp6qUzrGFnUk_qnc1eEmfiaNRd4_grkhpfQH_46fa8/edit?usp=sharing"",""ฉะเชิงเทรา!J561"")"),0)</f>
        <v>0</v>
      </c>
      <c r="Y55" s="63">
        <f t="shared" ca="1" si="7"/>
        <v>0</v>
      </c>
      <c r="Z55" s="63">
        <f ca="1">IFERROR(__xludf.DUMMYFUNCTION("IMPORTRANGE(""https://docs.google.com/spreadsheets/d/14xp6qUzrGFnUk_qnc1eEmfiaNRd4_grkhpfQH_46fa8/edit?usp=sharing"",""ฉะเชิงเทรา!J562"")"),0)</f>
        <v>0</v>
      </c>
      <c r="AA55" s="140">
        <f ca="1">IFERROR(__xludf.DUMMYFUNCTION("IMPORTRANGE(""https://docs.google.com/spreadsheets/d/14xp6qUzrGFnUk_qnc1eEmfiaNRd4_grkhpfQH_46fa8/edit?usp=sharing"",""ฉะเชิงเทรา!J563"")"),0)</f>
        <v>0</v>
      </c>
      <c r="AB55" s="63">
        <f ca="1">IFERROR(__xludf.DUMMYFUNCTION("IMPORTRANGE(""https://docs.google.com/spreadsheets/d/14xp6qUzrGFnUk_qnc1eEmfiaNRd4_grkhpfQH_46fa8/edit?usp=sharing"",""ฉะเชิงเทรา!J564"")"),0)</f>
        <v>0</v>
      </c>
      <c r="AC55" s="140">
        <f ca="1">IFERROR(__xludf.DUMMYFUNCTION("IMPORTRANGE(""https://docs.google.com/spreadsheets/d/14xp6qUzrGFnUk_qnc1eEmfiaNRd4_grkhpfQH_46fa8/edit?usp=sharing"",""ฉะเชิงเทรา!J565"")"),0)</f>
        <v>0</v>
      </c>
      <c r="AD55" s="63">
        <f ca="1">IFERROR(__xludf.DUMMYFUNCTION("IMPORTRANGE(""https://docs.google.com/spreadsheets/d/14xp6qUzrGFnUk_qnc1eEmfiaNRd4_grkhpfQH_46fa8/edit?usp=sharing"",""ฉะเชิงเทรา!J566"")"),0)</f>
        <v>0</v>
      </c>
      <c r="AE55" s="140">
        <f ca="1">IFERROR(__xludf.DUMMYFUNCTION("IMPORTRANGE(""https://docs.google.com/spreadsheets/d/14xp6qUzrGFnUk_qnc1eEmfiaNRd4_grkhpfQH_46fa8/edit?usp=sharing"",""ฉะเชิงเทรา!J567"")"),0)</f>
        <v>0</v>
      </c>
      <c r="AF55" s="57">
        <f ca="1">IFERROR(__xludf.DUMMYFUNCTION("IMPORTRANGE(""https://docs.google.com/spreadsheets/d/14xp6qUzrGFnUk_qnc1eEmfiaNRd4_grkhpfQH_46fa8/edit?usp=sharing"",""ฉะเชิงเทรา!I568"")"),0)</f>
        <v>0</v>
      </c>
      <c r="AG55" s="57">
        <f ca="1">IFERROR(__xludf.DUMMYFUNCTION("IMPORTRANGE(""https://docs.google.com/spreadsheets/d/14xp6qUzrGFnUk_qnc1eEmfiaNRd4_grkhpfQH_46fa8/edit?usp=sharing"",""ฉะเชิงเทรา!I569"")"),0)</f>
        <v>0</v>
      </c>
      <c r="AH55" s="63">
        <f ca="1">IFERROR(__xludf.DUMMYFUNCTION("IMPORTRANGE(""https://docs.google.com/spreadsheets/d/14xp6qUzrGFnUk_qnc1eEmfiaNRd4_grkhpfQH_46fa8/edit?usp=sharing"",""ฉะเชิงเทรา!J568"")"),0)</f>
        <v>0</v>
      </c>
      <c r="AI55" s="63">
        <f t="shared" ca="1" si="38"/>
        <v>0</v>
      </c>
      <c r="AJ55" s="57">
        <f ca="1">IFERROR(__xludf.DUMMYFUNCTION("IMPORTRANGE(""https://docs.google.com/spreadsheets/d/14xp6qUzrGFnUk_qnc1eEmfiaNRd4_grkhpfQH_46fa8/edit?usp=sharing"",""ฉะเชิงเทรา!J569"")"),0)</f>
        <v>0</v>
      </c>
      <c r="AK55" s="63">
        <f t="shared" ca="1" si="10"/>
        <v>0</v>
      </c>
      <c r="AL55" s="63">
        <f ca="1">IFERROR(__xludf.DUMMYFUNCTION("IMPORTRANGE(""https://docs.google.com/spreadsheets/d/14xp6qUzrGFnUk_qnc1eEmfiaNRd4_grkhpfQH_46fa8/edit?usp=sharing"",""ฉะเชิงเทรา!J570"")"),0)</f>
        <v>0</v>
      </c>
      <c r="AM55" s="140">
        <f ca="1">IFERROR(__xludf.DUMMYFUNCTION("IMPORTRANGE(""https://docs.google.com/spreadsheets/d/14xp6qUzrGFnUk_qnc1eEmfiaNRd4_grkhpfQH_46fa8/edit?usp=sharing"",""ฉะเชิงเทรา!J571"")"),0)</f>
        <v>0</v>
      </c>
      <c r="AN55" s="63">
        <f ca="1">IFERROR(__xludf.DUMMYFUNCTION("IMPORTRANGE(""https://docs.google.com/spreadsheets/d/14xp6qUzrGFnUk_qnc1eEmfiaNRd4_grkhpfQH_46fa8/edit?usp=sharing"",""ฉะเชิงเทรา!J572"")"),0)</f>
        <v>0</v>
      </c>
      <c r="AO55" s="140">
        <f ca="1">IFERROR(__xludf.DUMMYFUNCTION("IMPORTRANGE(""https://docs.google.com/spreadsheets/d/14xp6qUzrGFnUk_qnc1eEmfiaNRd4_grkhpfQH_46fa8/edit?usp=sharing"",""ฉะเชิงเทรา!J573"")"),0)</f>
        <v>0</v>
      </c>
      <c r="AP55" s="63">
        <f ca="1">IFERROR(__xludf.DUMMYFUNCTION("IMPORTRANGE(""https://docs.google.com/spreadsheets/d/14xp6qUzrGFnUk_qnc1eEmfiaNRd4_grkhpfQH_46fa8/edit?usp=sharing"",""ฉะเชิงเทรา!J574"")"),0)</f>
        <v>0</v>
      </c>
      <c r="AQ55" s="140">
        <f ca="1">IFERROR(__xludf.DUMMYFUNCTION("IMPORTRANGE(""https://docs.google.com/spreadsheets/d/14xp6qUzrGFnUk_qnc1eEmfiaNRd4_grkhpfQH_46fa8/edit?usp=sharing"",""ฉะเชิงเทรา!J575"")"),0)</f>
        <v>0</v>
      </c>
      <c r="AR55" s="57">
        <f ca="1">IFERROR(__xludf.DUMMYFUNCTION("IMPORTRANGE(""https://docs.google.com/spreadsheets/d/14xp6qUzrGFnUk_qnc1eEmfiaNRd4_grkhpfQH_46fa8/edit?usp=sharing"",""ฉะเชิงเทรา!I576"")"),0)</f>
        <v>0</v>
      </c>
      <c r="AS55" s="57">
        <f ca="1">IFERROR(__xludf.DUMMYFUNCTION("IMPORTRANGE(""https://docs.google.com/spreadsheets/d/14xp6qUzrGFnUk_qnc1eEmfiaNRd4_grkhpfQH_46fa8/edit?usp=sharing"",""ฉะเชิงเทรา!I577"")"),0)</f>
        <v>0</v>
      </c>
      <c r="AT55" s="63">
        <f ca="1">IFERROR(__xludf.DUMMYFUNCTION("IMPORTRANGE(""https://docs.google.com/spreadsheets/d/14xp6qUzrGFnUk_qnc1eEmfiaNRd4_grkhpfQH_46fa8/edit?usp=sharing"",""ฉะเชิงเทรา!J576"")"),0)</f>
        <v>0</v>
      </c>
      <c r="AU55" s="63">
        <f t="shared" ca="1" si="39"/>
        <v>0</v>
      </c>
      <c r="AV55" s="57">
        <f ca="1">IFERROR(__xludf.DUMMYFUNCTION("IMPORTRANGE(""https://docs.google.com/spreadsheets/d/14xp6qUzrGFnUk_qnc1eEmfiaNRd4_grkhpfQH_46fa8/edit?usp=sharing"",""ฉะเชิงเทรา!J577"")"),0)</f>
        <v>0</v>
      </c>
      <c r="AW55" s="63">
        <f t="shared" ca="1" si="13"/>
        <v>0</v>
      </c>
      <c r="AX55" s="63">
        <f ca="1">IFERROR(__xludf.DUMMYFUNCTION("IMPORTRANGE(""https://docs.google.com/spreadsheets/d/14xp6qUzrGFnUk_qnc1eEmfiaNRd4_grkhpfQH_46fa8/edit?usp=sharing"",""ฉะเชิงเทรา!J578"")"),0)</f>
        <v>0</v>
      </c>
      <c r="AY55" s="140">
        <f ca="1">IFERROR(__xludf.DUMMYFUNCTION("IMPORTRANGE(""https://docs.google.com/spreadsheets/d/14xp6qUzrGFnUk_qnc1eEmfiaNRd4_grkhpfQH_46fa8/edit?usp=sharing"",""ฉะเชิงเทรา!J579"")"),0)</f>
        <v>0</v>
      </c>
      <c r="AZ55" s="63">
        <f ca="1">IFERROR(__xludf.DUMMYFUNCTION("IMPORTRANGE(""https://docs.google.com/spreadsheets/d/14xp6qUzrGFnUk_qnc1eEmfiaNRd4_grkhpfQH_46fa8/edit?usp=sharing"",""ฉะเชิงเทรา!J580"")"),0)</f>
        <v>0</v>
      </c>
      <c r="BA55" s="140">
        <f ca="1">IFERROR(__xludf.DUMMYFUNCTION("IMPORTRANGE(""https://docs.google.com/spreadsheets/d/14xp6qUzrGFnUk_qnc1eEmfiaNRd4_grkhpfQH_46fa8/edit?usp=sharing"",""ฉะเชิงเทรา!J581"")"),0)</f>
        <v>0</v>
      </c>
      <c r="BB55" s="63">
        <f ca="1">IFERROR(__xludf.DUMMYFUNCTION("IMPORTRANGE(""https://docs.google.com/spreadsheets/d/14xp6qUzrGFnUk_qnc1eEmfiaNRd4_grkhpfQH_46fa8/edit?usp=sharing"",""ฉะเชิงเทรา!J582"")"),0)</f>
        <v>0</v>
      </c>
      <c r="BC55" s="140">
        <f ca="1">IFERROR(__xludf.DUMMYFUNCTION("IMPORTRANGE(""https://docs.google.com/spreadsheets/d/14xp6qUzrGFnUk_qnc1eEmfiaNRd4_grkhpfQH_46fa8/edit?usp=sharing"",""ฉะเชิงเทรา!J583"")"),0)</f>
        <v>0</v>
      </c>
      <c r="BD55" s="141">
        <f ca="1">IFERROR(__xludf.DUMMYFUNCTION("IMPORTRANGE(""https://docs.google.com/spreadsheets/d/14xp6qUzrGFnUk_qnc1eEmfiaNRd4_grkhpfQH_46fa8/edit?usp=sharing"",""ฉะเชิงเทรา!J584"")"),0)</f>
        <v>0</v>
      </c>
      <c r="BE55" s="140">
        <f ca="1">IFERROR(__xludf.DUMMYFUNCTION("IMPORTRANGE(""https://docs.google.com/spreadsheets/d/14xp6qUzrGFnUk_qnc1eEmfiaNRd4_grkhpfQH_46fa8/edit?usp=sharing"",""ฉะเชิงเทรา!J585"")"),0)</f>
        <v>0</v>
      </c>
      <c r="BF55" s="141">
        <f ca="1">IFERROR(__xludf.DUMMYFUNCTION("IMPORTRANGE(""https://docs.google.com/spreadsheets/d/14xp6qUzrGFnUk_qnc1eEmfiaNRd4_grkhpfQH_46fa8/edit?usp=sharing"",""ฉะเชิงเทรา!J586"")"),0)</f>
        <v>0</v>
      </c>
      <c r="BG55" s="140">
        <f ca="1">IFERROR(__xludf.DUMMYFUNCTION("IMPORTRANGE(""https://docs.google.com/spreadsheets/d/14xp6qUzrGFnUk_qnc1eEmfiaNRd4_grkhpfQH_46fa8/edit?usp=sharing"",""ฉะเชิงเทรา!J587"")"),0)</f>
        <v>0</v>
      </c>
      <c r="BH55" s="63">
        <f ca="1">IFERROR(__xludf.DUMMYFUNCTION("IMPORTRANGE(""https://docs.google.com/spreadsheets/d/14xp6qUzrGFnUk_qnc1eEmfiaNRd4_grkhpfQH_46fa8/edit?usp=sharing"",""ฉะเชิงเทรา!J588"")"),0)</f>
        <v>0</v>
      </c>
      <c r="BI55" s="140">
        <f ca="1">IFERROR(__xludf.DUMMYFUNCTION("IMPORTRANGE(""https://docs.google.com/spreadsheets/d/14xp6qUzrGFnUk_qnc1eEmfiaNRd4_grkhpfQH_46fa8/edit?usp=sharing"",""ฉะเชิงเทรา!J589"")"),0)</f>
        <v>0</v>
      </c>
      <c r="BJ55" s="63">
        <f ca="1">IFERROR(__xludf.DUMMYFUNCTION("IMPORTRANGE(""https://docs.google.com/spreadsheets/d/14xp6qUzrGFnUk_qnc1eEmfiaNRd4_grkhpfQH_46fa8/edit?usp=sharing"",""ฉะเชิงเทรา!J590"")"),0)</f>
        <v>0</v>
      </c>
      <c r="BK55" s="140">
        <f ca="1">IFERROR(__xludf.DUMMYFUNCTION("IMPORTRANGE(""https://docs.google.com/spreadsheets/d/14xp6qUzrGFnUk_qnc1eEmfiaNRd4_grkhpfQH_46fa8/edit?usp=sharing"",""ฉะเชิงเทรา!J591"")"),0)</f>
        <v>0</v>
      </c>
      <c r="BL55" s="57">
        <f ca="1">IFERROR(__xludf.DUMMYFUNCTION("IMPORTRANGE(""https://docs.google.com/spreadsheets/d/14xp6qUzrGFnUk_qnc1eEmfiaNRd4_grkhpfQH_46fa8/edit?usp=sharing"",""ฉะเชิงเทรา!I593"")"),1072.86)</f>
        <v>1072.8599999999999</v>
      </c>
      <c r="BM55" s="57">
        <f ca="1">IFERROR(__xludf.DUMMYFUNCTION("IMPORTRANGE(""https://docs.google.com/spreadsheets/d/14xp6qUzrGFnUk_qnc1eEmfiaNRd4_grkhpfQH_46fa8/edit?usp=sharing"",""ฉะเชิงเทรา!I594"")"),165)</f>
        <v>165</v>
      </c>
      <c r="BN55" s="63">
        <f ca="1">IFERROR(__xludf.DUMMYFUNCTION("IMPORTRANGE(""https://docs.google.com/spreadsheets/d/14xp6qUzrGFnUk_qnc1eEmfiaNRd4_grkhpfQH_46fa8/edit?usp=sharing"",""ฉะเชิงเทรา!J593"")"),633)</f>
        <v>633</v>
      </c>
      <c r="BO55" s="63">
        <f t="shared" ca="1" si="40"/>
        <v>59.001174430960241</v>
      </c>
      <c r="BP55" s="57">
        <f ca="1">IFERROR(__xludf.DUMMYFUNCTION("IMPORTRANGE(""https://docs.google.com/spreadsheets/d/14xp6qUzrGFnUk_qnc1eEmfiaNRd4_grkhpfQH_46fa8/edit?usp=sharing"",""ฉะเชิงเทรา!J594"")"),73)</f>
        <v>73</v>
      </c>
      <c r="BQ55" s="63">
        <f t="shared" ca="1" si="16"/>
        <v>44.242424242424242</v>
      </c>
      <c r="BR55" s="63">
        <f ca="1">IFERROR(__xludf.DUMMYFUNCTION("IMPORTRANGE(""https://docs.google.com/spreadsheets/d/14xp6qUzrGFnUk_qnc1eEmfiaNRd4_grkhpfQH_46fa8/edit?usp=sharing"",""ฉะเชิงเทรา!J595"")"),548)</f>
        <v>548</v>
      </c>
      <c r="BS55" s="140">
        <f ca="1">IFERROR(__xludf.DUMMYFUNCTION("IMPORTRANGE(""https://docs.google.com/spreadsheets/d/14xp6qUzrGFnUk_qnc1eEmfiaNRd4_grkhpfQH_46fa8/edit?usp=sharing"",""ฉะเชิงเทรา!J596"")"),61)</f>
        <v>61</v>
      </c>
      <c r="BT55" s="63">
        <f ca="1">IFERROR(__xludf.DUMMYFUNCTION("IMPORTRANGE(""https://docs.google.com/spreadsheets/d/14xp6qUzrGFnUk_qnc1eEmfiaNRd4_grkhpfQH_46fa8/edit?usp=sharing"",""ฉะเชิงเทรา!J597"")"),548)</f>
        <v>548</v>
      </c>
      <c r="BU55" s="140">
        <f ca="1">IFERROR(__xludf.DUMMYFUNCTION("IMPORTRANGE(""https://docs.google.com/spreadsheets/d/14xp6qUzrGFnUk_qnc1eEmfiaNRd4_grkhpfQH_46fa8/edit?usp=sharing"",""ฉะเชิงเทรา!J598"")"),61)</f>
        <v>61</v>
      </c>
      <c r="BV55" s="63" t="str">
        <f ca="1">IFERROR(__xludf.DUMMYFUNCTION("IMPORTRANGE(""https://docs.google.com/spreadsheets/d/14xp6qUzrGFnUk_qnc1eEmfiaNRd4_grkhpfQH_46fa8/edit?usp=sharing"",""ฉะเชิงเทรา!J599"")"),"")</f>
        <v/>
      </c>
      <c r="BW55" s="140">
        <f ca="1">IFERROR(__xludf.DUMMYFUNCTION("IMPORTRANGE(""https://docs.google.com/spreadsheets/d/14xp6qUzrGFnUk_qnc1eEmfiaNRd4_grkhpfQH_46fa8/edit?usp=sharing"",""ฉะเชิงเทรา!J600"")"),0)</f>
        <v>0</v>
      </c>
      <c r="BX55" s="141">
        <f ca="1">IFERROR(__xludf.DUMMYFUNCTION("IMPORTRANGE(""https://docs.google.com/spreadsheets/d/14xp6qUzrGFnUk_qnc1eEmfiaNRd4_grkhpfQH_46fa8/edit?usp=sharing"",""ฉะเชิงเทรา!J601"")"),0)</f>
        <v>0</v>
      </c>
      <c r="BY55" s="140">
        <f ca="1">IFERROR(__xludf.DUMMYFUNCTION("IMPORTRANGE(""https://docs.google.com/spreadsheets/d/14xp6qUzrGFnUk_qnc1eEmfiaNRd4_grkhpfQH_46fa8/edit?usp=sharing"",""ฉะเชิงเทรา!J602"")"),0)</f>
        <v>0</v>
      </c>
      <c r="BZ55" s="63">
        <f ca="1">IFERROR(__xludf.DUMMYFUNCTION("IMPORTRANGE(""https://docs.google.com/spreadsheets/d/14xp6qUzrGFnUk_qnc1eEmfiaNRd4_grkhpfQH_46fa8/edit?usp=sharing"",""ฉะเชิงเทรา!J603"")"),63)</f>
        <v>63</v>
      </c>
      <c r="CA55" s="140">
        <f ca="1">IFERROR(__xludf.DUMMYFUNCTION("IMPORTRANGE(""https://docs.google.com/spreadsheets/d/14xp6qUzrGFnUk_qnc1eEmfiaNRd4_grkhpfQH_46fa8/edit?usp=sharing"",""ฉะเชิงเทรา!J604"")"),8)</f>
        <v>8</v>
      </c>
      <c r="CB55" s="63">
        <f ca="1">IFERROR(__xludf.DUMMYFUNCTION("IMPORTRANGE(""https://docs.google.com/spreadsheets/d/14xp6qUzrGFnUk_qnc1eEmfiaNRd4_grkhpfQH_46fa8/edit?usp=sharing"",""ฉะเชิงเทรา!J605"")"),63)</f>
        <v>63</v>
      </c>
      <c r="CC55" s="140">
        <f ca="1">IFERROR(__xludf.DUMMYFUNCTION("IMPORTRANGE(""https://docs.google.com/spreadsheets/d/14xp6qUzrGFnUk_qnc1eEmfiaNRd4_grkhpfQH_46fa8/edit?usp=sharing"",""ฉะเชิงเทรา!J606"")"),8)</f>
        <v>8</v>
      </c>
      <c r="CD55" s="63">
        <f ca="1">IFERROR(__xludf.DUMMYFUNCTION("IMPORTRANGE(""https://docs.google.com/spreadsheets/d/14xp6qUzrGFnUk_qnc1eEmfiaNRd4_grkhpfQH_46fa8/edit?usp=sharing"",""ฉะเชิงเทรา!J607"")"),0)</f>
        <v>0</v>
      </c>
      <c r="CE55" s="140">
        <f ca="1">IFERROR(__xludf.DUMMYFUNCTION("IMPORTRANGE(""https://docs.google.com/spreadsheets/d/14xp6qUzrGFnUk_qnc1eEmfiaNRd4_grkhpfQH_46fa8/edit?usp=sharing"",""ฉะเชิงเทรา!J608"")"),0)</f>
        <v>0</v>
      </c>
      <c r="CF55" s="63">
        <f ca="1">IFERROR(__xludf.DUMMYFUNCTION("IMPORTRANGE(""https://docs.google.com/spreadsheets/d/14xp6qUzrGFnUk_qnc1eEmfiaNRd4_grkhpfQH_46fa8/edit?usp=sharing"",""ฉะเชิงเทรา!J609"")"),22)</f>
        <v>22</v>
      </c>
      <c r="CG55" s="140">
        <f ca="1">IFERROR(__xludf.DUMMYFUNCTION("IMPORTRANGE(""https://docs.google.com/spreadsheets/d/14xp6qUzrGFnUk_qnc1eEmfiaNRd4_grkhpfQH_46fa8/edit?usp=sharing"",""ฉะเชิงเทรา!J610"")"),4)</f>
        <v>4</v>
      </c>
      <c r="CH55" s="140">
        <f ca="1">IFERROR(__xludf.DUMMYFUNCTION("IMPORTRANGE(""https://docs.google.com/spreadsheets/d/14xp6qUzrGFnUk_qnc1eEmfiaNRd4_grkhpfQH_46fa8/edit?usp=sharing"",""ฉะเชิงเทรา!I612"")"),0)</f>
        <v>0</v>
      </c>
      <c r="CI55" s="140">
        <f ca="1">IFERROR(__xludf.DUMMYFUNCTION("IMPORTRANGE(""https://docs.google.com/spreadsheets/d/14xp6qUzrGFnUk_qnc1eEmfiaNRd4_grkhpfQH_46fa8/edit?usp=sharing"",""ฉะเชิงเทรา!I594"")"),165)</f>
        <v>165</v>
      </c>
      <c r="CJ55" s="141">
        <f ca="1">IFERROR(__xludf.DUMMYFUNCTION("IMPORTRANGE(""https://docs.google.com/spreadsheets/d/14xp6qUzrGFnUk_qnc1eEmfiaNRd4_grkhpfQH_46fa8/edit?usp=sharing"",""ฉะเชิงเทรา!J612"")"),0)</f>
        <v>0</v>
      </c>
      <c r="CK55" s="141">
        <f t="shared" ca="1" si="41"/>
        <v>0</v>
      </c>
      <c r="CL55" s="140">
        <f ca="1">IFERROR(__xludf.DUMMYFUNCTION("IMPORTRANGE(""https://docs.google.com/spreadsheets/d/14xp6qUzrGFnUk_qnc1eEmfiaNRd4_grkhpfQH_46fa8/edit?usp=sharing"",""ฉะเชิงเทรา!J613"")"),0)</f>
        <v>0</v>
      </c>
      <c r="CM55" s="141">
        <f t="shared" ca="1" si="19"/>
        <v>0</v>
      </c>
      <c r="CN55" s="63">
        <f ca="1">IFERROR(__xludf.DUMMYFUNCTION("IMPORTRANGE(""https://docs.google.com/spreadsheets/d/14xp6qUzrGFnUk_qnc1eEmfiaNRd4_grkhpfQH_46fa8/edit?usp=sharing"",""ฉะเชิงเทรา!J614"")"),0)</f>
        <v>0</v>
      </c>
      <c r="CO55" s="140">
        <f ca="1">IFERROR(__xludf.DUMMYFUNCTION("IMPORTRANGE(""https://docs.google.com/spreadsheets/d/14xp6qUzrGFnUk_qnc1eEmfiaNRd4_grkhpfQH_46fa8/edit?usp=sharing"",""ฉะเชิงเทรา!J615"")"),0)</f>
        <v>0</v>
      </c>
      <c r="CP55" s="63">
        <f ca="1">IFERROR(__xludf.DUMMYFUNCTION("IMPORTRANGE(""https://docs.google.com/spreadsheets/d/14xp6qUzrGFnUk_qnc1eEmfiaNRd4_grkhpfQH_46fa8/edit?usp=sharing"",""ฉะเชิงเทรา!J616"")"),0)</f>
        <v>0</v>
      </c>
      <c r="CQ55" s="140">
        <f ca="1">IFERROR(__xludf.DUMMYFUNCTION("IMPORTRANGE(""https://docs.google.com/spreadsheets/d/14xp6qUzrGFnUk_qnc1eEmfiaNRd4_grkhpfQH_46fa8/edit?usp=sharing"",""ฉะเชิงเทรา!J617"")"),0)</f>
        <v>0</v>
      </c>
      <c r="CR55" s="140">
        <f ca="1">IFERROR(__xludf.DUMMYFUNCTION("IMPORTRANGE(""https://docs.google.com/spreadsheets/d/14xp6qUzrGFnUk_qnc1eEmfiaNRd4_grkhpfQH_46fa8/edit?usp=sharing"",""ฉะเชิงเทรา!I620"")"),0)</f>
        <v>0</v>
      </c>
      <c r="CS55" s="140">
        <f ca="1">IFERROR(__xludf.DUMMYFUNCTION("IMPORTRANGE(""https://docs.google.com/spreadsheets/d/14xp6qUzrGFnUk_qnc1eEmfiaNRd4_grkhpfQH_46fa8/edit?usp=sharing"",""ฉะเชิงเทรา!I621"")"),0)</f>
        <v>0</v>
      </c>
      <c r="CT55" s="141">
        <f ca="1">IFERROR(__xludf.DUMMYFUNCTION("IMPORTRANGE(""https://docs.google.com/spreadsheets/d/14xp6qUzrGFnUk_qnc1eEmfiaNRd4_grkhpfQH_46fa8/edit?usp=sharing"",""ฉะเชิงเทรา!J620"")"),0)</f>
        <v>0</v>
      </c>
      <c r="CU55" s="141">
        <f t="shared" ca="1" si="42"/>
        <v>0</v>
      </c>
      <c r="CV55" s="140">
        <f ca="1">IFERROR(__xludf.DUMMYFUNCTION("IMPORTRANGE(""https://docs.google.com/spreadsheets/d/14xp6qUzrGFnUk_qnc1eEmfiaNRd4_grkhpfQH_46fa8/edit?usp=sharing"",""ฉะเชิงเทรา!J621"")"),0)</f>
        <v>0</v>
      </c>
      <c r="CW55" s="141">
        <f t="shared" ca="1" si="22"/>
        <v>0</v>
      </c>
      <c r="CX55" s="63">
        <f ca="1">IFERROR(__xludf.DUMMYFUNCTION("IMPORTRANGE(""https://docs.google.com/spreadsheets/d/14xp6qUzrGFnUk_qnc1eEmfiaNRd4_grkhpfQH_46fa8/edit?usp=sharing"",""ฉะเชิงเทรา!J622"")"),0)</f>
        <v>0</v>
      </c>
      <c r="CY55" s="140">
        <f ca="1">IFERROR(__xludf.DUMMYFUNCTION("IMPORTRANGE(""https://docs.google.com/spreadsheets/d/14xp6qUzrGFnUk_qnc1eEmfiaNRd4_grkhpfQH_46fa8/edit?usp=sharing"",""ฉะเชิงเทรา!J623"")"),0)</f>
        <v>0</v>
      </c>
      <c r="CZ55" s="63">
        <f ca="1">IFERROR(__xludf.DUMMYFUNCTION("IMPORTRANGE(""https://docs.google.com/spreadsheets/d/14xp6qUzrGFnUk_qnc1eEmfiaNRd4_grkhpfQH_46fa8/edit?usp=sharing"",""ฉะเชิงเทรา!J624"")"),0)</f>
        <v>0</v>
      </c>
      <c r="DA55" s="140">
        <f ca="1">IFERROR(__xludf.DUMMYFUNCTION("IMPORTRANGE(""https://docs.google.com/spreadsheets/d/14xp6qUzrGFnUk_qnc1eEmfiaNRd4_grkhpfQH_46fa8/edit?usp=sharing"",""ฉะเชิงเทรา!J625"")"),0)</f>
        <v>0</v>
      </c>
      <c r="DB55" s="63">
        <f ca="1">IFERROR(__xludf.DUMMYFUNCTION("IMPORTRANGE(""https://docs.google.com/spreadsheets/d/14xp6qUzrGFnUk_qnc1eEmfiaNRd4_grkhpfQH_46fa8/edit?usp=sharing"",""ฉะเชิงเทรา!J626"")"),0)</f>
        <v>0</v>
      </c>
      <c r="DC55" s="140">
        <f ca="1">IFERROR(__xludf.DUMMYFUNCTION("IMPORTRANGE(""https://docs.google.com/spreadsheets/d/14xp6qUzrGFnUk_qnc1eEmfiaNRd4_grkhpfQH_46fa8/edit?usp=sharing"",""ฉะเชิงเทรา!J627"")"),0)</f>
        <v>0</v>
      </c>
    </row>
    <row r="56" spans="1:107" ht="21" customHeight="1" x14ac:dyDescent="0.3">
      <c r="A56" s="54">
        <v>4</v>
      </c>
      <c r="B56" s="55" t="s">
        <v>77</v>
      </c>
      <c r="C56" s="56">
        <f t="shared" ca="1" si="77"/>
        <v>289100</v>
      </c>
      <c r="D56" s="57">
        <f ca="1">IFERROR(__xludf.DUMMYFUNCTION("IMPORTRANGE(""https://docs.google.com/spreadsheets/d/1_Zwps30dlVa-pZFsorjVf1Pil6WXwzCsJU0U2whO3NI/edit?usp=sharing"",""ชลบุรี!L549"")"),289100)</f>
        <v>289100</v>
      </c>
      <c r="E56" s="64">
        <f ca="1">IFERROR(__xludf.DUMMYFUNCTION("IMPORTRANGE(""https://docs.google.com/spreadsheets/d/1_Zwps30dlVa-pZFsorjVf1Pil6WXwzCsJU0U2whO3NI/edit?usp=sharing"",""ชลบุรี!L557"")"),0)</f>
        <v>0</v>
      </c>
      <c r="F56" s="64">
        <f ca="1">IFERROR(__xludf.DUMMYFUNCTION("IMPORTRANGE(""https://docs.google.com/spreadsheets/d/1_Zwps30dlVa-pZFsorjVf1Pil6WXwzCsJU0U2whO3NI/edit?usp=sharing"",""ชลบุรี!M549"")"),289100)</f>
        <v>289100</v>
      </c>
      <c r="G56" s="64">
        <f ca="1">IFERROR(__xludf.DUMMYFUNCTION("IMPORTRANGE(""https://docs.google.com/spreadsheets/d/1_Zwps30dlVa-pZFsorjVf1Pil6WXwzCsJU0U2whO3NI/edit?usp=sharing"",""ชลบุรี!M557"")"),0)</f>
        <v>0</v>
      </c>
      <c r="H56" s="58">
        <f t="shared" ca="1" si="36"/>
        <v>180713.35</v>
      </c>
      <c r="I56" s="59">
        <f t="shared" ca="1" si="1"/>
        <v>62.50894154271878</v>
      </c>
      <c r="J56" s="60">
        <f t="shared" ca="1" si="78"/>
        <v>180713.35</v>
      </c>
      <c r="K56" s="61">
        <f t="shared" ca="1" si="44"/>
        <v>62.50894154271878</v>
      </c>
      <c r="L56" s="61">
        <f t="shared" ca="1" si="45"/>
        <v>62.50894154271878</v>
      </c>
      <c r="M56" s="64">
        <f ca="1">IFERROR(__xludf.DUMMYFUNCTION("IMPORTRANGE(""https://docs.google.com/spreadsheets/d/1_Zwps30dlVa-pZFsorjVf1Pil6WXwzCsJU0U2whO3NI/edit?usp=sharing"",""ชลบุรี!N550"")"),0)</f>
        <v>0</v>
      </c>
      <c r="N56" s="64">
        <f ca="1">IFERROR(__xludf.DUMMYFUNCTION("IMPORTRANGE(""https://docs.google.com/spreadsheets/d/1_Zwps30dlVa-pZFsorjVf1Pil6WXwzCsJU0U2whO3NI/edit?usp=sharing"",""ชลบุรี!N551"")"),0)</f>
        <v>0</v>
      </c>
      <c r="O56" s="64">
        <f ca="1">IFERROR(__xludf.DUMMYFUNCTION("IMPORTRANGE(""https://docs.google.com/spreadsheets/d/1_Zwps30dlVa-pZFsorjVf1Pil6WXwzCsJU0U2whO3NI/edit?usp=sharing"",""ชลบุรี!N552"")"),75402)</f>
        <v>75402</v>
      </c>
      <c r="P56" s="64">
        <f ca="1">IFERROR(__xludf.DUMMYFUNCTION("IMPORTRANGE(""https://docs.google.com/spreadsheets/d/1_Zwps30dlVa-pZFsorjVf1Pil6WXwzCsJU0U2whO3NI/edit?usp=sharing"",""ชลบุรี!N553"")"),105311.35)</f>
        <v>105311.35</v>
      </c>
      <c r="Q56" s="64">
        <f ca="1">IFERROR(__xludf.DUMMYFUNCTION("IMPORTRANGE(""https://docs.google.com/spreadsheets/d/1_Zwps30dlVa-pZFsorjVf1Pil6WXwzCsJU0U2whO3NI/edit?usp=sharing"",""ชลบุรี!N554"")"),0)</f>
        <v>0</v>
      </c>
      <c r="R56" s="62">
        <f ca="1">IFERROR(__xludf.DUMMYFUNCTION("IMPORTRANGE(""https://docs.google.com/spreadsheets/d/1_Zwps30dlVa-pZFsorjVf1Pil6WXwzCsJU0U2whO3NI/edit?usp=sharing"",""ชลบุรี!N557"")"),0)</f>
        <v>0</v>
      </c>
      <c r="S56" s="62">
        <f t="shared" ca="1" si="47"/>
        <v>0</v>
      </c>
      <c r="T56" s="57">
        <f ca="1">IFERROR(__xludf.DUMMYFUNCTION("IMPORTRANGE(""https://docs.google.com/spreadsheets/d/1_Zwps30dlVa-pZFsorjVf1Pil6WXwzCsJU0U2whO3NI/edit?usp=sharing"",""ชลบุรี!I560"")"),0)</f>
        <v>0</v>
      </c>
      <c r="U56" s="57">
        <f ca="1">IFERROR(__xludf.DUMMYFUNCTION("IMPORTRANGE(""https://docs.google.com/spreadsheets/d/1_Zwps30dlVa-pZFsorjVf1Pil6WXwzCsJU0U2whO3NI/edit?usp=sharing"",""ชลบุรี!I561"")"),0)</f>
        <v>0</v>
      </c>
      <c r="V56" s="63">
        <f ca="1">IFERROR(__xludf.DUMMYFUNCTION("IMPORTRANGE(""https://docs.google.com/spreadsheets/d/1_Zwps30dlVa-pZFsorjVf1Pil6WXwzCsJU0U2whO3NI/edit?usp=sharing"",""ชลบุรี!J560"")"),0)</f>
        <v>0</v>
      </c>
      <c r="W56" s="63">
        <f t="shared" ca="1" si="37"/>
        <v>0</v>
      </c>
      <c r="X56" s="57">
        <f ca="1">IFERROR(__xludf.DUMMYFUNCTION("IMPORTRANGE(""https://docs.google.com/spreadsheets/d/1_Zwps30dlVa-pZFsorjVf1Pil6WXwzCsJU0U2whO3NI/edit?usp=sharing"",""ชลบุรี!J561"")"),0)</f>
        <v>0</v>
      </c>
      <c r="Y56" s="63">
        <f t="shared" ca="1" si="7"/>
        <v>0</v>
      </c>
      <c r="Z56" s="63">
        <f ca="1">IFERROR(__xludf.DUMMYFUNCTION("IMPORTRANGE(""https://docs.google.com/spreadsheets/d/1_Zwps30dlVa-pZFsorjVf1Pil6WXwzCsJU0U2whO3NI/edit?usp=sharing"",""ชลบุรี!J562"")"),0)</f>
        <v>0</v>
      </c>
      <c r="AA56" s="140">
        <f ca="1">IFERROR(__xludf.DUMMYFUNCTION("IMPORTRANGE(""https://docs.google.com/spreadsheets/d/1_Zwps30dlVa-pZFsorjVf1Pil6WXwzCsJU0U2whO3NI/edit?usp=sharing"",""ชลบุรี!J563"")"),0)</f>
        <v>0</v>
      </c>
      <c r="AB56" s="63">
        <f ca="1">IFERROR(__xludf.DUMMYFUNCTION("IMPORTRANGE(""https://docs.google.com/spreadsheets/d/1_Zwps30dlVa-pZFsorjVf1Pil6WXwzCsJU0U2whO3NI/edit?usp=sharing"",""ชลบุรี!J564"")"),0)</f>
        <v>0</v>
      </c>
      <c r="AC56" s="140">
        <f ca="1">IFERROR(__xludf.DUMMYFUNCTION("IMPORTRANGE(""https://docs.google.com/spreadsheets/d/1_Zwps30dlVa-pZFsorjVf1Pil6WXwzCsJU0U2whO3NI/edit?usp=sharing"",""ชลบุรี!J565"")"),0)</f>
        <v>0</v>
      </c>
      <c r="AD56" s="63">
        <f ca="1">IFERROR(__xludf.DUMMYFUNCTION("IMPORTRANGE(""https://docs.google.com/spreadsheets/d/1_Zwps30dlVa-pZFsorjVf1Pil6WXwzCsJU0U2whO3NI/edit?usp=sharing"",""ชลบุรี!J566"")"),0)</f>
        <v>0</v>
      </c>
      <c r="AE56" s="140">
        <f ca="1">IFERROR(__xludf.DUMMYFUNCTION("IMPORTRANGE(""https://docs.google.com/spreadsheets/d/1_Zwps30dlVa-pZFsorjVf1Pil6WXwzCsJU0U2whO3NI/edit?usp=sharing"",""ชลบุรี!J567"")"),0)</f>
        <v>0</v>
      </c>
      <c r="AF56" s="57">
        <f ca="1">IFERROR(__xludf.DUMMYFUNCTION("IMPORTRANGE(""https://docs.google.com/spreadsheets/d/1_Zwps30dlVa-pZFsorjVf1Pil6WXwzCsJU0U2whO3NI/edit?usp=sharing"",""ชลบุรี!I568"")"),0)</f>
        <v>0</v>
      </c>
      <c r="AG56" s="57">
        <f ca="1">IFERROR(__xludf.DUMMYFUNCTION("IMPORTRANGE(""https://docs.google.com/spreadsheets/d/1_Zwps30dlVa-pZFsorjVf1Pil6WXwzCsJU0U2whO3NI/edit?usp=sharing"",""ชลบุรี!I569"")"),0)</f>
        <v>0</v>
      </c>
      <c r="AH56" s="63">
        <f ca="1">IFERROR(__xludf.DUMMYFUNCTION("IMPORTRANGE(""https://docs.google.com/spreadsheets/d/1_Zwps30dlVa-pZFsorjVf1Pil6WXwzCsJU0U2whO3NI/edit?usp=sharing"",""ชลบุรี!J568"")"),0)</f>
        <v>0</v>
      </c>
      <c r="AI56" s="63">
        <f t="shared" ca="1" si="38"/>
        <v>0</v>
      </c>
      <c r="AJ56" s="57">
        <f ca="1">IFERROR(__xludf.DUMMYFUNCTION("IMPORTRANGE(""https://docs.google.com/spreadsheets/d/1_Zwps30dlVa-pZFsorjVf1Pil6WXwzCsJU0U2whO3NI/edit?usp=sharing"",""ชลบุรี!J569"")"),0)</f>
        <v>0</v>
      </c>
      <c r="AK56" s="63">
        <f t="shared" ca="1" si="10"/>
        <v>0</v>
      </c>
      <c r="AL56" s="63">
        <f ca="1">IFERROR(__xludf.DUMMYFUNCTION("IMPORTRANGE(""https://docs.google.com/spreadsheets/d/1_Zwps30dlVa-pZFsorjVf1Pil6WXwzCsJU0U2whO3NI/edit?usp=sharing"",""ชลบุรี!J570"")"),0)</f>
        <v>0</v>
      </c>
      <c r="AM56" s="140">
        <f ca="1">IFERROR(__xludf.DUMMYFUNCTION("IMPORTRANGE(""https://docs.google.com/spreadsheets/d/1_Zwps30dlVa-pZFsorjVf1Pil6WXwzCsJU0U2whO3NI/edit?usp=sharing"",""ชลบุรี!J571"")"),0)</f>
        <v>0</v>
      </c>
      <c r="AN56" s="63">
        <f ca="1">IFERROR(__xludf.DUMMYFUNCTION("IMPORTRANGE(""https://docs.google.com/spreadsheets/d/1_Zwps30dlVa-pZFsorjVf1Pil6WXwzCsJU0U2whO3NI/edit?usp=sharing"",""ชลบุรี!J572"")"),0)</f>
        <v>0</v>
      </c>
      <c r="AO56" s="140">
        <f ca="1">IFERROR(__xludf.DUMMYFUNCTION("IMPORTRANGE(""https://docs.google.com/spreadsheets/d/1_Zwps30dlVa-pZFsorjVf1Pil6WXwzCsJU0U2whO3NI/edit?usp=sharing"",""ชลบุรี!J573"")"),0)</f>
        <v>0</v>
      </c>
      <c r="AP56" s="63">
        <f ca="1">IFERROR(__xludf.DUMMYFUNCTION("IMPORTRANGE(""https://docs.google.com/spreadsheets/d/1_Zwps30dlVa-pZFsorjVf1Pil6WXwzCsJU0U2whO3NI/edit?usp=sharing"",""ชลบุรี!J574"")"),0)</f>
        <v>0</v>
      </c>
      <c r="AQ56" s="140">
        <f ca="1">IFERROR(__xludf.DUMMYFUNCTION("IMPORTRANGE(""https://docs.google.com/spreadsheets/d/1_Zwps30dlVa-pZFsorjVf1Pil6WXwzCsJU0U2whO3NI/edit?usp=sharing"",""ชลบุรี!J575"")"),0)</f>
        <v>0</v>
      </c>
      <c r="AR56" s="57">
        <f ca="1">IFERROR(__xludf.DUMMYFUNCTION("IMPORTRANGE(""https://docs.google.com/spreadsheets/d/1_Zwps30dlVa-pZFsorjVf1Pil6WXwzCsJU0U2whO3NI/edit?usp=sharing"",""ชลบุรี!I576"")"),0)</f>
        <v>0</v>
      </c>
      <c r="AS56" s="57">
        <f ca="1">IFERROR(__xludf.DUMMYFUNCTION("IMPORTRANGE(""https://docs.google.com/spreadsheets/d/1_Zwps30dlVa-pZFsorjVf1Pil6WXwzCsJU0U2whO3NI/edit?usp=sharing"",""ชลบุรี!I577"")"),0)</f>
        <v>0</v>
      </c>
      <c r="AT56" s="63">
        <f ca="1">IFERROR(__xludf.DUMMYFUNCTION("IMPORTRANGE(""https://docs.google.com/spreadsheets/d/1_Zwps30dlVa-pZFsorjVf1Pil6WXwzCsJU0U2whO3NI/edit?usp=sharing"",""ชลบุรี!J576"")"),0)</f>
        <v>0</v>
      </c>
      <c r="AU56" s="63">
        <f t="shared" ca="1" si="39"/>
        <v>0</v>
      </c>
      <c r="AV56" s="57">
        <f ca="1">IFERROR(__xludf.DUMMYFUNCTION("IMPORTRANGE(""https://docs.google.com/spreadsheets/d/1_Zwps30dlVa-pZFsorjVf1Pil6WXwzCsJU0U2whO3NI/edit?usp=sharing"",""ชลบุรี!J577"")"),0)</f>
        <v>0</v>
      </c>
      <c r="AW56" s="63">
        <f t="shared" ca="1" si="13"/>
        <v>0</v>
      </c>
      <c r="AX56" s="63">
        <f ca="1">IFERROR(__xludf.DUMMYFUNCTION("IMPORTRANGE(""https://docs.google.com/spreadsheets/d/1_Zwps30dlVa-pZFsorjVf1Pil6WXwzCsJU0U2whO3NI/edit?usp=sharing"",""ชลบุรี!J578"")"),0)</f>
        <v>0</v>
      </c>
      <c r="AY56" s="140">
        <f ca="1">IFERROR(__xludf.DUMMYFUNCTION("IMPORTRANGE(""https://docs.google.com/spreadsheets/d/1_Zwps30dlVa-pZFsorjVf1Pil6WXwzCsJU0U2whO3NI/edit?usp=sharing"",""ชลบุรี!J579"")"),0)</f>
        <v>0</v>
      </c>
      <c r="AZ56" s="63">
        <f ca="1">IFERROR(__xludf.DUMMYFUNCTION("IMPORTRANGE(""https://docs.google.com/spreadsheets/d/1_Zwps30dlVa-pZFsorjVf1Pil6WXwzCsJU0U2whO3NI/edit?usp=sharing"",""ชลบุรี!J580"")"),0)</f>
        <v>0</v>
      </c>
      <c r="BA56" s="140">
        <f ca="1">IFERROR(__xludf.DUMMYFUNCTION("IMPORTRANGE(""https://docs.google.com/spreadsheets/d/1_Zwps30dlVa-pZFsorjVf1Pil6WXwzCsJU0U2whO3NI/edit?usp=sharing"",""ชลบุรี!J581"")"),0)</f>
        <v>0</v>
      </c>
      <c r="BB56" s="63">
        <f ca="1">IFERROR(__xludf.DUMMYFUNCTION("IMPORTRANGE(""https://docs.google.com/spreadsheets/d/1_Zwps30dlVa-pZFsorjVf1Pil6WXwzCsJU0U2whO3NI/edit?usp=sharing"",""ชลบุรี!J582"")"),0)</f>
        <v>0</v>
      </c>
      <c r="BC56" s="140">
        <f ca="1">IFERROR(__xludf.DUMMYFUNCTION("IMPORTRANGE(""https://docs.google.com/spreadsheets/d/1_Zwps30dlVa-pZFsorjVf1Pil6WXwzCsJU0U2whO3NI/edit?usp=sharing"",""ชลบุรี!J583"")"),0)</f>
        <v>0</v>
      </c>
      <c r="BD56" s="141">
        <f ca="1">IFERROR(__xludf.DUMMYFUNCTION("IMPORTRANGE(""https://docs.google.com/spreadsheets/d/1_Zwps30dlVa-pZFsorjVf1Pil6WXwzCsJU0U2whO3NI/edit?usp=sharing"",""ชลบุรี!J584"")"),0)</f>
        <v>0</v>
      </c>
      <c r="BE56" s="140">
        <f ca="1">IFERROR(__xludf.DUMMYFUNCTION("IMPORTRANGE(""https://docs.google.com/spreadsheets/d/1_Zwps30dlVa-pZFsorjVf1Pil6WXwzCsJU0U2whO3NI/edit?usp=sharing"",""ชลบุรี!J585"")"),0)</f>
        <v>0</v>
      </c>
      <c r="BF56" s="141">
        <f ca="1">IFERROR(__xludf.DUMMYFUNCTION("IMPORTRANGE(""https://docs.google.com/spreadsheets/d/1_Zwps30dlVa-pZFsorjVf1Pil6WXwzCsJU0U2whO3NI/edit?usp=sharing"",""ชลบุรี!J586"")"),0)</f>
        <v>0</v>
      </c>
      <c r="BG56" s="140">
        <f ca="1">IFERROR(__xludf.DUMMYFUNCTION("IMPORTRANGE(""https://docs.google.com/spreadsheets/d/1_Zwps30dlVa-pZFsorjVf1Pil6WXwzCsJU0U2whO3NI/edit?usp=sharing"",""ชลบุรี!J587"")"),0)</f>
        <v>0</v>
      </c>
      <c r="BH56" s="63">
        <f ca="1">IFERROR(__xludf.DUMMYFUNCTION("IMPORTRANGE(""https://docs.google.com/spreadsheets/d/1_Zwps30dlVa-pZFsorjVf1Pil6WXwzCsJU0U2whO3NI/edit?usp=sharing"",""ชลบุรี!J588"")"),0)</f>
        <v>0</v>
      </c>
      <c r="BI56" s="140">
        <f ca="1">IFERROR(__xludf.DUMMYFUNCTION("IMPORTRANGE(""https://docs.google.com/spreadsheets/d/1_Zwps30dlVa-pZFsorjVf1Pil6WXwzCsJU0U2whO3NI/edit?usp=sharing"",""ชลบุรี!J589"")"),0)</f>
        <v>0</v>
      </c>
      <c r="BJ56" s="63">
        <f ca="1">IFERROR(__xludf.DUMMYFUNCTION("IMPORTRANGE(""https://docs.google.com/spreadsheets/d/1_Zwps30dlVa-pZFsorjVf1Pil6WXwzCsJU0U2whO3NI/edit?usp=sharing"",""ชลบุรี!J590"")"),0)</f>
        <v>0</v>
      </c>
      <c r="BK56" s="140">
        <f ca="1">IFERROR(__xludf.DUMMYFUNCTION("IMPORTRANGE(""https://docs.google.com/spreadsheets/d/1_Zwps30dlVa-pZFsorjVf1Pil6WXwzCsJU0U2whO3NI/edit?usp=sharing"",""ชลบุรี!J591"")"),0)</f>
        <v>0</v>
      </c>
      <c r="BL56" s="57">
        <f ca="1">IFERROR(__xludf.DUMMYFUNCTION("IMPORTRANGE(""https://docs.google.com/spreadsheets/d/1_Zwps30dlVa-pZFsorjVf1Pil6WXwzCsJU0U2whO3NI/edit?usp=sharing"",""ชลบุรี!I593"")"),4079.62)</f>
        <v>4079.62</v>
      </c>
      <c r="BM56" s="57">
        <f ca="1">IFERROR(__xludf.DUMMYFUNCTION("IMPORTRANGE(""https://docs.google.com/spreadsheets/d/1_Zwps30dlVa-pZFsorjVf1Pil6WXwzCsJU0U2whO3NI/edit?usp=sharing"",""ชลบุรี!I594"")"),257)</f>
        <v>257</v>
      </c>
      <c r="BN56" s="63">
        <f ca="1">IFERROR(__xludf.DUMMYFUNCTION("IMPORTRANGE(""https://docs.google.com/spreadsheets/d/1_Zwps30dlVa-pZFsorjVf1Pil6WXwzCsJU0U2whO3NI/edit?usp=sharing"",""ชลบุรี!J593"")"),3555.18)</f>
        <v>3555.18</v>
      </c>
      <c r="BO56" s="63">
        <f t="shared" ca="1" si="40"/>
        <v>87.144881140890575</v>
      </c>
      <c r="BP56" s="57">
        <f ca="1">IFERROR(__xludf.DUMMYFUNCTION("IMPORTRANGE(""https://docs.google.com/spreadsheets/d/1_Zwps30dlVa-pZFsorjVf1Pil6WXwzCsJU0U2whO3NI/edit?usp=sharing"",""ชลบุรี!J594"")"),215)</f>
        <v>215</v>
      </c>
      <c r="BQ56" s="63">
        <f t="shared" ca="1" si="16"/>
        <v>83.657587548638134</v>
      </c>
      <c r="BR56" s="63">
        <f ca="1">IFERROR(__xludf.DUMMYFUNCTION("IMPORTRANGE(""https://docs.google.com/spreadsheets/d/1_Zwps30dlVa-pZFsorjVf1Pil6WXwzCsJU0U2whO3NI/edit?usp=sharing"",""ชลบุรี!J595"")"),3390.18)</f>
        <v>3390.18</v>
      </c>
      <c r="BS56" s="140">
        <f ca="1">IFERROR(__xludf.DUMMYFUNCTION("IMPORTRANGE(""https://docs.google.com/spreadsheets/d/1_Zwps30dlVa-pZFsorjVf1Pil6WXwzCsJU0U2whO3NI/edit?usp=sharing"",""ชลบุรี!J596"")"),206)</f>
        <v>206</v>
      </c>
      <c r="BT56" s="63">
        <f ca="1">IFERROR(__xludf.DUMMYFUNCTION("IMPORTRANGE(""https://docs.google.com/spreadsheets/d/1_Zwps30dlVa-pZFsorjVf1Pil6WXwzCsJU0U2whO3NI/edit?usp=sharing"",""ชลบุรี!J597"")"),3390.18)</f>
        <v>3390.18</v>
      </c>
      <c r="BU56" s="140">
        <f ca="1">IFERROR(__xludf.DUMMYFUNCTION("IMPORTRANGE(""https://docs.google.com/spreadsheets/d/1_Zwps30dlVa-pZFsorjVf1Pil6WXwzCsJU0U2whO3NI/edit?usp=sharing"",""ชลบุรี!J598"")"),206)</f>
        <v>206</v>
      </c>
      <c r="BV56" s="63">
        <f ca="1">IFERROR(__xludf.DUMMYFUNCTION("IMPORTRANGE(""https://docs.google.com/spreadsheets/d/1_Zwps30dlVa-pZFsorjVf1Pil6WXwzCsJU0U2whO3NI/edit?usp=sharing"",""ชลบุรี!J599"")"),0)</f>
        <v>0</v>
      </c>
      <c r="BW56" s="140">
        <f ca="1">IFERROR(__xludf.DUMMYFUNCTION("IMPORTRANGE(""https://docs.google.com/spreadsheets/d/1_Zwps30dlVa-pZFsorjVf1Pil6WXwzCsJU0U2whO3NI/edit?usp=sharing"",""ชลบุรี!J600"")"),0)</f>
        <v>0</v>
      </c>
      <c r="BX56" s="141">
        <f ca="1">IFERROR(__xludf.DUMMYFUNCTION("IMPORTRANGE(""https://docs.google.com/spreadsheets/d/1_Zwps30dlVa-pZFsorjVf1Pil6WXwzCsJU0U2whO3NI/edit?usp=sharing"",""ชลบุรี!J601"")"),0)</f>
        <v>0</v>
      </c>
      <c r="BY56" s="140">
        <f ca="1">IFERROR(__xludf.DUMMYFUNCTION("IMPORTRANGE(""https://docs.google.com/spreadsheets/d/1_Zwps30dlVa-pZFsorjVf1Pil6WXwzCsJU0U2whO3NI/edit?usp=sharing"",""ชลบุรี!J602"")"),0)</f>
        <v>0</v>
      </c>
      <c r="BZ56" s="63">
        <f ca="1">IFERROR(__xludf.DUMMYFUNCTION("IMPORTRANGE(""https://docs.google.com/spreadsheets/d/1_Zwps30dlVa-pZFsorjVf1Pil6WXwzCsJU0U2whO3NI/edit?usp=sharing"",""ชลบุรี!J603"")"),165)</f>
        <v>165</v>
      </c>
      <c r="CA56" s="140">
        <f ca="1">IFERROR(__xludf.DUMMYFUNCTION("IMPORTRANGE(""https://docs.google.com/spreadsheets/d/1_Zwps30dlVa-pZFsorjVf1Pil6WXwzCsJU0U2whO3NI/edit?usp=sharing"",""ชลบุรี!J604"")"),9)</f>
        <v>9</v>
      </c>
      <c r="CB56" s="63">
        <f ca="1">IFERROR(__xludf.DUMMYFUNCTION("IMPORTRANGE(""https://docs.google.com/spreadsheets/d/1_Zwps30dlVa-pZFsorjVf1Pil6WXwzCsJU0U2whO3NI/edit?usp=sharing"",""ชลบุรี!J605"")"),165)</f>
        <v>165</v>
      </c>
      <c r="CC56" s="140">
        <f ca="1">IFERROR(__xludf.DUMMYFUNCTION("IMPORTRANGE(""https://docs.google.com/spreadsheets/d/1_Zwps30dlVa-pZFsorjVf1Pil6WXwzCsJU0U2whO3NI/edit?usp=sharing"",""ชลบุรี!J606"")"),9)</f>
        <v>9</v>
      </c>
      <c r="CD56" s="63">
        <f ca="1">IFERROR(__xludf.DUMMYFUNCTION("IMPORTRANGE(""https://docs.google.com/spreadsheets/d/1_Zwps30dlVa-pZFsorjVf1Pil6WXwzCsJU0U2whO3NI/edit?usp=sharing"",""ชลบุรี!J607"")"),0)</f>
        <v>0</v>
      </c>
      <c r="CE56" s="140">
        <f ca="1">IFERROR(__xludf.DUMMYFUNCTION("IMPORTRANGE(""https://docs.google.com/spreadsheets/d/1_Zwps30dlVa-pZFsorjVf1Pil6WXwzCsJU0U2whO3NI/edit?usp=sharing"",""ชลบุรี!J608"")"),0)</f>
        <v>0</v>
      </c>
      <c r="CF56" s="63">
        <f ca="1">IFERROR(__xludf.DUMMYFUNCTION("IMPORTRANGE(""https://docs.google.com/spreadsheets/d/1_Zwps30dlVa-pZFsorjVf1Pil6WXwzCsJU0U2whO3NI/edit?usp=sharing"",""ชลบุรี!J609"")"),0)</f>
        <v>0</v>
      </c>
      <c r="CG56" s="140">
        <f ca="1">IFERROR(__xludf.DUMMYFUNCTION("IMPORTRANGE(""https://docs.google.com/spreadsheets/d/1_Zwps30dlVa-pZFsorjVf1Pil6WXwzCsJU0U2whO3NI/edit?usp=sharing"",""ชลบุรี!J610"")"),0)</f>
        <v>0</v>
      </c>
      <c r="CH56" s="140">
        <f ca="1">IFERROR(__xludf.DUMMYFUNCTION("IMPORTRANGE(""https://docs.google.com/spreadsheets/d/1_Zwps30dlVa-pZFsorjVf1Pil6WXwzCsJU0U2whO3NI/edit?usp=sharing"",""ชลบุรี!I612"")"),0)</f>
        <v>0</v>
      </c>
      <c r="CI56" s="140">
        <f ca="1">IFERROR(__xludf.DUMMYFUNCTION("IMPORTRANGE(""https://docs.google.com/spreadsheets/d/1_Zwps30dlVa-pZFsorjVf1Pil6WXwzCsJU0U2whO3NI/edit?usp=sharing"",""ชลบุรี!I594"")"),257)</f>
        <v>257</v>
      </c>
      <c r="CJ56" s="141">
        <f ca="1">IFERROR(__xludf.DUMMYFUNCTION("IMPORTRANGE(""https://docs.google.com/spreadsheets/d/1_Zwps30dlVa-pZFsorjVf1Pil6WXwzCsJU0U2whO3NI/edit?usp=sharing"",""ชลบุรี!J612"")"),0)</f>
        <v>0</v>
      </c>
      <c r="CK56" s="141">
        <f t="shared" ca="1" si="41"/>
        <v>0</v>
      </c>
      <c r="CL56" s="140">
        <f ca="1">IFERROR(__xludf.DUMMYFUNCTION("IMPORTRANGE(""https://docs.google.com/spreadsheets/d/1_Zwps30dlVa-pZFsorjVf1Pil6WXwzCsJU0U2whO3NI/edit?usp=sharing"",""ชลบุรี!J613"")"),0)</f>
        <v>0</v>
      </c>
      <c r="CM56" s="141">
        <f t="shared" ca="1" si="19"/>
        <v>0</v>
      </c>
      <c r="CN56" s="63">
        <f ca="1">IFERROR(__xludf.DUMMYFUNCTION("IMPORTRANGE(""https://docs.google.com/spreadsheets/d/1_Zwps30dlVa-pZFsorjVf1Pil6WXwzCsJU0U2whO3NI/edit?usp=sharing"",""ชลบุรี!J614"")"),0)</f>
        <v>0</v>
      </c>
      <c r="CO56" s="140">
        <f ca="1">IFERROR(__xludf.DUMMYFUNCTION("IMPORTRANGE(""https://docs.google.com/spreadsheets/d/1_Zwps30dlVa-pZFsorjVf1Pil6WXwzCsJU0U2whO3NI/edit?usp=sharing"",""ชลบุรี!J615"")"),0)</f>
        <v>0</v>
      </c>
      <c r="CP56" s="63">
        <f ca="1">IFERROR(__xludf.DUMMYFUNCTION("IMPORTRANGE(""https://docs.google.com/spreadsheets/d/1_Zwps30dlVa-pZFsorjVf1Pil6WXwzCsJU0U2whO3NI/edit?usp=sharing"",""ชลบุรี!J616"")"),0)</f>
        <v>0</v>
      </c>
      <c r="CQ56" s="140">
        <f ca="1">IFERROR(__xludf.DUMMYFUNCTION("IMPORTRANGE(""https://docs.google.com/spreadsheets/d/1_Zwps30dlVa-pZFsorjVf1Pil6WXwzCsJU0U2whO3NI/edit?usp=sharing"",""ชลบุรี!J617"")"),0)</f>
        <v>0</v>
      </c>
      <c r="CR56" s="140">
        <f ca="1">IFERROR(__xludf.DUMMYFUNCTION("IMPORTRANGE(""https://docs.google.com/spreadsheets/d/1_Zwps30dlVa-pZFsorjVf1Pil6WXwzCsJU0U2whO3NI/edit?usp=sharing"",""ชลบุรี!I620"")"),0)</f>
        <v>0</v>
      </c>
      <c r="CS56" s="140">
        <f ca="1">IFERROR(__xludf.DUMMYFUNCTION("IMPORTRANGE(""https://docs.google.com/spreadsheets/d/1_Zwps30dlVa-pZFsorjVf1Pil6WXwzCsJU0U2whO3NI/edit?usp=sharing"",""ชลบุรี!I621"")"),0)</f>
        <v>0</v>
      </c>
      <c r="CT56" s="141">
        <f ca="1">IFERROR(__xludf.DUMMYFUNCTION("IMPORTRANGE(""https://docs.google.com/spreadsheets/d/1_Zwps30dlVa-pZFsorjVf1Pil6WXwzCsJU0U2whO3NI/edit?usp=sharing"",""ชลบุรี!J620"")"),0)</f>
        <v>0</v>
      </c>
      <c r="CU56" s="141">
        <f t="shared" ca="1" si="42"/>
        <v>0</v>
      </c>
      <c r="CV56" s="140">
        <f ca="1">IFERROR(__xludf.DUMMYFUNCTION("IMPORTRANGE(""https://docs.google.com/spreadsheets/d/1_Zwps30dlVa-pZFsorjVf1Pil6WXwzCsJU0U2whO3NI/edit?usp=sharing"",""ชลบุรี!J621"")"),0)</f>
        <v>0</v>
      </c>
      <c r="CW56" s="141">
        <f t="shared" ca="1" si="22"/>
        <v>0</v>
      </c>
      <c r="CX56" s="63">
        <f ca="1">IFERROR(__xludf.DUMMYFUNCTION("IMPORTRANGE(""https://docs.google.com/spreadsheets/d/1_Zwps30dlVa-pZFsorjVf1Pil6WXwzCsJU0U2whO3NI/edit?usp=sharing"",""ชลบุรี!J622"")"),0)</f>
        <v>0</v>
      </c>
      <c r="CY56" s="140">
        <f ca="1">IFERROR(__xludf.DUMMYFUNCTION("IMPORTRANGE(""https://docs.google.com/spreadsheets/d/1_Zwps30dlVa-pZFsorjVf1Pil6WXwzCsJU0U2whO3NI/edit?usp=sharing"",""ชลบุรี!J623"")"),0)</f>
        <v>0</v>
      </c>
      <c r="CZ56" s="63">
        <f ca="1">IFERROR(__xludf.DUMMYFUNCTION("IMPORTRANGE(""https://docs.google.com/spreadsheets/d/1_Zwps30dlVa-pZFsorjVf1Pil6WXwzCsJU0U2whO3NI/edit?usp=sharing"",""ชลบุรี!J624"")"),0)</f>
        <v>0</v>
      </c>
      <c r="DA56" s="140">
        <f ca="1">IFERROR(__xludf.DUMMYFUNCTION("IMPORTRANGE(""https://docs.google.com/spreadsheets/d/1_Zwps30dlVa-pZFsorjVf1Pil6WXwzCsJU0U2whO3NI/edit?usp=sharing"",""ชลบุรี!J625"")"),0)</f>
        <v>0</v>
      </c>
      <c r="DB56" s="63">
        <f ca="1">IFERROR(__xludf.DUMMYFUNCTION("IMPORTRANGE(""https://docs.google.com/spreadsheets/d/1_Zwps30dlVa-pZFsorjVf1Pil6WXwzCsJU0U2whO3NI/edit?usp=sharing"",""ชลบุรี!J626"")"),0)</f>
        <v>0</v>
      </c>
      <c r="DC56" s="140">
        <f ca="1">IFERROR(__xludf.DUMMYFUNCTION("IMPORTRANGE(""https://docs.google.com/spreadsheets/d/1_Zwps30dlVa-pZFsorjVf1Pil6WXwzCsJU0U2whO3NI/edit?usp=sharing"",""ชลบุรี!J627"")"),0)</f>
        <v>0</v>
      </c>
    </row>
    <row r="57" spans="1:107" ht="21" customHeight="1" x14ac:dyDescent="0.3">
      <c r="A57" s="54">
        <v>5</v>
      </c>
      <c r="B57" s="55" t="s">
        <v>78</v>
      </c>
      <c r="C57" s="56">
        <f t="shared" ca="1" si="77"/>
        <v>217100</v>
      </c>
      <c r="D57" s="57">
        <f ca="1">IFERROR(__xludf.DUMMYFUNCTION("IMPORTRANGE(""https://docs.google.com/spreadsheets/d/1xAsT4sUbBlom7l0acStESh_15nvjZcXjZM7fK5uZSq8/edit?usp=sharing"",""ชัยนาท!L549"")"),217100)</f>
        <v>217100</v>
      </c>
      <c r="E57" s="64">
        <f ca="1">IFERROR(__xludf.DUMMYFUNCTION("IMPORTRANGE(""https://docs.google.com/spreadsheets/d/1xAsT4sUbBlom7l0acStESh_15nvjZcXjZM7fK5uZSq8/edit?usp=sharing"",""ชัยนาท!L557"")"),0)</f>
        <v>0</v>
      </c>
      <c r="F57" s="64">
        <f ca="1">IFERROR(__xludf.DUMMYFUNCTION("IMPORTRANGE(""https://docs.google.com/spreadsheets/d/1xAsT4sUbBlom7l0acStESh_15nvjZcXjZM7fK5uZSq8/edit?usp=sharing"",""ชัยนาท!M549"")"),217100)</f>
        <v>217100</v>
      </c>
      <c r="G57" s="64">
        <f ca="1">IFERROR(__xludf.DUMMYFUNCTION("IMPORTRANGE(""https://docs.google.com/spreadsheets/d/1xAsT4sUbBlom7l0acStESh_15nvjZcXjZM7fK5uZSq8/edit?usp=sharing"",""ชัยนาท!M557"")"),0)</f>
        <v>0</v>
      </c>
      <c r="H57" s="58">
        <f t="shared" ca="1" si="36"/>
        <v>96705</v>
      </c>
      <c r="I57" s="59">
        <f t="shared" ca="1" si="1"/>
        <v>44.543988945186548</v>
      </c>
      <c r="J57" s="60">
        <f t="shared" ca="1" si="78"/>
        <v>96705</v>
      </c>
      <c r="K57" s="61">
        <f t="shared" ca="1" si="44"/>
        <v>44.543988945186548</v>
      </c>
      <c r="L57" s="61">
        <f t="shared" ca="1" si="45"/>
        <v>44.543988945186548</v>
      </c>
      <c r="M57" s="64">
        <f ca="1">IFERROR(__xludf.DUMMYFUNCTION("IMPORTRANGE(""https://docs.google.com/spreadsheets/d/1xAsT4sUbBlom7l0acStESh_15nvjZcXjZM7fK5uZSq8/edit?usp=sharing"",""ชัยนาท!N550"")"),0)</f>
        <v>0</v>
      </c>
      <c r="N57" s="64">
        <f ca="1">IFERROR(__xludf.DUMMYFUNCTION("IMPORTRANGE(""https://docs.google.com/spreadsheets/d/1xAsT4sUbBlom7l0acStESh_15nvjZcXjZM7fK5uZSq8/edit?usp=sharing"",""ชัยนาท!N551"")"),27305)</f>
        <v>27305</v>
      </c>
      <c r="O57" s="64">
        <f ca="1">IFERROR(__xludf.DUMMYFUNCTION("IMPORTRANGE(""https://docs.google.com/spreadsheets/d/1xAsT4sUbBlom7l0acStESh_15nvjZcXjZM7fK5uZSq8/edit?usp=sharing"",""ชัยนาท!N552"")"),65000)</f>
        <v>65000</v>
      </c>
      <c r="P57" s="64">
        <f ca="1">IFERROR(__xludf.DUMMYFUNCTION("IMPORTRANGE(""https://docs.google.com/spreadsheets/d/1xAsT4sUbBlom7l0acStESh_15nvjZcXjZM7fK5uZSq8/edit?usp=sharing"",""ชัยนาท!N553"")"),4400)</f>
        <v>4400</v>
      </c>
      <c r="Q57" s="64">
        <f ca="1">IFERROR(__xludf.DUMMYFUNCTION("IMPORTRANGE(""https://docs.google.com/spreadsheets/d/1xAsT4sUbBlom7l0acStESh_15nvjZcXjZM7fK5uZSq8/edit?usp=sharing"",""ชัยนาท!N554"")"),0)</f>
        <v>0</v>
      </c>
      <c r="R57" s="62">
        <f ca="1">IFERROR(__xludf.DUMMYFUNCTION("IMPORTRANGE(""https://docs.google.com/spreadsheets/d/1xAsT4sUbBlom7l0acStESh_15nvjZcXjZM7fK5uZSq8/edit?usp=sharing"",""ชัยนาท!N557"")"),0)</f>
        <v>0</v>
      </c>
      <c r="S57" s="62">
        <f t="shared" ca="1" si="47"/>
        <v>0</v>
      </c>
      <c r="T57" s="57">
        <f ca="1">IFERROR(__xludf.DUMMYFUNCTION("IMPORTRANGE(""https://docs.google.com/spreadsheets/d/1xAsT4sUbBlom7l0acStESh_15nvjZcXjZM7fK5uZSq8/edit?usp=sharing"",""ชัยนาท!I560"")"),0)</f>
        <v>0</v>
      </c>
      <c r="U57" s="57">
        <f ca="1">IFERROR(__xludf.DUMMYFUNCTION("IMPORTRANGE(""https://docs.google.com/spreadsheets/d/1xAsT4sUbBlom7l0acStESh_15nvjZcXjZM7fK5uZSq8/edit?usp=sharing"",""ชัยนาท!I561"")"),0)</f>
        <v>0</v>
      </c>
      <c r="V57" s="63">
        <f ca="1">IFERROR(__xludf.DUMMYFUNCTION("IMPORTRANGE(""https://docs.google.com/spreadsheets/d/1xAsT4sUbBlom7l0acStESh_15nvjZcXjZM7fK5uZSq8/edit?usp=sharing"",""ชัยนาท!J560"")"),0)</f>
        <v>0</v>
      </c>
      <c r="W57" s="63">
        <f t="shared" ca="1" si="37"/>
        <v>0</v>
      </c>
      <c r="X57" s="57">
        <f ca="1">IFERROR(__xludf.DUMMYFUNCTION("IMPORTRANGE(""https://docs.google.com/spreadsheets/d/1xAsT4sUbBlom7l0acStESh_15nvjZcXjZM7fK5uZSq8/edit?usp=sharing"",""ชัยนาท!J561"")"),0)</f>
        <v>0</v>
      </c>
      <c r="Y57" s="63">
        <f t="shared" ca="1" si="7"/>
        <v>0</v>
      </c>
      <c r="Z57" s="63">
        <f ca="1">IFERROR(__xludf.DUMMYFUNCTION("IMPORTRANGE(""https://docs.google.com/spreadsheets/d/1xAsT4sUbBlom7l0acStESh_15nvjZcXjZM7fK5uZSq8/edit?usp=sharing"",""ชัยนาท!J562"")"),0)</f>
        <v>0</v>
      </c>
      <c r="AA57" s="140">
        <f ca="1">IFERROR(__xludf.DUMMYFUNCTION("IMPORTRANGE(""https://docs.google.com/spreadsheets/d/1xAsT4sUbBlom7l0acStESh_15nvjZcXjZM7fK5uZSq8/edit?usp=sharing"",""ชัยนาท!J563"")"),0)</f>
        <v>0</v>
      </c>
      <c r="AB57" s="63">
        <f ca="1">IFERROR(__xludf.DUMMYFUNCTION("IMPORTRANGE(""https://docs.google.com/spreadsheets/d/1xAsT4sUbBlom7l0acStESh_15nvjZcXjZM7fK5uZSq8/edit?usp=sharing"",""ชัยนาท!J564"")"),0)</f>
        <v>0</v>
      </c>
      <c r="AC57" s="140">
        <f ca="1">IFERROR(__xludf.DUMMYFUNCTION("IMPORTRANGE(""https://docs.google.com/spreadsheets/d/1xAsT4sUbBlom7l0acStESh_15nvjZcXjZM7fK5uZSq8/edit?usp=sharing"",""ชัยนาท!J565"")"),0)</f>
        <v>0</v>
      </c>
      <c r="AD57" s="63">
        <f ca="1">IFERROR(__xludf.DUMMYFUNCTION("IMPORTRANGE(""https://docs.google.com/spreadsheets/d/1xAsT4sUbBlom7l0acStESh_15nvjZcXjZM7fK5uZSq8/edit?usp=sharing"",""ชัยนาท!J566"")"),0)</f>
        <v>0</v>
      </c>
      <c r="AE57" s="140">
        <f ca="1">IFERROR(__xludf.DUMMYFUNCTION("IMPORTRANGE(""https://docs.google.com/spreadsheets/d/1xAsT4sUbBlom7l0acStESh_15nvjZcXjZM7fK5uZSq8/edit?usp=sharing"",""ชัยนาท!J567"")"),0)</f>
        <v>0</v>
      </c>
      <c r="AF57" s="57">
        <f ca="1">IFERROR(__xludf.DUMMYFUNCTION("IMPORTRANGE(""https://docs.google.com/spreadsheets/d/1xAsT4sUbBlom7l0acStESh_15nvjZcXjZM7fK5uZSq8/edit?usp=sharing"",""ชัยนาท!I568"")"),0)</f>
        <v>0</v>
      </c>
      <c r="AG57" s="57">
        <f ca="1">IFERROR(__xludf.DUMMYFUNCTION("IMPORTRANGE(""https://docs.google.com/spreadsheets/d/1xAsT4sUbBlom7l0acStESh_15nvjZcXjZM7fK5uZSq8/edit?usp=sharing"",""ชัยนาท!I569"")"),0)</f>
        <v>0</v>
      </c>
      <c r="AH57" s="63">
        <f ca="1">IFERROR(__xludf.DUMMYFUNCTION("IMPORTRANGE(""https://docs.google.com/spreadsheets/d/1xAsT4sUbBlom7l0acStESh_15nvjZcXjZM7fK5uZSq8/edit?usp=sharing"",""ชัยนาท!J568"")"),0)</f>
        <v>0</v>
      </c>
      <c r="AI57" s="63">
        <f t="shared" ca="1" si="38"/>
        <v>0</v>
      </c>
      <c r="AJ57" s="57">
        <f ca="1">IFERROR(__xludf.DUMMYFUNCTION("IMPORTRANGE(""https://docs.google.com/spreadsheets/d/1xAsT4sUbBlom7l0acStESh_15nvjZcXjZM7fK5uZSq8/edit?usp=sharing"",""ชัยนาท!J569"")"),0)</f>
        <v>0</v>
      </c>
      <c r="AK57" s="63">
        <f t="shared" ca="1" si="10"/>
        <v>0</v>
      </c>
      <c r="AL57" s="63">
        <f ca="1">IFERROR(__xludf.DUMMYFUNCTION("IMPORTRANGE(""https://docs.google.com/spreadsheets/d/1xAsT4sUbBlom7l0acStESh_15nvjZcXjZM7fK5uZSq8/edit?usp=sharing"",""ชัยนาท!J570"")"),0)</f>
        <v>0</v>
      </c>
      <c r="AM57" s="140">
        <f ca="1">IFERROR(__xludf.DUMMYFUNCTION("IMPORTRANGE(""https://docs.google.com/spreadsheets/d/1xAsT4sUbBlom7l0acStESh_15nvjZcXjZM7fK5uZSq8/edit?usp=sharing"",""ชัยนาท!J571"")"),0)</f>
        <v>0</v>
      </c>
      <c r="AN57" s="63">
        <f ca="1">IFERROR(__xludf.DUMMYFUNCTION("IMPORTRANGE(""https://docs.google.com/spreadsheets/d/1xAsT4sUbBlom7l0acStESh_15nvjZcXjZM7fK5uZSq8/edit?usp=sharing"",""ชัยนาท!J572"")"),0)</f>
        <v>0</v>
      </c>
      <c r="AO57" s="140">
        <f ca="1">IFERROR(__xludf.DUMMYFUNCTION("IMPORTRANGE(""https://docs.google.com/spreadsheets/d/1xAsT4sUbBlom7l0acStESh_15nvjZcXjZM7fK5uZSq8/edit?usp=sharing"",""ชัยนาท!J573"")"),0)</f>
        <v>0</v>
      </c>
      <c r="AP57" s="63">
        <f ca="1">IFERROR(__xludf.DUMMYFUNCTION("IMPORTRANGE(""https://docs.google.com/spreadsheets/d/1xAsT4sUbBlom7l0acStESh_15nvjZcXjZM7fK5uZSq8/edit?usp=sharing"",""ชัยนาท!J574"")"),0)</f>
        <v>0</v>
      </c>
      <c r="AQ57" s="140">
        <f ca="1">IFERROR(__xludf.DUMMYFUNCTION("IMPORTRANGE(""https://docs.google.com/spreadsheets/d/1xAsT4sUbBlom7l0acStESh_15nvjZcXjZM7fK5uZSq8/edit?usp=sharing"",""ชัยนาท!J575"")"),0)</f>
        <v>0</v>
      </c>
      <c r="AR57" s="57">
        <f ca="1">IFERROR(__xludf.DUMMYFUNCTION("IMPORTRANGE(""https://docs.google.com/spreadsheets/d/1xAsT4sUbBlom7l0acStESh_15nvjZcXjZM7fK5uZSq8/edit?usp=sharing"",""ชัยนาท!I576"")"),0)</f>
        <v>0</v>
      </c>
      <c r="AS57" s="57">
        <f ca="1">IFERROR(__xludf.DUMMYFUNCTION("IMPORTRANGE(""https://docs.google.com/spreadsheets/d/1xAsT4sUbBlom7l0acStESh_15nvjZcXjZM7fK5uZSq8/edit?usp=sharing"",""ชัยนาท!I577"")"),0)</f>
        <v>0</v>
      </c>
      <c r="AT57" s="63">
        <f ca="1">IFERROR(__xludf.DUMMYFUNCTION("IMPORTRANGE(""https://docs.google.com/spreadsheets/d/1xAsT4sUbBlom7l0acStESh_15nvjZcXjZM7fK5uZSq8/edit?usp=sharing"",""ชัยนาท!J576"")"),0)</f>
        <v>0</v>
      </c>
      <c r="AU57" s="63">
        <f t="shared" ca="1" si="39"/>
        <v>0</v>
      </c>
      <c r="AV57" s="57">
        <f ca="1">IFERROR(__xludf.DUMMYFUNCTION("IMPORTRANGE(""https://docs.google.com/spreadsheets/d/1xAsT4sUbBlom7l0acStESh_15nvjZcXjZM7fK5uZSq8/edit?usp=sharing"",""ชัยนาท!J577"")"),0)</f>
        <v>0</v>
      </c>
      <c r="AW57" s="63">
        <f t="shared" ca="1" si="13"/>
        <v>0</v>
      </c>
      <c r="AX57" s="63">
        <f ca="1">IFERROR(__xludf.DUMMYFUNCTION("IMPORTRANGE(""https://docs.google.com/spreadsheets/d/1xAsT4sUbBlom7l0acStESh_15nvjZcXjZM7fK5uZSq8/edit?usp=sharing"",""ชัยนาท!J578"")"),0)</f>
        <v>0</v>
      </c>
      <c r="AY57" s="140">
        <f ca="1">IFERROR(__xludf.DUMMYFUNCTION("IMPORTRANGE(""https://docs.google.com/spreadsheets/d/1xAsT4sUbBlom7l0acStESh_15nvjZcXjZM7fK5uZSq8/edit?usp=sharing"",""ชัยนาท!J579"")"),0)</f>
        <v>0</v>
      </c>
      <c r="AZ57" s="63">
        <f ca="1">IFERROR(__xludf.DUMMYFUNCTION("IMPORTRANGE(""https://docs.google.com/spreadsheets/d/1xAsT4sUbBlom7l0acStESh_15nvjZcXjZM7fK5uZSq8/edit?usp=sharing"",""ชัยนาท!J580"")"),0)</f>
        <v>0</v>
      </c>
      <c r="BA57" s="140">
        <f ca="1">IFERROR(__xludf.DUMMYFUNCTION("IMPORTRANGE(""https://docs.google.com/spreadsheets/d/1xAsT4sUbBlom7l0acStESh_15nvjZcXjZM7fK5uZSq8/edit?usp=sharing"",""ชัยนาท!J581"")"),0)</f>
        <v>0</v>
      </c>
      <c r="BB57" s="63">
        <f ca="1">IFERROR(__xludf.DUMMYFUNCTION("IMPORTRANGE(""https://docs.google.com/spreadsheets/d/1xAsT4sUbBlom7l0acStESh_15nvjZcXjZM7fK5uZSq8/edit?usp=sharing"",""ชัยนาท!J582"")"),0)</f>
        <v>0</v>
      </c>
      <c r="BC57" s="140">
        <f ca="1">IFERROR(__xludf.DUMMYFUNCTION("IMPORTRANGE(""https://docs.google.com/spreadsheets/d/1xAsT4sUbBlom7l0acStESh_15nvjZcXjZM7fK5uZSq8/edit?usp=sharing"",""ชัยนาท!J583"")"),0)</f>
        <v>0</v>
      </c>
      <c r="BD57" s="141">
        <f ca="1">IFERROR(__xludf.DUMMYFUNCTION("IMPORTRANGE(""https://docs.google.com/spreadsheets/d/1xAsT4sUbBlom7l0acStESh_15nvjZcXjZM7fK5uZSq8/edit?usp=sharing"",""ชัยนาท!J584"")"),0)</f>
        <v>0</v>
      </c>
      <c r="BE57" s="140">
        <f ca="1">IFERROR(__xludf.DUMMYFUNCTION("IMPORTRANGE(""https://docs.google.com/spreadsheets/d/1xAsT4sUbBlom7l0acStESh_15nvjZcXjZM7fK5uZSq8/edit?usp=sharing"",""ชัยนาท!J585"")"),0)</f>
        <v>0</v>
      </c>
      <c r="BF57" s="141">
        <f ca="1">IFERROR(__xludf.DUMMYFUNCTION("IMPORTRANGE(""https://docs.google.com/spreadsheets/d/1xAsT4sUbBlom7l0acStESh_15nvjZcXjZM7fK5uZSq8/edit?usp=sharing"",""ชัยนาท!J586"")"),0)</f>
        <v>0</v>
      </c>
      <c r="BG57" s="140">
        <f ca="1">IFERROR(__xludf.DUMMYFUNCTION("IMPORTRANGE(""https://docs.google.com/spreadsheets/d/1xAsT4sUbBlom7l0acStESh_15nvjZcXjZM7fK5uZSq8/edit?usp=sharing"",""ชัยนาท!J587"")"),0)</f>
        <v>0</v>
      </c>
      <c r="BH57" s="63">
        <f ca="1">IFERROR(__xludf.DUMMYFUNCTION("IMPORTRANGE(""https://docs.google.com/spreadsheets/d/1xAsT4sUbBlom7l0acStESh_15nvjZcXjZM7fK5uZSq8/edit?usp=sharing"",""ชัยนาท!J588"")"),0)</f>
        <v>0</v>
      </c>
      <c r="BI57" s="140">
        <f ca="1">IFERROR(__xludf.DUMMYFUNCTION("IMPORTRANGE(""https://docs.google.com/spreadsheets/d/1xAsT4sUbBlom7l0acStESh_15nvjZcXjZM7fK5uZSq8/edit?usp=sharing"",""ชัยนาท!J589"")"),0)</f>
        <v>0</v>
      </c>
      <c r="BJ57" s="63">
        <f ca="1">IFERROR(__xludf.DUMMYFUNCTION("IMPORTRANGE(""https://docs.google.com/spreadsheets/d/1xAsT4sUbBlom7l0acStESh_15nvjZcXjZM7fK5uZSq8/edit?usp=sharing"",""ชัยนาท!J590"")"),0)</f>
        <v>0</v>
      </c>
      <c r="BK57" s="140">
        <f ca="1">IFERROR(__xludf.DUMMYFUNCTION("IMPORTRANGE(""https://docs.google.com/spreadsheets/d/1xAsT4sUbBlom7l0acStESh_15nvjZcXjZM7fK5uZSq8/edit?usp=sharing"",""ชัยนาท!J591"")"),0)</f>
        <v>0</v>
      </c>
      <c r="BL57" s="57">
        <f ca="1">IFERROR(__xludf.DUMMYFUNCTION("IMPORTRANGE(""https://docs.google.com/spreadsheets/d/1xAsT4sUbBlom7l0acStESh_15nvjZcXjZM7fK5uZSq8/edit?usp=sharing"",""ชัยนาท!I593"")"),274.72)</f>
        <v>274.72000000000003</v>
      </c>
      <c r="BM57" s="57">
        <f ca="1">IFERROR(__xludf.DUMMYFUNCTION("IMPORTRANGE(""https://docs.google.com/spreadsheets/d/1xAsT4sUbBlom7l0acStESh_15nvjZcXjZM7fK5uZSq8/edit?usp=sharing"",""ชัยนาท!I594"")"),17)</f>
        <v>17</v>
      </c>
      <c r="BN57" s="63">
        <f ca="1">IFERROR(__xludf.DUMMYFUNCTION("IMPORTRANGE(""https://docs.google.com/spreadsheets/d/1xAsT4sUbBlom7l0acStESh_15nvjZcXjZM7fK5uZSq8/edit?usp=sharing"",""ชัยนาท!J593"")"),0)</f>
        <v>0</v>
      </c>
      <c r="BO57" s="63">
        <f t="shared" ca="1" si="40"/>
        <v>0</v>
      </c>
      <c r="BP57" s="57">
        <f ca="1">IFERROR(__xludf.DUMMYFUNCTION("IMPORTRANGE(""https://docs.google.com/spreadsheets/d/1xAsT4sUbBlom7l0acStESh_15nvjZcXjZM7fK5uZSq8/edit?usp=sharing"",""ชัยนาท!J594"")"),0)</f>
        <v>0</v>
      </c>
      <c r="BQ57" s="63">
        <f t="shared" ca="1" si="16"/>
        <v>0</v>
      </c>
      <c r="BR57" s="63">
        <f ca="1">IFERROR(__xludf.DUMMYFUNCTION("IMPORTRANGE(""https://docs.google.com/spreadsheets/d/1xAsT4sUbBlom7l0acStESh_15nvjZcXjZM7fK5uZSq8/edit?usp=sharing"",""ชัยนาท!J595"")"),0)</f>
        <v>0</v>
      </c>
      <c r="BS57" s="140">
        <f ca="1">IFERROR(__xludf.DUMMYFUNCTION("IMPORTRANGE(""https://docs.google.com/spreadsheets/d/1xAsT4sUbBlom7l0acStESh_15nvjZcXjZM7fK5uZSq8/edit?usp=sharing"",""ชัยนาท!J596"")"),0)</f>
        <v>0</v>
      </c>
      <c r="BT57" s="63">
        <f ca="1">IFERROR(__xludf.DUMMYFUNCTION("IMPORTRANGE(""https://docs.google.com/spreadsheets/d/1xAsT4sUbBlom7l0acStESh_15nvjZcXjZM7fK5uZSq8/edit?usp=sharing"",""ชัยนาท!J597"")"),0)</f>
        <v>0</v>
      </c>
      <c r="BU57" s="140">
        <f ca="1">IFERROR(__xludf.DUMMYFUNCTION("IMPORTRANGE(""https://docs.google.com/spreadsheets/d/1xAsT4sUbBlom7l0acStESh_15nvjZcXjZM7fK5uZSq8/edit?usp=sharing"",""ชัยนาท!J598"")"),0)</f>
        <v>0</v>
      </c>
      <c r="BV57" s="63">
        <f ca="1">IFERROR(__xludf.DUMMYFUNCTION("IMPORTRANGE(""https://docs.google.com/spreadsheets/d/1xAsT4sUbBlom7l0acStESh_15nvjZcXjZM7fK5uZSq8/edit?usp=sharing"",""ชัยนาท!J599"")"),0)</f>
        <v>0</v>
      </c>
      <c r="BW57" s="140">
        <f ca="1">IFERROR(__xludf.DUMMYFUNCTION("IMPORTRANGE(""https://docs.google.com/spreadsheets/d/1xAsT4sUbBlom7l0acStESh_15nvjZcXjZM7fK5uZSq8/edit?usp=sharing"",""ชัยนาท!J600"")"),0)</f>
        <v>0</v>
      </c>
      <c r="BX57" s="141">
        <f ca="1">IFERROR(__xludf.DUMMYFUNCTION("IMPORTRANGE(""https://docs.google.com/spreadsheets/d/1xAsT4sUbBlom7l0acStESh_15nvjZcXjZM7fK5uZSq8/edit?usp=sharing"",""ชัยนาท!J601"")"),0)</f>
        <v>0</v>
      </c>
      <c r="BY57" s="140">
        <f ca="1">IFERROR(__xludf.DUMMYFUNCTION("IMPORTRANGE(""https://docs.google.com/spreadsheets/d/1xAsT4sUbBlom7l0acStESh_15nvjZcXjZM7fK5uZSq8/edit?usp=sharing"",""ชัยนาท!J602"")"),0)</f>
        <v>0</v>
      </c>
      <c r="BZ57" s="63">
        <f ca="1">IFERROR(__xludf.DUMMYFUNCTION("IMPORTRANGE(""https://docs.google.com/spreadsheets/d/1xAsT4sUbBlom7l0acStESh_15nvjZcXjZM7fK5uZSq8/edit?usp=sharing"",""ชัยนาท!J603"")"),0)</f>
        <v>0</v>
      </c>
      <c r="CA57" s="140">
        <f ca="1">IFERROR(__xludf.DUMMYFUNCTION("IMPORTRANGE(""https://docs.google.com/spreadsheets/d/1xAsT4sUbBlom7l0acStESh_15nvjZcXjZM7fK5uZSq8/edit?usp=sharing"",""ชัยนาท!J604"")"),0)</f>
        <v>0</v>
      </c>
      <c r="CB57" s="63">
        <f ca="1">IFERROR(__xludf.DUMMYFUNCTION("IMPORTRANGE(""https://docs.google.com/spreadsheets/d/1xAsT4sUbBlom7l0acStESh_15nvjZcXjZM7fK5uZSq8/edit?usp=sharing"",""ชัยนาท!J605"")"),0)</f>
        <v>0</v>
      </c>
      <c r="CC57" s="140">
        <f ca="1">IFERROR(__xludf.DUMMYFUNCTION("IMPORTRANGE(""https://docs.google.com/spreadsheets/d/1xAsT4sUbBlom7l0acStESh_15nvjZcXjZM7fK5uZSq8/edit?usp=sharing"",""ชัยนาท!J606"")"),0)</f>
        <v>0</v>
      </c>
      <c r="CD57" s="63">
        <f ca="1">IFERROR(__xludf.DUMMYFUNCTION("IMPORTRANGE(""https://docs.google.com/spreadsheets/d/1xAsT4sUbBlom7l0acStESh_15nvjZcXjZM7fK5uZSq8/edit?usp=sharing"",""ชัยนาท!J607"")"),0)</f>
        <v>0</v>
      </c>
      <c r="CE57" s="140">
        <f ca="1">IFERROR(__xludf.DUMMYFUNCTION("IMPORTRANGE(""https://docs.google.com/spreadsheets/d/1xAsT4sUbBlom7l0acStESh_15nvjZcXjZM7fK5uZSq8/edit?usp=sharing"",""ชัยนาท!J608"")"),0)</f>
        <v>0</v>
      </c>
      <c r="CF57" s="63">
        <f ca="1">IFERROR(__xludf.DUMMYFUNCTION("IMPORTRANGE(""https://docs.google.com/spreadsheets/d/1xAsT4sUbBlom7l0acStESh_15nvjZcXjZM7fK5uZSq8/edit?usp=sharing"",""ชัยนาท!J609"")"),0)</f>
        <v>0</v>
      </c>
      <c r="CG57" s="140">
        <f ca="1">IFERROR(__xludf.DUMMYFUNCTION("IMPORTRANGE(""https://docs.google.com/spreadsheets/d/1xAsT4sUbBlom7l0acStESh_15nvjZcXjZM7fK5uZSq8/edit?usp=sharing"",""ชัยนาท!J610"")"),0)</f>
        <v>0</v>
      </c>
      <c r="CH57" s="140">
        <f ca="1">IFERROR(__xludf.DUMMYFUNCTION("IMPORTRANGE(""https://docs.google.com/spreadsheets/d/1xAsT4sUbBlom7l0acStESh_15nvjZcXjZM7fK5uZSq8/edit?usp=sharing"",""ชัยนาท!I612"")"),0)</f>
        <v>0</v>
      </c>
      <c r="CI57" s="140">
        <f ca="1">IFERROR(__xludf.DUMMYFUNCTION("IMPORTRANGE(""https://docs.google.com/spreadsheets/d/1xAsT4sUbBlom7l0acStESh_15nvjZcXjZM7fK5uZSq8/edit?usp=sharing"",""ชัยนาท!I594"")"),17)</f>
        <v>17</v>
      </c>
      <c r="CJ57" s="141">
        <f ca="1">IFERROR(__xludf.DUMMYFUNCTION("IMPORTRANGE(""https://docs.google.com/spreadsheets/d/1xAsT4sUbBlom7l0acStESh_15nvjZcXjZM7fK5uZSq8/edit?usp=sharing"",""ชัยนาท!J612"")"),0)</f>
        <v>0</v>
      </c>
      <c r="CK57" s="141">
        <f t="shared" ca="1" si="41"/>
        <v>0</v>
      </c>
      <c r="CL57" s="140">
        <f ca="1">IFERROR(__xludf.DUMMYFUNCTION("IMPORTRANGE(""https://docs.google.com/spreadsheets/d/1xAsT4sUbBlom7l0acStESh_15nvjZcXjZM7fK5uZSq8/edit?usp=sharing"",""ชัยนาท!J613"")"),0)</f>
        <v>0</v>
      </c>
      <c r="CM57" s="141">
        <f t="shared" ca="1" si="19"/>
        <v>0</v>
      </c>
      <c r="CN57" s="63">
        <f ca="1">IFERROR(__xludf.DUMMYFUNCTION("IMPORTRANGE(""https://docs.google.com/spreadsheets/d/1xAsT4sUbBlom7l0acStESh_15nvjZcXjZM7fK5uZSq8/edit?usp=sharing"",""ชัยนาท!J614"")"),0)</f>
        <v>0</v>
      </c>
      <c r="CO57" s="140">
        <f ca="1">IFERROR(__xludf.DUMMYFUNCTION("IMPORTRANGE(""https://docs.google.com/spreadsheets/d/1xAsT4sUbBlom7l0acStESh_15nvjZcXjZM7fK5uZSq8/edit?usp=sharing"",""ชัยนาท!J615"")"),0)</f>
        <v>0</v>
      </c>
      <c r="CP57" s="63">
        <f ca="1">IFERROR(__xludf.DUMMYFUNCTION("IMPORTRANGE(""https://docs.google.com/spreadsheets/d/1xAsT4sUbBlom7l0acStESh_15nvjZcXjZM7fK5uZSq8/edit?usp=sharing"",""ชัยนาท!J616"")"),0)</f>
        <v>0</v>
      </c>
      <c r="CQ57" s="140">
        <f ca="1">IFERROR(__xludf.DUMMYFUNCTION("IMPORTRANGE(""https://docs.google.com/spreadsheets/d/1xAsT4sUbBlom7l0acStESh_15nvjZcXjZM7fK5uZSq8/edit?usp=sharing"",""ชัยนาท!J617"")"),0)</f>
        <v>0</v>
      </c>
      <c r="CR57" s="140">
        <f ca="1">IFERROR(__xludf.DUMMYFUNCTION("IMPORTRANGE(""https://docs.google.com/spreadsheets/d/1xAsT4sUbBlom7l0acStESh_15nvjZcXjZM7fK5uZSq8/edit?usp=sharing"",""ชัยนาท!I620"")"),0)</f>
        <v>0</v>
      </c>
      <c r="CS57" s="140">
        <f ca="1">IFERROR(__xludf.DUMMYFUNCTION("IMPORTRANGE(""https://docs.google.com/spreadsheets/d/1xAsT4sUbBlom7l0acStESh_15nvjZcXjZM7fK5uZSq8/edit?usp=sharing"",""ชัยนาท!I621"")"),0)</f>
        <v>0</v>
      </c>
      <c r="CT57" s="141">
        <f ca="1">IFERROR(__xludf.DUMMYFUNCTION("IMPORTRANGE(""https://docs.google.com/spreadsheets/d/1xAsT4sUbBlom7l0acStESh_15nvjZcXjZM7fK5uZSq8/edit?usp=sharing"",""ชัยนาท!J620"")"),0)</f>
        <v>0</v>
      </c>
      <c r="CU57" s="141">
        <f t="shared" ca="1" si="42"/>
        <v>0</v>
      </c>
      <c r="CV57" s="140">
        <f ca="1">IFERROR(__xludf.DUMMYFUNCTION("IMPORTRANGE(""https://docs.google.com/spreadsheets/d/1xAsT4sUbBlom7l0acStESh_15nvjZcXjZM7fK5uZSq8/edit?usp=sharing"",""ชัยนาท!J621"")"),0)</f>
        <v>0</v>
      </c>
      <c r="CW57" s="141">
        <f t="shared" ca="1" si="22"/>
        <v>0</v>
      </c>
      <c r="CX57" s="63">
        <f ca="1">IFERROR(__xludf.DUMMYFUNCTION("IMPORTRANGE(""https://docs.google.com/spreadsheets/d/1xAsT4sUbBlom7l0acStESh_15nvjZcXjZM7fK5uZSq8/edit?usp=sharing"",""ชัยนาท!J622"")"),0)</f>
        <v>0</v>
      </c>
      <c r="CY57" s="140">
        <f ca="1">IFERROR(__xludf.DUMMYFUNCTION("IMPORTRANGE(""https://docs.google.com/spreadsheets/d/1xAsT4sUbBlom7l0acStESh_15nvjZcXjZM7fK5uZSq8/edit?usp=sharing"",""ชัยนาท!J623"")"),0)</f>
        <v>0</v>
      </c>
      <c r="CZ57" s="63">
        <f ca="1">IFERROR(__xludf.DUMMYFUNCTION("IMPORTRANGE(""https://docs.google.com/spreadsheets/d/1xAsT4sUbBlom7l0acStESh_15nvjZcXjZM7fK5uZSq8/edit?usp=sharing"",""ชัยนาท!J624"")"),0)</f>
        <v>0</v>
      </c>
      <c r="DA57" s="140">
        <f ca="1">IFERROR(__xludf.DUMMYFUNCTION("IMPORTRANGE(""https://docs.google.com/spreadsheets/d/1xAsT4sUbBlom7l0acStESh_15nvjZcXjZM7fK5uZSq8/edit?usp=sharing"",""ชัยนาท!J625"")"),0)</f>
        <v>0</v>
      </c>
      <c r="DB57" s="63">
        <f ca="1">IFERROR(__xludf.DUMMYFUNCTION("IMPORTRANGE(""https://docs.google.com/spreadsheets/d/1xAsT4sUbBlom7l0acStESh_15nvjZcXjZM7fK5uZSq8/edit?usp=sharing"",""ชัยนาท!J626"")"),0)</f>
        <v>0</v>
      </c>
      <c r="DC57" s="140">
        <f ca="1">IFERROR(__xludf.DUMMYFUNCTION("IMPORTRANGE(""https://docs.google.com/spreadsheets/d/1xAsT4sUbBlom7l0acStESh_15nvjZcXjZM7fK5uZSq8/edit?usp=sharing"",""ชัยนาท!J627"")"),0)</f>
        <v>0</v>
      </c>
    </row>
    <row r="58" spans="1:107" ht="21" customHeight="1" x14ac:dyDescent="0.3">
      <c r="A58" s="54">
        <v>6</v>
      </c>
      <c r="B58" s="55" t="s">
        <v>79</v>
      </c>
      <c r="C58" s="56">
        <f t="shared" ca="1" si="77"/>
        <v>265400</v>
      </c>
      <c r="D58" s="57">
        <f ca="1">IFERROR(__xludf.DUMMYFUNCTION("IMPORTRANGE(""https://docs.google.com/spreadsheets/d/1vWPVBOAaZ6mHSI8yf95DNqHwTJ1cpeFsvqt6cxV34QA/edit?usp=sharing"",""ตราด!L549"")"),265400)</f>
        <v>265400</v>
      </c>
      <c r="E58" s="64">
        <f ca="1">IFERROR(__xludf.DUMMYFUNCTION("IMPORTRANGE(""https://docs.google.com/spreadsheets/d/1vWPVBOAaZ6mHSI8yf95DNqHwTJ1cpeFsvqt6cxV34QA/edit?usp=sharing"",""ตราด!L557"")"),0)</f>
        <v>0</v>
      </c>
      <c r="F58" s="64">
        <f ca="1">IFERROR(__xludf.DUMMYFUNCTION("IMPORTRANGE(""https://docs.google.com/spreadsheets/d/1vWPVBOAaZ6mHSI8yf95DNqHwTJ1cpeFsvqt6cxV34QA/edit?usp=sharing"",""ตราด!M549"")"),225400)</f>
        <v>225400</v>
      </c>
      <c r="G58" s="64">
        <f ca="1">IFERROR(__xludf.DUMMYFUNCTION("IMPORTRANGE(""https://docs.google.com/spreadsheets/d/1vWPVBOAaZ6mHSI8yf95DNqHwTJ1cpeFsvqt6cxV34QA/edit?usp=sharing"",""ตราด!M557"")"),0)</f>
        <v>0</v>
      </c>
      <c r="H58" s="58">
        <f t="shared" ca="1" si="36"/>
        <v>78138</v>
      </c>
      <c r="I58" s="59">
        <f t="shared" ca="1" si="1"/>
        <v>29.441597588545591</v>
      </c>
      <c r="J58" s="60">
        <f t="shared" ca="1" si="78"/>
        <v>78138</v>
      </c>
      <c r="K58" s="61">
        <f t="shared" ca="1" si="44"/>
        <v>29.441597588545591</v>
      </c>
      <c r="L58" s="61">
        <f t="shared" ca="1" si="45"/>
        <v>34.66637089618456</v>
      </c>
      <c r="M58" s="64">
        <f ca="1">IFERROR(__xludf.DUMMYFUNCTION("IMPORTRANGE(""https://docs.google.com/spreadsheets/d/1vWPVBOAaZ6mHSI8yf95DNqHwTJ1cpeFsvqt6cxV34QA/edit?usp=sharing"",""ตราด!N550"")"),0)</f>
        <v>0</v>
      </c>
      <c r="N58" s="64">
        <f ca="1">IFERROR(__xludf.DUMMYFUNCTION("IMPORTRANGE(""https://docs.google.com/spreadsheets/d/1vWPVBOAaZ6mHSI8yf95DNqHwTJ1cpeFsvqt6cxV34QA/edit?usp=sharing"",""ตราด!N551"")"),0)</f>
        <v>0</v>
      </c>
      <c r="O58" s="64">
        <f ca="1">IFERROR(__xludf.DUMMYFUNCTION("IMPORTRANGE(""https://docs.google.com/spreadsheets/d/1vWPVBOAaZ6mHSI8yf95DNqHwTJ1cpeFsvqt6cxV34QA/edit?usp=sharing"",""ตราด!N552"")"),65000)</f>
        <v>65000</v>
      </c>
      <c r="P58" s="64">
        <f ca="1">IFERROR(__xludf.DUMMYFUNCTION("IMPORTRANGE(""https://docs.google.com/spreadsheets/d/1vWPVBOAaZ6mHSI8yf95DNqHwTJ1cpeFsvqt6cxV34QA/edit?usp=sharing"",""ตราด!N553"")"),13138)</f>
        <v>13138</v>
      </c>
      <c r="Q58" s="64">
        <f ca="1">IFERROR(__xludf.DUMMYFUNCTION("IMPORTRANGE(""https://docs.google.com/spreadsheets/d/1vWPVBOAaZ6mHSI8yf95DNqHwTJ1cpeFsvqt6cxV34QA/edit?usp=sharing"",""ตราด!N554"")"),0)</f>
        <v>0</v>
      </c>
      <c r="R58" s="62">
        <f ca="1">IFERROR(__xludf.DUMMYFUNCTION("IMPORTRANGE(""https://docs.google.com/spreadsheets/d/1vWPVBOAaZ6mHSI8yf95DNqHwTJ1cpeFsvqt6cxV34QA/edit?usp=sharing"",""ตราด!N557"")"),0)</f>
        <v>0</v>
      </c>
      <c r="S58" s="62">
        <f t="shared" ca="1" si="47"/>
        <v>0</v>
      </c>
      <c r="T58" s="57">
        <f ca="1">IFERROR(__xludf.DUMMYFUNCTION("IMPORTRANGE(""https://docs.google.com/spreadsheets/d/1vWPVBOAaZ6mHSI8yf95DNqHwTJ1cpeFsvqt6cxV34QA/edit?usp=sharing"",""ตราด!I560"")"),0)</f>
        <v>0</v>
      </c>
      <c r="U58" s="57">
        <f ca="1">IFERROR(__xludf.DUMMYFUNCTION("IMPORTRANGE(""https://docs.google.com/spreadsheets/d/1vWPVBOAaZ6mHSI8yf95DNqHwTJ1cpeFsvqt6cxV34QA/edit?usp=sharing"",""ตราด!I561"")"),0)</f>
        <v>0</v>
      </c>
      <c r="V58" s="63">
        <f ca="1">IFERROR(__xludf.DUMMYFUNCTION("IMPORTRANGE(""https://docs.google.com/spreadsheets/d/1vWPVBOAaZ6mHSI8yf95DNqHwTJ1cpeFsvqt6cxV34QA/edit?usp=sharing"",""ตราด!J560"")"),0)</f>
        <v>0</v>
      </c>
      <c r="W58" s="63">
        <f t="shared" ca="1" si="37"/>
        <v>0</v>
      </c>
      <c r="X58" s="57">
        <f ca="1">IFERROR(__xludf.DUMMYFUNCTION("IMPORTRANGE(""https://docs.google.com/spreadsheets/d/1vWPVBOAaZ6mHSI8yf95DNqHwTJ1cpeFsvqt6cxV34QA/edit?usp=sharing"",""ตราด!J561"")"),0)</f>
        <v>0</v>
      </c>
      <c r="Y58" s="63">
        <f t="shared" ca="1" si="7"/>
        <v>0</v>
      </c>
      <c r="Z58" s="63">
        <f ca="1">IFERROR(__xludf.DUMMYFUNCTION("IMPORTRANGE(""https://docs.google.com/spreadsheets/d/1vWPVBOAaZ6mHSI8yf95DNqHwTJ1cpeFsvqt6cxV34QA/edit?usp=sharing"",""ตราด!J562"")"),0)</f>
        <v>0</v>
      </c>
      <c r="AA58" s="140">
        <f ca="1">IFERROR(__xludf.DUMMYFUNCTION("IMPORTRANGE(""https://docs.google.com/spreadsheets/d/1vWPVBOAaZ6mHSI8yf95DNqHwTJ1cpeFsvqt6cxV34QA/edit?usp=sharing"",""ตราด!J563"")"),0)</f>
        <v>0</v>
      </c>
      <c r="AB58" s="63">
        <f ca="1">IFERROR(__xludf.DUMMYFUNCTION("IMPORTRANGE(""https://docs.google.com/spreadsheets/d/1vWPVBOAaZ6mHSI8yf95DNqHwTJ1cpeFsvqt6cxV34QA/edit?usp=sharing"",""ตราด!J564"")"),0)</f>
        <v>0</v>
      </c>
      <c r="AC58" s="140">
        <f ca="1">IFERROR(__xludf.DUMMYFUNCTION("IMPORTRANGE(""https://docs.google.com/spreadsheets/d/1vWPVBOAaZ6mHSI8yf95DNqHwTJ1cpeFsvqt6cxV34QA/edit?usp=sharing"",""ตราด!J565"")"),0)</f>
        <v>0</v>
      </c>
      <c r="AD58" s="63">
        <f ca="1">IFERROR(__xludf.DUMMYFUNCTION("IMPORTRANGE(""https://docs.google.com/spreadsheets/d/1vWPVBOAaZ6mHSI8yf95DNqHwTJ1cpeFsvqt6cxV34QA/edit?usp=sharing"",""ตราด!J566"")"),0)</f>
        <v>0</v>
      </c>
      <c r="AE58" s="140">
        <f ca="1">IFERROR(__xludf.DUMMYFUNCTION("IMPORTRANGE(""https://docs.google.com/spreadsheets/d/1vWPVBOAaZ6mHSI8yf95DNqHwTJ1cpeFsvqt6cxV34QA/edit?usp=sharing"",""ตราด!J567"")"),0)</f>
        <v>0</v>
      </c>
      <c r="AF58" s="57">
        <f ca="1">IFERROR(__xludf.DUMMYFUNCTION("IMPORTRANGE(""https://docs.google.com/spreadsheets/d/1vWPVBOAaZ6mHSI8yf95DNqHwTJ1cpeFsvqt6cxV34QA/edit?usp=sharing"",""ตราด!I568"")"),0)</f>
        <v>0</v>
      </c>
      <c r="AG58" s="57">
        <f ca="1">IFERROR(__xludf.DUMMYFUNCTION("IMPORTRANGE(""https://docs.google.com/spreadsheets/d/1vWPVBOAaZ6mHSI8yf95DNqHwTJ1cpeFsvqt6cxV34QA/edit?usp=sharing"",""ตราด!I569"")"),0)</f>
        <v>0</v>
      </c>
      <c r="AH58" s="63">
        <f ca="1">IFERROR(__xludf.DUMMYFUNCTION("IMPORTRANGE(""https://docs.google.com/spreadsheets/d/1vWPVBOAaZ6mHSI8yf95DNqHwTJ1cpeFsvqt6cxV34QA/edit?usp=sharing"",""ตราด!J568"")"),0)</f>
        <v>0</v>
      </c>
      <c r="AI58" s="63">
        <f t="shared" ca="1" si="38"/>
        <v>0</v>
      </c>
      <c r="AJ58" s="57">
        <f ca="1">IFERROR(__xludf.DUMMYFUNCTION("IMPORTRANGE(""https://docs.google.com/spreadsheets/d/1vWPVBOAaZ6mHSI8yf95DNqHwTJ1cpeFsvqt6cxV34QA/edit?usp=sharing"",""ตราด!J569"")"),0)</f>
        <v>0</v>
      </c>
      <c r="AK58" s="63">
        <f t="shared" ca="1" si="10"/>
        <v>0</v>
      </c>
      <c r="AL58" s="63">
        <f ca="1">IFERROR(__xludf.DUMMYFUNCTION("IMPORTRANGE(""https://docs.google.com/spreadsheets/d/1vWPVBOAaZ6mHSI8yf95DNqHwTJ1cpeFsvqt6cxV34QA/edit?usp=sharing"",""ตราด!J570"")"),0)</f>
        <v>0</v>
      </c>
      <c r="AM58" s="140">
        <f ca="1">IFERROR(__xludf.DUMMYFUNCTION("IMPORTRANGE(""https://docs.google.com/spreadsheets/d/1vWPVBOAaZ6mHSI8yf95DNqHwTJ1cpeFsvqt6cxV34QA/edit?usp=sharing"",""ตราด!J571"")"),0)</f>
        <v>0</v>
      </c>
      <c r="AN58" s="63">
        <f ca="1">IFERROR(__xludf.DUMMYFUNCTION("IMPORTRANGE(""https://docs.google.com/spreadsheets/d/1vWPVBOAaZ6mHSI8yf95DNqHwTJ1cpeFsvqt6cxV34QA/edit?usp=sharing"",""ตราด!J572"")"),0)</f>
        <v>0</v>
      </c>
      <c r="AO58" s="140">
        <f ca="1">IFERROR(__xludf.DUMMYFUNCTION("IMPORTRANGE(""https://docs.google.com/spreadsheets/d/1vWPVBOAaZ6mHSI8yf95DNqHwTJ1cpeFsvqt6cxV34QA/edit?usp=sharing"",""ตราด!J573"")"),0)</f>
        <v>0</v>
      </c>
      <c r="AP58" s="63">
        <f ca="1">IFERROR(__xludf.DUMMYFUNCTION("IMPORTRANGE(""https://docs.google.com/spreadsheets/d/1vWPVBOAaZ6mHSI8yf95DNqHwTJ1cpeFsvqt6cxV34QA/edit?usp=sharing"",""ตราด!J574"")"),0)</f>
        <v>0</v>
      </c>
      <c r="AQ58" s="140">
        <f ca="1">IFERROR(__xludf.DUMMYFUNCTION("IMPORTRANGE(""https://docs.google.com/spreadsheets/d/1vWPVBOAaZ6mHSI8yf95DNqHwTJ1cpeFsvqt6cxV34QA/edit?usp=sharing"",""ตราด!J575"")"),0)</f>
        <v>0</v>
      </c>
      <c r="AR58" s="57">
        <f ca="1">IFERROR(__xludf.DUMMYFUNCTION("IMPORTRANGE(""https://docs.google.com/spreadsheets/d/1vWPVBOAaZ6mHSI8yf95DNqHwTJ1cpeFsvqt6cxV34QA/edit?usp=sharing"",""ตราด!I576"")"),0)</f>
        <v>0</v>
      </c>
      <c r="AS58" s="57">
        <f ca="1">IFERROR(__xludf.DUMMYFUNCTION("IMPORTRANGE(""https://docs.google.com/spreadsheets/d/1vWPVBOAaZ6mHSI8yf95DNqHwTJ1cpeFsvqt6cxV34QA/edit?usp=sharing"",""ตราด!I577"")"),0)</f>
        <v>0</v>
      </c>
      <c r="AT58" s="63">
        <f ca="1">IFERROR(__xludf.DUMMYFUNCTION("IMPORTRANGE(""https://docs.google.com/spreadsheets/d/1vWPVBOAaZ6mHSI8yf95DNqHwTJ1cpeFsvqt6cxV34QA/edit?usp=sharing"",""ตราด!J576"")"),0)</f>
        <v>0</v>
      </c>
      <c r="AU58" s="63">
        <f t="shared" ca="1" si="39"/>
        <v>0</v>
      </c>
      <c r="AV58" s="57">
        <f ca="1">IFERROR(__xludf.DUMMYFUNCTION("IMPORTRANGE(""https://docs.google.com/spreadsheets/d/1vWPVBOAaZ6mHSI8yf95DNqHwTJ1cpeFsvqt6cxV34QA/edit?usp=sharing"",""ตราด!J577"")"),0)</f>
        <v>0</v>
      </c>
      <c r="AW58" s="63">
        <f t="shared" ca="1" si="13"/>
        <v>0</v>
      </c>
      <c r="AX58" s="63">
        <f ca="1">IFERROR(__xludf.DUMMYFUNCTION("IMPORTRANGE(""https://docs.google.com/spreadsheets/d/1vWPVBOAaZ6mHSI8yf95DNqHwTJ1cpeFsvqt6cxV34QA/edit?usp=sharing"",""ตราด!J578"")"),0)</f>
        <v>0</v>
      </c>
      <c r="AY58" s="140">
        <f ca="1">IFERROR(__xludf.DUMMYFUNCTION("IMPORTRANGE(""https://docs.google.com/spreadsheets/d/1vWPVBOAaZ6mHSI8yf95DNqHwTJ1cpeFsvqt6cxV34QA/edit?usp=sharing"",""ตราด!J579"")"),0)</f>
        <v>0</v>
      </c>
      <c r="AZ58" s="63">
        <f ca="1">IFERROR(__xludf.DUMMYFUNCTION("IMPORTRANGE(""https://docs.google.com/spreadsheets/d/1vWPVBOAaZ6mHSI8yf95DNqHwTJ1cpeFsvqt6cxV34QA/edit?usp=sharing"",""ตราด!J580"")"),0)</f>
        <v>0</v>
      </c>
      <c r="BA58" s="140">
        <f ca="1">IFERROR(__xludf.DUMMYFUNCTION("IMPORTRANGE(""https://docs.google.com/spreadsheets/d/1vWPVBOAaZ6mHSI8yf95DNqHwTJ1cpeFsvqt6cxV34QA/edit?usp=sharing"",""ตราด!J581"")"),0)</f>
        <v>0</v>
      </c>
      <c r="BB58" s="63">
        <f ca="1">IFERROR(__xludf.DUMMYFUNCTION("IMPORTRANGE(""https://docs.google.com/spreadsheets/d/1vWPVBOAaZ6mHSI8yf95DNqHwTJ1cpeFsvqt6cxV34QA/edit?usp=sharing"",""ตราด!J582"")"),0)</f>
        <v>0</v>
      </c>
      <c r="BC58" s="140">
        <f ca="1">IFERROR(__xludf.DUMMYFUNCTION("IMPORTRANGE(""https://docs.google.com/spreadsheets/d/1vWPVBOAaZ6mHSI8yf95DNqHwTJ1cpeFsvqt6cxV34QA/edit?usp=sharing"",""ตราด!J583"")"),0)</f>
        <v>0</v>
      </c>
      <c r="BD58" s="141">
        <f ca="1">IFERROR(__xludf.DUMMYFUNCTION("IMPORTRANGE(""https://docs.google.com/spreadsheets/d/1vWPVBOAaZ6mHSI8yf95DNqHwTJ1cpeFsvqt6cxV34QA/edit?usp=sharing"",""ตราด!J584"")"),0)</f>
        <v>0</v>
      </c>
      <c r="BE58" s="140">
        <f ca="1">IFERROR(__xludf.DUMMYFUNCTION("IMPORTRANGE(""https://docs.google.com/spreadsheets/d/1vWPVBOAaZ6mHSI8yf95DNqHwTJ1cpeFsvqt6cxV34QA/edit?usp=sharing"",""ตราด!J585"")"),0)</f>
        <v>0</v>
      </c>
      <c r="BF58" s="141">
        <f ca="1">IFERROR(__xludf.DUMMYFUNCTION("IMPORTRANGE(""https://docs.google.com/spreadsheets/d/1vWPVBOAaZ6mHSI8yf95DNqHwTJ1cpeFsvqt6cxV34QA/edit?usp=sharing"",""ตราด!J586"")"),0)</f>
        <v>0</v>
      </c>
      <c r="BG58" s="140">
        <f ca="1">IFERROR(__xludf.DUMMYFUNCTION("IMPORTRANGE(""https://docs.google.com/spreadsheets/d/1vWPVBOAaZ6mHSI8yf95DNqHwTJ1cpeFsvqt6cxV34QA/edit?usp=sharing"",""ตราด!J587"")"),0)</f>
        <v>0</v>
      </c>
      <c r="BH58" s="63">
        <f ca="1">IFERROR(__xludf.DUMMYFUNCTION("IMPORTRANGE(""https://docs.google.com/spreadsheets/d/1vWPVBOAaZ6mHSI8yf95DNqHwTJ1cpeFsvqt6cxV34QA/edit?usp=sharing"",""ตราด!J588"")"),0)</f>
        <v>0</v>
      </c>
      <c r="BI58" s="140">
        <f ca="1">IFERROR(__xludf.DUMMYFUNCTION("IMPORTRANGE(""https://docs.google.com/spreadsheets/d/1vWPVBOAaZ6mHSI8yf95DNqHwTJ1cpeFsvqt6cxV34QA/edit?usp=sharing"",""ตราด!J589"")"),0)</f>
        <v>0</v>
      </c>
      <c r="BJ58" s="63">
        <f ca="1">IFERROR(__xludf.DUMMYFUNCTION("IMPORTRANGE(""https://docs.google.com/spreadsheets/d/1vWPVBOAaZ6mHSI8yf95DNqHwTJ1cpeFsvqt6cxV34QA/edit?usp=sharing"",""ตราด!J590"")"),0)</f>
        <v>0</v>
      </c>
      <c r="BK58" s="140">
        <f ca="1">IFERROR(__xludf.DUMMYFUNCTION("IMPORTRANGE(""https://docs.google.com/spreadsheets/d/1vWPVBOAaZ6mHSI8yf95DNqHwTJ1cpeFsvqt6cxV34QA/edit?usp=sharing"",""ตราด!J591"")"),0)</f>
        <v>0</v>
      </c>
      <c r="BL58" s="57">
        <f ca="1">IFERROR(__xludf.DUMMYFUNCTION("IMPORTRANGE(""https://docs.google.com/spreadsheets/d/1vWPVBOAaZ6mHSI8yf95DNqHwTJ1cpeFsvqt6cxV34QA/edit?usp=sharing"",""ตราด!I593"")"),3209.04)</f>
        <v>3209.04</v>
      </c>
      <c r="BM58" s="57">
        <f ca="1">IFERROR(__xludf.DUMMYFUNCTION("IMPORTRANGE(""https://docs.google.com/spreadsheets/d/1vWPVBOAaZ6mHSI8yf95DNqHwTJ1cpeFsvqt6cxV34QA/edit?usp=sharing"",""ตราด!I594"")"),178)</f>
        <v>178</v>
      </c>
      <c r="BN58" s="63">
        <f ca="1">IFERROR(__xludf.DUMMYFUNCTION("IMPORTRANGE(""https://docs.google.com/spreadsheets/d/1vWPVBOAaZ6mHSI8yf95DNqHwTJ1cpeFsvqt6cxV34QA/edit?usp=sharing"",""ตราด!J593"")"),0)</f>
        <v>0</v>
      </c>
      <c r="BO58" s="63">
        <f t="shared" ca="1" si="40"/>
        <v>0</v>
      </c>
      <c r="BP58" s="57">
        <f ca="1">IFERROR(__xludf.DUMMYFUNCTION("IMPORTRANGE(""https://docs.google.com/spreadsheets/d/1vWPVBOAaZ6mHSI8yf95DNqHwTJ1cpeFsvqt6cxV34QA/edit?usp=sharing"",""ตราด!J594"")"),0)</f>
        <v>0</v>
      </c>
      <c r="BQ58" s="63">
        <f t="shared" ca="1" si="16"/>
        <v>0</v>
      </c>
      <c r="BR58" s="63">
        <f ca="1">IFERROR(__xludf.DUMMYFUNCTION("IMPORTRANGE(""https://docs.google.com/spreadsheets/d/1vWPVBOAaZ6mHSI8yf95DNqHwTJ1cpeFsvqt6cxV34QA/edit?usp=sharing"",""ตราด!J595"")"),0)</f>
        <v>0</v>
      </c>
      <c r="BS58" s="140">
        <f ca="1">IFERROR(__xludf.DUMMYFUNCTION("IMPORTRANGE(""https://docs.google.com/spreadsheets/d/1vWPVBOAaZ6mHSI8yf95DNqHwTJ1cpeFsvqt6cxV34QA/edit?usp=sharing"",""ตราด!J596"")"),0)</f>
        <v>0</v>
      </c>
      <c r="BT58" s="63">
        <f ca="1">IFERROR(__xludf.DUMMYFUNCTION("IMPORTRANGE(""https://docs.google.com/spreadsheets/d/1vWPVBOAaZ6mHSI8yf95DNqHwTJ1cpeFsvqt6cxV34QA/edit?usp=sharing"",""ตราด!J597"")"),0)</f>
        <v>0</v>
      </c>
      <c r="BU58" s="140">
        <f ca="1">IFERROR(__xludf.DUMMYFUNCTION("IMPORTRANGE(""https://docs.google.com/spreadsheets/d/1vWPVBOAaZ6mHSI8yf95DNqHwTJ1cpeFsvqt6cxV34QA/edit?usp=sharing"",""ตราด!J598"")"),0)</f>
        <v>0</v>
      </c>
      <c r="BV58" s="63">
        <f ca="1">IFERROR(__xludf.DUMMYFUNCTION("IMPORTRANGE(""https://docs.google.com/spreadsheets/d/1vWPVBOAaZ6mHSI8yf95DNqHwTJ1cpeFsvqt6cxV34QA/edit?usp=sharing"",""ตราด!J599"")"),0)</f>
        <v>0</v>
      </c>
      <c r="BW58" s="140">
        <f ca="1">IFERROR(__xludf.DUMMYFUNCTION("IMPORTRANGE(""https://docs.google.com/spreadsheets/d/1vWPVBOAaZ6mHSI8yf95DNqHwTJ1cpeFsvqt6cxV34QA/edit?usp=sharing"",""ตราด!J600"")"),0)</f>
        <v>0</v>
      </c>
      <c r="BX58" s="141">
        <f ca="1">IFERROR(__xludf.DUMMYFUNCTION("IMPORTRANGE(""https://docs.google.com/spreadsheets/d/1vWPVBOAaZ6mHSI8yf95DNqHwTJ1cpeFsvqt6cxV34QA/edit?usp=sharing"",""ตราด!J601"")"),0)</f>
        <v>0</v>
      </c>
      <c r="BY58" s="140">
        <f ca="1">IFERROR(__xludf.DUMMYFUNCTION("IMPORTRANGE(""https://docs.google.com/spreadsheets/d/1vWPVBOAaZ6mHSI8yf95DNqHwTJ1cpeFsvqt6cxV34QA/edit?usp=sharing"",""ตราด!J602"")"),0)</f>
        <v>0</v>
      </c>
      <c r="BZ58" s="63">
        <f ca="1">IFERROR(__xludf.DUMMYFUNCTION("IMPORTRANGE(""https://docs.google.com/spreadsheets/d/1vWPVBOAaZ6mHSI8yf95DNqHwTJ1cpeFsvqt6cxV34QA/edit?usp=sharing"",""ตราด!J603"")"),0)</f>
        <v>0</v>
      </c>
      <c r="CA58" s="140">
        <f ca="1">IFERROR(__xludf.DUMMYFUNCTION("IMPORTRANGE(""https://docs.google.com/spreadsheets/d/1vWPVBOAaZ6mHSI8yf95DNqHwTJ1cpeFsvqt6cxV34QA/edit?usp=sharing"",""ตราด!J604"")"),0)</f>
        <v>0</v>
      </c>
      <c r="CB58" s="63">
        <f ca="1">IFERROR(__xludf.DUMMYFUNCTION("IMPORTRANGE(""https://docs.google.com/spreadsheets/d/1vWPVBOAaZ6mHSI8yf95DNqHwTJ1cpeFsvqt6cxV34QA/edit?usp=sharing"",""ตราด!J605"")"),0)</f>
        <v>0</v>
      </c>
      <c r="CC58" s="140">
        <f ca="1">IFERROR(__xludf.DUMMYFUNCTION("IMPORTRANGE(""https://docs.google.com/spreadsheets/d/1vWPVBOAaZ6mHSI8yf95DNqHwTJ1cpeFsvqt6cxV34QA/edit?usp=sharing"",""ตราด!J606"")"),0)</f>
        <v>0</v>
      </c>
      <c r="CD58" s="63">
        <f ca="1">IFERROR(__xludf.DUMMYFUNCTION("IMPORTRANGE(""https://docs.google.com/spreadsheets/d/1vWPVBOAaZ6mHSI8yf95DNqHwTJ1cpeFsvqt6cxV34QA/edit?usp=sharing"",""ตราด!J607"")"),0)</f>
        <v>0</v>
      </c>
      <c r="CE58" s="140">
        <f ca="1">IFERROR(__xludf.DUMMYFUNCTION("IMPORTRANGE(""https://docs.google.com/spreadsheets/d/1vWPVBOAaZ6mHSI8yf95DNqHwTJ1cpeFsvqt6cxV34QA/edit?usp=sharing"",""ตราด!J608"")"),0)</f>
        <v>0</v>
      </c>
      <c r="CF58" s="63">
        <f ca="1">IFERROR(__xludf.DUMMYFUNCTION("IMPORTRANGE(""https://docs.google.com/spreadsheets/d/1vWPVBOAaZ6mHSI8yf95DNqHwTJ1cpeFsvqt6cxV34QA/edit?usp=sharing"",""ตราด!J609"")"),0)</f>
        <v>0</v>
      </c>
      <c r="CG58" s="140">
        <f ca="1">IFERROR(__xludf.DUMMYFUNCTION("IMPORTRANGE(""https://docs.google.com/spreadsheets/d/1vWPVBOAaZ6mHSI8yf95DNqHwTJ1cpeFsvqt6cxV34QA/edit?usp=sharing"",""ตราด!J610"")"),0)</f>
        <v>0</v>
      </c>
      <c r="CH58" s="140">
        <f ca="1">IFERROR(__xludf.DUMMYFUNCTION("IMPORTRANGE(""https://docs.google.com/spreadsheets/d/1vWPVBOAaZ6mHSI8yf95DNqHwTJ1cpeFsvqt6cxV34QA/edit?usp=sharing"",""ตราด!I612"")"),0)</f>
        <v>0</v>
      </c>
      <c r="CI58" s="140">
        <f ca="1">IFERROR(__xludf.DUMMYFUNCTION("IMPORTRANGE(""https://docs.google.com/spreadsheets/d/1vWPVBOAaZ6mHSI8yf95DNqHwTJ1cpeFsvqt6cxV34QA/edit?usp=sharing"",""ตราด!I594"")"),178)</f>
        <v>178</v>
      </c>
      <c r="CJ58" s="141">
        <f ca="1">IFERROR(__xludf.DUMMYFUNCTION("IMPORTRANGE(""https://docs.google.com/spreadsheets/d/1vWPVBOAaZ6mHSI8yf95DNqHwTJ1cpeFsvqt6cxV34QA/edit?usp=sharing"",""ตราด!J612"")"),0)</f>
        <v>0</v>
      </c>
      <c r="CK58" s="141">
        <f t="shared" ca="1" si="41"/>
        <v>0</v>
      </c>
      <c r="CL58" s="140">
        <f ca="1">IFERROR(__xludf.DUMMYFUNCTION("IMPORTRANGE(""https://docs.google.com/spreadsheets/d/1vWPVBOAaZ6mHSI8yf95DNqHwTJ1cpeFsvqt6cxV34QA/edit?usp=sharing"",""ตราด!J613"")"),0)</f>
        <v>0</v>
      </c>
      <c r="CM58" s="141">
        <f t="shared" ca="1" si="19"/>
        <v>0</v>
      </c>
      <c r="CN58" s="63">
        <f ca="1">IFERROR(__xludf.DUMMYFUNCTION("IMPORTRANGE(""https://docs.google.com/spreadsheets/d/1vWPVBOAaZ6mHSI8yf95DNqHwTJ1cpeFsvqt6cxV34QA/edit?usp=sharing"",""ตราด!J614"")"),0)</f>
        <v>0</v>
      </c>
      <c r="CO58" s="140">
        <f ca="1">IFERROR(__xludf.DUMMYFUNCTION("IMPORTRANGE(""https://docs.google.com/spreadsheets/d/1vWPVBOAaZ6mHSI8yf95DNqHwTJ1cpeFsvqt6cxV34QA/edit?usp=sharing"",""ตราด!J615"")"),0)</f>
        <v>0</v>
      </c>
      <c r="CP58" s="63">
        <f ca="1">IFERROR(__xludf.DUMMYFUNCTION("IMPORTRANGE(""https://docs.google.com/spreadsheets/d/1vWPVBOAaZ6mHSI8yf95DNqHwTJ1cpeFsvqt6cxV34QA/edit?usp=sharing"",""ตราด!J616"")"),0)</f>
        <v>0</v>
      </c>
      <c r="CQ58" s="140">
        <f ca="1">IFERROR(__xludf.DUMMYFUNCTION("IMPORTRANGE(""https://docs.google.com/spreadsheets/d/1vWPVBOAaZ6mHSI8yf95DNqHwTJ1cpeFsvqt6cxV34QA/edit?usp=sharing"",""ตราด!J617"")"),0)</f>
        <v>0</v>
      </c>
      <c r="CR58" s="140">
        <f ca="1">IFERROR(__xludf.DUMMYFUNCTION("IMPORTRANGE(""https://docs.google.com/spreadsheets/d/1vWPVBOAaZ6mHSI8yf95DNqHwTJ1cpeFsvqt6cxV34QA/edit?usp=sharing"",""ตราด!I620"")"),0)</f>
        <v>0</v>
      </c>
      <c r="CS58" s="140">
        <f ca="1">IFERROR(__xludf.DUMMYFUNCTION("IMPORTRANGE(""https://docs.google.com/spreadsheets/d/1vWPVBOAaZ6mHSI8yf95DNqHwTJ1cpeFsvqt6cxV34QA/edit?usp=sharing"",""ตราด!I621"")"),0)</f>
        <v>0</v>
      </c>
      <c r="CT58" s="141">
        <f ca="1">IFERROR(__xludf.DUMMYFUNCTION("IMPORTRANGE(""https://docs.google.com/spreadsheets/d/1vWPVBOAaZ6mHSI8yf95DNqHwTJ1cpeFsvqt6cxV34QA/edit?usp=sharing"",""ตราด!J620"")"),0)</f>
        <v>0</v>
      </c>
      <c r="CU58" s="141">
        <f t="shared" ca="1" si="42"/>
        <v>0</v>
      </c>
      <c r="CV58" s="140">
        <f ca="1">IFERROR(__xludf.DUMMYFUNCTION("IMPORTRANGE(""https://docs.google.com/spreadsheets/d/1vWPVBOAaZ6mHSI8yf95DNqHwTJ1cpeFsvqt6cxV34QA/edit?usp=sharing"",""ตราด!J621"")"),0)</f>
        <v>0</v>
      </c>
      <c r="CW58" s="141">
        <f t="shared" ca="1" si="22"/>
        <v>0</v>
      </c>
      <c r="CX58" s="63">
        <f ca="1">IFERROR(__xludf.DUMMYFUNCTION("IMPORTRANGE(""https://docs.google.com/spreadsheets/d/1vWPVBOAaZ6mHSI8yf95DNqHwTJ1cpeFsvqt6cxV34QA/edit?usp=sharing"",""ตราด!J622"")"),0)</f>
        <v>0</v>
      </c>
      <c r="CY58" s="140">
        <f ca="1">IFERROR(__xludf.DUMMYFUNCTION("IMPORTRANGE(""https://docs.google.com/spreadsheets/d/1vWPVBOAaZ6mHSI8yf95DNqHwTJ1cpeFsvqt6cxV34QA/edit?usp=sharing"",""ตราด!J623"")"),0)</f>
        <v>0</v>
      </c>
      <c r="CZ58" s="63">
        <f ca="1">IFERROR(__xludf.DUMMYFUNCTION("IMPORTRANGE(""https://docs.google.com/spreadsheets/d/1vWPVBOAaZ6mHSI8yf95DNqHwTJ1cpeFsvqt6cxV34QA/edit?usp=sharing"",""ตราด!J624"")"),0)</f>
        <v>0</v>
      </c>
      <c r="DA58" s="140">
        <f ca="1">IFERROR(__xludf.DUMMYFUNCTION("IMPORTRANGE(""https://docs.google.com/spreadsheets/d/1vWPVBOAaZ6mHSI8yf95DNqHwTJ1cpeFsvqt6cxV34QA/edit?usp=sharing"",""ตราด!J625"")"),0)</f>
        <v>0</v>
      </c>
      <c r="DB58" s="63">
        <f ca="1">IFERROR(__xludf.DUMMYFUNCTION("IMPORTRANGE(""https://docs.google.com/spreadsheets/d/1vWPVBOAaZ6mHSI8yf95DNqHwTJ1cpeFsvqt6cxV34QA/edit?usp=sharing"",""ตราด!J626"")"),0)</f>
        <v>0</v>
      </c>
      <c r="DC58" s="140">
        <f ca="1">IFERROR(__xludf.DUMMYFUNCTION("IMPORTRANGE(""https://docs.google.com/spreadsheets/d/1vWPVBOAaZ6mHSI8yf95DNqHwTJ1cpeFsvqt6cxV34QA/edit?usp=sharing"",""ตราด!J627"")"),0)</f>
        <v>0</v>
      </c>
    </row>
    <row r="59" spans="1:107" ht="21" customHeight="1" x14ac:dyDescent="0.3">
      <c r="A59" s="54">
        <v>7</v>
      </c>
      <c r="B59" s="55" t="s">
        <v>80</v>
      </c>
      <c r="C59" s="56">
        <f t="shared" ca="1" si="77"/>
        <v>120300</v>
      </c>
      <c r="D59" s="57">
        <f ca="1">IFERROR(__xludf.DUMMYFUNCTION("IMPORTRANGE(""https://docs.google.com/spreadsheets/d/1phaeSb9lTGgzDpbvVqI9hfmOQQzUom07-HEvpbARzEg/edit?usp=sharing"",""นครนายก!L549"")"),120300)</f>
        <v>120300</v>
      </c>
      <c r="E59" s="64">
        <f ca="1">IFERROR(__xludf.DUMMYFUNCTION("IMPORTRANGE(""https://docs.google.com/spreadsheets/d/1phaeSb9lTGgzDpbvVqI9hfmOQQzUom07-HEvpbARzEg/edit?usp=sharing"",""นครนายก!L557"")"),0)</f>
        <v>0</v>
      </c>
      <c r="F59" s="64">
        <f ca="1">IFERROR(__xludf.DUMMYFUNCTION("IMPORTRANGE(""https://docs.google.com/spreadsheets/d/1phaeSb9lTGgzDpbvVqI9hfmOQQzUom07-HEvpbARzEg/edit?usp=sharing"",""นครนายก!M549"")"),120300)</f>
        <v>120300</v>
      </c>
      <c r="G59" s="64">
        <f ca="1">IFERROR(__xludf.DUMMYFUNCTION("IMPORTRANGE(""https://docs.google.com/spreadsheets/d/1phaeSb9lTGgzDpbvVqI9hfmOQQzUom07-HEvpbARzEg/edit?usp=sharing"",""นครนายก!M557"")"),0)</f>
        <v>0</v>
      </c>
      <c r="H59" s="58">
        <f t="shared" ca="1" si="36"/>
        <v>27010</v>
      </c>
      <c r="I59" s="59">
        <f t="shared" ca="1" si="1"/>
        <v>22.452202826267666</v>
      </c>
      <c r="J59" s="60">
        <f t="shared" ca="1" si="78"/>
        <v>27010</v>
      </c>
      <c r="K59" s="61">
        <f t="shared" ca="1" si="44"/>
        <v>22.452202826267666</v>
      </c>
      <c r="L59" s="61">
        <f t="shared" ca="1" si="45"/>
        <v>22.452202826267666</v>
      </c>
      <c r="M59" s="64">
        <f ca="1">IFERROR(__xludf.DUMMYFUNCTION("IMPORTRANGE(""https://docs.google.com/spreadsheets/d/1phaeSb9lTGgzDpbvVqI9hfmOQQzUom07-HEvpbARzEg/edit?usp=sharing"",""นครนายก!N550"")"),0)</f>
        <v>0</v>
      </c>
      <c r="N59" s="64">
        <f ca="1">IFERROR(__xludf.DUMMYFUNCTION("IMPORTRANGE(""https://docs.google.com/spreadsheets/d/1phaeSb9lTGgzDpbvVqI9hfmOQQzUom07-HEvpbARzEg/edit?usp=sharing"",""นครนายก!N551"")"),0)</f>
        <v>0</v>
      </c>
      <c r="O59" s="64">
        <f ca="1">IFERROR(__xludf.DUMMYFUNCTION("IMPORTRANGE(""https://docs.google.com/spreadsheets/d/1phaeSb9lTGgzDpbvVqI9hfmOQQzUom07-HEvpbARzEg/edit?usp=sharing"",""นครนายก!N552"")"),0)</f>
        <v>0</v>
      </c>
      <c r="P59" s="64">
        <f ca="1">IFERROR(__xludf.DUMMYFUNCTION("IMPORTRANGE(""https://docs.google.com/spreadsheets/d/1phaeSb9lTGgzDpbvVqI9hfmOQQzUom07-HEvpbARzEg/edit?usp=sharing"",""นครนายก!N553"")"),27010)</f>
        <v>27010</v>
      </c>
      <c r="Q59" s="64">
        <f ca="1">IFERROR(__xludf.DUMMYFUNCTION("IMPORTRANGE(""https://docs.google.com/spreadsheets/d/1phaeSb9lTGgzDpbvVqI9hfmOQQzUom07-HEvpbARzEg/edit?usp=sharing"",""นครนายก!N554"")"),0)</f>
        <v>0</v>
      </c>
      <c r="R59" s="62">
        <f ca="1">IFERROR(__xludf.DUMMYFUNCTION("IMPORTRANGE(""https://docs.google.com/spreadsheets/d/1phaeSb9lTGgzDpbvVqI9hfmOQQzUom07-HEvpbARzEg/edit?usp=sharing"",""นครนายก!N557"")"),0)</f>
        <v>0</v>
      </c>
      <c r="S59" s="62">
        <f t="shared" ca="1" si="47"/>
        <v>0</v>
      </c>
      <c r="T59" s="57">
        <f ca="1">IFERROR(__xludf.DUMMYFUNCTION("IMPORTRANGE(""https://docs.google.com/spreadsheets/d/1phaeSb9lTGgzDpbvVqI9hfmOQQzUom07-HEvpbARzEg/edit?usp=sharing"",""นครนายก!I560"")"),0)</f>
        <v>0</v>
      </c>
      <c r="U59" s="57">
        <f ca="1">IFERROR(__xludf.DUMMYFUNCTION("IMPORTRANGE(""https://docs.google.com/spreadsheets/d/1phaeSb9lTGgzDpbvVqI9hfmOQQzUom07-HEvpbARzEg/edit?usp=sharing"",""นครนายก!I561"")"),0)</f>
        <v>0</v>
      </c>
      <c r="V59" s="63">
        <f ca="1">IFERROR(__xludf.DUMMYFUNCTION("IMPORTRANGE(""https://docs.google.com/spreadsheets/d/1phaeSb9lTGgzDpbvVqI9hfmOQQzUom07-HEvpbARzEg/edit?usp=sharing"",""นครนายก!J560"")"),0)</f>
        <v>0</v>
      </c>
      <c r="W59" s="63">
        <f t="shared" ca="1" si="37"/>
        <v>0</v>
      </c>
      <c r="X59" s="57">
        <f ca="1">IFERROR(__xludf.DUMMYFUNCTION("IMPORTRANGE(""https://docs.google.com/spreadsheets/d/1phaeSb9lTGgzDpbvVqI9hfmOQQzUom07-HEvpbARzEg/edit?usp=sharing"",""นครนายก!J561"")"),0)</f>
        <v>0</v>
      </c>
      <c r="Y59" s="63">
        <f t="shared" ca="1" si="7"/>
        <v>0</v>
      </c>
      <c r="Z59" s="63">
        <f ca="1">IFERROR(__xludf.DUMMYFUNCTION("IMPORTRANGE(""https://docs.google.com/spreadsheets/d/1phaeSb9lTGgzDpbvVqI9hfmOQQzUom07-HEvpbARzEg/edit?usp=sharing"",""นครนายก!J562"")"),0)</f>
        <v>0</v>
      </c>
      <c r="AA59" s="140">
        <f ca="1">IFERROR(__xludf.DUMMYFUNCTION("IMPORTRANGE(""https://docs.google.com/spreadsheets/d/1phaeSb9lTGgzDpbvVqI9hfmOQQzUom07-HEvpbARzEg/edit?usp=sharing"",""นครนายก!J563"")"),0)</f>
        <v>0</v>
      </c>
      <c r="AB59" s="63">
        <f ca="1">IFERROR(__xludf.DUMMYFUNCTION("IMPORTRANGE(""https://docs.google.com/spreadsheets/d/1phaeSb9lTGgzDpbvVqI9hfmOQQzUom07-HEvpbARzEg/edit?usp=sharing"",""นครนายก!J564"")"),0)</f>
        <v>0</v>
      </c>
      <c r="AC59" s="140">
        <f ca="1">IFERROR(__xludf.DUMMYFUNCTION("IMPORTRANGE(""https://docs.google.com/spreadsheets/d/1phaeSb9lTGgzDpbvVqI9hfmOQQzUom07-HEvpbARzEg/edit?usp=sharing"",""นครนายก!J565"")"),0)</f>
        <v>0</v>
      </c>
      <c r="AD59" s="63">
        <f ca="1">IFERROR(__xludf.DUMMYFUNCTION("IMPORTRANGE(""https://docs.google.com/spreadsheets/d/1phaeSb9lTGgzDpbvVqI9hfmOQQzUom07-HEvpbARzEg/edit?usp=sharing"",""นครนายก!J566"")"),0)</f>
        <v>0</v>
      </c>
      <c r="AE59" s="140">
        <f ca="1">IFERROR(__xludf.DUMMYFUNCTION("IMPORTRANGE(""https://docs.google.com/spreadsheets/d/1phaeSb9lTGgzDpbvVqI9hfmOQQzUom07-HEvpbARzEg/edit?usp=sharing"",""นครนายก!J567"")"),0)</f>
        <v>0</v>
      </c>
      <c r="AF59" s="57">
        <f ca="1">IFERROR(__xludf.DUMMYFUNCTION("IMPORTRANGE(""https://docs.google.com/spreadsheets/d/1phaeSb9lTGgzDpbvVqI9hfmOQQzUom07-HEvpbARzEg/edit?usp=sharing"",""นครนายก!I568"")"),0)</f>
        <v>0</v>
      </c>
      <c r="AG59" s="57">
        <f ca="1">IFERROR(__xludf.DUMMYFUNCTION("IMPORTRANGE(""https://docs.google.com/spreadsheets/d/1phaeSb9lTGgzDpbvVqI9hfmOQQzUom07-HEvpbARzEg/edit?usp=sharing"",""นครนายก!I569"")"),0)</f>
        <v>0</v>
      </c>
      <c r="AH59" s="63">
        <f ca="1">IFERROR(__xludf.DUMMYFUNCTION("IMPORTRANGE(""https://docs.google.com/spreadsheets/d/1phaeSb9lTGgzDpbvVqI9hfmOQQzUom07-HEvpbARzEg/edit?usp=sharing"",""นครนายก!J568"")"),0)</f>
        <v>0</v>
      </c>
      <c r="AI59" s="63">
        <f t="shared" ca="1" si="38"/>
        <v>0</v>
      </c>
      <c r="AJ59" s="57">
        <f ca="1">IFERROR(__xludf.DUMMYFUNCTION("IMPORTRANGE(""https://docs.google.com/spreadsheets/d/1phaeSb9lTGgzDpbvVqI9hfmOQQzUom07-HEvpbARzEg/edit?usp=sharing"",""นครนายก!J569"")"),0)</f>
        <v>0</v>
      </c>
      <c r="AK59" s="63">
        <f t="shared" ca="1" si="10"/>
        <v>0</v>
      </c>
      <c r="AL59" s="63">
        <f ca="1">IFERROR(__xludf.DUMMYFUNCTION("IMPORTRANGE(""https://docs.google.com/spreadsheets/d/1phaeSb9lTGgzDpbvVqI9hfmOQQzUom07-HEvpbARzEg/edit?usp=sharing"",""นครนายก!J570"")"),0)</f>
        <v>0</v>
      </c>
      <c r="AM59" s="140">
        <f ca="1">IFERROR(__xludf.DUMMYFUNCTION("IMPORTRANGE(""https://docs.google.com/spreadsheets/d/1phaeSb9lTGgzDpbvVqI9hfmOQQzUom07-HEvpbARzEg/edit?usp=sharing"",""นครนายก!J571"")"),0)</f>
        <v>0</v>
      </c>
      <c r="AN59" s="63">
        <f ca="1">IFERROR(__xludf.DUMMYFUNCTION("IMPORTRANGE(""https://docs.google.com/spreadsheets/d/1phaeSb9lTGgzDpbvVqI9hfmOQQzUom07-HEvpbARzEg/edit?usp=sharing"",""นครนายก!J572"")"),0)</f>
        <v>0</v>
      </c>
      <c r="AO59" s="140">
        <f ca="1">IFERROR(__xludf.DUMMYFUNCTION("IMPORTRANGE(""https://docs.google.com/spreadsheets/d/1phaeSb9lTGgzDpbvVqI9hfmOQQzUom07-HEvpbARzEg/edit?usp=sharing"",""นครนายก!J573"")"),0)</f>
        <v>0</v>
      </c>
      <c r="AP59" s="63">
        <f ca="1">IFERROR(__xludf.DUMMYFUNCTION("IMPORTRANGE(""https://docs.google.com/spreadsheets/d/1phaeSb9lTGgzDpbvVqI9hfmOQQzUom07-HEvpbARzEg/edit?usp=sharing"",""นครนายก!J574"")"),0)</f>
        <v>0</v>
      </c>
      <c r="AQ59" s="140">
        <f ca="1">IFERROR(__xludf.DUMMYFUNCTION("IMPORTRANGE(""https://docs.google.com/spreadsheets/d/1phaeSb9lTGgzDpbvVqI9hfmOQQzUom07-HEvpbARzEg/edit?usp=sharing"",""นครนายก!J575"")"),0)</f>
        <v>0</v>
      </c>
      <c r="AR59" s="57">
        <f ca="1">IFERROR(__xludf.DUMMYFUNCTION("IMPORTRANGE(""https://docs.google.com/spreadsheets/d/1phaeSb9lTGgzDpbvVqI9hfmOQQzUom07-HEvpbARzEg/edit?usp=sharing"",""นครนายก!I576"")"),0)</f>
        <v>0</v>
      </c>
      <c r="AS59" s="57">
        <f ca="1">IFERROR(__xludf.DUMMYFUNCTION("IMPORTRANGE(""https://docs.google.com/spreadsheets/d/1phaeSb9lTGgzDpbvVqI9hfmOQQzUom07-HEvpbARzEg/edit?usp=sharing"",""นครนายก!I577"")"),0)</f>
        <v>0</v>
      </c>
      <c r="AT59" s="63">
        <f ca="1">IFERROR(__xludf.DUMMYFUNCTION("IMPORTRANGE(""https://docs.google.com/spreadsheets/d/1phaeSb9lTGgzDpbvVqI9hfmOQQzUom07-HEvpbARzEg/edit?usp=sharing"",""นครนายก!J576"")"),0)</f>
        <v>0</v>
      </c>
      <c r="AU59" s="63">
        <f t="shared" ca="1" si="39"/>
        <v>0</v>
      </c>
      <c r="AV59" s="57">
        <f ca="1">IFERROR(__xludf.DUMMYFUNCTION("IMPORTRANGE(""https://docs.google.com/spreadsheets/d/1phaeSb9lTGgzDpbvVqI9hfmOQQzUom07-HEvpbARzEg/edit?usp=sharing"",""นครนายก!J577"")"),0)</f>
        <v>0</v>
      </c>
      <c r="AW59" s="63">
        <f t="shared" ca="1" si="13"/>
        <v>0</v>
      </c>
      <c r="AX59" s="63">
        <f ca="1">IFERROR(__xludf.DUMMYFUNCTION("IMPORTRANGE(""https://docs.google.com/spreadsheets/d/1phaeSb9lTGgzDpbvVqI9hfmOQQzUom07-HEvpbARzEg/edit?usp=sharing"",""นครนายก!J578"")"),0)</f>
        <v>0</v>
      </c>
      <c r="AY59" s="140">
        <f ca="1">IFERROR(__xludf.DUMMYFUNCTION("IMPORTRANGE(""https://docs.google.com/spreadsheets/d/1phaeSb9lTGgzDpbvVqI9hfmOQQzUom07-HEvpbARzEg/edit?usp=sharing"",""นครนายก!J579"")"),0)</f>
        <v>0</v>
      </c>
      <c r="AZ59" s="63">
        <f ca="1">IFERROR(__xludf.DUMMYFUNCTION("IMPORTRANGE(""https://docs.google.com/spreadsheets/d/1phaeSb9lTGgzDpbvVqI9hfmOQQzUom07-HEvpbARzEg/edit?usp=sharing"",""นครนายก!J580"")"),0)</f>
        <v>0</v>
      </c>
      <c r="BA59" s="140">
        <f ca="1">IFERROR(__xludf.DUMMYFUNCTION("IMPORTRANGE(""https://docs.google.com/spreadsheets/d/1phaeSb9lTGgzDpbvVqI9hfmOQQzUom07-HEvpbARzEg/edit?usp=sharing"",""นครนายก!J581"")"),0)</f>
        <v>0</v>
      </c>
      <c r="BB59" s="63">
        <f ca="1">IFERROR(__xludf.DUMMYFUNCTION("IMPORTRANGE(""https://docs.google.com/spreadsheets/d/1phaeSb9lTGgzDpbvVqI9hfmOQQzUom07-HEvpbARzEg/edit?usp=sharing"",""นครนายก!J582"")"),0)</f>
        <v>0</v>
      </c>
      <c r="BC59" s="140">
        <f ca="1">IFERROR(__xludf.DUMMYFUNCTION("IMPORTRANGE(""https://docs.google.com/spreadsheets/d/1phaeSb9lTGgzDpbvVqI9hfmOQQzUom07-HEvpbARzEg/edit?usp=sharing"",""นครนายก!J583"")"),0)</f>
        <v>0</v>
      </c>
      <c r="BD59" s="141">
        <f ca="1">IFERROR(__xludf.DUMMYFUNCTION("IMPORTRANGE(""https://docs.google.com/spreadsheets/d/1phaeSb9lTGgzDpbvVqI9hfmOQQzUom07-HEvpbARzEg/edit?usp=sharing"",""นครนายก!J584"")"),0)</f>
        <v>0</v>
      </c>
      <c r="BE59" s="140">
        <f ca="1">IFERROR(__xludf.DUMMYFUNCTION("IMPORTRANGE(""https://docs.google.com/spreadsheets/d/1phaeSb9lTGgzDpbvVqI9hfmOQQzUom07-HEvpbARzEg/edit?usp=sharing"",""นครนายก!J585"")"),0)</f>
        <v>0</v>
      </c>
      <c r="BF59" s="141">
        <f ca="1">IFERROR(__xludf.DUMMYFUNCTION("IMPORTRANGE(""https://docs.google.com/spreadsheets/d/1phaeSb9lTGgzDpbvVqI9hfmOQQzUom07-HEvpbARzEg/edit?usp=sharing"",""นครนายก!J586"")"),0)</f>
        <v>0</v>
      </c>
      <c r="BG59" s="140">
        <f ca="1">IFERROR(__xludf.DUMMYFUNCTION("IMPORTRANGE(""https://docs.google.com/spreadsheets/d/1phaeSb9lTGgzDpbvVqI9hfmOQQzUom07-HEvpbARzEg/edit?usp=sharing"",""นครนายก!J587"")"),0)</f>
        <v>0</v>
      </c>
      <c r="BH59" s="63">
        <f ca="1">IFERROR(__xludf.DUMMYFUNCTION("IMPORTRANGE(""https://docs.google.com/spreadsheets/d/1phaeSb9lTGgzDpbvVqI9hfmOQQzUom07-HEvpbARzEg/edit?usp=sharing"",""นครนายก!J588"")"),0)</f>
        <v>0</v>
      </c>
      <c r="BI59" s="140">
        <f ca="1">IFERROR(__xludf.DUMMYFUNCTION("IMPORTRANGE(""https://docs.google.com/spreadsheets/d/1phaeSb9lTGgzDpbvVqI9hfmOQQzUom07-HEvpbARzEg/edit?usp=sharing"",""นครนายก!J589"")"),0)</f>
        <v>0</v>
      </c>
      <c r="BJ59" s="63">
        <f ca="1">IFERROR(__xludf.DUMMYFUNCTION("IMPORTRANGE(""https://docs.google.com/spreadsheets/d/1phaeSb9lTGgzDpbvVqI9hfmOQQzUom07-HEvpbARzEg/edit?usp=sharing"",""นครนายก!J590"")"),0)</f>
        <v>0</v>
      </c>
      <c r="BK59" s="140">
        <f ca="1">IFERROR(__xludf.DUMMYFUNCTION("IMPORTRANGE(""https://docs.google.com/spreadsheets/d/1phaeSb9lTGgzDpbvVqI9hfmOQQzUom07-HEvpbARzEg/edit?usp=sharing"",""นครนายก!J591"")"),0)</f>
        <v>0</v>
      </c>
      <c r="BL59" s="57">
        <f ca="1">IFERROR(__xludf.DUMMYFUNCTION("IMPORTRANGE(""https://docs.google.com/spreadsheets/d/1phaeSb9lTGgzDpbvVqI9hfmOQQzUom07-HEvpbARzEg/edit?usp=sharing"",""นครนายก!I593"")"),3540.25)</f>
        <v>3540.25</v>
      </c>
      <c r="BM59" s="57">
        <f ca="1">IFERROR(__xludf.DUMMYFUNCTION("IMPORTRANGE(""https://docs.google.com/spreadsheets/d/1phaeSb9lTGgzDpbvVqI9hfmOQQzUom07-HEvpbARzEg/edit?usp=sharing"",""นครนายก!I594"")"),181)</f>
        <v>181</v>
      </c>
      <c r="BN59" s="63">
        <f ca="1">IFERROR(__xludf.DUMMYFUNCTION("IMPORTRANGE(""https://docs.google.com/spreadsheets/d/1phaeSb9lTGgzDpbvVqI9hfmOQQzUom07-HEvpbARzEg/edit?usp=sharing"",""นครนายก!J593"")"),971.9525)</f>
        <v>971.95249999999999</v>
      </c>
      <c r="BO59" s="63">
        <f t="shared" ca="1" si="40"/>
        <v>27.454346444460136</v>
      </c>
      <c r="BP59" s="57">
        <f ca="1">IFERROR(__xludf.DUMMYFUNCTION("IMPORTRANGE(""https://docs.google.com/spreadsheets/d/1phaeSb9lTGgzDpbvVqI9hfmOQQzUom07-HEvpbARzEg/edit?usp=sharing"",""นครนายก!J594"")"),47)</f>
        <v>47</v>
      </c>
      <c r="BQ59" s="63">
        <f t="shared" ca="1" si="16"/>
        <v>25.966850828729282</v>
      </c>
      <c r="BR59" s="63">
        <f ca="1">IFERROR(__xludf.DUMMYFUNCTION("IMPORTRANGE(""https://docs.google.com/spreadsheets/d/1phaeSb9lTGgzDpbvVqI9hfmOQQzUom07-HEvpbARzEg/edit?usp=sharing"",""นครนายก!J595"")"),915.985)</f>
        <v>915.98500000000001</v>
      </c>
      <c r="BS59" s="140">
        <f ca="1">IFERROR(__xludf.DUMMYFUNCTION("IMPORTRANGE(""https://docs.google.com/spreadsheets/d/1phaeSb9lTGgzDpbvVqI9hfmOQQzUom07-HEvpbARzEg/edit?usp=sharing"",""นครนายก!J596"")"),44)</f>
        <v>44</v>
      </c>
      <c r="BT59" s="63">
        <f ca="1">IFERROR(__xludf.DUMMYFUNCTION("IMPORTRANGE(""https://docs.google.com/spreadsheets/d/1phaeSb9lTGgzDpbvVqI9hfmOQQzUom07-HEvpbARzEg/edit?usp=sharing"",""นครนายก!J597"")"),915.985)</f>
        <v>915.98500000000001</v>
      </c>
      <c r="BU59" s="140">
        <f ca="1">IFERROR(__xludf.DUMMYFUNCTION("IMPORTRANGE(""https://docs.google.com/spreadsheets/d/1phaeSb9lTGgzDpbvVqI9hfmOQQzUom07-HEvpbARzEg/edit?usp=sharing"",""นครนายก!J598"")"),44)</f>
        <v>44</v>
      </c>
      <c r="BV59" s="63">
        <f ca="1">IFERROR(__xludf.DUMMYFUNCTION("IMPORTRANGE(""https://docs.google.com/spreadsheets/d/1phaeSb9lTGgzDpbvVqI9hfmOQQzUom07-HEvpbARzEg/edit?usp=sharing"",""นครนายก!J599"")"),0)</f>
        <v>0</v>
      </c>
      <c r="BW59" s="140">
        <f ca="1">IFERROR(__xludf.DUMMYFUNCTION("IMPORTRANGE(""https://docs.google.com/spreadsheets/d/1phaeSb9lTGgzDpbvVqI9hfmOQQzUom07-HEvpbARzEg/edit?usp=sharing"",""นครนายก!J600"")"),0)</f>
        <v>0</v>
      </c>
      <c r="BX59" s="141">
        <f ca="1">IFERROR(__xludf.DUMMYFUNCTION("IMPORTRANGE(""https://docs.google.com/spreadsheets/d/1phaeSb9lTGgzDpbvVqI9hfmOQQzUom07-HEvpbARzEg/edit?usp=sharing"",""นครนายก!J601"")"),0)</f>
        <v>0</v>
      </c>
      <c r="BY59" s="140">
        <f ca="1">IFERROR(__xludf.DUMMYFUNCTION("IMPORTRANGE(""https://docs.google.com/spreadsheets/d/1phaeSb9lTGgzDpbvVqI9hfmOQQzUom07-HEvpbARzEg/edit?usp=sharing"",""นครนายก!J602"")"),0)</f>
        <v>0</v>
      </c>
      <c r="BZ59" s="63">
        <f ca="1">IFERROR(__xludf.DUMMYFUNCTION("IMPORTRANGE(""https://docs.google.com/spreadsheets/d/1phaeSb9lTGgzDpbvVqI9hfmOQQzUom07-HEvpbARzEg/edit?usp=sharing"",""นครนายก!J603"")"),55.9675)</f>
        <v>55.967500000000001</v>
      </c>
      <c r="CA59" s="140">
        <f ca="1">IFERROR(__xludf.DUMMYFUNCTION("IMPORTRANGE(""https://docs.google.com/spreadsheets/d/1phaeSb9lTGgzDpbvVqI9hfmOQQzUom07-HEvpbARzEg/edit?usp=sharing"",""นครนายก!J604"")"),3)</f>
        <v>3</v>
      </c>
      <c r="CB59" s="63">
        <f ca="1">IFERROR(__xludf.DUMMYFUNCTION("IMPORTRANGE(""https://docs.google.com/spreadsheets/d/1phaeSb9lTGgzDpbvVqI9hfmOQQzUom07-HEvpbARzEg/edit?usp=sharing"",""นครนายก!J605"")"),55.9675)</f>
        <v>55.967500000000001</v>
      </c>
      <c r="CC59" s="140">
        <f ca="1">IFERROR(__xludf.DUMMYFUNCTION("IMPORTRANGE(""https://docs.google.com/spreadsheets/d/1phaeSb9lTGgzDpbvVqI9hfmOQQzUom07-HEvpbARzEg/edit?usp=sharing"",""นครนายก!J606"")"),3)</f>
        <v>3</v>
      </c>
      <c r="CD59" s="63">
        <f ca="1">IFERROR(__xludf.DUMMYFUNCTION("IMPORTRANGE(""https://docs.google.com/spreadsheets/d/1phaeSb9lTGgzDpbvVqI9hfmOQQzUom07-HEvpbARzEg/edit?usp=sharing"",""นครนายก!J607"")"),0)</f>
        <v>0</v>
      </c>
      <c r="CE59" s="140">
        <f ca="1">IFERROR(__xludf.DUMMYFUNCTION("IMPORTRANGE(""https://docs.google.com/spreadsheets/d/1phaeSb9lTGgzDpbvVqI9hfmOQQzUom07-HEvpbARzEg/edit?usp=sharing"",""นครนายก!J608"")"),0)</f>
        <v>0</v>
      </c>
      <c r="CF59" s="63">
        <f ca="1">IFERROR(__xludf.DUMMYFUNCTION("IMPORTRANGE(""https://docs.google.com/spreadsheets/d/1phaeSb9lTGgzDpbvVqI9hfmOQQzUom07-HEvpbARzEg/edit?usp=sharing"",""นครนายก!J609"")"),0)</f>
        <v>0</v>
      </c>
      <c r="CG59" s="140">
        <f ca="1">IFERROR(__xludf.DUMMYFUNCTION("IMPORTRANGE(""https://docs.google.com/spreadsheets/d/1phaeSb9lTGgzDpbvVqI9hfmOQQzUom07-HEvpbARzEg/edit?usp=sharing"",""นครนายก!J610"")"),0)</f>
        <v>0</v>
      </c>
      <c r="CH59" s="140">
        <f ca="1">IFERROR(__xludf.DUMMYFUNCTION("IMPORTRANGE(""https://docs.google.com/spreadsheets/d/1phaeSb9lTGgzDpbvVqI9hfmOQQzUom07-HEvpbARzEg/edit?usp=sharing"",""นครนายก!I612"")"),0)</f>
        <v>0</v>
      </c>
      <c r="CI59" s="140">
        <f ca="1">IFERROR(__xludf.DUMMYFUNCTION("IMPORTRANGE(""https://docs.google.com/spreadsheets/d/1phaeSb9lTGgzDpbvVqI9hfmOQQzUom07-HEvpbARzEg/edit?usp=sharing"",""นครนายก!I594"")"),181)</f>
        <v>181</v>
      </c>
      <c r="CJ59" s="141">
        <f ca="1">IFERROR(__xludf.DUMMYFUNCTION("IMPORTRANGE(""https://docs.google.com/spreadsheets/d/1phaeSb9lTGgzDpbvVqI9hfmOQQzUom07-HEvpbARzEg/edit?usp=sharing"",""นครนายก!J612"")"),0)</f>
        <v>0</v>
      </c>
      <c r="CK59" s="141">
        <f t="shared" ca="1" si="41"/>
        <v>0</v>
      </c>
      <c r="CL59" s="140">
        <f ca="1">IFERROR(__xludf.DUMMYFUNCTION("IMPORTRANGE(""https://docs.google.com/spreadsheets/d/1phaeSb9lTGgzDpbvVqI9hfmOQQzUom07-HEvpbARzEg/edit?usp=sharing"",""นครนายก!J613"")"),0)</f>
        <v>0</v>
      </c>
      <c r="CM59" s="141">
        <f t="shared" ca="1" si="19"/>
        <v>0</v>
      </c>
      <c r="CN59" s="63">
        <f ca="1">IFERROR(__xludf.DUMMYFUNCTION("IMPORTRANGE(""https://docs.google.com/spreadsheets/d/1phaeSb9lTGgzDpbvVqI9hfmOQQzUom07-HEvpbARzEg/edit?usp=sharing"",""นครนายก!J614"")"),0)</f>
        <v>0</v>
      </c>
      <c r="CO59" s="140">
        <f ca="1">IFERROR(__xludf.DUMMYFUNCTION("IMPORTRANGE(""https://docs.google.com/spreadsheets/d/1phaeSb9lTGgzDpbvVqI9hfmOQQzUom07-HEvpbARzEg/edit?usp=sharing"",""นครนายก!J615"")"),0)</f>
        <v>0</v>
      </c>
      <c r="CP59" s="63">
        <f ca="1">IFERROR(__xludf.DUMMYFUNCTION("IMPORTRANGE(""https://docs.google.com/spreadsheets/d/1phaeSb9lTGgzDpbvVqI9hfmOQQzUom07-HEvpbARzEg/edit?usp=sharing"",""นครนายก!J616"")"),0)</f>
        <v>0</v>
      </c>
      <c r="CQ59" s="140">
        <f ca="1">IFERROR(__xludf.DUMMYFUNCTION("IMPORTRANGE(""https://docs.google.com/spreadsheets/d/1phaeSb9lTGgzDpbvVqI9hfmOQQzUom07-HEvpbARzEg/edit?usp=sharing"",""นครนายก!J617"")"),0)</f>
        <v>0</v>
      </c>
      <c r="CR59" s="140">
        <f ca="1">IFERROR(__xludf.DUMMYFUNCTION("IMPORTRANGE(""https://docs.google.com/spreadsheets/d/1phaeSb9lTGgzDpbvVqI9hfmOQQzUom07-HEvpbARzEg/edit?usp=sharing"",""นครนายก!I620"")"),0)</f>
        <v>0</v>
      </c>
      <c r="CS59" s="140">
        <f ca="1">IFERROR(__xludf.DUMMYFUNCTION("IMPORTRANGE(""https://docs.google.com/spreadsheets/d/1phaeSb9lTGgzDpbvVqI9hfmOQQzUom07-HEvpbARzEg/edit?usp=sharing"",""นครนายก!I621"")"),0)</f>
        <v>0</v>
      </c>
      <c r="CT59" s="141">
        <f ca="1">IFERROR(__xludf.DUMMYFUNCTION("IMPORTRANGE(""https://docs.google.com/spreadsheets/d/1phaeSb9lTGgzDpbvVqI9hfmOQQzUom07-HEvpbARzEg/edit?usp=sharing"",""นครนายก!J620"")"),0)</f>
        <v>0</v>
      </c>
      <c r="CU59" s="141">
        <f t="shared" ca="1" si="42"/>
        <v>0</v>
      </c>
      <c r="CV59" s="140">
        <f ca="1">IFERROR(__xludf.DUMMYFUNCTION("IMPORTRANGE(""https://docs.google.com/spreadsheets/d/1phaeSb9lTGgzDpbvVqI9hfmOQQzUom07-HEvpbARzEg/edit?usp=sharing"",""นครนายก!J621"")"),0)</f>
        <v>0</v>
      </c>
      <c r="CW59" s="141">
        <f t="shared" ca="1" si="22"/>
        <v>0</v>
      </c>
      <c r="CX59" s="63">
        <f ca="1">IFERROR(__xludf.DUMMYFUNCTION("IMPORTRANGE(""https://docs.google.com/spreadsheets/d/1phaeSb9lTGgzDpbvVqI9hfmOQQzUom07-HEvpbARzEg/edit?usp=sharing"",""นครนายก!J622"")"),0)</f>
        <v>0</v>
      </c>
      <c r="CY59" s="140">
        <f ca="1">IFERROR(__xludf.DUMMYFUNCTION("IMPORTRANGE(""https://docs.google.com/spreadsheets/d/1phaeSb9lTGgzDpbvVqI9hfmOQQzUom07-HEvpbARzEg/edit?usp=sharing"",""นครนายก!J623"")"),0)</f>
        <v>0</v>
      </c>
      <c r="CZ59" s="63">
        <f ca="1">IFERROR(__xludf.DUMMYFUNCTION("IMPORTRANGE(""https://docs.google.com/spreadsheets/d/1phaeSb9lTGgzDpbvVqI9hfmOQQzUom07-HEvpbARzEg/edit?usp=sharing"",""นครนายก!J624"")"),0)</f>
        <v>0</v>
      </c>
      <c r="DA59" s="140">
        <f ca="1">IFERROR(__xludf.DUMMYFUNCTION("IMPORTRANGE(""https://docs.google.com/spreadsheets/d/1phaeSb9lTGgzDpbvVqI9hfmOQQzUom07-HEvpbARzEg/edit?usp=sharing"",""นครนายก!J625"")"),0)</f>
        <v>0</v>
      </c>
      <c r="DB59" s="63">
        <f ca="1">IFERROR(__xludf.DUMMYFUNCTION("IMPORTRANGE(""https://docs.google.com/spreadsheets/d/1phaeSb9lTGgzDpbvVqI9hfmOQQzUom07-HEvpbARzEg/edit?usp=sharing"",""นครนายก!J626"")"),0)</f>
        <v>0</v>
      </c>
      <c r="DC59" s="140">
        <f ca="1">IFERROR(__xludf.DUMMYFUNCTION("IMPORTRANGE(""https://docs.google.com/spreadsheets/d/1phaeSb9lTGgzDpbvVqI9hfmOQQzUom07-HEvpbARzEg/edit?usp=sharing"",""นครนายก!J627"")"),0)</f>
        <v>0</v>
      </c>
    </row>
    <row r="60" spans="1:107" ht="21" customHeight="1" x14ac:dyDescent="0.3">
      <c r="A60" s="54">
        <v>8</v>
      </c>
      <c r="B60" s="55" t="s">
        <v>81</v>
      </c>
      <c r="C60" s="56">
        <f t="shared" ca="1" si="77"/>
        <v>120300</v>
      </c>
      <c r="D60" s="57">
        <f ca="1">IFERROR(__xludf.DUMMYFUNCTION("IMPORTRANGE(""https://docs.google.com/spreadsheets/d/1tpwhWwkqkBeiSWCcfB5f2fbwPRbM9hHOEDSDHpl2MIc/edit?usp=sharing"",""นครปฐม!L549"")"),120300)</f>
        <v>120300</v>
      </c>
      <c r="E60" s="64">
        <f ca="1">IFERROR(__xludf.DUMMYFUNCTION("IMPORTRANGE(""https://docs.google.com/spreadsheets/d/1tpwhWwkqkBeiSWCcfB5f2fbwPRbM9hHOEDSDHpl2MIc/edit?usp=sharing"",""นครปฐม!L557"")"),0)</f>
        <v>0</v>
      </c>
      <c r="F60" s="64">
        <f ca="1">IFERROR(__xludf.DUMMYFUNCTION("IMPORTRANGE(""https://docs.google.com/spreadsheets/d/1tpwhWwkqkBeiSWCcfB5f2fbwPRbM9hHOEDSDHpl2MIc/edit?usp=sharing"",""นครปฐม!M549"")"),120300)</f>
        <v>120300</v>
      </c>
      <c r="G60" s="64">
        <f ca="1">IFERROR(__xludf.DUMMYFUNCTION("IMPORTRANGE(""https://docs.google.com/spreadsheets/d/1tpwhWwkqkBeiSWCcfB5f2fbwPRbM9hHOEDSDHpl2MIc/edit?usp=sharing"",""นครปฐม!M557"")"),0)</f>
        <v>0</v>
      </c>
      <c r="H60" s="58">
        <f t="shared" ca="1" si="36"/>
        <v>44330</v>
      </c>
      <c r="I60" s="59">
        <f t="shared" ca="1" si="1"/>
        <v>36.849542809642557</v>
      </c>
      <c r="J60" s="60">
        <f t="shared" ca="1" si="78"/>
        <v>44330</v>
      </c>
      <c r="K60" s="61">
        <f t="shared" ca="1" si="44"/>
        <v>36.849542809642557</v>
      </c>
      <c r="L60" s="61">
        <f t="shared" ca="1" si="45"/>
        <v>36.849542809642557</v>
      </c>
      <c r="M60" s="64">
        <f ca="1">IFERROR(__xludf.DUMMYFUNCTION("IMPORTRANGE(""https://docs.google.com/spreadsheets/d/1tpwhWwkqkBeiSWCcfB5f2fbwPRbM9hHOEDSDHpl2MIc/edit?usp=sharing"",""นครปฐม!N550"")"),0)</f>
        <v>0</v>
      </c>
      <c r="N60" s="64">
        <f ca="1">IFERROR(__xludf.DUMMYFUNCTION("IMPORTRANGE(""https://docs.google.com/spreadsheets/d/1tpwhWwkqkBeiSWCcfB5f2fbwPRbM9hHOEDSDHpl2MIc/edit?usp=sharing"",""นครปฐม!N551"")"),0)</f>
        <v>0</v>
      </c>
      <c r="O60" s="64">
        <f ca="1">IFERROR(__xludf.DUMMYFUNCTION("IMPORTRANGE(""https://docs.google.com/spreadsheets/d/1tpwhWwkqkBeiSWCcfB5f2fbwPRbM9hHOEDSDHpl2MIc/edit?usp=sharing"",""นครปฐม!N552"")"),0)</f>
        <v>0</v>
      </c>
      <c r="P60" s="64">
        <f ca="1">IFERROR(__xludf.DUMMYFUNCTION("IMPORTRANGE(""https://docs.google.com/spreadsheets/d/1tpwhWwkqkBeiSWCcfB5f2fbwPRbM9hHOEDSDHpl2MIc/edit?usp=sharing"",""นครปฐม!N553"")"),44330)</f>
        <v>44330</v>
      </c>
      <c r="Q60" s="64">
        <f ca="1">IFERROR(__xludf.DUMMYFUNCTION("IMPORTRANGE(""https://docs.google.com/spreadsheets/d/1tpwhWwkqkBeiSWCcfB5f2fbwPRbM9hHOEDSDHpl2MIc/edit?usp=sharing"",""นครปฐม!N554"")"),0)</f>
        <v>0</v>
      </c>
      <c r="R60" s="62">
        <f ca="1">IFERROR(__xludf.DUMMYFUNCTION("IMPORTRANGE(""https://docs.google.com/spreadsheets/d/1tpwhWwkqkBeiSWCcfB5f2fbwPRbM9hHOEDSDHpl2MIc/edit?usp=sharing"",""นครปฐม!N557"")"),0)</f>
        <v>0</v>
      </c>
      <c r="S60" s="62">
        <f t="shared" ca="1" si="47"/>
        <v>0</v>
      </c>
      <c r="T60" s="57">
        <f ca="1">IFERROR(__xludf.DUMMYFUNCTION("IMPORTRANGE(""https://docs.google.com/spreadsheets/d/1tpwhWwkqkBeiSWCcfB5f2fbwPRbM9hHOEDSDHpl2MIc/edit?usp=sharing"",""นครปฐม!I560"")"),0)</f>
        <v>0</v>
      </c>
      <c r="U60" s="57">
        <f ca="1">IFERROR(__xludf.DUMMYFUNCTION("IMPORTRANGE(""https://docs.google.com/spreadsheets/d/1tpwhWwkqkBeiSWCcfB5f2fbwPRbM9hHOEDSDHpl2MIc/edit?usp=sharing"",""นครปฐม!I561"")"),0)</f>
        <v>0</v>
      </c>
      <c r="V60" s="63">
        <f ca="1">IFERROR(__xludf.DUMMYFUNCTION("IMPORTRANGE(""https://docs.google.com/spreadsheets/d/1tpwhWwkqkBeiSWCcfB5f2fbwPRbM9hHOEDSDHpl2MIc/edit?usp=sharing"",""นครปฐม!J560"")"),0)</f>
        <v>0</v>
      </c>
      <c r="W60" s="63">
        <f t="shared" ca="1" si="37"/>
        <v>0</v>
      </c>
      <c r="X60" s="57">
        <f ca="1">IFERROR(__xludf.DUMMYFUNCTION("IMPORTRANGE(""https://docs.google.com/spreadsheets/d/1tpwhWwkqkBeiSWCcfB5f2fbwPRbM9hHOEDSDHpl2MIc/edit?usp=sharing"",""นครปฐม!J561"")"),0)</f>
        <v>0</v>
      </c>
      <c r="Y60" s="63">
        <f t="shared" ca="1" si="7"/>
        <v>0</v>
      </c>
      <c r="Z60" s="63">
        <f ca="1">IFERROR(__xludf.DUMMYFUNCTION("IMPORTRANGE(""https://docs.google.com/spreadsheets/d/1tpwhWwkqkBeiSWCcfB5f2fbwPRbM9hHOEDSDHpl2MIc/edit?usp=sharing"",""นครปฐม!J562"")"),0)</f>
        <v>0</v>
      </c>
      <c r="AA60" s="140">
        <f ca="1">IFERROR(__xludf.DUMMYFUNCTION("IMPORTRANGE(""https://docs.google.com/spreadsheets/d/1tpwhWwkqkBeiSWCcfB5f2fbwPRbM9hHOEDSDHpl2MIc/edit?usp=sharing"",""นครปฐม!J563"")"),0)</f>
        <v>0</v>
      </c>
      <c r="AB60" s="63">
        <f ca="1">IFERROR(__xludf.DUMMYFUNCTION("IMPORTRANGE(""https://docs.google.com/spreadsheets/d/1tpwhWwkqkBeiSWCcfB5f2fbwPRbM9hHOEDSDHpl2MIc/edit?usp=sharing"",""นครปฐม!J564"")"),0)</f>
        <v>0</v>
      </c>
      <c r="AC60" s="140">
        <f ca="1">IFERROR(__xludf.DUMMYFUNCTION("IMPORTRANGE(""https://docs.google.com/spreadsheets/d/1tpwhWwkqkBeiSWCcfB5f2fbwPRbM9hHOEDSDHpl2MIc/edit?usp=sharing"",""นครปฐม!J565"")"),0)</f>
        <v>0</v>
      </c>
      <c r="AD60" s="63">
        <f ca="1">IFERROR(__xludf.DUMMYFUNCTION("IMPORTRANGE(""https://docs.google.com/spreadsheets/d/1tpwhWwkqkBeiSWCcfB5f2fbwPRbM9hHOEDSDHpl2MIc/edit?usp=sharing"",""นครปฐม!J566"")"),0)</f>
        <v>0</v>
      </c>
      <c r="AE60" s="140">
        <f ca="1">IFERROR(__xludf.DUMMYFUNCTION("IMPORTRANGE(""https://docs.google.com/spreadsheets/d/1tpwhWwkqkBeiSWCcfB5f2fbwPRbM9hHOEDSDHpl2MIc/edit?usp=sharing"",""นครปฐม!J567"")"),0)</f>
        <v>0</v>
      </c>
      <c r="AF60" s="57">
        <f ca="1">IFERROR(__xludf.DUMMYFUNCTION("IMPORTRANGE(""https://docs.google.com/spreadsheets/d/1tpwhWwkqkBeiSWCcfB5f2fbwPRbM9hHOEDSDHpl2MIc/edit?usp=sharing"",""นครปฐม!I568"")"),0)</f>
        <v>0</v>
      </c>
      <c r="AG60" s="57">
        <f ca="1">IFERROR(__xludf.DUMMYFUNCTION("IMPORTRANGE(""https://docs.google.com/spreadsheets/d/1tpwhWwkqkBeiSWCcfB5f2fbwPRbM9hHOEDSDHpl2MIc/edit?usp=sharing"",""นครปฐม!I569"")"),0)</f>
        <v>0</v>
      </c>
      <c r="AH60" s="63">
        <f ca="1">IFERROR(__xludf.DUMMYFUNCTION("IMPORTRANGE(""https://docs.google.com/spreadsheets/d/1tpwhWwkqkBeiSWCcfB5f2fbwPRbM9hHOEDSDHpl2MIc/edit?usp=sharing"",""นครปฐม!J568"")"),0)</f>
        <v>0</v>
      </c>
      <c r="AI60" s="63">
        <f t="shared" ca="1" si="38"/>
        <v>0</v>
      </c>
      <c r="AJ60" s="57">
        <f ca="1">IFERROR(__xludf.DUMMYFUNCTION("IMPORTRANGE(""https://docs.google.com/spreadsheets/d/1tpwhWwkqkBeiSWCcfB5f2fbwPRbM9hHOEDSDHpl2MIc/edit?usp=sharing"",""นครปฐม!J569"")"),0)</f>
        <v>0</v>
      </c>
      <c r="AK60" s="63">
        <f t="shared" ca="1" si="10"/>
        <v>0</v>
      </c>
      <c r="AL60" s="63">
        <f ca="1">IFERROR(__xludf.DUMMYFUNCTION("IMPORTRANGE(""https://docs.google.com/spreadsheets/d/1tpwhWwkqkBeiSWCcfB5f2fbwPRbM9hHOEDSDHpl2MIc/edit?usp=sharing"",""นครปฐม!J570"")"),0)</f>
        <v>0</v>
      </c>
      <c r="AM60" s="140">
        <f ca="1">IFERROR(__xludf.DUMMYFUNCTION("IMPORTRANGE(""https://docs.google.com/spreadsheets/d/1tpwhWwkqkBeiSWCcfB5f2fbwPRbM9hHOEDSDHpl2MIc/edit?usp=sharing"",""นครปฐม!J571"")"),0)</f>
        <v>0</v>
      </c>
      <c r="AN60" s="63">
        <f ca="1">IFERROR(__xludf.DUMMYFUNCTION("IMPORTRANGE(""https://docs.google.com/spreadsheets/d/1tpwhWwkqkBeiSWCcfB5f2fbwPRbM9hHOEDSDHpl2MIc/edit?usp=sharing"",""นครปฐม!J572"")"),0)</f>
        <v>0</v>
      </c>
      <c r="AO60" s="140">
        <f ca="1">IFERROR(__xludf.DUMMYFUNCTION("IMPORTRANGE(""https://docs.google.com/spreadsheets/d/1tpwhWwkqkBeiSWCcfB5f2fbwPRbM9hHOEDSDHpl2MIc/edit?usp=sharing"",""นครปฐม!J573"")"),0)</f>
        <v>0</v>
      </c>
      <c r="AP60" s="63">
        <f ca="1">IFERROR(__xludf.DUMMYFUNCTION("IMPORTRANGE(""https://docs.google.com/spreadsheets/d/1tpwhWwkqkBeiSWCcfB5f2fbwPRbM9hHOEDSDHpl2MIc/edit?usp=sharing"",""นครปฐม!J574"")"),0)</f>
        <v>0</v>
      </c>
      <c r="AQ60" s="140">
        <f ca="1">IFERROR(__xludf.DUMMYFUNCTION("IMPORTRANGE(""https://docs.google.com/spreadsheets/d/1tpwhWwkqkBeiSWCcfB5f2fbwPRbM9hHOEDSDHpl2MIc/edit?usp=sharing"",""นครปฐม!J575"")"),0)</f>
        <v>0</v>
      </c>
      <c r="AR60" s="57">
        <f ca="1">IFERROR(__xludf.DUMMYFUNCTION("IMPORTRANGE(""https://docs.google.com/spreadsheets/d/1tpwhWwkqkBeiSWCcfB5f2fbwPRbM9hHOEDSDHpl2MIc/edit?usp=sharing"",""นครปฐม!I576"")"),0)</f>
        <v>0</v>
      </c>
      <c r="AS60" s="57">
        <f ca="1">IFERROR(__xludf.DUMMYFUNCTION("IMPORTRANGE(""https://docs.google.com/spreadsheets/d/1tpwhWwkqkBeiSWCcfB5f2fbwPRbM9hHOEDSDHpl2MIc/edit?usp=sharing"",""นครปฐม!I577"")"),0)</f>
        <v>0</v>
      </c>
      <c r="AT60" s="63">
        <f ca="1">IFERROR(__xludf.DUMMYFUNCTION("IMPORTRANGE(""https://docs.google.com/spreadsheets/d/1tpwhWwkqkBeiSWCcfB5f2fbwPRbM9hHOEDSDHpl2MIc/edit?usp=sharing"",""นครปฐม!J576"")"),0)</f>
        <v>0</v>
      </c>
      <c r="AU60" s="63">
        <f t="shared" ca="1" si="39"/>
        <v>0</v>
      </c>
      <c r="AV60" s="57">
        <f ca="1">IFERROR(__xludf.DUMMYFUNCTION("IMPORTRANGE(""https://docs.google.com/spreadsheets/d/1tpwhWwkqkBeiSWCcfB5f2fbwPRbM9hHOEDSDHpl2MIc/edit?usp=sharing"",""นครปฐม!J577"")"),0)</f>
        <v>0</v>
      </c>
      <c r="AW60" s="63">
        <f t="shared" ca="1" si="13"/>
        <v>0</v>
      </c>
      <c r="AX60" s="63">
        <f ca="1">IFERROR(__xludf.DUMMYFUNCTION("IMPORTRANGE(""https://docs.google.com/spreadsheets/d/1tpwhWwkqkBeiSWCcfB5f2fbwPRbM9hHOEDSDHpl2MIc/edit?usp=sharing"",""นครปฐม!J578"")"),0)</f>
        <v>0</v>
      </c>
      <c r="AY60" s="140">
        <f ca="1">IFERROR(__xludf.DUMMYFUNCTION("IMPORTRANGE(""https://docs.google.com/spreadsheets/d/1tpwhWwkqkBeiSWCcfB5f2fbwPRbM9hHOEDSDHpl2MIc/edit?usp=sharing"",""นครปฐม!J579"")"),0)</f>
        <v>0</v>
      </c>
      <c r="AZ60" s="63">
        <f ca="1">IFERROR(__xludf.DUMMYFUNCTION("IMPORTRANGE(""https://docs.google.com/spreadsheets/d/1tpwhWwkqkBeiSWCcfB5f2fbwPRbM9hHOEDSDHpl2MIc/edit?usp=sharing"",""นครปฐม!J580"")"),0)</f>
        <v>0</v>
      </c>
      <c r="BA60" s="140">
        <f ca="1">IFERROR(__xludf.DUMMYFUNCTION("IMPORTRANGE(""https://docs.google.com/spreadsheets/d/1tpwhWwkqkBeiSWCcfB5f2fbwPRbM9hHOEDSDHpl2MIc/edit?usp=sharing"",""นครปฐม!J581"")"),0)</f>
        <v>0</v>
      </c>
      <c r="BB60" s="63">
        <f ca="1">IFERROR(__xludf.DUMMYFUNCTION("IMPORTRANGE(""https://docs.google.com/spreadsheets/d/1tpwhWwkqkBeiSWCcfB5f2fbwPRbM9hHOEDSDHpl2MIc/edit?usp=sharing"",""นครปฐม!J582"")"),0)</f>
        <v>0</v>
      </c>
      <c r="BC60" s="140">
        <f ca="1">IFERROR(__xludf.DUMMYFUNCTION("IMPORTRANGE(""https://docs.google.com/spreadsheets/d/1tpwhWwkqkBeiSWCcfB5f2fbwPRbM9hHOEDSDHpl2MIc/edit?usp=sharing"",""นครปฐม!J583"")"),0)</f>
        <v>0</v>
      </c>
      <c r="BD60" s="141">
        <f ca="1">IFERROR(__xludf.DUMMYFUNCTION("IMPORTRANGE(""https://docs.google.com/spreadsheets/d/1tpwhWwkqkBeiSWCcfB5f2fbwPRbM9hHOEDSDHpl2MIc/edit?usp=sharing"",""นครปฐม!J584"")"),0)</f>
        <v>0</v>
      </c>
      <c r="BE60" s="140">
        <f ca="1">IFERROR(__xludf.DUMMYFUNCTION("IMPORTRANGE(""https://docs.google.com/spreadsheets/d/1tpwhWwkqkBeiSWCcfB5f2fbwPRbM9hHOEDSDHpl2MIc/edit?usp=sharing"",""นครปฐม!J585"")"),0)</f>
        <v>0</v>
      </c>
      <c r="BF60" s="141">
        <f ca="1">IFERROR(__xludf.DUMMYFUNCTION("IMPORTRANGE(""https://docs.google.com/spreadsheets/d/1tpwhWwkqkBeiSWCcfB5f2fbwPRbM9hHOEDSDHpl2MIc/edit?usp=sharing"",""นครปฐม!J586"")"),0)</f>
        <v>0</v>
      </c>
      <c r="BG60" s="140">
        <f ca="1">IFERROR(__xludf.DUMMYFUNCTION("IMPORTRANGE(""https://docs.google.com/spreadsheets/d/1tpwhWwkqkBeiSWCcfB5f2fbwPRbM9hHOEDSDHpl2MIc/edit?usp=sharing"",""นครปฐม!J587"")"),0)</f>
        <v>0</v>
      </c>
      <c r="BH60" s="63">
        <f ca="1">IFERROR(__xludf.DUMMYFUNCTION("IMPORTRANGE(""https://docs.google.com/spreadsheets/d/1tpwhWwkqkBeiSWCcfB5f2fbwPRbM9hHOEDSDHpl2MIc/edit?usp=sharing"",""นครปฐม!J588"")"),0)</f>
        <v>0</v>
      </c>
      <c r="BI60" s="140">
        <f ca="1">IFERROR(__xludf.DUMMYFUNCTION("IMPORTRANGE(""https://docs.google.com/spreadsheets/d/1tpwhWwkqkBeiSWCcfB5f2fbwPRbM9hHOEDSDHpl2MIc/edit?usp=sharing"",""นครปฐม!J589"")"),0)</f>
        <v>0</v>
      </c>
      <c r="BJ60" s="63">
        <f ca="1">IFERROR(__xludf.DUMMYFUNCTION("IMPORTRANGE(""https://docs.google.com/spreadsheets/d/1tpwhWwkqkBeiSWCcfB5f2fbwPRbM9hHOEDSDHpl2MIc/edit?usp=sharing"",""นครปฐม!J590"")"),0)</f>
        <v>0</v>
      </c>
      <c r="BK60" s="140">
        <f ca="1">IFERROR(__xludf.DUMMYFUNCTION("IMPORTRANGE(""https://docs.google.com/spreadsheets/d/1tpwhWwkqkBeiSWCcfB5f2fbwPRbM9hHOEDSDHpl2MIc/edit?usp=sharing"",""นครปฐม!J591"")"),0)</f>
        <v>0</v>
      </c>
      <c r="BL60" s="57">
        <f ca="1">IFERROR(__xludf.DUMMYFUNCTION("IMPORTRANGE(""https://docs.google.com/spreadsheets/d/1tpwhWwkqkBeiSWCcfB5f2fbwPRbM9hHOEDSDHpl2MIc/edit?usp=sharing"",""นครปฐม!I593"")"),1202.79)</f>
        <v>1202.79</v>
      </c>
      <c r="BM60" s="57">
        <f ca="1">IFERROR(__xludf.DUMMYFUNCTION("IMPORTRANGE(""https://docs.google.com/spreadsheets/d/1tpwhWwkqkBeiSWCcfB5f2fbwPRbM9hHOEDSDHpl2MIc/edit?usp=sharing"",""นครปฐม!I594"")"),181)</f>
        <v>181</v>
      </c>
      <c r="BN60" s="63">
        <f ca="1">IFERROR(__xludf.DUMMYFUNCTION("IMPORTRANGE(""https://docs.google.com/spreadsheets/d/1tpwhWwkqkBeiSWCcfB5f2fbwPRbM9hHOEDSDHpl2MIc/edit?usp=sharing"",""นครปฐม!J593"")"),0)</f>
        <v>0</v>
      </c>
      <c r="BO60" s="63">
        <f t="shared" ca="1" si="40"/>
        <v>0</v>
      </c>
      <c r="BP60" s="57">
        <f ca="1">IFERROR(__xludf.DUMMYFUNCTION("IMPORTRANGE(""https://docs.google.com/spreadsheets/d/1tpwhWwkqkBeiSWCcfB5f2fbwPRbM9hHOEDSDHpl2MIc/edit?usp=sharing"",""นครปฐม!J594"")"),0)</f>
        <v>0</v>
      </c>
      <c r="BQ60" s="63">
        <f t="shared" ca="1" si="16"/>
        <v>0</v>
      </c>
      <c r="BR60" s="63">
        <f ca="1">IFERROR(__xludf.DUMMYFUNCTION("IMPORTRANGE(""https://docs.google.com/spreadsheets/d/1tpwhWwkqkBeiSWCcfB5f2fbwPRbM9hHOEDSDHpl2MIc/edit?usp=sharing"",""นครปฐม!J595"")"),0)</f>
        <v>0</v>
      </c>
      <c r="BS60" s="140">
        <f ca="1">IFERROR(__xludf.DUMMYFUNCTION("IMPORTRANGE(""https://docs.google.com/spreadsheets/d/1tpwhWwkqkBeiSWCcfB5f2fbwPRbM9hHOEDSDHpl2MIc/edit?usp=sharing"",""นครปฐม!J596"")"),0)</f>
        <v>0</v>
      </c>
      <c r="BT60" s="63">
        <f ca="1">IFERROR(__xludf.DUMMYFUNCTION("IMPORTRANGE(""https://docs.google.com/spreadsheets/d/1tpwhWwkqkBeiSWCcfB5f2fbwPRbM9hHOEDSDHpl2MIc/edit?usp=sharing"",""นครปฐม!J597"")"),0)</f>
        <v>0</v>
      </c>
      <c r="BU60" s="140">
        <f ca="1">IFERROR(__xludf.DUMMYFUNCTION("IMPORTRANGE(""https://docs.google.com/spreadsheets/d/1tpwhWwkqkBeiSWCcfB5f2fbwPRbM9hHOEDSDHpl2MIc/edit?usp=sharing"",""นครปฐม!J598"")"),0)</f>
        <v>0</v>
      </c>
      <c r="BV60" s="63">
        <f ca="1">IFERROR(__xludf.DUMMYFUNCTION("IMPORTRANGE(""https://docs.google.com/spreadsheets/d/1tpwhWwkqkBeiSWCcfB5f2fbwPRbM9hHOEDSDHpl2MIc/edit?usp=sharing"",""นครปฐม!J599"")"),0)</f>
        <v>0</v>
      </c>
      <c r="BW60" s="140">
        <f ca="1">IFERROR(__xludf.DUMMYFUNCTION("IMPORTRANGE(""https://docs.google.com/spreadsheets/d/1tpwhWwkqkBeiSWCcfB5f2fbwPRbM9hHOEDSDHpl2MIc/edit?usp=sharing"",""นครปฐม!J600"")"),0)</f>
        <v>0</v>
      </c>
      <c r="BX60" s="141">
        <f ca="1">IFERROR(__xludf.DUMMYFUNCTION("IMPORTRANGE(""https://docs.google.com/spreadsheets/d/1tpwhWwkqkBeiSWCcfB5f2fbwPRbM9hHOEDSDHpl2MIc/edit?usp=sharing"",""นครปฐม!J601"")"),0)</f>
        <v>0</v>
      </c>
      <c r="BY60" s="140">
        <f ca="1">IFERROR(__xludf.DUMMYFUNCTION("IMPORTRANGE(""https://docs.google.com/spreadsheets/d/1tpwhWwkqkBeiSWCcfB5f2fbwPRbM9hHOEDSDHpl2MIc/edit?usp=sharing"",""นครปฐม!J602"")"),0)</f>
        <v>0</v>
      </c>
      <c r="BZ60" s="63">
        <f ca="1">IFERROR(__xludf.DUMMYFUNCTION("IMPORTRANGE(""https://docs.google.com/spreadsheets/d/1tpwhWwkqkBeiSWCcfB5f2fbwPRbM9hHOEDSDHpl2MIc/edit?usp=sharing"",""นครปฐม!J603"")"),0)</f>
        <v>0</v>
      </c>
      <c r="CA60" s="140">
        <f ca="1">IFERROR(__xludf.DUMMYFUNCTION("IMPORTRANGE(""https://docs.google.com/spreadsheets/d/1tpwhWwkqkBeiSWCcfB5f2fbwPRbM9hHOEDSDHpl2MIc/edit?usp=sharing"",""นครปฐม!J604"")"),0)</f>
        <v>0</v>
      </c>
      <c r="CB60" s="63">
        <f ca="1">IFERROR(__xludf.DUMMYFUNCTION("IMPORTRANGE(""https://docs.google.com/spreadsheets/d/1tpwhWwkqkBeiSWCcfB5f2fbwPRbM9hHOEDSDHpl2MIc/edit?usp=sharing"",""นครปฐม!J605"")"),0)</f>
        <v>0</v>
      </c>
      <c r="CC60" s="140">
        <f ca="1">IFERROR(__xludf.DUMMYFUNCTION("IMPORTRANGE(""https://docs.google.com/spreadsheets/d/1tpwhWwkqkBeiSWCcfB5f2fbwPRbM9hHOEDSDHpl2MIc/edit?usp=sharing"",""นครปฐม!J606"")"),0)</f>
        <v>0</v>
      </c>
      <c r="CD60" s="63">
        <f ca="1">IFERROR(__xludf.DUMMYFUNCTION("IMPORTRANGE(""https://docs.google.com/spreadsheets/d/1tpwhWwkqkBeiSWCcfB5f2fbwPRbM9hHOEDSDHpl2MIc/edit?usp=sharing"",""นครปฐม!J607"")"),0)</f>
        <v>0</v>
      </c>
      <c r="CE60" s="140">
        <f ca="1">IFERROR(__xludf.DUMMYFUNCTION("IMPORTRANGE(""https://docs.google.com/spreadsheets/d/1tpwhWwkqkBeiSWCcfB5f2fbwPRbM9hHOEDSDHpl2MIc/edit?usp=sharing"",""นครปฐม!J608"")"),0)</f>
        <v>0</v>
      </c>
      <c r="CF60" s="63">
        <f ca="1">IFERROR(__xludf.DUMMYFUNCTION("IMPORTRANGE(""https://docs.google.com/spreadsheets/d/1tpwhWwkqkBeiSWCcfB5f2fbwPRbM9hHOEDSDHpl2MIc/edit?usp=sharing"",""นครปฐม!J609"")"),0)</f>
        <v>0</v>
      </c>
      <c r="CG60" s="140">
        <f ca="1">IFERROR(__xludf.DUMMYFUNCTION("IMPORTRANGE(""https://docs.google.com/spreadsheets/d/1tpwhWwkqkBeiSWCcfB5f2fbwPRbM9hHOEDSDHpl2MIc/edit?usp=sharing"",""นครปฐม!J610"")"),0)</f>
        <v>0</v>
      </c>
      <c r="CH60" s="140">
        <f ca="1">IFERROR(__xludf.DUMMYFUNCTION("IMPORTRANGE(""https://docs.google.com/spreadsheets/d/1tpwhWwkqkBeiSWCcfB5f2fbwPRbM9hHOEDSDHpl2MIc/edit?usp=sharing"",""นครปฐม!I612"")"),0)</f>
        <v>0</v>
      </c>
      <c r="CI60" s="140">
        <f ca="1">IFERROR(__xludf.DUMMYFUNCTION("IMPORTRANGE(""https://docs.google.com/spreadsheets/d/1tpwhWwkqkBeiSWCcfB5f2fbwPRbM9hHOEDSDHpl2MIc/edit?usp=sharing"",""นครปฐม!I594"")"),181)</f>
        <v>181</v>
      </c>
      <c r="CJ60" s="141">
        <f ca="1">IFERROR(__xludf.DUMMYFUNCTION("IMPORTRANGE(""https://docs.google.com/spreadsheets/d/1tpwhWwkqkBeiSWCcfB5f2fbwPRbM9hHOEDSDHpl2MIc/edit?usp=sharing"",""นครปฐม!J612"")"),0)</f>
        <v>0</v>
      </c>
      <c r="CK60" s="141">
        <f t="shared" ca="1" si="41"/>
        <v>0</v>
      </c>
      <c r="CL60" s="140">
        <f ca="1">IFERROR(__xludf.DUMMYFUNCTION("IMPORTRANGE(""https://docs.google.com/spreadsheets/d/1tpwhWwkqkBeiSWCcfB5f2fbwPRbM9hHOEDSDHpl2MIc/edit?usp=sharing"",""นครปฐม!J613"")"),0)</f>
        <v>0</v>
      </c>
      <c r="CM60" s="141">
        <f t="shared" ca="1" si="19"/>
        <v>0</v>
      </c>
      <c r="CN60" s="63">
        <f ca="1">IFERROR(__xludf.DUMMYFUNCTION("IMPORTRANGE(""https://docs.google.com/spreadsheets/d/1tpwhWwkqkBeiSWCcfB5f2fbwPRbM9hHOEDSDHpl2MIc/edit?usp=sharing"",""นครปฐม!J614"")"),0)</f>
        <v>0</v>
      </c>
      <c r="CO60" s="140">
        <f ca="1">IFERROR(__xludf.DUMMYFUNCTION("IMPORTRANGE(""https://docs.google.com/spreadsheets/d/1tpwhWwkqkBeiSWCcfB5f2fbwPRbM9hHOEDSDHpl2MIc/edit?usp=sharing"",""นครปฐม!J615"")"),0)</f>
        <v>0</v>
      </c>
      <c r="CP60" s="63">
        <f ca="1">IFERROR(__xludf.DUMMYFUNCTION("IMPORTRANGE(""https://docs.google.com/spreadsheets/d/1tpwhWwkqkBeiSWCcfB5f2fbwPRbM9hHOEDSDHpl2MIc/edit?usp=sharing"",""นครปฐม!J616"")"),0)</f>
        <v>0</v>
      </c>
      <c r="CQ60" s="140">
        <f ca="1">IFERROR(__xludf.DUMMYFUNCTION("IMPORTRANGE(""https://docs.google.com/spreadsheets/d/1tpwhWwkqkBeiSWCcfB5f2fbwPRbM9hHOEDSDHpl2MIc/edit?usp=sharing"",""นครปฐม!J617"")"),0)</f>
        <v>0</v>
      </c>
      <c r="CR60" s="140">
        <f ca="1">IFERROR(__xludf.DUMMYFUNCTION("IMPORTRANGE(""https://docs.google.com/spreadsheets/d/1tpwhWwkqkBeiSWCcfB5f2fbwPRbM9hHOEDSDHpl2MIc/edit?usp=sharing"",""นครปฐม!I620"")"),0)</f>
        <v>0</v>
      </c>
      <c r="CS60" s="140">
        <f ca="1">IFERROR(__xludf.DUMMYFUNCTION("IMPORTRANGE(""https://docs.google.com/spreadsheets/d/1tpwhWwkqkBeiSWCcfB5f2fbwPRbM9hHOEDSDHpl2MIc/edit?usp=sharing"",""นครปฐม!I621"")"),0)</f>
        <v>0</v>
      </c>
      <c r="CT60" s="141">
        <f ca="1">IFERROR(__xludf.DUMMYFUNCTION("IMPORTRANGE(""https://docs.google.com/spreadsheets/d/1tpwhWwkqkBeiSWCcfB5f2fbwPRbM9hHOEDSDHpl2MIc/edit?usp=sharing"",""นครปฐม!J620"")"),0)</f>
        <v>0</v>
      </c>
      <c r="CU60" s="141">
        <f t="shared" ca="1" si="42"/>
        <v>0</v>
      </c>
      <c r="CV60" s="140">
        <f ca="1">IFERROR(__xludf.DUMMYFUNCTION("IMPORTRANGE(""https://docs.google.com/spreadsheets/d/1tpwhWwkqkBeiSWCcfB5f2fbwPRbM9hHOEDSDHpl2MIc/edit?usp=sharing"",""นครปฐม!J621"")"),0)</f>
        <v>0</v>
      </c>
      <c r="CW60" s="141">
        <f t="shared" ca="1" si="22"/>
        <v>0</v>
      </c>
      <c r="CX60" s="63">
        <f ca="1">IFERROR(__xludf.DUMMYFUNCTION("IMPORTRANGE(""https://docs.google.com/spreadsheets/d/1tpwhWwkqkBeiSWCcfB5f2fbwPRbM9hHOEDSDHpl2MIc/edit?usp=sharing"",""นครปฐม!J622"")"),0)</f>
        <v>0</v>
      </c>
      <c r="CY60" s="140">
        <f ca="1">IFERROR(__xludf.DUMMYFUNCTION("IMPORTRANGE(""https://docs.google.com/spreadsheets/d/1tpwhWwkqkBeiSWCcfB5f2fbwPRbM9hHOEDSDHpl2MIc/edit?usp=sharing"",""นครปฐม!J623"")"),0)</f>
        <v>0</v>
      </c>
      <c r="CZ60" s="63">
        <f ca="1">IFERROR(__xludf.DUMMYFUNCTION("IMPORTRANGE(""https://docs.google.com/spreadsheets/d/1tpwhWwkqkBeiSWCcfB5f2fbwPRbM9hHOEDSDHpl2MIc/edit?usp=sharing"",""นครปฐม!J624"")"),0)</f>
        <v>0</v>
      </c>
      <c r="DA60" s="140">
        <f ca="1">IFERROR(__xludf.DUMMYFUNCTION("IMPORTRANGE(""https://docs.google.com/spreadsheets/d/1tpwhWwkqkBeiSWCcfB5f2fbwPRbM9hHOEDSDHpl2MIc/edit?usp=sharing"",""นครปฐม!J625"")"),0)</f>
        <v>0</v>
      </c>
      <c r="DB60" s="63">
        <f ca="1">IFERROR(__xludf.DUMMYFUNCTION("IMPORTRANGE(""https://docs.google.com/spreadsheets/d/1tpwhWwkqkBeiSWCcfB5f2fbwPRbM9hHOEDSDHpl2MIc/edit?usp=sharing"",""นครปฐม!J626"")"),0)</f>
        <v>0</v>
      </c>
      <c r="DC60" s="140">
        <f ca="1">IFERROR(__xludf.DUMMYFUNCTION("IMPORTRANGE(""https://docs.google.com/spreadsheets/d/1tpwhWwkqkBeiSWCcfB5f2fbwPRbM9hHOEDSDHpl2MIc/edit?usp=sharing"",""นครปฐม!J627"")"),0)</f>
        <v>0</v>
      </c>
    </row>
    <row r="61" spans="1:107" ht="21" customHeight="1" x14ac:dyDescent="0.3">
      <c r="A61" s="54">
        <v>9</v>
      </c>
      <c r="B61" s="55" t="s">
        <v>82</v>
      </c>
      <c r="C61" s="56">
        <f t="shared" ca="1" si="77"/>
        <v>73200</v>
      </c>
      <c r="D61" s="57">
        <f ca="1">IFERROR(__xludf.DUMMYFUNCTION("IMPORTRANGE(""https://docs.google.com/spreadsheets/d/1fJJCVBkBnhriyv0Cp5ZFMr0I_yrfdEITNpb4zILJgUQ/edit?usp=sharing"",""ปทุมธานี!L549"")"),73200)</f>
        <v>73200</v>
      </c>
      <c r="E61" s="64">
        <f ca="1">IFERROR(__xludf.DUMMYFUNCTION("IMPORTRANGE(""https://docs.google.com/spreadsheets/d/1fJJCVBkBnhriyv0Cp5ZFMr0I_yrfdEITNpb4zILJgUQ/edit?usp=sharing"",""ปทุมธานี!L557"")"),0)</f>
        <v>0</v>
      </c>
      <c r="F61" s="64">
        <f ca="1">IFERROR(__xludf.DUMMYFUNCTION("IMPORTRANGE(""https://docs.google.com/spreadsheets/d/1fJJCVBkBnhriyv0Cp5ZFMr0I_yrfdEITNpb4zILJgUQ/edit?usp=sharing"",""ปทุมธานี!M549"")"),73200)</f>
        <v>73200</v>
      </c>
      <c r="G61" s="64">
        <f ca="1">IFERROR(__xludf.DUMMYFUNCTION("IMPORTRANGE(""https://docs.google.com/spreadsheets/d/1fJJCVBkBnhriyv0Cp5ZFMr0I_yrfdEITNpb4zILJgUQ/edit?usp=sharing"",""ปทุมธานี!M557"")"),0)</f>
        <v>0</v>
      </c>
      <c r="H61" s="58">
        <f t="shared" ca="1" si="36"/>
        <v>0</v>
      </c>
      <c r="I61" s="59">
        <f t="shared" ca="1" si="1"/>
        <v>0</v>
      </c>
      <c r="J61" s="60">
        <f t="shared" ca="1" si="78"/>
        <v>0</v>
      </c>
      <c r="K61" s="61">
        <f t="shared" ca="1" si="44"/>
        <v>0</v>
      </c>
      <c r="L61" s="61">
        <f t="shared" ca="1" si="45"/>
        <v>0</v>
      </c>
      <c r="M61" s="64">
        <f ca="1">IFERROR(__xludf.DUMMYFUNCTION("IMPORTRANGE(""https://docs.google.com/spreadsheets/d/1fJJCVBkBnhriyv0Cp5ZFMr0I_yrfdEITNpb4zILJgUQ/edit?usp=sharing"",""ปทุมธานี!N550"")"),0)</f>
        <v>0</v>
      </c>
      <c r="N61" s="64">
        <f ca="1">IFERROR(__xludf.DUMMYFUNCTION("IMPORTRANGE(""https://docs.google.com/spreadsheets/d/1fJJCVBkBnhriyv0Cp5ZFMr0I_yrfdEITNpb4zILJgUQ/edit?usp=sharing"",""ปทุมธานี!N551"")"),0)</f>
        <v>0</v>
      </c>
      <c r="O61" s="64">
        <f ca="1">IFERROR(__xludf.DUMMYFUNCTION("IMPORTRANGE(""https://docs.google.com/spreadsheets/d/1fJJCVBkBnhriyv0Cp5ZFMr0I_yrfdEITNpb4zILJgUQ/edit?usp=sharing"",""ปทุมธานี!N552"")"),0)</f>
        <v>0</v>
      </c>
      <c r="P61" s="64">
        <f ca="1">IFERROR(__xludf.DUMMYFUNCTION("IMPORTRANGE(""https://docs.google.com/spreadsheets/d/1fJJCVBkBnhriyv0Cp5ZFMr0I_yrfdEITNpb4zILJgUQ/edit?usp=sharing"",""ปทุมธานี!N553"")"),0)</f>
        <v>0</v>
      </c>
      <c r="Q61" s="64">
        <f ca="1">IFERROR(__xludf.DUMMYFUNCTION("IMPORTRANGE(""https://docs.google.com/spreadsheets/d/1fJJCVBkBnhriyv0Cp5ZFMr0I_yrfdEITNpb4zILJgUQ/edit?usp=sharing"",""ปทุมธานี!N554"")"),0)</f>
        <v>0</v>
      </c>
      <c r="R61" s="62">
        <f ca="1">IFERROR(__xludf.DUMMYFUNCTION("IMPORTRANGE(""https://docs.google.com/spreadsheets/d/1fJJCVBkBnhriyv0Cp5ZFMr0I_yrfdEITNpb4zILJgUQ/edit?usp=sharing"",""ปทุมธานี!N557"")"),0)</f>
        <v>0</v>
      </c>
      <c r="S61" s="62">
        <f t="shared" ca="1" si="47"/>
        <v>0</v>
      </c>
      <c r="T61" s="57">
        <f ca="1">IFERROR(__xludf.DUMMYFUNCTION("IMPORTRANGE(""https://docs.google.com/spreadsheets/d/1fJJCVBkBnhriyv0Cp5ZFMr0I_yrfdEITNpb4zILJgUQ/edit?usp=sharing"",""ปทุมธานี!I560"")"),0)</f>
        <v>0</v>
      </c>
      <c r="U61" s="57">
        <f ca="1">IFERROR(__xludf.DUMMYFUNCTION("IMPORTRANGE(""https://docs.google.com/spreadsheets/d/1fJJCVBkBnhriyv0Cp5ZFMr0I_yrfdEITNpb4zILJgUQ/edit?usp=sharing"",""ปทุมธานี!I561"")"),0)</f>
        <v>0</v>
      </c>
      <c r="V61" s="63">
        <f ca="1">IFERROR(__xludf.DUMMYFUNCTION("IMPORTRANGE(""https://docs.google.com/spreadsheets/d/1fJJCVBkBnhriyv0Cp5ZFMr0I_yrfdEITNpb4zILJgUQ/edit?usp=sharing"",""ปทุมธานี!J560"")"),0)</f>
        <v>0</v>
      </c>
      <c r="W61" s="63">
        <f t="shared" ca="1" si="37"/>
        <v>0</v>
      </c>
      <c r="X61" s="57">
        <f ca="1">IFERROR(__xludf.DUMMYFUNCTION("IMPORTRANGE(""https://docs.google.com/spreadsheets/d/1fJJCVBkBnhriyv0Cp5ZFMr0I_yrfdEITNpb4zILJgUQ/edit?usp=sharing"",""ปทุมธานี!J561"")"),0)</f>
        <v>0</v>
      </c>
      <c r="Y61" s="63">
        <f t="shared" ca="1" si="7"/>
        <v>0</v>
      </c>
      <c r="Z61" s="63">
        <f ca="1">IFERROR(__xludf.DUMMYFUNCTION("IMPORTRANGE(""https://docs.google.com/spreadsheets/d/1fJJCVBkBnhriyv0Cp5ZFMr0I_yrfdEITNpb4zILJgUQ/edit?usp=sharing"",""ปทุมธานี!J562"")"),0)</f>
        <v>0</v>
      </c>
      <c r="AA61" s="140">
        <f ca="1">IFERROR(__xludf.DUMMYFUNCTION("IMPORTRANGE(""https://docs.google.com/spreadsheets/d/1fJJCVBkBnhriyv0Cp5ZFMr0I_yrfdEITNpb4zILJgUQ/edit?usp=sharing"",""ปทุมธานี!J563"")"),0)</f>
        <v>0</v>
      </c>
      <c r="AB61" s="63">
        <f ca="1">IFERROR(__xludf.DUMMYFUNCTION("IMPORTRANGE(""https://docs.google.com/spreadsheets/d/1fJJCVBkBnhriyv0Cp5ZFMr0I_yrfdEITNpb4zILJgUQ/edit?usp=sharing"",""ปทุมธานี!J564"")"),0)</f>
        <v>0</v>
      </c>
      <c r="AC61" s="140">
        <f ca="1">IFERROR(__xludf.DUMMYFUNCTION("IMPORTRANGE(""https://docs.google.com/spreadsheets/d/1fJJCVBkBnhriyv0Cp5ZFMr0I_yrfdEITNpb4zILJgUQ/edit?usp=sharing"",""ปทุมธานี!J565"")"),0)</f>
        <v>0</v>
      </c>
      <c r="AD61" s="63">
        <f ca="1">IFERROR(__xludf.DUMMYFUNCTION("IMPORTRANGE(""https://docs.google.com/spreadsheets/d/1fJJCVBkBnhriyv0Cp5ZFMr0I_yrfdEITNpb4zILJgUQ/edit?usp=sharing"",""ปทุมธานี!J566"")"),0)</f>
        <v>0</v>
      </c>
      <c r="AE61" s="140">
        <f ca="1">IFERROR(__xludf.DUMMYFUNCTION("IMPORTRANGE(""https://docs.google.com/spreadsheets/d/1fJJCVBkBnhriyv0Cp5ZFMr0I_yrfdEITNpb4zILJgUQ/edit?usp=sharing"",""ปทุมธานี!J567"")"),0)</f>
        <v>0</v>
      </c>
      <c r="AF61" s="57">
        <f ca="1">IFERROR(__xludf.DUMMYFUNCTION("IMPORTRANGE(""https://docs.google.com/spreadsheets/d/1fJJCVBkBnhriyv0Cp5ZFMr0I_yrfdEITNpb4zILJgUQ/edit?usp=sharing"",""ปทุมธานี!I568"")"),0)</f>
        <v>0</v>
      </c>
      <c r="AG61" s="57">
        <f ca="1">IFERROR(__xludf.DUMMYFUNCTION("IMPORTRANGE(""https://docs.google.com/spreadsheets/d/1fJJCVBkBnhriyv0Cp5ZFMr0I_yrfdEITNpb4zILJgUQ/edit?usp=sharing"",""ปทุมธานี!I569"")"),0)</f>
        <v>0</v>
      </c>
      <c r="AH61" s="63">
        <f ca="1">IFERROR(__xludf.DUMMYFUNCTION("IMPORTRANGE(""https://docs.google.com/spreadsheets/d/1fJJCVBkBnhriyv0Cp5ZFMr0I_yrfdEITNpb4zILJgUQ/edit?usp=sharing"",""ปทุมธานี!J568"")"),0)</f>
        <v>0</v>
      </c>
      <c r="AI61" s="63">
        <f t="shared" ca="1" si="38"/>
        <v>0</v>
      </c>
      <c r="AJ61" s="57">
        <f ca="1">IFERROR(__xludf.DUMMYFUNCTION("IMPORTRANGE(""https://docs.google.com/spreadsheets/d/1fJJCVBkBnhriyv0Cp5ZFMr0I_yrfdEITNpb4zILJgUQ/edit?usp=sharing"",""ปทุมธานี!J569"")"),0)</f>
        <v>0</v>
      </c>
      <c r="AK61" s="63">
        <f t="shared" ca="1" si="10"/>
        <v>0</v>
      </c>
      <c r="AL61" s="63">
        <f ca="1">IFERROR(__xludf.DUMMYFUNCTION("IMPORTRANGE(""https://docs.google.com/spreadsheets/d/1fJJCVBkBnhriyv0Cp5ZFMr0I_yrfdEITNpb4zILJgUQ/edit?usp=sharing"",""ปทุมธานี!J570"")"),0)</f>
        <v>0</v>
      </c>
      <c r="AM61" s="140">
        <f ca="1">IFERROR(__xludf.DUMMYFUNCTION("IMPORTRANGE(""https://docs.google.com/spreadsheets/d/1fJJCVBkBnhriyv0Cp5ZFMr0I_yrfdEITNpb4zILJgUQ/edit?usp=sharing"",""ปทุมธานี!J571"")"),0)</f>
        <v>0</v>
      </c>
      <c r="AN61" s="63">
        <f ca="1">IFERROR(__xludf.DUMMYFUNCTION("IMPORTRANGE(""https://docs.google.com/spreadsheets/d/1fJJCVBkBnhriyv0Cp5ZFMr0I_yrfdEITNpb4zILJgUQ/edit?usp=sharing"",""ปทุมธานี!J572"")"),0)</f>
        <v>0</v>
      </c>
      <c r="AO61" s="140">
        <f ca="1">IFERROR(__xludf.DUMMYFUNCTION("IMPORTRANGE(""https://docs.google.com/spreadsheets/d/1fJJCVBkBnhriyv0Cp5ZFMr0I_yrfdEITNpb4zILJgUQ/edit?usp=sharing"",""ปทุมธานี!J573"")"),0)</f>
        <v>0</v>
      </c>
      <c r="AP61" s="63">
        <f ca="1">IFERROR(__xludf.DUMMYFUNCTION("IMPORTRANGE(""https://docs.google.com/spreadsheets/d/1fJJCVBkBnhriyv0Cp5ZFMr0I_yrfdEITNpb4zILJgUQ/edit?usp=sharing"",""ปทุมธานี!J574"")"),0)</f>
        <v>0</v>
      </c>
      <c r="AQ61" s="140">
        <f ca="1">IFERROR(__xludf.DUMMYFUNCTION("IMPORTRANGE(""https://docs.google.com/spreadsheets/d/1fJJCVBkBnhriyv0Cp5ZFMr0I_yrfdEITNpb4zILJgUQ/edit?usp=sharing"",""ปทุมธานี!J575"")"),0)</f>
        <v>0</v>
      </c>
      <c r="AR61" s="57">
        <f ca="1">IFERROR(__xludf.DUMMYFUNCTION("IMPORTRANGE(""https://docs.google.com/spreadsheets/d/1fJJCVBkBnhriyv0Cp5ZFMr0I_yrfdEITNpb4zILJgUQ/edit?usp=sharing"",""ปทุมธานี!I576"")"),0)</f>
        <v>0</v>
      </c>
      <c r="AS61" s="57">
        <f ca="1">IFERROR(__xludf.DUMMYFUNCTION("IMPORTRANGE(""https://docs.google.com/spreadsheets/d/1fJJCVBkBnhriyv0Cp5ZFMr0I_yrfdEITNpb4zILJgUQ/edit?usp=sharing"",""ปทุมธานี!I577"")"),0)</f>
        <v>0</v>
      </c>
      <c r="AT61" s="63">
        <f ca="1">IFERROR(__xludf.DUMMYFUNCTION("IMPORTRANGE(""https://docs.google.com/spreadsheets/d/1fJJCVBkBnhriyv0Cp5ZFMr0I_yrfdEITNpb4zILJgUQ/edit?usp=sharing"",""ปทุมธานี!J576"")"),0)</f>
        <v>0</v>
      </c>
      <c r="AU61" s="63">
        <f t="shared" ca="1" si="39"/>
        <v>0</v>
      </c>
      <c r="AV61" s="57">
        <f ca="1">IFERROR(__xludf.DUMMYFUNCTION("IMPORTRANGE(""https://docs.google.com/spreadsheets/d/1fJJCVBkBnhriyv0Cp5ZFMr0I_yrfdEITNpb4zILJgUQ/edit?usp=sharing"",""ปทุมธานี!J577"")"),0)</f>
        <v>0</v>
      </c>
      <c r="AW61" s="63">
        <f t="shared" ca="1" si="13"/>
        <v>0</v>
      </c>
      <c r="AX61" s="63">
        <f ca="1">IFERROR(__xludf.DUMMYFUNCTION("IMPORTRANGE(""https://docs.google.com/spreadsheets/d/1fJJCVBkBnhriyv0Cp5ZFMr0I_yrfdEITNpb4zILJgUQ/edit?usp=sharing"",""ปทุมธานี!J578"")"),0)</f>
        <v>0</v>
      </c>
      <c r="AY61" s="140">
        <f ca="1">IFERROR(__xludf.DUMMYFUNCTION("IMPORTRANGE(""https://docs.google.com/spreadsheets/d/1fJJCVBkBnhriyv0Cp5ZFMr0I_yrfdEITNpb4zILJgUQ/edit?usp=sharing"",""ปทุมธานี!J579"")"),0)</f>
        <v>0</v>
      </c>
      <c r="AZ61" s="63">
        <f ca="1">IFERROR(__xludf.DUMMYFUNCTION("IMPORTRANGE(""https://docs.google.com/spreadsheets/d/1fJJCVBkBnhriyv0Cp5ZFMr0I_yrfdEITNpb4zILJgUQ/edit?usp=sharing"",""ปทุมธานี!J580"")"),0)</f>
        <v>0</v>
      </c>
      <c r="BA61" s="140">
        <f ca="1">IFERROR(__xludf.DUMMYFUNCTION("IMPORTRANGE(""https://docs.google.com/spreadsheets/d/1fJJCVBkBnhriyv0Cp5ZFMr0I_yrfdEITNpb4zILJgUQ/edit?usp=sharing"",""ปทุมธานี!J581"")"),0)</f>
        <v>0</v>
      </c>
      <c r="BB61" s="63">
        <f ca="1">IFERROR(__xludf.DUMMYFUNCTION("IMPORTRANGE(""https://docs.google.com/spreadsheets/d/1fJJCVBkBnhriyv0Cp5ZFMr0I_yrfdEITNpb4zILJgUQ/edit?usp=sharing"",""ปทุมธานี!J582"")"),0)</f>
        <v>0</v>
      </c>
      <c r="BC61" s="140">
        <f ca="1">IFERROR(__xludf.DUMMYFUNCTION("IMPORTRANGE(""https://docs.google.com/spreadsheets/d/1fJJCVBkBnhriyv0Cp5ZFMr0I_yrfdEITNpb4zILJgUQ/edit?usp=sharing"",""ปทุมธานี!J583"")"),0)</f>
        <v>0</v>
      </c>
      <c r="BD61" s="141">
        <f ca="1">IFERROR(__xludf.DUMMYFUNCTION("IMPORTRANGE(""https://docs.google.com/spreadsheets/d/1fJJCVBkBnhriyv0Cp5ZFMr0I_yrfdEITNpb4zILJgUQ/edit?usp=sharing"",""ปทุมธานี!J584"")"),0)</f>
        <v>0</v>
      </c>
      <c r="BE61" s="140">
        <f ca="1">IFERROR(__xludf.DUMMYFUNCTION("IMPORTRANGE(""https://docs.google.com/spreadsheets/d/1fJJCVBkBnhriyv0Cp5ZFMr0I_yrfdEITNpb4zILJgUQ/edit?usp=sharing"",""ปทุมธานี!J585"")"),0)</f>
        <v>0</v>
      </c>
      <c r="BF61" s="141">
        <f ca="1">IFERROR(__xludf.DUMMYFUNCTION("IMPORTRANGE(""https://docs.google.com/spreadsheets/d/1fJJCVBkBnhriyv0Cp5ZFMr0I_yrfdEITNpb4zILJgUQ/edit?usp=sharing"",""ปทุมธานี!J586"")"),0)</f>
        <v>0</v>
      </c>
      <c r="BG61" s="140">
        <f ca="1">IFERROR(__xludf.DUMMYFUNCTION("IMPORTRANGE(""https://docs.google.com/spreadsheets/d/1fJJCVBkBnhriyv0Cp5ZFMr0I_yrfdEITNpb4zILJgUQ/edit?usp=sharing"",""ปทุมธานี!J587"")"),0)</f>
        <v>0</v>
      </c>
      <c r="BH61" s="63">
        <f ca="1">IFERROR(__xludf.DUMMYFUNCTION("IMPORTRANGE(""https://docs.google.com/spreadsheets/d/1fJJCVBkBnhriyv0Cp5ZFMr0I_yrfdEITNpb4zILJgUQ/edit?usp=sharing"",""ปทุมธานี!J588"")"),0)</f>
        <v>0</v>
      </c>
      <c r="BI61" s="140">
        <f ca="1">IFERROR(__xludf.DUMMYFUNCTION("IMPORTRANGE(""https://docs.google.com/spreadsheets/d/1fJJCVBkBnhriyv0Cp5ZFMr0I_yrfdEITNpb4zILJgUQ/edit?usp=sharing"",""ปทุมธานี!J589"")"),0)</f>
        <v>0</v>
      </c>
      <c r="BJ61" s="63">
        <f ca="1">IFERROR(__xludf.DUMMYFUNCTION("IMPORTRANGE(""https://docs.google.com/spreadsheets/d/1fJJCVBkBnhriyv0Cp5ZFMr0I_yrfdEITNpb4zILJgUQ/edit?usp=sharing"",""ปทุมธานี!J590"")"),0)</f>
        <v>0</v>
      </c>
      <c r="BK61" s="140">
        <f ca="1">IFERROR(__xludf.DUMMYFUNCTION("IMPORTRANGE(""https://docs.google.com/spreadsheets/d/1fJJCVBkBnhriyv0Cp5ZFMr0I_yrfdEITNpb4zILJgUQ/edit?usp=sharing"",""ปทุมธานี!J591"")"),0)</f>
        <v>0</v>
      </c>
      <c r="BL61" s="57">
        <f ca="1">IFERROR(__xludf.DUMMYFUNCTION("IMPORTRANGE(""https://docs.google.com/spreadsheets/d/1fJJCVBkBnhriyv0Cp5ZFMr0I_yrfdEITNpb4zILJgUQ/edit?usp=sharing"",""ปทุมธานี!I593"")"),148.14)</f>
        <v>148.13999999999999</v>
      </c>
      <c r="BM61" s="57">
        <f ca="1">IFERROR(__xludf.DUMMYFUNCTION("IMPORTRANGE(""https://docs.google.com/spreadsheets/d/1fJJCVBkBnhriyv0Cp5ZFMr0I_yrfdEITNpb4zILJgUQ/edit?usp=sharing"",""ปทุมธานี!I594"")"),24)</f>
        <v>24</v>
      </c>
      <c r="BN61" s="63">
        <f ca="1">IFERROR(__xludf.DUMMYFUNCTION("IMPORTRANGE(""https://docs.google.com/spreadsheets/d/1fJJCVBkBnhriyv0Cp5ZFMr0I_yrfdEITNpb4zILJgUQ/edit?usp=sharing"",""ปทุมธานี!J593"")"),0)</f>
        <v>0</v>
      </c>
      <c r="BO61" s="63">
        <f t="shared" ca="1" si="40"/>
        <v>0</v>
      </c>
      <c r="BP61" s="57">
        <f ca="1">IFERROR(__xludf.DUMMYFUNCTION("IMPORTRANGE(""https://docs.google.com/spreadsheets/d/1fJJCVBkBnhriyv0Cp5ZFMr0I_yrfdEITNpb4zILJgUQ/edit?usp=sharing"",""ปทุมธานี!J594"")"),0)</f>
        <v>0</v>
      </c>
      <c r="BQ61" s="63">
        <f t="shared" ca="1" si="16"/>
        <v>0</v>
      </c>
      <c r="BR61" s="63">
        <f ca="1">IFERROR(__xludf.DUMMYFUNCTION("IMPORTRANGE(""https://docs.google.com/spreadsheets/d/1fJJCVBkBnhriyv0Cp5ZFMr0I_yrfdEITNpb4zILJgUQ/edit?usp=sharing"",""ปทุมธานี!J595"")"),0)</f>
        <v>0</v>
      </c>
      <c r="BS61" s="140">
        <f ca="1">IFERROR(__xludf.DUMMYFUNCTION("IMPORTRANGE(""https://docs.google.com/spreadsheets/d/1fJJCVBkBnhriyv0Cp5ZFMr0I_yrfdEITNpb4zILJgUQ/edit?usp=sharing"",""ปทุมธานี!J596"")"),0)</f>
        <v>0</v>
      </c>
      <c r="BT61" s="63">
        <f ca="1">IFERROR(__xludf.DUMMYFUNCTION("IMPORTRANGE(""https://docs.google.com/spreadsheets/d/1fJJCVBkBnhriyv0Cp5ZFMr0I_yrfdEITNpb4zILJgUQ/edit?usp=sharing"",""ปทุมธานี!J597"")"),0)</f>
        <v>0</v>
      </c>
      <c r="BU61" s="140">
        <f ca="1">IFERROR(__xludf.DUMMYFUNCTION("IMPORTRANGE(""https://docs.google.com/spreadsheets/d/1fJJCVBkBnhriyv0Cp5ZFMr0I_yrfdEITNpb4zILJgUQ/edit?usp=sharing"",""ปทุมธานี!J598"")"),0)</f>
        <v>0</v>
      </c>
      <c r="BV61" s="63">
        <f ca="1">IFERROR(__xludf.DUMMYFUNCTION("IMPORTRANGE(""https://docs.google.com/spreadsheets/d/1fJJCVBkBnhriyv0Cp5ZFMr0I_yrfdEITNpb4zILJgUQ/edit?usp=sharing"",""ปทุมธานี!J599"")"),0)</f>
        <v>0</v>
      </c>
      <c r="BW61" s="140">
        <f ca="1">IFERROR(__xludf.DUMMYFUNCTION("IMPORTRANGE(""https://docs.google.com/spreadsheets/d/1fJJCVBkBnhriyv0Cp5ZFMr0I_yrfdEITNpb4zILJgUQ/edit?usp=sharing"",""ปทุมธานี!J600"")"),0)</f>
        <v>0</v>
      </c>
      <c r="BX61" s="141">
        <f ca="1">IFERROR(__xludf.DUMMYFUNCTION("IMPORTRANGE(""https://docs.google.com/spreadsheets/d/1fJJCVBkBnhriyv0Cp5ZFMr0I_yrfdEITNpb4zILJgUQ/edit?usp=sharing"",""ปทุมธานี!J601"")"),9.835)</f>
        <v>9.8350000000000009</v>
      </c>
      <c r="BY61" s="140">
        <f ca="1">IFERROR(__xludf.DUMMYFUNCTION("IMPORTRANGE(""https://docs.google.com/spreadsheets/d/1fJJCVBkBnhriyv0Cp5ZFMr0I_yrfdEITNpb4zILJgUQ/edit?usp=sharing"",""ปทุมธานี!J602"")"),1)</f>
        <v>1</v>
      </c>
      <c r="BZ61" s="63">
        <f ca="1">IFERROR(__xludf.DUMMYFUNCTION("IMPORTRANGE(""https://docs.google.com/spreadsheets/d/1fJJCVBkBnhriyv0Cp5ZFMr0I_yrfdEITNpb4zILJgUQ/edit?usp=sharing"",""ปทุมธานี!J603"")"),0)</f>
        <v>0</v>
      </c>
      <c r="CA61" s="140">
        <f ca="1">IFERROR(__xludf.DUMMYFUNCTION("IMPORTRANGE(""https://docs.google.com/spreadsheets/d/1fJJCVBkBnhriyv0Cp5ZFMr0I_yrfdEITNpb4zILJgUQ/edit?usp=sharing"",""ปทุมธานี!J604"")"),0)</f>
        <v>0</v>
      </c>
      <c r="CB61" s="63">
        <f ca="1">IFERROR(__xludf.DUMMYFUNCTION("IMPORTRANGE(""https://docs.google.com/spreadsheets/d/1fJJCVBkBnhriyv0Cp5ZFMr0I_yrfdEITNpb4zILJgUQ/edit?usp=sharing"",""ปทุมธานี!J605"")"),0)</f>
        <v>0</v>
      </c>
      <c r="CC61" s="140">
        <f ca="1">IFERROR(__xludf.DUMMYFUNCTION("IMPORTRANGE(""https://docs.google.com/spreadsheets/d/1fJJCVBkBnhriyv0Cp5ZFMr0I_yrfdEITNpb4zILJgUQ/edit?usp=sharing"",""ปทุมธานี!J606"")"),0)</f>
        <v>0</v>
      </c>
      <c r="CD61" s="63">
        <f ca="1">IFERROR(__xludf.DUMMYFUNCTION("IMPORTRANGE(""https://docs.google.com/spreadsheets/d/1fJJCVBkBnhriyv0Cp5ZFMr0I_yrfdEITNpb4zILJgUQ/edit?usp=sharing"",""ปทุมธานี!J607"")"),0)</f>
        <v>0</v>
      </c>
      <c r="CE61" s="140">
        <f ca="1">IFERROR(__xludf.DUMMYFUNCTION("IMPORTRANGE(""https://docs.google.com/spreadsheets/d/1fJJCVBkBnhriyv0Cp5ZFMr0I_yrfdEITNpb4zILJgUQ/edit?usp=sharing"",""ปทุมธานี!J608"")"),0)</f>
        <v>0</v>
      </c>
      <c r="CF61" s="63">
        <f ca="1">IFERROR(__xludf.DUMMYFUNCTION("IMPORTRANGE(""https://docs.google.com/spreadsheets/d/1fJJCVBkBnhriyv0Cp5ZFMr0I_yrfdEITNpb4zILJgUQ/edit?usp=sharing"",""ปทุมธานี!J609"")"),0)</f>
        <v>0</v>
      </c>
      <c r="CG61" s="140">
        <f ca="1">IFERROR(__xludf.DUMMYFUNCTION("IMPORTRANGE(""https://docs.google.com/spreadsheets/d/1fJJCVBkBnhriyv0Cp5ZFMr0I_yrfdEITNpb4zILJgUQ/edit?usp=sharing"",""ปทุมธานี!J610"")"),0)</f>
        <v>0</v>
      </c>
      <c r="CH61" s="140">
        <f ca="1">IFERROR(__xludf.DUMMYFUNCTION("IMPORTRANGE(""https://docs.google.com/spreadsheets/d/1fJJCVBkBnhriyv0Cp5ZFMr0I_yrfdEITNpb4zILJgUQ/edit?usp=sharing"",""ปทุมธานี!I612"")"),0)</f>
        <v>0</v>
      </c>
      <c r="CI61" s="140">
        <f ca="1">IFERROR(__xludf.DUMMYFUNCTION("IMPORTRANGE(""https://docs.google.com/spreadsheets/d/1fJJCVBkBnhriyv0Cp5ZFMr0I_yrfdEITNpb4zILJgUQ/edit?usp=sharing"",""ปทุมธานี!I594"")"),24)</f>
        <v>24</v>
      </c>
      <c r="CJ61" s="141">
        <f ca="1">IFERROR(__xludf.DUMMYFUNCTION("IMPORTRANGE(""https://docs.google.com/spreadsheets/d/1fJJCVBkBnhriyv0Cp5ZFMr0I_yrfdEITNpb4zILJgUQ/edit?usp=sharing"",""ปทุมธานี!J612"")"),0)</f>
        <v>0</v>
      </c>
      <c r="CK61" s="141">
        <f t="shared" ca="1" si="41"/>
        <v>0</v>
      </c>
      <c r="CL61" s="140">
        <f ca="1">IFERROR(__xludf.DUMMYFUNCTION("IMPORTRANGE(""https://docs.google.com/spreadsheets/d/1fJJCVBkBnhriyv0Cp5ZFMr0I_yrfdEITNpb4zILJgUQ/edit?usp=sharing"",""ปทุมธานี!J613"")"),0)</f>
        <v>0</v>
      </c>
      <c r="CM61" s="141">
        <f t="shared" ca="1" si="19"/>
        <v>0</v>
      </c>
      <c r="CN61" s="63">
        <f ca="1">IFERROR(__xludf.DUMMYFUNCTION("IMPORTRANGE(""https://docs.google.com/spreadsheets/d/1fJJCVBkBnhriyv0Cp5ZFMr0I_yrfdEITNpb4zILJgUQ/edit?usp=sharing"",""ปทุมธานี!J614"")"),0)</f>
        <v>0</v>
      </c>
      <c r="CO61" s="140">
        <f ca="1">IFERROR(__xludf.DUMMYFUNCTION("IMPORTRANGE(""https://docs.google.com/spreadsheets/d/1fJJCVBkBnhriyv0Cp5ZFMr0I_yrfdEITNpb4zILJgUQ/edit?usp=sharing"",""ปทุมธานี!J615"")"),0)</f>
        <v>0</v>
      </c>
      <c r="CP61" s="63">
        <f ca="1">IFERROR(__xludf.DUMMYFUNCTION("IMPORTRANGE(""https://docs.google.com/spreadsheets/d/1fJJCVBkBnhriyv0Cp5ZFMr0I_yrfdEITNpb4zILJgUQ/edit?usp=sharing"",""ปทุมธานี!J616"")"),0)</f>
        <v>0</v>
      </c>
      <c r="CQ61" s="140">
        <f ca="1">IFERROR(__xludf.DUMMYFUNCTION("IMPORTRANGE(""https://docs.google.com/spreadsheets/d/1fJJCVBkBnhriyv0Cp5ZFMr0I_yrfdEITNpb4zILJgUQ/edit?usp=sharing"",""ปทุมธานี!J617"")"),0)</f>
        <v>0</v>
      </c>
      <c r="CR61" s="140">
        <f ca="1">IFERROR(__xludf.DUMMYFUNCTION("IMPORTRANGE(""https://docs.google.com/spreadsheets/d/1fJJCVBkBnhriyv0Cp5ZFMr0I_yrfdEITNpb4zILJgUQ/edit?usp=sharing"",""ปทุมธานี!I620"")"),0)</f>
        <v>0</v>
      </c>
      <c r="CS61" s="140">
        <f ca="1">IFERROR(__xludf.DUMMYFUNCTION("IMPORTRANGE(""https://docs.google.com/spreadsheets/d/1fJJCVBkBnhriyv0Cp5ZFMr0I_yrfdEITNpb4zILJgUQ/edit?usp=sharing"",""ปทุมธานี!I621"")"),0)</f>
        <v>0</v>
      </c>
      <c r="CT61" s="141">
        <f ca="1">IFERROR(__xludf.DUMMYFUNCTION("IMPORTRANGE(""https://docs.google.com/spreadsheets/d/1fJJCVBkBnhriyv0Cp5ZFMr0I_yrfdEITNpb4zILJgUQ/edit?usp=sharing"",""ปทุมธานี!J620"")"),0)</f>
        <v>0</v>
      </c>
      <c r="CU61" s="141">
        <f t="shared" ca="1" si="42"/>
        <v>0</v>
      </c>
      <c r="CV61" s="140">
        <f ca="1">IFERROR(__xludf.DUMMYFUNCTION("IMPORTRANGE(""https://docs.google.com/spreadsheets/d/1fJJCVBkBnhriyv0Cp5ZFMr0I_yrfdEITNpb4zILJgUQ/edit?usp=sharing"",""ปทุมธานี!J621"")"),0)</f>
        <v>0</v>
      </c>
      <c r="CW61" s="141">
        <f t="shared" ca="1" si="22"/>
        <v>0</v>
      </c>
      <c r="CX61" s="63">
        <f ca="1">IFERROR(__xludf.DUMMYFUNCTION("IMPORTRANGE(""https://docs.google.com/spreadsheets/d/1fJJCVBkBnhriyv0Cp5ZFMr0I_yrfdEITNpb4zILJgUQ/edit?usp=sharing"",""ปทุมธานี!J622"")"),0)</f>
        <v>0</v>
      </c>
      <c r="CY61" s="140">
        <f ca="1">IFERROR(__xludf.DUMMYFUNCTION("IMPORTRANGE(""https://docs.google.com/spreadsheets/d/1fJJCVBkBnhriyv0Cp5ZFMr0I_yrfdEITNpb4zILJgUQ/edit?usp=sharing"",""ปทุมธานี!J623"")"),0)</f>
        <v>0</v>
      </c>
      <c r="CZ61" s="63">
        <f ca="1">IFERROR(__xludf.DUMMYFUNCTION("IMPORTRANGE(""https://docs.google.com/spreadsheets/d/1fJJCVBkBnhriyv0Cp5ZFMr0I_yrfdEITNpb4zILJgUQ/edit?usp=sharing"",""ปทุมธานี!J624"")"),0)</f>
        <v>0</v>
      </c>
      <c r="DA61" s="140">
        <f ca="1">IFERROR(__xludf.DUMMYFUNCTION("IMPORTRANGE(""https://docs.google.com/spreadsheets/d/1fJJCVBkBnhriyv0Cp5ZFMr0I_yrfdEITNpb4zILJgUQ/edit?usp=sharing"",""ปทุมธานี!J625"")"),0)</f>
        <v>0</v>
      </c>
      <c r="DB61" s="63">
        <f ca="1">IFERROR(__xludf.DUMMYFUNCTION("IMPORTRANGE(""https://docs.google.com/spreadsheets/d/1fJJCVBkBnhriyv0Cp5ZFMr0I_yrfdEITNpb4zILJgUQ/edit?usp=sharing"",""ปทุมธานี!J626"")"),0)</f>
        <v>0</v>
      </c>
      <c r="DC61" s="140">
        <f ca="1">IFERROR(__xludf.DUMMYFUNCTION("IMPORTRANGE(""https://docs.google.com/spreadsheets/d/1fJJCVBkBnhriyv0Cp5ZFMr0I_yrfdEITNpb4zILJgUQ/edit?usp=sharing"",""ปทุมธานี!J627"")"),0)</f>
        <v>0</v>
      </c>
    </row>
    <row r="62" spans="1:107" ht="21" customHeight="1" x14ac:dyDescent="0.3">
      <c r="A62" s="54">
        <v>10</v>
      </c>
      <c r="B62" s="55" t="s">
        <v>83</v>
      </c>
      <c r="C62" s="56">
        <f t="shared" ca="1" si="77"/>
        <v>315742</v>
      </c>
      <c r="D62" s="57">
        <f ca="1">IFERROR(__xludf.DUMMYFUNCTION("IMPORTRANGE(""https://docs.google.com/spreadsheets/d/1W5Jj_S0gYw6wSO7QcMI02YgyOBDKYgmm0NSUk-AQEac/edit?usp=sharing"",""ประจวบคีรีขันธ์!L549"")"),315742)</f>
        <v>315742</v>
      </c>
      <c r="E62" s="64">
        <f ca="1">IFERROR(__xludf.DUMMYFUNCTION("IMPORTRANGE(""https://docs.google.com/spreadsheets/d/1W5Jj_S0gYw6wSO7QcMI02YgyOBDKYgmm0NSUk-AQEac/edit?usp=sharing"",""ประจวบคีรีขันธ์!L557"")"),0)</f>
        <v>0</v>
      </c>
      <c r="F62" s="64">
        <f ca="1">IFERROR(__xludf.DUMMYFUNCTION("IMPORTRANGE(""https://docs.google.com/spreadsheets/d/1W5Jj_S0gYw6wSO7QcMI02YgyOBDKYgmm0NSUk-AQEac/edit?usp=sharing"",""ประจวบคีรีขันธ์!M549"")"),315742)</f>
        <v>315742</v>
      </c>
      <c r="G62" s="64">
        <f ca="1">IFERROR(__xludf.DUMMYFUNCTION("IMPORTRANGE(""https://docs.google.com/spreadsheets/d/1W5Jj_S0gYw6wSO7QcMI02YgyOBDKYgmm0NSUk-AQEac/edit?usp=sharing"",""ประจวบคีรีขันธ์!M557"")"),0)</f>
        <v>0</v>
      </c>
      <c r="H62" s="58">
        <f t="shared" ca="1" si="36"/>
        <v>141952</v>
      </c>
      <c r="I62" s="59">
        <f t="shared" ca="1" si="1"/>
        <v>44.958225386549778</v>
      </c>
      <c r="J62" s="60">
        <f t="shared" ca="1" si="78"/>
        <v>141952</v>
      </c>
      <c r="K62" s="61">
        <f t="shared" ca="1" si="44"/>
        <v>44.958225386549778</v>
      </c>
      <c r="L62" s="61">
        <f t="shared" ca="1" si="45"/>
        <v>44.958225386549778</v>
      </c>
      <c r="M62" s="64">
        <f ca="1">IFERROR(__xludf.DUMMYFUNCTION("IMPORTRANGE(""https://docs.google.com/spreadsheets/d/1W5Jj_S0gYw6wSO7QcMI02YgyOBDKYgmm0NSUk-AQEac/edit?usp=sharing"",""ประจวบคีรีขันธ์!N550"")"),0)</f>
        <v>0</v>
      </c>
      <c r="N62" s="64">
        <f ca="1">IFERROR(__xludf.DUMMYFUNCTION("IMPORTRANGE(""https://docs.google.com/spreadsheets/d/1W5Jj_S0gYw6wSO7QcMI02YgyOBDKYgmm0NSUk-AQEac/edit?usp=sharing"",""ประจวบคีรีขันธ์!N551"")"),45115)</f>
        <v>45115</v>
      </c>
      <c r="O62" s="64">
        <f ca="1">IFERROR(__xludf.DUMMYFUNCTION("IMPORTRANGE(""https://docs.google.com/spreadsheets/d/1W5Jj_S0gYw6wSO7QcMI02YgyOBDKYgmm0NSUk-AQEac/edit?usp=sharing"",""ประจวบคีรีขันธ์!N552"")"),65000)</f>
        <v>65000</v>
      </c>
      <c r="P62" s="64">
        <f ca="1">IFERROR(__xludf.DUMMYFUNCTION("IMPORTRANGE(""https://docs.google.com/spreadsheets/d/1W5Jj_S0gYw6wSO7QcMI02YgyOBDKYgmm0NSUk-AQEac/edit?usp=sharing"",""ประจวบคีรีขันธ์!N553"")"),31837)</f>
        <v>31837</v>
      </c>
      <c r="Q62" s="64">
        <f ca="1">IFERROR(__xludf.DUMMYFUNCTION("IMPORTRANGE(""https://docs.google.com/spreadsheets/d/1W5Jj_S0gYw6wSO7QcMI02YgyOBDKYgmm0NSUk-AQEac/edit?usp=sharing"",""ประจวบคีรีขันธ์!N554"")"),0)</f>
        <v>0</v>
      </c>
      <c r="R62" s="62">
        <f ca="1">IFERROR(__xludf.DUMMYFUNCTION("IMPORTRANGE(""https://docs.google.com/spreadsheets/d/1W5Jj_S0gYw6wSO7QcMI02YgyOBDKYgmm0NSUk-AQEac/edit?usp=sharing"",""ประจวบคีรีขันธ์!N557"")"),0)</f>
        <v>0</v>
      </c>
      <c r="S62" s="62">
        <f t="shared" ca="1" si="47"/>
        <v>0</v>
      </c>
      <c r="T62" s="57">
        <f ca="1">IFERROR(__xludf.DUMMYFUNCTION("IMPORTRANGE(""https://docs.google.com/spreadsheets/d/1W5Jj_S0gYw6wSO7QcMI02YgyOBDKYgmm0NSUk-AQEac/edit?usp=sharing"",""ประจวบคีรีขันธ์!I560"")"),18118)</f>
        <v>18118</v>
      </c>
      <c r="U62" s="57">
        <f ca="1">IFERROR(__xludf.DUMMYFUNCTION("IMPORTRANGE(""https://docs.google.com/spreadsheets/d/1W5Jj_S0gYw6wSO7QcMI02YgyOBDKYgmm0NSUk-AQEac/edit?usp=sharing"",""ประจวบคีรีขันธ์!I561"")"),1162)</f>
        <v>1162</v>
      </c>
      <c r="V62" s="63">
        <f ca="1">IFERROR(__xludf.DUMMYFUNCTION("IMPORTRANGE(""https://docs.google.com/spreadsheets/d/1W5Jj_S0gYw6wSO7QcMI02YgyOBDKYgmm0NSUk-AQEac/edit?usp=sharing"",""ประจวบคีรีขันธ์!J560"")"),18118)</f>
        <v>18118</v>
      </c>
      <c r="W62" s="63">
        <f t="shared" ca="1" si="37"/>
        <v>100</v>
      </c>
      <c r="X62" s="57">
        <f ca="1">IFERROR(__xludf.DUMMYFUNCTION("IMPORTRANGE(""https://docs.google.com/spreadsheets/d/1W5Jj_S0gYw6wSO7QcMI02YgyOBDKYgmm0NSUk-AQEac/edit?usp=sharing"",""ประจวบคีรีขันธ์!J561"")"),1162)</f>
        <v>1162</v>
      </c>
      <c r="Y62" s="63">
        <f t="shared" ca="1" si="7"/>
        <v>100</v>
      </c>
      <c r="Z62" s="63">
        <f ca="1">IFERROR(__xludf.DUMMYFUNCTION("IMPORTRANGE(""https://docs.google.com/spreadsheets/d/1W5Jj_S0gYw6wSO7QcMI02YgyOBDKYgmm0NSUk-AQEac/edit?usp=sharing"",""ประจวบคีรีขันธ์!J562"")"),12704)</f>
        <v>12704</v>
      </c>
      <c r="AA62" s="140">
        <f ca="1">IFERROR(__xludf.DUMMYFUNCTION("IMPORTRANGE(""https://docs.google.com/spreadsheets/d/1W5Jj_S0gYw6wSO7QcMI02YgyOBDKYgmm0NSUk-AQEac/edit?usp=sharing"",""ประจวบคีรีขันธ์!J563"")"),895)</f>
        <v>895</v>
      </c>
      <c r="AB62" s="63">
        <f ca="1">IFERROR(__xludf.DUMMYFUNCTION("IMPORTRANGE(""https://docs.google.com/spreadsheets/d/1W5Jj_S0gYw6wSO7QcMI02YgyOBDKYgmm0NSUk-AQEac/edit?usp=sharing"",""ประจวบคีรีขันธ์!J564"")"),4966)</f>
        <v>4966</v>
      </c>
      <c r="AC62" s="140">
        <f ca="1">IFERROR(__xludf.DUMMYFUNCTION("IMPORTRANGE(""https://docs.google.com/spreadsheets/d/1W5Jj_S0gYw6wSO7QcMI02YgyOBDKYgmm0NSUk-AQEac/edit?usp=sharing"",""ประจวบคีรีขันธ์!J565"")"),228)</f>
        <v>228</v>
      </c>
      <c r="AD62" s="63">
        <f ca="1">IFERROR(__xludf.DUMMYFUNCTION("IMPORTRANGE(""https://docs.google.com/spreadsheets/d/1W5Jj_S0gYw6wSO7QcMI02YgyOBDKYgmm0NSUk-AQEac/edit?usp=sharing"",""ประจวบคีรีขันธ์!J566"")"),448)</f>
        <v>448</v>
      </c>
      <c r="AE62" s="140">
        <f ca="1">IFERROR(__xludf.DUMMYFUNCTION("IMPORTRANGE(""https://docs.google.com/spreadsheets/d/1W5Jj_S0gYw6wSO7QcMI02YgyOBDKYgmm0NSUk-AQEac/edit?usp=sharing"",""ประจวบคีรีขันธ์!J567"")"),39)</f>
        <v>39</v>
      </c>
      <c r="AF62" s="57">
        <f ca="1">IFERROR(__xludf.DUMMYFUNCTION("IMPORTRANGE(""https://docs.google.com/spreadsheets/d/1W5Jj_S0gYw6wSO7QcMI02YgyOBDKYgmm0NSUk-AQEac/edit?usp=sharing"",""ประจวบคีรีขันธ์!I568"")"),18118)</f>
        <v>18118</v>
      </c>
      <c r="AG62" s="57">
        <f ca="1">IFERROR(__xludf.DUMMYFUNCTION("IMPORTRANGE(""https://docs.google.com/spreadsheets/d/1W5Jj_S0gYw6wSO7QcMI02YgyOBDKYgmm0NSUk-AQEac/edit?usp=sharing"",""ประจวบคีรีขันธ์!I569"")"),1162)</f>
        <v>1162</v>
      </c>
      <c r="AH62" s="63">
        <f ca="1">IFERROR(__xludf.DUMMYFUNCTION("IMPORTRANGE(""https://docs.google.com/spreadsheets/d/1W5Jj_S0gYw6wSO7QcMI02YgyOBDKYgmm0NSUk-AQEac/edit?usp=sharing"",""ประจวบคีรีขันธ์!J568"")"),18120)</f>
        <v>18120</v>
      </c>
      <c r="AI62" s="63">
        <f t="shared" ca="1" si="38"/>
        <v>100.01103874599845</v>
      </c>
      <c r="AJ62" s="57">
        <f ca="1">IFERROR(__xludf.DUMMYFUNCTION("IMPORTRANGE(""https://docs.google.com/spreadsheets/d/1W5Jj_S0gYw6wSO7QcMI02YgyOBDKYgmm0NSUk-AQEac/edit?usp=sharing"",""ประจวบคีรีขันธ์!J569"")"),1162)</f>
        <v>1162</v>
      </c>
      <c r="AK62" s="63">
        <f t="shared" ca="1" si="10"/>
        <v>100</v>
      </c>
      <c r="AL62" s="63">
        <f ca="1">IFERROR(__xludf.DUMMYFUNCTION("IMPORTRANGE(""https://docs.google.com/spreadsheets/d/1W5Jj_S0gYw6wSO7QcMI02YgyOBDKYgmm0NSUk-AQEac/edit?usp=sharing"",""ประจวบคีรีขันธ์!J570"")"),12717)</f>
        <v>12717</v>
      </c>
      <c r="AM62" s="140">
        <f ca="1">IFERROR(__xludf.DUMMYFUNCTION("IMPORTRANGE(""https://docs.google.com/spreadsheets/d/1W5Jj_S0gYw6wSO7QcMI02YgyOBDKYgmm0NSUk-AQEac/edit?usp=sharing"",""ประจวบคีรีขันธ์!J571"")"),897)</f>
        <v>897</v>
      </c>
      <c r="AN62" s="63">
        <f ca="1">IFERROR(__xludf.DUMMYFUNCTION("IMPORTRANGE(""https://docs.google.com/spreadsheets/d/1W5Jj_S0gYw6wSO7QcMI02YgyOBDKYgmm0NSUk-AQEac/edit?usp=sharing"",""ประจวบคีรีขันธ์!J572"")"),4955)</f>
        <v>4955</v>
      </c>
      <c r="AO62" s="140">
        <f ca="1">IFERROR(__xludf.DUMMYFUNCTION("IMPORTRANGE(""https://docs.google.com/spreadsheets/d/1W5Jj_S0gYw6wSO7QcMI02YgyOBDKYgmm0NSUk-AQEac/edit?usp=sharing"",""ประจวบคีรีขันธ์!J573"")"),226)</f>
        <v>226</v>
      </c>
      <c r="AP62" s="63">
        <f ca="1">IFERROR(__xludf.DUMMYFUNCTION("IMPORTRANGE(""https://docs.google.com/spreadsheets/d/1W5Jj_S0gYw6wSO7QcMI02YgyOBDKYgmm0NSUk-AQEac/edit?usp=sharing"",""ประจวบคีรีขันธ์!J574"")"),448)</f>
        <v>448</v>
      </c>
      <c r="AQ62" s="140">
        <f ca="1">IFERROR(__xludf.DUMMYFUNCTION("IMPORTRANGE(""https://docs.google.com/spreadsheets/d/1W5Jj_S0gYw6wSO7QcMI02YgyOBDKYgmm0NSUk-AQEac/edit?usp=sharing"",""ประจวบคีรีขันธ์!J575"")"),39)</f>
        <v>39</v>
      </c>
      <c r="AR62" s="57">
        <f ca="1">IFERROR(__xludf.DUMMYFUNCTION("IMPORTRANGE(""https://docs.google.com/spreadsheets/d/1W5Jj_S0gYw6wSO7QcMI02YgyOBDKYgmm0NSUk-AQEac/edit?usp=sharing"",""ประจวบคีรีขันธ์!I576"")"),18118)</f>
        <v>18118</v>
      </c>
      <c r="AS62" s="57">
        <f ca="1">IFERROR(__xludf.DUMMYFUNCTION("IMPORTRANGE(""https://docs.google.com/spreadsheets/d/1W5Jj_S0gYw6wSO7QcMI02YgyOBDKYgmm0NSUk-AQEac/edit?usp=sharing"",""ประจวบคีรีขันธ์!I577"")"),1162)</f>
        <v>1162</v>
      </c>
      <c r="AT62" s="63">
        <f ca="1">IFERROR(__xludf.DUMMYFUNCTION("IMPORTRANGE(""https://docs.google.com/spreadsheets/d/1W5Jj_S0gYw6wSO7QcMI02YgyOBDKYgmm0NSUk-AQEac/edit?usp=sharing"",""ประจวบคีรีขันธ์!J576"")"),13165)</f>
        <v>13165</v>
      </c>
      <c r="AU62" s="63">
        <f t="shared" ca="1" si="39"/>
        <v>72.662545534827245</v>
      </c>
      <c r="AV62" s="57">
        <f ca="1">IFERROR(__xludf.DUMMYFUNCTION("IMPORTRANGE(""https://docs.google.com/spreadsheets/d/1W5Jj_S0gYw6wSO7QcMI02YgyOBDKYgmm0NSUk-AQEac/edit?usp=sharing"",""ประจวบคีรีขันธ์!J577"")"),936)</f>
        <v>936</v>
      </c>
      <c r="AW62" s="63">
        <f t="shared" ca="1" si="13"/>
        <v>80.55077452667814</v>
      </c>
      <c r="AX62" s="63">
        <f ca="1">IFERROR(__xludf.DUMMYFUNCTION("IMPORTRANGE(""https://docs.google.com/spreadsheets/d/1W5Jj_S0gYw6wSO7QcMI02YgyOBDKYgmm0NSUk-AQEac/edit?usp=sharing"",""ประจวบคีรีขันธ์!J578"")"),12717)</f>
        <v>12717</v>
      </c>
      <c r="AY62" s="140">
        <f ca="1">IFERROR(__xludf.DUMMYFUNCTION("IMPORTRANGE(""https://docs.google.com/spreadsheets/d/1W5Jj_S0gYw6wSO7QcMI02YgyOBDKYgmm0NSUk-AQEac/edit?usp=sharing"",""ประจวบคีรีขันธ์!J579"")"),897)</f>
        <v>897</v>
      </c>
      <c r="AZ62" s="63">
        <f ca="1">IFERROR(__xludf.DUMMYFUNCTION("IMPORTRANGE(""https://docs.google.com/spreadsheets/d/1W5Jj_S0gYw6wSO7QcMI02YgyOBDKYgmm0NSUk-AQEac/edit?usp=sharing"",""ประจวบคีรีขันธ์!J580"")"),0)</f>
        <v>0</v>
      </c>
      <c r="BA62" s="140">
        <f ca="1">IFERROR(__xludf.DUMMYFUNCTION("IMPORTRANGE(""https://docs.google.com/spreadsheets/d/1W5Jj_S0gYw6wSO7QcMI02YgyOBDKYgmm0NSUk-AQEac/edit?usp=sharing"",""ประจวบคีรีขันธ์!J581"")"),0)</f>
        <v>0</v>
      </c>
      <c r="BB62" s="63">
        <f ca="1">IFERROR(__xludf.DUMMYFUNCTION("IMPORTRANGE(""https://docs.google.com/spreadsheets/d/1W5Jj_S0gYw6wSO7QcMI02YgyOBDKYgmm0NSUk-AQEac/edit?usp=sharing"",""ประจวบคีรีขันธ์!J582"")"),448)</f>
        <v>448</v>
      </c>
      <c r="BC62" s="140">
        <f ca="1">IFERROR(__xludf.DUMMYFUNCTION("IMPORTRANGE(""https://docs.google.com/spreadsheets/d/1W5Jj_S0gYw6wSO7QcMI02YgyOBDKYgmm0NSUk-AQEac/edit?usp=sharing"",""ประจวบคีรีขันธ์!J583"")"),39)</f>
        <v>39</v>
      </c>
      <c r="BD62" s="141">
        <f ca="1">IFERROR(__xludf.DUMMYFUNCTION("IMPORTRANGE(""https://docs.google.com/spreadsheets/d/1W5Jj_S0gYw6wSO7QcMI02YgyOBDKYgmm0NSUk-AQEac/edit?usp=sharing"",""ประจวบคีรีขันธ์!J584"")"),448)</f>
        <v>448</v>
      </c>
      <c r="BE62" s="140">
        <f ca="1">IFERROR(__xludf.DUMMYFUNCTION("IMPORTRANGE(""https://docs.google.com/spreadsheets/d/1W5Jj_S0gYw6wSO7QcMI02YgyOBDKYgmm0NSUk-AQEac/edit?usp=sharing"",""ประจวบคีรีขันธ์!J585"")"),39)</f>
        <v>39</v>
      </c>
      <c r="BF62" s="141">
        <f ca="1">IFERROR(__xludf.DUMMYFUNCTION("IMPORTRANGE(""https://docs.google.com/spreadsheets/d/1W5Jj_S0gYw6wSO7QcMI02YgyOBDKYgmm0NSUk-AQEac/edit?usp=sharing"",""ประจวบคีรีขันธ์!J586"")"),0)</f>
        <v>0</v>
      </c>
      <c r="BG62" s="140">
        <f ca="1">IFERROR(__xludf.DUMMYFUNCTION("IMPORTRANGE(""https://docs.google.com/spreadsheets/d/1W5Jj_S0gYw6wSO7QcMI02YgyOBDKYgmm0NSUk-AQEac/edit?usp=sharing"",""ประจวบคีรีขันธ์!J587"")"),0)</f>
        <v>0</v>
      </c>
      <c r="BH62" s="63">
        <f ca="1">IFERROR(__xludf.DUMMYFUNCTION("IMPORTRANGE(""https://docs.google.com/spreadsheets/d/1W5Jj_S0gYw6wSO7QcMI02YgyOBDKYgmm0NSUk-AQEac/edit?usp=sharing"",""ประจวบคีรีขันธ์!J588"")"),0)</f>
        <v>0</v>
      </c>
      <c r="BI62" s="140">
        <f ca="1">IFERROR(__xludf.DUMMYFUNCTION("IMPORTRANGE(""https://docs.google.com/spreadsheets/d/1W5Jj_S0gYw6wSO7QcMI02YgyOBDKYgmm0NSUk-AQEac/edit?usp=sharing"",""ประจวบคีรีขันธ์!J589"")"),0)</f>
        <v>0</v>
      </c>
      <c r="BJ62" s="63">
        <f ca="1">IFERROR(__xludf.DUMMYFUNCTION("IMPORTRANGE(""https://docs.google.com/spreadsheets/d/1W5Jj_S0gYw6wSO7QcMI02YgyOBDKYgmm0NSUk-AQEac/edit?usp=sharing"",""ประจวบคีรีขันธ์!J590"")"),0)</f>
        <v>0</v>
      </c>
      <c r="BK62" s="140">
        <f ca="1">IFERROR(__xludf.DUMMYFUNCTION("IMPORTRANGE(""https://docs.google.com/spreadsheets/d/1W5Jj_S0gYw6wSO7QcMI02YgyOBDKYgmm0NSUk-AQEac/edit?usp=sharing"",""ประจวบคีรีขันธ์!J591"")"),0)</f>
        <v>0</v>
      </c>
      <c r="BL62" s="57">
        <f ca="1">IFERROR(__xludf.DUMMYFUNCTION("IMPORTRANGE(""https://docs.google.com/spreadsheets/d/1W5Jj_S0gYw6wSO7QcMI02YgyOBDKYgmm0NSUk-AQEac/edit?usp=sharing"",""ประจวบคีรีขันธ์!I593"")"),2254.82)</f>
        <v>2254.8200000000002</v>
      </c>
      <c r="BM62" s="57">
        <f ca="1">IFERROR(__xludf.DUMMYFUNCTION("IMPORTRANGE(""https://docs.google.com/spreadsheets/d/1W5Jj_S0gYw6wSO7QcMI02YgyOBDKYgmm0NSUk-AQEac/edit?usp=sharing"",""ประจวบคีรีขันธ์!I594"")"),208)</f>
        <v>208</v>
      </c>
      <c r="BN62" s="63">
        <f ca="1">IFERROR(__xludf.DUMMYFUNCTION("IMPORTRANGE(""https://docs.google.com/spreadsheets/d/1W5Jj_S0gYw6wSO7QcMI02YgyOBDKYgmm0NSUk-AQEac/edit?usp=sharing"",""ประจวบคีรีขันธ์!J593"")"),0)</f>
        <v>0</v>
      </c>
      <c r="BO62" s="63">
        <f t="shared" ca="1" si="40"/>
        <v>0</v>
      </c>
      <c r="BP62" s="57">
        <f ca="1">IFERROR(__xludf.DUMMYFUNCTION("IMPORTRANGE(""https://docs.google.com/spreadsheets/d/1W5Jj_S0gYw6wSO7QcMI02YgyOBDKYgmm0NSUk-AQEac/edit?usp=sharing"",""ประจวบคีรีขันธ์!J594"")"),0)</f>
        <v>0</v>
      </c>
      <c r="BQ62" s="63">
        <f t="shared" ca="1" si="16"/>
        <v>0</v>
      </c>
      <c r="BR62" s="63">
        <f ca="1">IFERROR(__xludf.DUMMYFUNCTION("IMPORTRANGE(""https://docs.google.com/spreadsheets/d/1W5Jj_S0gYw6wSO7QcMI02YgyOBDKYgmm0NSUk-AQEac/edit?usp=sharing"",""ประจวบคีรีขันธ์!J595"")"),0)</f>
        <v>0</v>
      </c>
      <c r="BS62" s="140">
        <f ca="1">IFERROR(__xludf.DUMMYFUNCTION("IMPORTRANGE(""https://docs.google.com/spreadsheets/d/1W5Jj_S0gYw6wSO7QcMI02YgyOBDKYgmm0NSUk-AQEac/edit?usp=sharing"",""ประจวบคีรีขันธ์!J596"")"),0)</f>
        <v>0</v>
      </c>
      <c r="BT62" s="63">
        <f ca="1">IFERROR(__xludf.DUMMYFUNCTION("IMPORTRANGE(""https://docs.google.com/spreadsheets/d/1W5Jj_S0gYw6wSO7QcMI02YgyOBDKYgmm0NSUk-AQEac/edit?usp=sharing"",""ประจวบคีรีขันธ์!J597"")"),0)</f>
        <v>0</v>
      </c>
      <c r="BU62" s="140">
        <f ca="1">IFERROR(__xludf.DUMMYFUNCTION("IMPORTRANGE(""https://docs.google.com/spreadsheets/d/1W5Jj_S0gYw6wSO7QcMI02YgyOBDKYgmm0NSUk-AQEac/edit?usp=sharing"",""ประจวบคีรีขันธ์!J598"")"),0)</f>
        <v>0</v>
      </c>
      <c r="BV62" s="63">
        <f ca="1">IFERROR(__xludf.DUMMYFUNCTION("IMPORTRANGE(""https://docs.google.com/spreadsheets/d/1W5Jj_S0gYw6wSO7QcMI02YgyOBDKYgmm0NSUk-AQEac/edit?usp=sharing"",""ประจวบคีรีขันธ์!J599"")"),0)</f>
        <v>0</v>
      </c>
      <c r="BW62" s="140">
        <f ca="1">IFERROR(__xludf.DUMMYFUNCTION("IMPORTRANGE(""https://docs.google.com/spreadsheets/d/1W5Jj_S0gYw6wSO7QcMI02YgyOBDKYgmm0NSUk-AQEac/edit?usp=sharing"",""ประจวบคีรีขันธ์!J600"")"),0)</f>
        <v>0</v>
      </c>
      <c r="BX62" s="141">
        <f ca="1">IFERROR(__xludf.DUMMYFUNCTION("IMPORTRANGE(""https://docs.google.com/spreadsheets/d/1W5Jj_S0gYw6wSO7QcMI02YgyOBDKYgmm0NSUk-AQEac/edit?usp=sharing"",""ประจวบคีรีขันธ์!J601"")"),0)</f>
        <v>0</v>
      </c>
      <c r="BY62" s="140">
        <f ca="1">IFERROR(__xludf.DUMMYFUNCTION("IMPORTRANGE(""https://docs.google.com/spreadsheets/d/1W5Jj_S0gYw6wSO7QcMI02YgyOBDKYgmm0NSUk-AQEac/edit?usp=sharing"",""ประจวบคีรีขันธ์!J602"")"),0)</f>
        <v>0</v>
      </c>
      <c r="BZ62" s="63">
        <f ca="1">IFERROR(__xludf.DUMMYFUNCTION("IMPORTRANGE(""https://docs.google.com/spreadsheets/d/1W5Jj_S0gYw6wSO7QcMI02YgyOBDKYgmm0NSUk-AQEac/edit?usp=sharing"",""ประจวบคีรีขันธ์!J603"")"),0)</f>
        <v>0</v>
      </c>
      <c r="CA62" s="140">
        <f ca="1">IFERROR(__xludf.DUMMYFUNCTION("IMPORTRANGE(""https://docs.google.com/spreadsheets/d/1W5Jj_S0gYw6wSO7QcMI02YgyOBDKYgmm0NSUk-AQEac/edit?usp=sharing"",""ประจวบคีรีขันธ์!J604"")"),0)</f>
        <v>0</v>
      </c>
      <c r="CB62" s="63">
        <f ca="1">IFERROR(__xludf.DUMMYFUNCTION("IMPORTRANGE(""https://docs.google.com/spreadsheets/d/1W5Jj_S0gYw6wSO7QcMI02YgyOBDKYgmm0NSUk-AQEac/edit?usp=sharing"",""ประจวบคีรีขันธ์!J605"")"),0)</f>
        <v>0</v>
      </c>
      <c r="CC62" s="140">
        <f ca="1">IFERROR(__xludf.DUMMYFUNCTION("IMPORTRANGE(""https://docs.google.com/spreadsheets/d/1W5Jj_S0gYw6wSO7QcMI02YgyOBDKYgmm0NSUk-AQEac/edit?usp=sharing"",""ประจวบคีรีขันธ์!J606"")"),0)</f>
        <v>0</v>
      </c>
      <c r="CD62" s="63">
        <f ca="1">IFERROR(__xludf.DUMMYFUNCTION("IMPORTRANGE(""https://docs.google.com/spreadsheets/d/1W5Jj_S0gYw6wSO7QcMI02YgyOBDKYgmm0NSUk-AQEac/edit?usp=sharing"",""ประจวบคีรีขันธ์!J607"")"),0)</f>
        <v>0</v>
      </c>
      <c r="CE62" s="140">
        <f ca="1">IFERROR(__xludf.DUMMYFUNCTION("IMPORTRANGE(""https://docs.google.com/spreadsheets/d/1W5Jj_S0gYw6wSO7QcMI02YgyOBDKYgmm0NSUk-AQEac/edit?usp=sharing"",""ประจวบคีรีขันธ์!J608"")"),0)</f>
        <v>0</v>
      </c>
      <c r="CF62" s="63">
        <f ca="1">IFERROR(__xludf.DUMMYFUNCTION("IMPORTRANGE(""https://docs.google.com/spreadsheets/d/1W5Jj_S0gYw6wSO7QcMI02YgyOBDKYgmm0NSUk-AQEac/edit?usp=sharing"",""ประจวบคีรีขันธ์!J609"")"),0)</f>
        <v>0</v>
      </c>
      <c r="CG62" s="140">
        <f ca="1">IFERROR(__xludf.DUMMYFUNCTION("IMPORTRANGE(""https://docs.google.com/spreadsheets/d/1W5Jj_S0gYw6wSO7QcMI02YgyOBDKYgmm0NSUk-AQEac/edit?usp=sharing"",""ประจวบคีรีขันธ์!J610"")"),0)</f>
        <v>0</v>
      </c>
      <c r="CH62" s="140">
        <f ca="1">IFERROR(__xludf.DUMMYFUNCTION("IMPORTRANGE(""https://docs.google.com/spreadsheets/d/1W5Jj_S0gYw6wSO7QcMI02YgyOBDKYgmm0NSUk-AQEac/edit?usp=sharing"",""ประจวบคีรีขันธ์!I612"")"),0)</f>
        <v>0</v>
      </c>
      <c r="CI62" s="140">
        <f ca="1">IFERROR(__xludf.DUMMYFUNCTION("IMPORTRANGE(""https://docs.google.com/spreadsheets/d/1W5Jj_S0gYw6wSO7QcMI02YgyOBDKYgmm0NSUk-AQEac/edit?usp=sharing"",""ประจวบคีรีขันธ์!I594"")"),208)</f>
        <v>208</v>
      </c>
      <c r="CJ62" s="141">
        <f ca="1">IFERROR(__xludf.DUMMYFUNCTION("IMPORTRANGE(""https://docs.google.com/spreadsheets/d/1W5Jj_S0gYw6wSO7QcMI02YgyOBDKYgmm0NSUk-AQEac/edit?usp=sharing"",""ประจวบคีรีขันธ์!J612"")"),0)</f>
        <v>0</v>
      </c>
      <c r="CK62" s="141">
        <f t="shared" ca="1" si="41"/>
        <v>0</v>
      </c>
      <c r="CL62" s="140">
        <f ca="1">IFERROR(__xludf.DUMMYFUNCTION("IMPORTRANGE(""https://docs.google.com/spreadsheets/d/1W5Jj_S0gYw6wSO7QcMI02YgyOBDKYgmm0NSUk-AQEac/edit?usp=sharing"",""ประจวบคีรีขันธ์!J613"")"),0)</f>
        <v>0</v>
      </c>
      <c r="CM62" s="141">
        <f t="shared" ca="1" si="19"/>
        <v>0</v>
      </c>
      <c r="CN62" s="63">
        <f ca="1">IFERROR(__xludf.DUMMYFUNCTION("IMPORTRANGE(""https://docs.google.com/spreadsheets/d/1W5Jj_S0gYw6wSO7QcMI02YgyOBDKYgmm0NSUk-AQEac/edit?usp=sharing"",""ประจวบคีรีขันธ์!J614"")"),0)</f>
        <v>0</v>
      </c>
      <c r="CO62" s="140">
        <f ca="1">IFERROR(__xludf.DUMMYFUNCTION("IMPORTRANGE(""https://docs.google.com/spreadsheets/d/1W5Jj_S0gYw6wSO7QcMI02YgyOBDKYgmm0NSUk-AQEac/edit?usp=sharing"",""ประจวบคีรีขันธ์!J615"")"),0)</f>
        <v>0</v>
      </c>
      <c r="CP62" s="63">
        <f ca="1">IFERROR(__xludf.DUMMYFUNCTION("IMPORTRANGE(""https://docs.google.com/spreadsheets/d/1W5Jj_S0gYw6wSO7QcMI02YgyOBDKYgmm0NSUk-AQEac/edit?usp=sharing"",""ประจวบคีรีขันธ์!J616"")"),0)</f>
        <v>0</v>
      </c>
      <c r="CQ62" s="140">
        <f ca="1">IFERROR(__xludf.DUMMYFUNCTION("IMPORTRANGE(""https://docs.google.com/spreadsheets/d/1W5Jj_S0gYw6wSO7QcMI02YgyOBDKYgmm0NSUk-AQEac/edit?usp=sharing"",""ประจวบคีรีขันธ์!J617"")"),0)</f>
        <v>0</v>
      </c>
      <c r="CR62" s="140">
        <f ca="1">IFERROR(__xludf.DUMMYFUNCTION("IMPORTRANGE(""https://docs.google.com/spreadsheets/d/1W5Jj_S0gYw6wSO7QcMI02YgyOBDKYgmm0NSUk-AQEac/edit?usp=sharing"",""ประจวบคีรีขันธ์!I620"")"),0)</f>
        <v>0</v>
      </c>
      <c r="CS62" s="140">
        <f ca="1">IFERROR(__xludf.DUMMYFUNCTION("IMPORTRANGE(""https://docs.google.com/spreadsheets/d/1W5Jj_S0gYw6wSO7QcMI02YgyOBDKYgmm0NSUk-AQEac/edit?usp=sharing"",""ประจวบคีรีขันธ์!I621"")"),0)</f>
        <v>0</v>
      </c>
      <c r="CT62" s="141">
        <f ca="1">IFERROR(__xludf.DUMMYFUNCTION("IMPORTRANGE(""https://docs.google.com/spreadsheets/d/1W5Jj_S0gYw6wSO7QcMI02YgyOBDKYgmm0NSUk-AQEac/edit?usp=sharing"",""ประจวบคีรีขันธ์!J620"")"),0)</f>
        <v>0</v>
      </c>
      <c r="CU62" s="141">
        <f t="shared" ca="1" si="42"/>
        <v>0</v>
      </c>
      <c r="CV62" s="140">
        <f ca="1">IFERROR(__xludf.DUMMYFUNCTION("IMPORTRANGE(""https://docs.google.com/spreadsheets/d/1W5Jj_S0gYw6wSO7QcMI02YgyOBDKYgmm0NSUk-AQEac/edit?usp=sharing"",""ประจวบคีรีขันธ์!J621"")"),0)</f>
        <v>0</v>
      </c>
      <c r="CW62" s="141">
        <f t="shared" ca="1" si="22"/>
        <v>0</v>
      </c>
      <c r="CX62" s="63">
        <f ca="1">IFERROR(__xludf.DUMMYFUNCTION("IMPORTRANGE(""https://docs.google.com/spreadsheets/d/1W5Jj_S0gYw6wSO7QcMI02YgyOBDKYgmm0NSUk-AQEac/edit?usp=sharing"",""ประจวบคีรีขันธ์!J622"")"),0)</f>
        <v>0</v>
      </c>
      <c r="CY62" s="140">
        <f ca="1">IFERROR(__xludf.DUMMYFUNCTION("IMPORTRANGE(""https://docs.google.com/spreadsheets/d/1W5Jj_S0gYw6wSO7QcMI02YgyOBDKYgmm0NSUk-AQEac/edit?usp=sharing"",""ประจวบคีรีขันธ์!J623"")"),0)</f>
        <v>0</v>
      </c>
      <c r="CZ62" s="63">
        <f ca="1">IFERROR(__xludf.DUMMYFUNCTION("IMPORTRANGE(""https://docs.google.com/spreadsheets/d/1W5Jj_S0gYw6wSO7QcMI02YgyOBDKYgmm0NSUk-AQEac/edit?usp=sharing"",""ประจวบคีรีขันธ์!J624"")"),0)</f>
        <v>0</v>
      </c>
      <c r="DA62" s="140">
        <f ca="1">IFERROR(__xludf.DUMMYFUNCTION("IMPORTRANGE(""https://docs.google.com/spreadsheets/d/1W5Jj_S0gYw6wSO7QcMI02YgyOBDKYgmm0NSUk-AQEac/edit?usp=sharing"",""ประจวบคีรีขันธ์!J625"")"),0)</f>
        <v>0</v>
      </c>
      <c r="DB62" s="63">
        <f ca="1">IFERROR(__xludf.DUMMYFUNCTION("IMPORTRANGE(""https://docs.google.com/spreadsheets/d/1W5Jj_S0gYw6wSO7QcMI02YgyOBDKYgmm0NSUk-AQEac/edit?usp=sharing"",""ประจวบคีรีขันธ์!J626"")"),0)</f>
        <v>0</v>
      </c>
      <c r="DC62" s="140">
        <f ca="1">IFERROR(__xludf.DUMMYFUNCTION("IMPORTRANGE(""https://docs.google.com/spreadsheets/d/1W5Jj_S0gYw6wSO7QcMI02YgyOBDKYgmm0NSUk-AQEac/edit?usp=sharing"",""ประจวบคีรีขันธ์!J627"")"),0)</f>
        <v>0</v>
      </c>
    </row>
    <row r="63" spans="1:107" ht="21" customHeight="1" x14ac:dyDescent="0.3">
      <c r="A63" s="54">
        <v>11</v>
      </c>
      <c r="B63" s="55" t="s">
        <v>84</v>
      </c>
      <c r="C63" s="56">
        <f t="shared" ca="1" si="77"/>
        <v>218300</v>
      </c>
      <c r="D63" s="57">
        <f ca="1">IFERROR(__xludf.DUMMYFUNCTION("IMPORTRANGE(""https://docs.google.com/spreadsheets/d/1nYxRXgnCfTXtqUY1otYuTlnrzE0Tn-Y0YRsW5pkRVqo/edit?usp=sharing"",""ปราจีนบุรี!L549"")"),218300)</f>
        <v>218300</v>
      </c>
      <c r="E63" s="64">
        <f ca="1">IFERROR(__xludf.DUMMYFUNCTION("IMPORTRANGE(""https://docs.google.com/spreadsheets/d/1nYxRXgnCfTXtqUY1otYuTlnrzE0Tn-Y0YRsW5pkRVqo/edit?usp=sharing"",""ปราจีนบุรี!L557"")"),0)</f>
        <v>0</v>
      </c>
      <c r="F63" s="64">
        <f ca="1">IFERROR(__xludf.DUMMYFUNCTION("IMPORTRANGE(""https://docs.google.com/spreadsheets/d/1nYxRXgnCfTXtqUY1otYuTlnrzE0Tn-Y0YRsW5pkRVqo/edit?usp=sharing"",""ปราจีนบุรี!M549"")"),218300)</f>
        <v>218300</v>
      </c>
      <c r="G63" s="64">
        <f ca="1">IFERROR(__xludf.DUMMYFUNCTION("IMPORTRANGE(""https://docs.google.com/spreadsheets/d/1nYxRXgnCfTXtqUY1otYuTlnrzE0Tn-Y0YRsW5pkRVqo/edit?usp=sharing"",""ปราจีนบุรี!M557"")"),0)</f>
        <v>0</v>
      </c>
      <c r="H63" s="58">
        <f t="shared" ca="1" si="36"/>
        <v>0</v>
      </c>
      <c r="I63" s="59">
        <f t="shared" ca="1" si="1"/>
        <v>0</v>
      </c>
      <c r="J63" s="60">
        <f t="shared" ca="1" si="78"/>
        <v>0</v>
      </c>
      <c r="K63" s="61">
        <f t="shared" ca="1" si="44"/>
        <v>0</v>
      </c>
      <c r="L63" s="61">
        <f t="shared" ca="1" si="45"/>
        <v>0</v>
      </c>
      <c r="M63" s="64">
        <f ca="1">IFERROR(__xludf.DUMMYFUNCTION("IMPORTRANGE(""https://docs.google.com/spreadsheets/d/1nYxRXgnCfTXtqUY1otYuTlnrzE0Tn-Y0YRsW5pkRVqo/edit?usp=sharing"",""ปราจีนบุรี!N550"")"),0)</f>
        <v>0</v>
      </c>
      <c r="N63" s="64">
        <f ca="1">IFERROR(__xludf.DUMMYFUNCTION("IMPORTRANGE(""https://docs.google.com/spreadsheets/d/1nYxRXgnCfTXtqUY1otYuTlnrzE0Tn-Y0YRsW5pkRVqo/edit?usp=sharing"",""ปราจีนบุรี!N551"")"),0)</f>
        <v>0</v>
      </c>
      <c r="O63" s="64">
        <f ca="1">IFERROR(__xludf.DUMMYFUNCTION("IMPORTRANGE(""https://docs.google.com/spreadsheets/d/1nYxRXgnCfTXtqUY1otYuTlnrzE0Tn-Y0YRsW5pkRVqo/edit?usp=sharing"",""ปราจีนบุรี!N552"")"),0)</f>
        <v>0</v>
      </c>
      <c r="P63" s="64">
        <f ca="1">IFERROR(__xludf.DUMMYFUNCTION("IMPORTRANGE(""https://docs.google.com/spreadsheets/d/1nYxRXgnCfTXtqUY1otYuTlnrzE0Tn-Y0YRsW5pkRVqo/edit?usp=sharing"",""ปราจีนบุรี!N553"")"),0)</f>
        <v>0</v>
      </c>
      <c r="Q63" s="64">
        <f ca="1">IFERROR(__xludf.DUMMYFUNCTION("IMPORTRANGE(""https://docs.google.com/spreadsheets/d/1nYxRXgnCfTXtqUY1otYuTlnrzE0Tn-Y0YRsW5pkRVqo/edit?usp=sharing"",""ปราจีนบุรี!N554"")"),0)</f>
        <v>0</v>
      </c>
      <c r="R63" s="62">
        <f ca="1">IFERROR(__xludf.DUMMYFUNCTION("IMPORTRANGE(""https://docs.google.com/spreadsheets/d/1nYxRXgnCfTXtqUY1otYuTlnrzE0Tn-Y0YRsW5pkRVqo/edit?usp=sharing"",""ปราจีนบุรี!N557"")"),0)</f>
        <v>0</v>
      </c>
      <c r="S63" s="62">
        <f t="shared" ca="1" si="47"/>
        <v>0</v>
      </c>
      <c r="T63" s="57">
        <f ca="1">IFERROR(__xludf.DUMMYFUNCTION("IMPORTRANGE(""https://docs.google.com/spreadsheets/d/1nYxRXgnCfTXtqUY1otYuTlnrzE0Tn-Y0YRsW5pkRVqo/edit?usp=sharing"",""ปราจีนบุรี!I560"")"),0)</f>
        <v>0</v>
      </c>
      <c r="U63" s="57">
        <f ca="1">IFERROR(__xludf.DUMMYFUNCTION("IMPORTRANGE(""https://docs.google.com/spreadsheets/d/1nYxRXgnCfTXtqUY1otYuTlnrzE0Tn-Y0YRsW5pkRVqo/edit?usp=sharing"",""ปราจีนบุรี!I561"")"),0)</f>
        <v>0</v>
      </c>
      <c r="V63" s="63">
        <f ca="1">IFERROR(__xludf.DUMMYFUNCTION("IMPORTRANGE(""https://docs.google.com/spreadsheets/d/1nYxRXgnCfTXtqUY1otYuTlnrzE0Tn-Y0YRsW5pkRVqo/edit?usp=sharing"",""ปราจีนบุรี!J560"")"),0)</f>
        <v>0</v>
      </c>
      <c r="W63" s="63">
        <f t="shared" ca="1" si="37"/>
        <v>0</v>
      </c>
      <c r="X63" s="57">
        <f ca="1">IFERROR(__xludf.DUMMYFUNCTION("IMPORTRANGE(""https://docs.google.com/spreadsheets/d/1nYxRXgnCfTXtqUY1otYuTlnrzE0Tn-Y0YRsW5pkRVqo/edit?usp=sharing"",""ปราจีนบุรี!J561"")"),0)</f>
        <v>0</v>
      </c>
      <c r="Y63" s="63">
        <f t="shared" ca="1" si="7"/>
        <v>0</v>
      </c>
      <c r="Z63" s="63">
        <f ca="1">IFERROR(__xludf.DUMMYFUNCTION("IMPORTRANGE(""https://docs.google.com/spreadsheets/d/1nYxRXgnCfTXtqUY1otYuTlnrzE0Tn-Y0YRsW5pkRVqo/edit?usp=sharing"",""ปราจีนบุรี!J562"")"),0)</f>
        <v>0</v>
      </c>
      <c r="AA63" s="140">
        <f ca="1">IFERROR(__xludf.DUMMYFUNCTION("IMPORTRANGE(""https://docs.google.com/spreadsheets/d/1nYxRXgnCfTXtqUY1otYuTlnrzE0Tn-Y0YRsW5pkRVqo/edit?usp=sharing"",""ปราจีนบุรี!J563"")"),0)</f>
        <v>0</v>
      </c>
      <c r="AB63" s="63">
        <f ca="1">IFERROR(__xludf.DUMMYFUNCTION("IMPORTRANGE(""https://docs.google.com/spreadsheets/d/1nYxRXgnCfTXtqUY1otYuTlnrzE0Tn-Y0YRsW5pkRVqo/edit?usp=sharing"",""ปราจีนบุรี!J564"")"),0)</f>
        <v>0</v>
      </c>
      <c r="AC63" s="140">
        <f ca="1">IFERROR(__xludf.DUMMYFUNCTION("IMPORTRANGE(""https://docs.google.com/spreadsheets/d/1nYxRXgnCfTXtqUY1otYuTlnrzE0Tn-Y0YRsW5pkRVqo/edit?usp=sharing"",""ปราจีนบุรี!J565"")"),0)</f>
        <v>0</v>
      </c>
      <c r="AD63" s="63">
        <f ca="1">IFERROR(__xludf.DUMMYFUNCTION("IMPORTRANGE(""https://docs.google.com/spreadsheets/d/1nYxRXgnCfTXtqUY1otYuTlnrzE0Tn-Y0YRsW5pkRVqo/edit?usp=sharing"",""ปราจีนบุรี!J566"")"),0)</f>
        <v>0</v>
      </c>
      <c r="AE63" s="140">
        <f ca="1">IFERROR(__xludf.DUMMYFUNCTION("IMPORTRANGE(""https://docs.google.com/spreadsheets/d/1nYxRXgnCfTXtqUY1otYuTlnrzE0Tn-Y0YRsW5pkRVqo/edit?usp=sharing"",""ปราจีนบุรี!J567"")"),0)</f>
        <v>0</v>
      </c>
      <c r="AF63" s="57">
        <f ca="1">IFERROR(__xludf.DUMMYFUNCTION("IMPORTRANGE(""https://docs.google.com/spreadsheets/d/1nYxRXgnCfTXtqUY1otYuTlnrzE0Tn-Y0YRsW5pkRVqo/edit?usp=sharing"",""ปราจีนบุรี!I568"")"),0)</f>
        <v>0</v>
      </c>
      <c r="AG63" s="57">
        <f ca="1">IFERROR(__xludf.DUMMYFUNCTION("IMPORTRANGE(""https://docs.google.com/spreadsheets/d/1nYxRXgnCfTXtqUY1otYuTlnrzE0Tn-Y0YRsW5pkRVqo/edit?usp=sharing"",""ปราจีนบุรี!I569"")"),0)</f>
        <v>0</v>
      </c>
      <c r="AH63" s="63">
        <f ca="1">IFERROR(__xludf.DUMMYFUNCTION("IMPORTRANGE(""https://docs.google.com/spreadsheets/d/1nYxRXgnCfTXtqUY1otYuTlnrzE0Tn-Y0YRsW5pkRVqo/edit?usp=sharing"",""ปราจีนบุรี!J568"")"),0)</f>
        <v>0</v>
      </c>
      <c r="AI63" s="63">
        <f t="shared" ca="1" si="38"/>
        <v>0</v>
      </c>
      <c r="AJ63" s="57">
        <f ca="1">IFERROR(__xludf.DUMMYFUNCTION("IMPORTRANGE(""https://docs.google.com/spreadsheets/d/1nYxRXgnCfTXtqUY1otYuTlnrzE0Tn-Y0YRsW5pkRVqo/edit?usp=sharing"",""ปราจีนบุรี!J569"")"),0)</f>
        <v>0</v>
      </c>
      <c r="AK63" s="63">
        <f t="shared" ca="1" si="10"/>
        <v>0</v>
      </c>
      <c r="AL63" s="63">
        <f ca="1">IFERROR(__xludf.DUMMYFUNCTION("IMPORTRANGE(""https://docs.google.com/spreadsheets/d/1nYxRXgnCfTXtqUY1otYuTlnrzE0Tn-Y0YRsW5pkRVqo/edit?usp=sharing"",""ปราจีนบุรี!J570"")"),0)</f>
        <v>0</v>
      </c>
      <c r="AM63" s="140">
        <f ca="1">IFERROR(__xludf.DUMMYFUNCTION("IMPORTRANGE(""https://docs.google.com/spreadsheets/d/1nYxRXgnCfTXtqUY1otYuTlnrzE0Tn-Y0YRsW5pkRVqo/edit?usp=sharing"",""ปราจีนบุรี!J571"")"),0)</f>
        <v>0</v>
      </c>
      <c r="AN63" s="63">
        <f ca="1">IFERROR(__xludf.DUMMYFUNCTION("IMPORTRANGE(""https://docs.google.com/spreadsheets/d/1nYxRXgnCfTXtqUY1otYuTlnrzE0Tn-Y0YRsW5pkRVqo/edit?usp=sharing"",""ปราจีนบุรี!J572"")"),0)</f>
        <v>0</v>
      </c>
      <c r="AO63" s="140">
        <f ca="1">IFERROR(__xludf.DUMMYFUNCTION("IMPORTRANGE(""https://docs.google.com/spreadsheets/d/1nYxRXgnCfTXtqUY1otYuTlnrzE0Tn-Y0YRsW5pkRVqo/edit?usp=sharing"",""ปราจีนบุรี!J573"")"),0)</f>
        <v>0</v>
      </c>
      <c r="AP63" s="63">
        <f ca="1">IFERROR(__xludf.DUMMYFUNCTION("IMPORTRANGE(""https://docs.google.com/spreadsheets/d/1nYxRXgnCfTXtqUY1otYuTlnrzE0Tn-Y0YRsW5pkRVqo/edit?usp=sharing"",""ปราจีนบุรี!J574"")"),0)</f>
        <v>0</v>
      </c>
      <c r="AQ63" s="140">
        <f ca="1">IFERROR(__xludf.DUMMYFUNCTION("IMPORTRANGE(""https://docs.google.com/spreadsheets/d/1nYxRXgnCfTXtqUY1otYuTlnrzE0Tn-Y0YRsW5pkRVqo/edit?usp=sharing"",""ปราจีนบุรี!J575"")"),0)</f>
        <v>0</v>
      </c>
      <c r="AR63" s="57">
        <f ca="1">IFERROR(__xludf.DUMMYFUNCTION("IMPORTRANGE(""https://docs.google.com/spreadsheets/d/1nYxRXgnCfTXtqUY1otYuTlnrzE0Tn-Y0YRsW5pkRVqo/edit?usp=sharing"",""ปราจีนบุรี!I576"")"),0)</f>
        <v>0</v>
      </c>
      <c r="AS63" s="57">
        <f ca="1">IFERROR(__xludf.DUMMYFUNCTION("IMPORTRANGE(""https://docs.google.com/spreadsheets/d/1nYxRXgnCfTXtqUY1otYuTlnrzE0Tn-Y0YRsW5pkRVqo/edit?usp=sharing"",""ปราจีนบุรี!I577"")"),0)</f>
        <v>0</v>
      </c>
      <c r="AT63" s="63">
        <f ca="1">IFERROR(__xludf.DUMMYFUNCTION("IMPORTRANGE(""https://docs.google.com/spreadsheets/d/1nYxRXgnCfTXtqUY1otYuTlnrzE0Tn-Y0YRsW5pkRVqo/edit?usp=sharing"",""ปราจีนบุรี!J576"")"),0)</f>
        <v>0</v>
      </c>
      <c r="AU63" s="63">
        <f t="shared" ca="1" si="39"/>
        <v>0</v>
      </c>
      <c r="AV63" s="57">
        <f ca="1">IFERROR(__xludf.DUMMYFUNCTION("IMPORTRANGE(""https://docs.google.com/spreadsheets/d/1nYxRXgnCfTXtqUY1otYuTlnrzE0Tn-Y0YRsW5pkRVqo/edit?usp=sharing"",""ปราจีนบุรี!J577"")"),0)</f>
        <v>0</v>
      </c>
      <c r="AW63" s="63">
        <f t="shared" ca="1" si="13"/>
        <v>0</v>
      </c>
      <c r="AX63" s="63">
        <f ca="1">IFERROR(__xludf.DUMMYFUNCTION("IMPORTRANGE(""https://docs.google.com/spreadsheets/d/1nYxRXgnCfTXtqUY1otYuTlnrzE0Tn-Y0YRsW5pkRVqo/edit?usp=sharing"",""ปราจีนบุรี!J578"")"),0)</f>
        <v>0</v>
      </c>
      <c r="AY63" s="140">
        <f ca="1">IFERROR(__xludf.DUMMYFUNCTION("IMPORTRANGE(""https://docs.google.com/spreadsheets/d/1nYxRXgnCfTXtqUY1otYuTlnrzE0Tn-Y0YRsW5pkRVqo/edit?usp=sharing"",""ปราจีนบุรี!J579"")"),0)</f>
        <v>0</v>
      </c>
      <c r="AZ63" s="63">
        <f ca="1">IFERROR(__xludf.DUMMYFUNCTION("IMPORTRANGE(""https://docs.google.com/spreadsheets/d/1nYxRXgnCfTXtqUY1otYuTlnrzE0Tn-Y0YRsW5pkRVqo/edit?usp=sharing"",""ปราจีนบุรี!J580"")"),0)</f>
        <v>0</v>
      </c>
      <c r="BA63" s="140">
        <f ca="1">IFERROR(__xludf.DUMMYFUNCTION("IMPORTRANGE(""https://docs.google.com/spreadsheets/d/1nYxRXgnCfTXtqUY1otYuTlnrzE0Tn-Y0YRsW5pkRVqo/edit?usp=sharing"",""ปราจีนบุรี!J581"")"),0)</f>
        <v>0</v>
      </c>
      <c r="BB63" s="63">
        <f ca="1">IFERROR(__xludf.DUMMYFUNCTION("IMPORTRANGE(""https://docs.google.com/spreadsheets/d/1nYxRXgnCfTXtqUY1otYuTlnrzE0Tn-Y0YRsW5pkRVqo/edit?usp=sharing"",""ปราจีนบุรี!J582"")"),0)</f>
        <v>0</v>
      </c>
      <c r="BC63" s="140">
        <f ca="1">IFERROR(__xludf.DUMMYFUNCTION("IMPORTRANGE(""https://docs.google.com/spreadsheets/d/1nYxRXgnCfTXtqUY1otYuTlnrzE0Tn-Y0YRsW5pkRVqo/edit?usp=sharing"",""ปราจีนบุรี!J583"")"),0)</f>
        <v>0</v>
      </c>
      <c r="BD63" s="141">
        <f ca="1">IFERROR(__xludf.DUMMYFUNCTION("IMPORTRANGE(""https://docs.google.com/spreadsheets/d/1nYxRXgnCfTXtqUY1otYuTlnrzE0Tn-Y0YRsW5pkRVqo/edit?usp=sharing"",""ปราจีนบุรี!J584"")"),0)</f>
        <v>0</v>
      </c>
      <c r="BE63" s="140">
        <f ca="1">IFERROR(__xludf.DUMMYFUNCTION("IMPORTRANGE(""https://docs.google.com/spreadsheets/d/1nYxRXgnCfTXtqUY1otYuTlnrzE0Tn-Y0YRsW5pkRVqo/edit?usp=sharing"",""ปราจีนบุรี!J585"")"),0)</f>
        <v>0</v>
      </c>
      <c r="BF63" s="141">
        <f ca="1">IFERROR(__xludf.DUMMYFUNCTION("IMPORTRANGE(""https://docs.google.com/spreadsheets/d/1nYxRXgnCfTXtqUY1otYuTlnrzE0Tn-Y0YRsW5pkRVqo/edit?usp=sharing"",""ปราจีนบุรี!J586"")"),0)</f>
        <v>0</v>
      </c>
      <c r="BG63" s="140">
        <f ca="1">IFERROR(__xludf.DUMMYFUNCTION("IMPORTRANGE(""https://docs.google.com/spreadsheets/d/1nYxRXgnCfTXtqUY1otYuTlnrzE0Tn-Y0YRsW5pkRVqo/edit?usp=sharing"",""ปราจีนบุรี!J587"")"),0)</f>
        <v>0</v>
      </c>
      <c r="BH63" s="63">
        <f ca="1">IFERROR(__xludf.DUMMYFUNCTION("IMPORTRANGE(""https://docs.google.com/spreadsheets/d/1nYxRXgnCfTXtqUY1otYuTlnrzE0Tn-Y0YRsW5pkRVqo/edit?usp=sharing"",""ปราจีนบุรี!J588"")"),0)</f>
        <v>0</v>
      </c>
      <c r="BI63" s="140">
        <f ca="1">IFERROR(__xludf.DUMMYFUNCTION("IMPORTRANGE(""https://docs.google.com/spreadsheets/d/1nYxRXgnCfTXtqUY1otYuTlnrzE0Tn-Y0YRsW5pkRVqo/edit?usp=sharing"",""ปราจีนบุรี!J589"")"),0)</f>
        <v>0</v>
      </c>
      <c r="BJ63" s="63">
        <f ca="1">IFERROR(__xludf.DUMMYFUNCTION("IMPORTRANGE(""https://docs.google.com/spreadsheets/d/1nYxRXgnCfTXtqUY1otYuTlnrzE0Tn-Y0YRsW5pkRVqo/edit?usp=sharing"",""ปราจีนบุรี!J590"")"),0)</f>
        <v>0</v>
      </c>
      <c r="BK63" s="140">
        <f ca="1">IFERROR(__xludf.DUMMYFUNCTION("IMPORTRANGE(""https://docs.google.com/spreadsheets/d/1nYxRXgnCfTXtqUY1otYuTlnrzE0Tn-Y0YRsW5pkRVqo/edit?usp=sharing"",""ปราจีนบุรี!J591"")"),0)</f>
        <v>0</v>
      </c>
      <c r="BL63" s="57">
        <f ca="1">IFERROR(__xludf.DUMMYFUNCTION("IMPORTRANGE(""https://docs.google.com/spreadsheets/d/1nYxRXgnCfTXtqUY1otYuTlnrzE0Tn-Y0YRsW5pkRVqo/edit?usp=sharing"",""ปราจีนบุรี!I593"")"),792.63)</f>
        <v>792.63</v>
      </c>
      <c r="BM63" s="57">
        <f ca="1">IFERROR(__xludf.DUMMYFUNCTION("IMPORTRANGE(""https://docs.google.com/spreadsheets/d/1nYxRXgnCfTXtqUY1otYuTlnrzE0Tn-Y0YRsW5pkRVqo/edit?usp=sharing"",""ปราจีนบุรี!I594"")"),21)</f>
        <v>21</v>
      </c>
      <c r="BN63" s="63">
        <f ca="1">IFERROR(__xludf.DUMMYFUNCTION("IMPORTRANGE(""https://docs.google.com/spreadsheets/d/1nYxRXgnCfTXtqUY1otYuTlnrzE0Tn-Y0YRsW5pkRVqo/edit?usp=sharing"",""ปราจีนบุรี!J593"")"),0)</f>
        <v>0</v>
      </c>
      <c r="BO63" s="63">
        <f t="shared" ca="1" si="40"/>
        <v>0</v>
      </c>
      <c r="BP63" s="57">
        <f ca="1">IFERROR(__xludf.DUMMYFUNCTION("IMPORTRANGE(""https://docs.google.com/spreadsheets/d/1nYxRXgnCfTXtqUY1otYuTlnrzE0Tn-Y0YRsW5pkRVqo/edit?usp=sharing"",""ปราจีนบุรี!J594"")"),0)</f>
        <v>0</v>
      </c>
      <c r="BQ63" s="63">
        <f t="shared" ca="1" si="16"/>
        <v>0</v>
      </c>
      <c r="BR63" s="63">
        <f ca="1">IFERROR(__xludf.DUMMYFUNCTION("IMPORTRANGE(""https://docs.google.com/spreadsheets/d/1nYxRXgnCfTXtqUY1otYuTlnrzE0Tn-Y0YRsW5pkRVqo/edit?usp=sharing"",""ปราจีนบุรี!J595"")"),0)</f>
        <v>0</v>
      </c>
      <c r="BS63" s="140">
        <f ca="1">IFERROR(__xludf.DUMMYFUNCTION("IMPORTRANGE(""https://docs.google.com/spreadsheets/d/1nYxRXgnCfTXtqUY1otYuTlnrzE0Tn-Y0YRsW5pkRVqo/edit?usp=sharing"",""ปราจีนบุรี!J596"")"),0)</f>
        <v>0</v>
      </c>
      <c r="BT63" s="63">
        <f ca="1">IFERROR(__xludf.DUMMYFUNCTION("IMPORTRANGE(""https://docs.google.com/spreadsheets/d/1nYxRXgnCfTXtqUY1otYuTlnrzE0Tn-Y0YRsW5pkRVqo/edit?usp=sharing"",""ปราจีนบุรี!J597"")"),0)</f>
        <v>0</v>
      </c>
      <c r="BU63" s="140">
        <f ca="1">IFERROR(__xludf.DUMMYFUNCTION("IMPORTRANGE(""https://docs.google.com/spreadsheets/d/1nYxRXgnCfTXtqUY1otYuTlnrzE0Tn-Y0YRsW5pkRVqo/edit?usp=sharing"",""ปราจีนบุรี!J598"")"),0)</f>
        <v>0</v>
      </c>
      <c r="BV63" s="63">
        <f ca="1">IFERROR(__xludf.DUMMYFUNCTION("IMPORTRANGE(""https://docs.google.com/spreadsheets/d/1nYxRXgnCfTXtqUY1otYuTlnrzE0Tn-Y0YRsW5pkRVqo/edit?usp=sharing"",""ปราจีนบุรี!J599"")"),0)</f>
        <v>0</v>
      </c>
      <c r="BW63" s="140">
        <f ca="1">IFERROR(__xludf.DUMMYFUNCTION("IMPORTRANGE(""https://docs.google.com/spreadsheets/d/1nYxRXgnCfTXtqUY1otYuTlnrzE0Tn-Y0YRsW5pkRVqo/edit?usp=sharing"",""ปราจีนบุรี!J600"")"),0)</f>
        <v>0</v>
      </c>
      <c r="BX63" s="141">
        <f ca="1">IFERROR(__xludf.DUMMYFUNCTION("IMPORTRANGE(""https://docs.google.com/spreadsheets/d/1nYxRXgnCfTXtqUY1otYuTlnrzE0Tn-Y0YRsW5pkRVqo/edit?usp=sharing"",""ปราจีนบุรี!J601"")"),0)</f>
        <v>0</v>
      </c>
      <c r="BY63" s="140">
        <f ca="1">IFERROR(__xludf.DUMMYFUNCTION("IMPORTRANGE(""https://docs.google.com/spreadsheets/d/1nYxRXgnCfTXtqUY1otYuTlnrzE0Tn-Y0YRsW5pkRVqo/edit?usp=sharing"",""ปราจีนบุรี!J602"")"),0)</f>
        <v>0</v>
      </c>
      <c r="BZ63" s="63">
        <f ca="1">IFERROR(__xludf.DUMMYFUNCTION("IMPORTRANGE(""https://docs.google.com/spreadsheets/d/1nYxRXgnCfTXtqUY1otYuTlnrzE0Tn-Y0YRsW5pkRVqo/edit?usp=sharing"",""ปราจีนบุรี!J603"")"),0)</f>
        <v>0</v>
      </c>
      <c r="CA63" s="140">
        <f ca="1">IFERROR(__xludf.DUMMYFUNCTION("IMPORTRANGE(""https://docs.google.com/spreadsheets/d/1nYxRXgnCfTXtqUY1otYuTlnrzE0Tn-Y0YRsW5pkRVqo/edit?usp=sharing"",""ปราจีนบุรี!J604"")"),0)</f>
        <v>0</v>
      </c>
      <c r="CB63" s="63">
        <f ca="1">IFERROR(__xludf.DUMMYFUNCTION("IMPORTRANGE(""https://docs.google.com/spreadsheets/d/1nYxRXgnCfTXtqUY1otYuTlnrzE0Tn-Y0YRsW5pkRVqo/edit?usp=sharing"",""ปราจีนบุรี!J605"")"),0)</f>
        <v>0</v>
      </c>
      <c r="CC63" s="140">
        <f ca="1">IFERROR(__xludf.DUMMYFUNCTION("IMPORTRANGE(""https://docs.google.com/spreadsheets/d/1nYxRXgnCfTXtqUY1otYuTlnrzE0Tn-Y0YRsW5pkRVqo/edit?usp=sharing"",""ปราจีนบุรี!J606"")"),0)</f>
        <v>0</v>
      </c>
      <c r="CD63" s="63">
        <f ca="1">IFERROR(__xludf.DUMMYFUNCTION("IMPORTRANGE(""https://docs.google.com/spreadsheets/d/1nYxRXgnCfTXtqUY1otYuTlnrzE0Tn-Y0YRsW5pkRVqo/edit?usp=sharing"",""ปราจีนบุรี!J607"")"),0)</f>
        <v>0</v>
      </c>
      <c r="CE63" s="140">
        <f ca="1">IFERROR(__xludf.DUMMYFUNCTION("IMPORTRANGE(""https://docs.google.com/spreadsheets/d/1nYxRXgnCfTXtqUY1otYuTlnrzE0Tn-Y0YRsW5pkRVqo/edit?usp=sharing"",""ปราจีนบุรี!J608"")"),0)</f>
        <v>0</v>
      </c>
      <c r="CF63" s="63">
        <f ca="1">IFERROR(__xludf.DUMMYFUNCTION("IMPORTRANGE(""https://docs.google.com/spreadsheets/d/1nYxRXgnCfTXtqUY1otYuTlnrzE0Tn-Y0YRsW5pkRVqo/edit?usp=sharing"",""ปราจีนบุรี!J609"")"),0)</f>
        <v>0</v>
      </c>
      <c r="CG63" s="140">
        <f ca="1">IFERROR(__xludf.DUMMYFUNCTION("IMPORTRANGE(""https://docs.google.com/spreadsheets/d/1nYxRXgnCfTXtqUY1otYuTlnrzE0Tn-Y0YRsW5pkRVqo/edit?usp=sharing"",""ปราจีนบุรี!J610"")"),0)</f>
        <v>0</v>
      </c>
      <c r="CH63" s="140">
        <f ca="1">IFERROR(__xludf.DUMMYFUNCTION("IMPORTRANGE(""https://docs.google.com/spreadsheets/d/1nYxRXgnCfTXtqUY1otYuTlnrzE0Tn-Y0YRsW5pkRVqo/edit?usp=sharing"",""ปราจีนบุรี!I612"")"),0)</f>
        <v>0</v>
      </c>
      <c r="CI63" s="140">
        <f ca="1">IFERROR(__xludf.DUMMYFUNCTION("IMPORTRANGE(""https://docs.google.com/spreadsheets/d/1nYxRXgnCfTXtqUY1otYuTlnrzE0Tn-Y0YRsW5pkRVqo/edit?usp=sharing"",""ปราจีนบุรี!I594"")"),21)</f>
        <v>21</v>
      </c>
      <c r="CJ63" s="141">
        <f ca="1">IFERROR(__xludf.DUMMYFUNCTION("IMPORTRANGE(""https://docs.google.com/spreadsheets/d/1nYxRXgnCfTXtqUY1otYuTlnrzE0Tn-Y0YRsW5pkRVqo/edit?usp=sharing"",""ปราจีนบุรี!J612"")"),0)</f>
        <v>0</v>
      </c>
      <c r="CK63" s="141">
        <f t="shared" ca="1" si="41"/>
        <v>0</v>
      </c>
      <c r="CL63" s="140">
        <f ca="1">IFERROR(__xludf.DUMMYFUNCTION("IMPORTRANGE(""https://docs.google.com/spreadsheets/d/1nYxRXgnCfTXtqUY1otYuTlnrzE0Tn-Y0YRsW5pkRVqo/edit?usp=sharing"",""ปราจีนบุรี!J613"")"),0)</f>
        <v>0</v>
      </c>
      <c r="CM63" s="141">
        <f t="shared" ca="1" si="19"/>
        <v>0</v>
      </c>
      <c r="CN63" s="63">
        <f ca="1">IFERROR(__xludf.DUMMYFUNCTION("IMPORTRANGE(""https://docs.google.com/spreadsheets/d/1nYxRXgnCfTXtqUY1otYuTlnrzE0Tn-Y0YRsW5pkRVqo/edit?usp=sharing"",""ปราจีนบุรี!J614"")"),0)</f>
        <v>0</v>
      </c>
      <c r="CO63" s="140">
        <f ca="1">IFERROR(__xludf.DUMMYFUNCTION("IMPORTRANGE(""https://docs.google.com/spreadsheets/d/1nYxRXgnCfTXtqUY1otYuTlnrzE0Tn-Y0YRsW5pkRVqo/edit?usp=sharing"",""ปราจีนบุรี!J615"")"),0)</f>
        <v>0</v>
      </c>
      <c r="CP63" s="63">
        <f ca="1">IFERROR(__xludf.DUMMYFUNCTION("IMPORTRANGE(""https://docs.google.com/spreadsheets/d/1nYxRXgnCfTXtqUY1otYuTlnrzE0Tn-Y0YRsW5pkRVqo/edit?usp=sharing"",""ปราจีนบุรี!J616"")"),0)</f>
        <v>0</v>
      </c>
      <c r="CQ63" s="140">
        <f ca="1">IFERROR(__xludf.DUMMYFUNCTION("IMPORTRANGE(""https://docs.google.com/spreadsheets/d/1nYxRXgnCfTXtqUY1otYuTlnrzE0Tn-Y0YRsW5pkRVqo/edit?usp=sharing"",""ปราจีนบุรี!J617"")"),0)</f>
        <v>0</v>
      </c>
      <c r="CR63" s="140">
        <f ca="1">IFERROR(__xludf.DUMMYFUNCTION("IMPORTRANGE(""https://docs.google.com/spreadsheets/d/1nYxRXgnCfTXtqUY1otYuTlnrzE0Tn-Y0YRsW5pkRVqo/edit?usp=sharing"",""ปราจีนบุรี!I620"")"),0)</f>
        <v>0</v>
      </c>
      <c r="CS63" s="140">
        <f ca="1">IFERROR(__xludf.DUMMYFUNCTION("IMPORTRANGE(""https://docs.google.com/spreadsheets/d/1nYxRXgnCfTXtqUY1otYuTlnrzE0Tn-Y0YRsW5pkRVqo/edit?usp=sharing"",""ปราจีนบุรี!I621"")"),0)</f>
        <v>0</v>
      </c>
      <c r="CT63" s="141">
        <f ca="1">IFERROR(__xludf.DUMMYFUNCTION("IMPORTRANGE(""https://docs.google.com/spreadsheets/d/1nYxRXgnCfTXtqUY1otYuTlnrzE0Tn-Y0YRsW5pkRVqo/edit?usp=sharing"",""ปราจีนบุรี!J620"")"),0)</f>
        <v>0</v>
      </c>
      <c r="CU63" s="141">
        <f t="shared" ca="1" si="42"/>
        <v>0</v>
      </c>
      <c r="CV63" s="140">
        <f ca="1">IFERROR(__xludf.DUMMYFUNCTION("IMPORTRANGE(""https://docs.google.com/spreadsheets/d/1nYxRXgnCfTXtqUY1otYuTlnrzE0Tn-Y0YRsW5pkRVqo/edit?usp=sharing"",""ปราจีนบุรี!J621"")"),0)</f>
        <v>0</v>
      </c>
      <c r="CW63" s="141">
        <f t="shared" ca="1" si="22"/>
        <v>0</v>
      </c>
      <c r="CX63" s="63">
        <f ca="1">IFERROR(__xludf.DUMMYFUNCTION("IMPORTRANGE(""https://docs.google.com/spreadsheets/d/1nYxRXgnCfTXtqUY1otYuTlnrzE0Tn-Y0YRsW5pkRVqo/edit?usp=sharing"",""ปราจีนบุรี!J622"")"),0)</f>
        <v>0</v>
      </c>
      <c r="CY63" s="140">
        <f ca="1">IFERROR(__xludf.DUMMYFUNCTION("IMPORTRANGE(""https://docs.google.com/spreadsheets/d/1nYxRXgnCfTXtqUY1otYuTlnrzE0Tn-Y0YRsW5pkRVqo/edit?usp=sharing"",""ปราจีนบุรี!J623"")"),0)</f>
        <v>0</v>
      </c>
      <c r="CZ63" s="63">
        <f ca="1">IFERROR(__xludf.DUMMYFUNCTION("IMPORTRANGE(""https://docs.google.com/spreadsheets/d/1nYxRXgnCfTXtqUY1otYuTlnrzE0Tn-Y0YRsW5pkRVqo/edit?usp=sharing"",""ปราจีนบุรี!J624"")"),0)</f>
        <v>0</v>
      </c>
      <c r="DA63" s="140">
        <f ca="1">IFERROR(__xludf.DUMMYFUNCTION("IMPORTRANGE(""https://docs.google.com/spreadsheets/d/1nYxRXgnCfTXtqUY1otYuTlnrzE0Tn-Y0YRsW5pkRVqo/edit?usp=sharing"",""ปราจีนบุรี!J625"")"),0)</f>
        <v>0</v>
      </c>
      <c r="DB63" s="63">
        <f ca="1">IFERROR(__xludf.DUMMYFUNCTION("IMPORTRANGE(""https://docs.google.com/spreadsheets/d/1nYxRXgnCfTXtqUY1otYuTlnrzE0Tn-Y0YRsW5pkRVqo/edit?usp=sharing"",""ปราจีนบุรี!J626"")"),0)</f>
        <v>0</v>
      </c>
      <c r="DC63" s="140">
        <f ca="1">IFERROR(__xludf.DUMMYFUNCTION("IMPORTRANGE(""https://docs.google.com/spreadsheets/d/1nYxRXgnCfTXtqUY1otYuTlnrzE0Tn-Y0YRsW5pkRVqo/edit?usp=sharing"",""ปราจีนบุรี!J627"")"),0)</f>
        <v>0</v>
      </c>
    </row>
    <row r="64" spans="1:107" ht="21" customHeight="1" x14ac:dyDescent="0.3">
      <c r="A64" s="54">
        <v>12</v>
      </c>
      <c r="B64" s="55" t="s">
        <v>85</v>
      </c>
      <c r="C64" s="56">
        <f t="shared" ca="1" si="77"/>
        <v>219200</v>
      </c>
      <c r="D64" s="57">
        <f ca="1">IFERROR(__xludf.DUMMYFUNCTION("IMPORTRANGE(""https://docs.google.com/spreadsheets/d/1nNHCLO8ZAXOMfQvxux7cf_hrzPAh8FAvaHq_ClKbZNo/edit?usp=sharing"",""พระนครศรีอยุธยา!L549"")"),219200)</f>
        <v>219200</v>
      </c>
      <c r="E64" s="64">
        <f ca="1">IFERROR(__xludf.DUMMYFUNCTION("IMPORTRANGE(""https://docs.google.com/spreadsheets/d/1nNHCLO8ZAXOMfQvxux7cf_hrzPAh8FAvaHq_ClKbZNo/edit?usp=sharing"",""พระนครศรีอยุธยา!L557"")"),0)</f>
        <v>0</v>
      </c>
      <c r="F64" s="64">
        <f ca="1">IFERROR(__xludf.DUMMYFUNCTION("IMPORTRANGE(""https://docs.google.com/spreadsheets/d/1nNHCLO8ZAXOMfQvxux7cf_hrzPAh8FAvaHq_ClKbZNo/edit?usp=sharing"",""พระนครศรีอยุธยา!M549"")"),219200)</f>
        <v>219200</v>
      </c>
      <c r="G64" s="64">
        <f ca="1">IFERROR(__xludf.DUMMYFUNCTION("IMPORTRANGE(""https://docs.google.com/spreadsheets/d/1nNHCLO8ZAXOMfQvxux7cf_hrzPAh8FAvaHq_ClKbZNo/edit?usp=sharing"",""พระนครศรีอยุธยา!M557"")"),0)</f>
        <v>0</v>
      </c>
      <c r="H64" s="58">
        <f t="shared" ca="1" si="36"/>
        <v>79421.23000000001</v>
      </c>
      <c r="I64" s="59">
        <f t="shared" ca="1" si="1"/>
        <v>36.232312956204382</v>
      </c>
      <c r="J64" s="60">
        <f t="shared" ca="1" si="78"/>
        <v>79421.23000000001</v>
      </c>
      <c r="K64" s="61">
        <f t="shared" ca="1" si="44"/>
        <v>36.232312956204382</v>
      </c>
      <c r="L64" s="61">
        <f t="shared" ca="1" si="45"/>
        <v>36.232312956204382</v>
      </c>
      <c r="M64" s="64">
        <f ca="1">IFERROR(__xludf.DUMMYFUNCTION("IMPORTRANGE(""https://docs.google.com/spreadsheets/d/1nNHCLO8ZAXOMfQvxux7cf_hrzPAh8FAvaHq_ClKbZNo/edit?usp=sharing"",""พระนครศรีอยุธยา!N550"")"),0)</f>
        <v>0</v>
      </c>
      <c r="N64" s="64">
        <f ca="1">IFERROR(__xludf.DUMMYFUNCTION("IMPORTRANGE(""https://docs.google.com/spreadsheets/d/1nNHCLO8ZAXOMfQvxux7cf_hrzPAh8FAvaHq_ClKbZNo/edit?usp=sharing"",""พระนครศรีอยุธยา!N551"")"),0)</f>
        <v>0</v>
      </c>
      <c r="O64" s="64">
        <f ca="1">IFERROR(__xludf.DUMMYFUNCTION("IMPORTRANGE(""https://docs.google.com/spreadsheets/d/1nNHCLO8ZAXOMfQvxux7cf_hrzPAh8FAvaHq_ClKbZNo/edit?usp=sharing"",""พระนครศรีอยุธยา!N552"")"),48533.33)</f>
        <v>48533.33</v>
      </c>
      <c r="P64" s="64">
        <f ca="1">IFERROR(__xludf.DUMMYFUNCTION("IMPORTRANGE(""https://docs.google.com/spreadsheets/d/1nNHCLO8ZAXOMfQvxux7cf_hrzPAh8FAvaHq_ClKbZNo/edit?usp=sharing"",""พระนครศรีอยุธยา!N553"")"),30887.9)</f>
        <v>30887.9</v>
      </c>
      <c r="Q64" s="64">
        <f ca="1">IFERROR(__xludf.DUMMYFUNCTION("IMPORTRANGE(""https://docs.google.com/spreadsheets/d/1nNHCLO8ZAXOMfQvxux7cf_hrzPAh8FAvaHq_ClKbZNo/edit?usp=sharing"",""พระนครศรีอยุธยา!N554"")"),0)</f>
        <v>0</v>
      </c>
      <c r="R64" s="62">
        <f ca="1">IFERROR(__xludf.DUMMYFUNCTION("IMPORTRANGE(""https://docs.google.com/spreadsheets/d/1nNHCLO8ZAXOMfQvxux7cf_hrzPAh8FAvaHq_ClKbZNo/edit?usp=sharing"",""พระนครศรีอยุธยา!N557"")"),0)</f>
        <v>0</v>
      </c>
      <c r="S64" s="62">
        <f t="shared" ca="1" si="47"/>
        <v>0</v>
      </c>
      <c r="T64" s="57">
        <f ca="1">IFERROR(__xludf.DUMMYFUNCTION("IMPORTRANGE(""https://docs.google.com/spreadsheets/d/1nNHCLO8ZAXOMfQvxux7cf_hrzPAh8FAvaHq_ClKbZNo/edit?usp=sharing"",""พระนครศรีอยุธยา!I560"")"),0)</f>
        <v>0</v>
      </c>
      <c r="U64" s="57">
        <f ca="1">IFERROR(__xludf.DUMMYFUNCTION("IMPORTRANGE(""https://docs.google.com/spreadsheets/d/1nNHCLO8ZAXOMfQvxux7cf_hrzPAh8FAvaHq_ClKbZNo/edit?usp=sharing"",""พระนครศรีอยุธยา!I561"")"),0)</f>
        <v>0</v>
      </c>
      <c r="V64" s="63">
        <f ca="1">IFERROR(__xludf.DUMMYFUNCTION("IMPORTRANGE(""https://docs.google.com/spreadsheets/d/1nNHCLO8ZAXOMfQvxux7cf_hrzPAh8FAvaHq_ClKbZNo/edit?usp=sharing"",""พระนครศรีอยุธยา!J560"")"),0)</f>
        <v>0</v>
      </c>
      <c r="W64" s="63">
        <f t="shared" ca="1" si="37"/>
        <v>0</v>
      </c>
      <c r="X64" s="57">
        <f ca="1">IFERROR(__xludf.DUMMYFUNCTION("IMPORTRANGE(""https://docs.google.com/spreadsheets/d/1nNHCLO8ZAXOMfQvxux7cf_hrzPAh8FAvaHq_ClKbZNo/edit?usp=sharing"",""พระนครศรีอยุธยา!J561"")"),0)</f>
        <v>0</v>
      </c>
      <c r="Y64" s="63">
        <f t="shared" ca="1" si="7"/>
        <v>0</v>
      </c>
      <c r="Z64" s="63">
        <f ca="1">IFERROR(__xludf.DUMMYFUNCTION("IMPORTRANGE(""https://docs.google.com/spreadsheets/d/1nNHCLO8ZAXOMfQvxux7cf_hrzPAh8FAvaHq_ClKbZNo/edit?usp=sharing"",""พระนครศรีอยุธยา!J562"")"),0)</f>
        <v>0</v>
      </c>
      <c r="AA64" s="140">
        <f ca="1">IFERROR(__xludf.DUMMYFUNCTION("IMPORTRANGE(""https://docs.google.com/spreadsheets/d/1nNHCLO8ZAXOMfQvxux7cf_hrzPAh8FAvaHq_ClKbZNo/edit?usp=sharing"",""พระนครศรีอยุธยา!J563"")"),0)</f>
        <v>0</v>
      </c>
      <c r="AB64" s="63">
        <f ca="1">IFERROR(__xludf.DUMMYFUNCTION("IMPORTRANGE(""https://docs.google.com/spreadsheets/d/1nNHCLO8ZAXOMfQvxux7cf_hrzPAh8FAvaHq_ClKbZNo/edit?usp=sharing"",""พระนครศรีอยุธยา!J564"")"),0)</f>
        <v>0</v>
      </c>
      <c r="AC64" s="140">
        <f ca="1">IFERROR(__xludf.DUMMYFUNCTION("IMPORTRANGE(""https://docs.google.com/spreadsheets/d/1nNHCLO8ZAXOMfQvxux7cf_hrzPAh8FAvaHq_ClKbZNo/edit?usp=sharing"",""พระนครศรีอยุธยา!J565"")"),0)</f>
        <v>0</v>
      </c>
      <c r="AD64" s="63">
        <f ca="1">IFERROR(__xludf.DUMMYFUNCTION("IMPORTRANGE(""https://docs.google.com/spreadsheets/d/1nNHCLO8ZAXOMfQvxux7cf_hrzPAh8FAvaHq_ClKbZNo/edit?usp=sharing"",""พระนครศรีอยุธยา!J566"")"),0)</f>
        <v>0</v>
      </c>
      <c r="AE64" s="140">
        <f ca="1">IFERROR(__xludf.DUMMYFUNCTION("IMPORTRANGE(""https://docs.google.com/spreadsheets/d/1nNHCLO8ZAXOMfQvxux7cf_hrzPAh8FAvaHq_ClKbZNo/edit?usp=sharing"",""พระนครศรีอยุธยา!J567"")"),0)</f>
        <v>0</v>
      </c>
      <c r="AF64" s="57">
        <f ca="1">IFERROR(__xludf.DUMMYFUNCTION("IMPORTRANGE(""https://docs.google.com/spreadsheets/d/1nNHCLO8ZAXOMfQvxux7cf_hrzPAh8FAvaHq_ClKbZNo/edit?usp=sharing"",""พระนครศรีอยุธยา!I568"")"),0)</f>
        <v>0</v>
      </c>
      <c r="AG64" s="57">
        <f ca="1">IFERROR(__xludf.DUMMYFUNCTION("IMPORTRANGE(""https://docs.google.com/spreadsheets/d/1nNHCLO8ZAXOMfQvxux7cf_hrzPAh8FAvaHq_ClKbZNo/edit?usp=sharing"",""พระนครศรีอยุธยา!I569"")"),0)</f>
        <v>0</v>
      </c>
      <c r="AH64" s="63">
        <f ca="1">IFERROR(__xludf.DUMMYFUNCTION("IMPORTRANGE(""https://docs.google.com/spreadsheets/d/1nNHCLO8ZAXOMfQvxux7cf_hrzPAh8FAvaHq_ClKbZNo/edit?usp=sharing"",""พระนครศรีอยุธยา!J568"")"),0)</f>
        <v>0</v>
      </c>
      <c r="AI64" s="63">
        <f t="shared" ca="1" si="38"/>
        <v>0</v>
      </c>
      <c r="AJ64" s="57">
        <f ca="1">IFERROR(__xludf.DUMMYFUNCTION("IMPORTRANGE(""https://docs.google.com/spreadsheets/d/1nNHCLO8ZAXOMfQvxux7cf_hrzPAh8FAvaHq_ClKbZNo/edit?usp=sharing"",""พระนครศรีอยุธยา!J569"")"),0)</f>
        <v>0</v>
      </c>
      <c r="AK64" s="63">
        <f t="shared" ca="1" si="10"/>
        <v>0</v>
      </c>
      <c r="AL64" s="63">
        <f ca="1">IFERROR(__xludf.DUMMYFUNCTION("IMPORTRANGE(""https://docs.google.com/spreadsheets/d/1nNHCLO8ZAXOMfQvxux7cf_hrzPAh8FAvaHq_ClKbZNo/edit?usp=sharing"",""พระนครศรีอยุธยา!J570"")"),0)</f>
        <v>0</v>
      </c>
      <c r="AM64" s="140">
        <f ca="1">IFERROR(__xludf.DUMMYFUNCTION("IMPORTRANGE(""https://docs.google.com/spreadsheets/d/1nNHCLO8ZAXOMfQvxux7cf_hrzPAh8FAvaHq_ClKbZNo/edit?usp=sharing"",""พระนครศรีอยุธยา!J571"")"),0)</f>
        <v>0</v>
      </c>
      <c r="AN64" s="63">
        <f ca="1">IFERROR(__xludf.DUMMYFUNCTION("IMPORTRANGE(""https://docs.google.com/spreadsheets/d/1nNHCLO8ZAXOMfQvxux7cf_hrzPAh8FAvaHq_ClKbZNo/edit?usp=sharing"",""พระนครศรีอยุธยา!J572"")"),0)</f>
        <v>0</v>
      </c>
      <c r="AO64" s="140">
        <f ca="1">IFERROR(__xludf.DUMMYFUNCTION("IMPORTRANGE(""https://docs.google.com/spreadsheets/d/1nNHCLO8ZAXOMfQvxux7cf_hrzPAh8FAvaHq_ClKbZNo/edit?usp=sharing"",""พระนครศรีอยุธยา!J573"")"),0)</f>
        <v>0</v>
      </c>
      <c r="AP64" s="63">
        <f ca="1">IFERROR(__xludf.DUMMYFUNCTION("IMPORTRANGE(""https://docs.google.com/spreadsheets/d/1nNHCLO8ZAXOMfQvxux7cf_hrzPAh8FAvaHq_ClKbZNo/edit?usp=sharing"",""พระนครศรีอยุธยา!J574"")"),0)</f>
        <v>0</v>
      </c>
      <c r="AQ64" s="140">
        <f ca="1">IFERROR(__xludf.DUMMYFUNCTION("IMPORTRANGE(""https://docs.google.com/spreadsheets/d/1nNHCLO8ZAXOMfQvxux7cf_hrzPAh8FAvaHq_ClKbZNo/edit?usp=sharing"",""พระนครศรีอยุธยา!J575"")"),0)</f>
        <v>0</v>
      </c>
      <c r="AR64" s="57">
        <f ca="1">IFERROR(__xludf.DUMMYFUNCTION("IMPORTRANGE(""https://docs.google.com/spreadsheets/d/1nNHCLO8ZAXOMfQvxux7cf_hrzPAh8FAvaHq_ClKbZNo/edit?usp=sharing"",""พระนครศรีอยุธยา!I576"")"),0)</f>
        <v>0</v>
      </c>
      <c r="AS64" s="57">
        <f ca="1">IFERROR(__xludf.DUMMYFUNCTION("IMPORTRANGE(""https://docs.google.com/spreadsheets/d/1nNHCLO8ZAXOMfQvxux7cf_hrzPAh8FAvaHq_ClKbZNo/edit?usp=sharing"",""พระนครศรีอยุธยา!I577"")"),0)</f>
        <v>0</v>
      </c>
      <c r="AT64" s="63">
        <f ca="1">IFERROR(__xludf.DUMMYFUNCTION("IMPORTRANGE(""https://docs.google.com/spreadsheets/d/1nNHCLO8ZAXOMfQvxux7cf_hrzPAh8FAvaHq_ClKbZNo/edit?usp=sharing"",""พระนครศรีอยุธยา!J576"")"),0)</f>
        <v>0</v>
      </c>
      <c r="AU64" s="63">
        <f t="shared" ca="1" si="39"/>
        <v>0</v>
      </c>
      <c r="AV64" s="57">
        <f ca="1">IFERROR(__xludf.DUMMYFUNCTION("IMPORTRANGE(""https://docs.google.com/spreadsheets/d/1nNHCLO8ZAXOMfQvxux7cf_hrzPAh8FAvaHq_ClKbZNo/edit?usp=sharing"",""พระนครศรีอยุธยา!J577"")"),0)</f>
        <v>0</v>
      </c>
      <c r="AW64" s="63">
        <f t="shared" ca="1" si="13"/>
        <v>0</v>
      </c>
      <c r="AX64" s="63">
        <f ca="1">IFERROR(__xludf.DUMMYFUNCTION("IMPORTRANGE(""https://docs.google.com/spreadsheets/d/1nNHCLO8ZAXOMfQvxux7cf_hrzPAh8FAvaHq_ClKbZNo/edit?usp=sharing"",""พระนครศรีอยุธยา!J578"")"),0)</f>
        <v>0</v>
      </c>
      <c r="AY64" s="140">
        <f ca="1">IFERROR(__xludf.DUMMYFUNCTION("IMPORTRANGE(""https://docs.google.com/spreadsheets/d/1nNHCLO8ZAXOMfQvxux7cf_hrzPAh8FAvaHq_ClKbZNo/edit?usp=sharing"",""พระนครศรีอยุธยา!J579"")"),0)</f>
        <v>0</v>
      </c>
      <c r="AZ64" s="63">
        <f ca="1">IFERROR(__xludf.DUMMYFUNCTION("IMPORTRANGE(""https://docs.google.com/spreadsheets/d/1nNHCLO8ZAXOMfQvxux7cf_hrzPAh8FAvaHq_ClKbZNo/edit?usp=sharing"",""พระนครศรีอยุธยา!J580"")"),0)</f>
        <v>0</v>
      </c>
      <c r="BA64" s="140">
        <f ca="1">IFERROR(__xludf.DUMMYFUNCTION("IMPORTRANGE(""https://docs.google.com/spreadsheets/d/1nNHCLO8ZAXOMfQvxux7cf_hrzPAh8FAvaHq_ClKbZNo/edit?usp=sharing"",""พระนครศรีอยุธยา!J581"")"),0)</f>
        <v>0</v>
      </c>
      <c r="BB64" s="63">
        <f ca="1">IFERROR(__xludf.DUMMYFUNCTION("IMPORTRANGE(""https://docs.google.com/spreadsheets/d/1nNHCLO8ZAXOMfQvxux7cf_hrzPAh8FAvaHq_ClKbZNo/edit?usp=sharing"",""พระนครศรีอยุธยา!J582"")"),0)</f>
        <v>0</v>
      </c>
      <c r="BC64" s="140">
        <f ca="1">IFERROR(__xludf.DUMMYFUNCTION("IMPORTRANGE(""https://docs.google.com/spreadsheets/d/1nNHCLO8ZAXOMfQvxux7cf_hrzPAh8FAvaHq_ClKbZNo/edit?usp=sharing"",""พระนครศรีอยุธยา!J583"")"),0)</f>
        <v>0</v>
      </c>
      <c r="BD64" s="141">
        <f ca="1">IFERROR(__xludf.DUMMYFUNCTION("IMPORTRANGE(""https://docs.google.com/spreadsheets/d/1nNHCLO8ZAXOMfQvxux7cf_hrzPAh8FAvaHq_ClKbZNo/edit?usp=sharing"",""พระนครศรีอยุธยา!J584"")"),0)</f>
        <v>0</v>
      </c>
      <c r="BE64" s="140">
        <f ca="1">IFERROR(__xludf.DUMMYFUNCTION("IMPORTRANGE(""https://docs.google.com/spreadsheets/d/1nNHCLO8ZAXOMfQvxux7cf_hrzPAh8FAvaHq_ClKbZNo/edit?usp=sharing"",""พระนครศรีอยุธยา!J585"")"),0)</f>
        <v>0</v>
      </c>
      <c r="BF64" s="141">
        <f ca="1">IFERROR(__xludf.DUMMYFUNCTION("IMPORTRANGE(""https://docs.google.com/spreadsheets/d/1nNHCLO8ZAXOMfQvxux7cf_hrzPAh8FAvaHq_ClKbZNo/edit?usp=sharing"",""พระนครศรีอยุธยา!J586"")"),0)</f>
        <v>0</v>
      </c>
      <c r="BG64" s="140">
        <f ca="1">IFERROR(__xludf.DUMMYFUNCTION("IMPORTRANGE(""https://docs.google.com/spreadsheets/d/1nNHCLO8ZAXOMfQvxux7cf_hrzPAh8FAvaHq_ClKbZNo/edit?usp=sharing"",""พระนครศรีอยุธยา!J587"")"),0)</f>
        <v>0</v>
      </c>
      <c r="BH64" s="63">
        <f ca="1">IFERROR(__xludf.DUMMYFUNCTION("IMPORTRANGE(""https://docs.google.com/spreadsheets/d/1nNHCLO8ZAXOMfQvxux7cf_hrzPAh8FAvaHq_ClKbZNo/edit?usp=sharing"",""พระนครศรีอยุธยา!J588"")"),0)</f>
        <v>0</v>
      </c>
      <c r="BI64" s="140">
        <f ca="1">IFERROR(__xludf.DUMMYFUNCTION("IMPORTRANGE(""https://docs.google.com/spreadsheets/d/1nNHCLO8ZAXOMfQvxux7cf_hrzPAh8FAvaHq_ClKbZNo/edit?usp=sharing"",""พระนครศรีอยุธยา!J589"")"),0)</f>
        <v>0</v>
      </c>
      <c r="BJ64" s="63">
        <f ca="1">IFERROR(__xludf.DUMMYFUNCTION("IMPORTRANGE(""https://docs.google.com/spreadsheets/d/1nNHCLO8ZAXOMfQvxux7cf_hrzPAh8FAvaHq_ClKbZNo/edit?usp=sharing"",""พระนครศรีอยุธยา!J590"")"),0)</f>
        <v>0</v>
      </c>
      <c r="BK64" s="140">
        <f ca="1">IFERROR(__xludf.DUMMYFUNCTION("IMPORTRANGE(""https://docs.google.com/spreadsheets/d/1nNHCLO8ZAXOMfQvxux7cf_hrzPAh8FAvaHq_ClKbZNo/edit?usp=sharing"",""พระนครศรีอยุธยา!J591"")"),0)</f>
        <v>0</v>
      </c>
      <c r="BL64" s="57">
        <f ca="1">IFERROR(__xludf.DUMMYFUNCTION("IMPORTRANGE(""https://docs.google.com/spreadsheets/d/1nNHCLO8ZAXOMfQvxux7cf_hrzPAh8FAvaHq_ClKbZNo/edit?usp=sharing"",""พระนครศรีอยุธยา!I593"")"),92.73)</f>
        <v>92.73</v>
      </c>
      <c r="BM64" s="57">
        <f ca="1">IFERROR(__xludf.DUMMYFUNCTION("IMPORTRANGE(""https://docs.google.com/spreadsheets/d/1nNHCLO8ZAXOMfQvxux7cf_hrzPAh8FAvaHq_ClKbZNo/edit?usp=sharing"",""พระนครศรีอยุธยา!I594"")"),24)</f>
        <v>24</v>
      </c>
      <c r="BN64" s="63">
        <f ca="1">IFERROR(__xludf.DUMMYFUNCTION("IMPORTRANGE(""https://docs.google.com/spreadsheets/d/1nNHCLO8ZAXOMfQvxux7cf_hrzPAh8FAvaHq_ClKbZNo/edit?usp=sharing"",""พระนครศรีอยุธยา!J593"")"),0)</f>
        <v>0</v>
      </c>
      <c r="BO64" s="63">
        <f t="shared" ca="1" si="40"/>
        <v>0</v>
      </c>
      <c r="BP64" s="57">
        <f ca="1">IFERROR(__xludf.DUMMYFUNCTION("IMPORTRANGE(""https://docs.google.com/spreadsheets/d/1nNHCLO8ZAXOMfQvxux7cf_hrzPAh8FAvaHq_ClKbZNo/edit?usp=sharing"",""พระนครศรีอยุธยา!J594"")"),0)</f>
        <v>0</v>
      </c>
      <c r="BQ64" s="63">
        <f t="shared" ca="1" si="16"/>
        <v>0</v>
      </c>
      <c r="BR64" s="63">
        <f ca="1">IFERROR(__xludf.DUMMYFUNCTION("IMPORTRANGE(""https://docs.google.com/spreadsheets/d/1nNHCLO8ZAXOMfQvxux7cf_hrzPAh8FAvaHq_ClKbZNo/edit?usp=sharing"",""พระนครศรีอยุธยา!J595"")"),0)</f>
        <v>0</v>
      </c>
      <c r="BS64" s="140">
        <f ca="1">IFERROR(__xludf.DUMMYFUNCTION("IMPORTRANGE(""https://docs.google.com/spreadsheets/d/1nNHCLO8ZAXOMfQvxux7cf_hrzPAh8FAvaHq_ClKbZNo/edit?usp=sharing"",""พระนครศรีอยุธยา!J596"")"),0)</f>
        <v>0</v>
      </c>
      <c r="BT64" s="63">
        <f ca="1">IFERROR(__xludf.DUMMYFUNCTION("IMPORTRANGE(""https://docs.google.com/spreadsheets/d/1nNHCLO8ZAXOMfQvxux7cf_hrzPAh8FAvaHq_ClKbZNo/edit?usp=sharing"",""พระนครศรีอยุธยา!J597"")"),0)</f>
        <v>0</v>
      </c>
      <c r="BU64" s="140">
        <f ca="1">IFERROR(__xludf.DUMMYFUNCTION("IMPORTRANGE(""https://docs.google.com/spreadsheets/d/1nNHCLO8ZAXOMfQvxux7cf_hrzPAh8FAvaHq_ClKbZNo/edit?usp=sharing"",""พระนครศรีอยุธยา!J598"")"),0)</f>
        <v>0</v>
      </c>
      <c r="BV64" s="63">
        <f ca="1">IFERROR(__xludf.DUMMYFUNCTION("IMPORTRANGE(""https://docs.google.com/spreadsheets/d/1nNHCLO8ZAXOMfQvxux7cf_hrzPAh8FAvaHq_ClKbZNo/edit?usp=sharing"",""พระนครศรีอยุธยา!J599"")"),0)</f>
        <v>0</v>
      </c>
      <c r="BW64" s="140">
        <f ca="1">IFERROR(__xludf.DUMMYFUNCTION("IMPORTRANGE(""https://docs.google.com/spreadsheets/d/1nNHCLO8ZAXOMfQvxux7cf_hrzPAh8FAvaHq_ClKbZNo/edit?usp=sharing"",""พระนครศรีอยุธยา!J600"")"),0)</f>
        <v>0</v>
      </c>
      <c r="BX64" s="141">
        <f ca="1">IFERROR(__xludf.DUMMYFUNCTION("IMPORTRANGE(""https://docs.google.com/spreadsheets/d/1nNHCLO8ZAXOMfQvxux7cf_hrzPAh8FAvaHq_ClKbZNo/edit?usp=sharing"",""พระนครศรีอยุธยา!J601"")"),0)</f>
        <v>0</v>
      </c>
      <c r="BY64" s="140">
        <f ca="1">IFERROR(__xludf.DUMMYFUNCTION("IMPORTRANGE(""https://docs.google.com/spreadsheets/d/1nNHCLO8ZAXOMfQvxux7cf_hrzPAh8FAvaHq_ClKbZNo/edit?usp=sharing"",""พระนครศรีอยุธยา!J602"")"),0)</f>
        <v>0</v>
      </c>
      <c r="BZ64" s="63">
        <f ca="1">IFERROR(__xludf.DUMMYFUNCTION("IMPORTRANGE(""https://docs.google.com/spreadsheets/d/1nNHCLO8ZAXOMfQvxux7cf_hrzPAh8FAvaHq_ClKbZNo/edit?usp=sharing"",""พระนครศรีอยุธยา!J603"")"),0)</f>
        <v>0</v>
      </c>
      <c r="CA64" s="140">
        <f ca="1">IFERROR(__xludf.DUMMYFUNCTION("IMPORTRANGE(""https://docs.google.com/spreadsheets/d/1nNHCLO8ZAXOMfQvxux7cf_hrzPAh8FAvaHq_ClKbZNo/edit?usp=sharing"",""พระนครศรีอยุธยา!J604"")"),0)</f>
        <v>0</v>
      </c>
      <c r="CB64" s="63">
        <f ca="1">IFERROR(__xludf.DUMMYFUNCTION("IMPORTRANGE(""https://docs.google.com/spreadsheets/d/1nNHCLO8ZAXOMfQvxux7cf_hrzPAh8FAvaHq_ClKbZNo/edit?usp=sharing"",""พระนครศรีอยุธยา!J605"")"),0)</f>
        <v>0</v>
      </c>
      <c r="CC64" s="140">
        <f ca="1">IFERROR(__xludf.DUMMYFUNCTION("IMPORTRANGE(""https://docs.google.com/spreadsheets/d/1nNHCLO8ZAXOMfQvxux7cf_hrzPAh8FAvaHq_ClKbZNo/edit?usp=sharing"",""พระนครศรีอยุธยา!J606"")"),0)</f>
        <v>0</v>
      </c>
      <c r="CD64" s="63">
        <f ca="1">IFERROR(__xludf.DUMMYFUNCTION("IMPORTRANGE(""https://docs.google.com/spreadsheets/d/1nNHCLO8ZAXOMfQvxux7cf_hrzPAh8FAvaHq_ClKbZNo/edit?usp=sharing"",""พระนครศรีอยุธยา!J607"")"),0)</f>
        <v>0</v>
      </c>
      <c r="CE64" s="140">
        <f ca="1">IFERROR(__xludf.DUMMYFUNCTION("IMPORTRANGE(""https://docs.google.com/spreadsheets/d/1nNHCLO8ZAXOMfQvxux7cf_hrzPAh8FAvaHq_ClKbZNo/edit?usp=sharing"",""พระนครศรีอยุธยา!J608"")"),0)</f>
        <v>0</v>
      </c>
      <c r="CF64" s="63">
        <f ca="1">IFERROR(__xludf.DUMMYFUNCTION("IMPORTRANGE(""https://docs.google.com/spreadsheets/d/1nNHCLO8ZAXOMfQvxux7cf_hrzPAh8FAvaHq_ClKbZNo/edit?usp=sharing"",""พระนครศรีอยุธยา!J609"")"),0)</f>
        <v>0</v>
      </c>
      <c r="CG64" s="140">
        <f ca="1">IFERROR(__xludf.DUMMYFUNCTION("IMPORTRANGE(""https://docs.google.com/spreadsheets/d/1nNHCLO8ZAXOMfQvxux7cf_hrzPAh8FAvaHq_ClKbZNo/edit?usp=sharing"",""พระนครศรีอยุธยา!J610"")"),0)</f>
        <v>0</v>
      </c>
      <c r="CH64" s="140">
        <f ca="1">IFERROR(__xludf.DUMMYFUNCTION("IMPORTRANGE(""https://docs.google.com/spreadsheets/d/1nNHCLO8ZAXOMfQvxux7cf_hrzPAh8FAvaHq_ClKbZNo/edit?usp=sharing"",""พระนครศรีอยุธยา!I612"")"),0)</f>
        <v>0</v>
      </c>
      <c r="CI64" s="140">
        <f ca="1">IFERROR(__xludf.DUMMYFUNCTION("IMPORTRANGE(""https://docs.google.com/spreadsheets/d/1nNHCLO8ZAXOMfQvxux7cf_hrzPAh8FAvaHq_ClKbZNo/edit?usp=sharing"",""พระนครศรีอยุธยา!I594"")"),24)</f>
        <v>24</v>
      </c>
      <c r="CJ64" s="141">
        <f ca="1">IFERROR(__xludf.DUMMYFUNCTION("IMPORTRANGE(""https://docs.google.com/spreadsheets/d/1nNHCLO8ZAXOMfQvxux7cf_hrzPAh8FAvaHq_ClKbZNo/edit?usp=sharing"",""พระนครศรีอยุธยา!J612"")"),0)</f>
        <v>0</v>
      </c>
      <c r="CK64" s="141">
        <f t="shared" ca="1" si="41"/>
        <v>0</v>
      </c>
      <c r="CL64" s="140">
        <f ca="1">IFERROR(__xludf.DUMMYFUNCTION("IMPORTRANGE(""https://docs.google.com/spreadsheets/d/1nNHCLO8ZAXOMfQvxux7cf_hrzPAh8FAvaHq_ClKbZNo/edit?usp=sharing"",""พระนครศรีอยุธยา!J613"")"),0)</f>
        <v>0</v>
      </c>
      <c r="CM64" s="141">
        <f t="shared" ca="1" si="19"/>
        <v>0</v>
      </c>
      <c r="CN64" s="63">
        <f ca="1">IFERROR(__xludf.DUMMYFUNCTION("IMPORTRANGE(""https://docs.google.com/spreadsheets/d/1nNHCLO8ZAXOMfQvxux7cf_hrzPAh8FAvaHq_ClKbZNo/edit?usp=sharing"",""พระนครศรีอยุธยา!J614"")"),0)</f>
        <v>0</v>
      </c>
      <c r="CO64" s="140">
        <f ca="1">IFERROR(__xludf.DUMMYFUNCTION("IMPORTRANGE(""https://docs.google.com/spreadsheets/d/1nNHCLO8ZAXOMfQvxux7cf_hrzPAh8FAvaHq_ClKbZNo/edit?usp=sharing"",""พระนครศรีอยุธยา!J615"")"),0)</f>
        <v>0</v>
      </c>
      <c r="CP64" s="63">
        <f ca="1">IFERROR(__xludf.DUMMYFUNCTION("IMPORTRANGE(""https://docs.google.com/spreadsheets/d/1nNHCLO8ZAXOMfQvxux7cf_hrzPAh8FAvaHq_ClKbZNo/edit?usp=sharing"",""พระนครศรีอยุธยา!J616"")"),0)</f>
        <v>0</v>
      </c>
      <c r="CQ64" s="140">
        <f ca="1">IFERROR(__xludf.DUMMYFUNCTION("IMPORTRANGE(""https://docs.google.com/spreadsheets/d/1nNHCLO8ZAXOMfQvxux7cf_hrzPAh8FAvaHq_ClKbZNo/edit?usp=sharing"",""พระนครศรีอยุธยา!J617"")"),0)</f>
        <v>0</v>
      </c>
      <c r="CR64" s="140">
        <f ca="1">IFERROR(__xludf.DUMMYFUNCTION("IMPORTRANGE(""https://docs.google.com/spreadsheets/d/1nNHCLO8ZAXOMfQvxux7cf_hrzPAh8FAvaHq_ClKbZNo/edit?usp=sharing"",""พระนครศรีอยุธยา!I620"")"),0)</f>
        <v>0</v>
      </c>
      <c r="CS64" s="140">
        <f ca="1">IFERROR(__xludf.DUMMYFUNCTION("IMPORTRANGE(""https://docs.google.com/spreadsheets/d/1nNHCLO8ZAXOMfQvxux7cf_hrzPAh8FAvaHq_ClKbZNo/edit?usp=sharing"",""พระนครศรีอยุธยา!I621"")"),0)</f>
        <v>0</v>
      </c>
      <c r="CT64" s="141">
        <f ca="1">IFERROR(__xludf.DUMMYFUNCTION("IMPORTRANGE(""https://docs.google.com/spreadsheets/d/1nNHCLO8ZAXOMfQvxux7cf_hrzPAh8FAvaHq_ClKbZNo/edit?usp=sharing"",""พระนครศรีอยุธยา!J620"")"),0)</f>
        <v>0</v>
      </c>
      <c r="CU64" s="141">
        <f t="shared" ca="1" si="42"/>
        <v>0</v>
      </c>
      <c r="CV64" s="140">
        <f ca="1">IFERROR(__xludf.DUMMYFUNCTION("IMPORTRANGE(""https://docs.google.com/spreadsheets/d/1nNHCLO8ZAXOMfQvxux7cf_hrzPAh8FAvaHq_ClKbZNo/edit?usp=sharing"",""พระนครศรีอยุธยา!J621"")"),0)</f>
        <v>0</v>
      </c>
      <c r="CW64" s="141">
        <f t="shared" ca="1" si="22"/>
        <v>0</v>
      </c>
      <c r="CX64" s="63">
        <f ca="1">IFERROR(__xludf.DUMMYFUNCTION("IMPORTRANGE(""https://docs.google.com/spreadsheets/d/1nNHCLO8ZAXOMfQvxux7cf_hrzPAh8FAvaHq_ClKbZNo/edit?usp=sharing"",""พระนครศรีอยุธยา!J622"")"),0)</f>
        <v>0</v>
      </c>
      <c r="CY64" s="140">
        <f ca="1">IFERROR(__xludf.DUMMYFUNCTION("IMPORTRANGE(""https://docs.google.com/spreadsheets/d/1nNHCLO8ZAXOMfQvxux7cf_hrzPAh8FAvaHq_ClKbZNo/edit?usp=sharing"",""พระนครศรีอยุธยา!J623"")"),0)</f>
        <v>0</v>
      </c>
      <c r="CZ64" s="63">
        <f ca="1">IFERROR(__xludf.DUMMYFUNCTION("IMPORTRANGE(""https://docs.google.com/spreadsheets/d/1nNHCLO8ZAXOMfQvxux7cf_hrzPAh8FAvaHq_ClKbZNo/edit?usp=sharing"",""พระนครศรีอยุธยา!J624"")"),0)</f>
        <v>0</v>
      </c>
      <c r="DA64" s="140">
        <f ca="1">IFERROR(__xludf.DUMMYFUNCTION("IMPORTRANGE(""https://docs.google.com/spreadsheets/d/1nNHCLO8ZAXOMfQvxux7cf_hrzPAh8FAvaHq_ClKbZNo/edit?usp=sharing"",""พระนครศรีอยุธยา!J625"")"),0)</f>
        <v>0</v>
      </c>
      <c r="DB64" s="63">
        <f ca="1">IFERROR(__xludf.DUMMYFUNCTION("IMPORTRANGE(""https://docs.google.com/spreadsheets/d/1nNHCLO8ZAXOMfQvxux7cf_hrzPAh8FAvaHq_ClKbZNo/edit?usp=sharing"",""พระนครศรีอยุธยา!J626"")"),0)</f>
        <v>0</v>
      </c>
      <c r="DC64" s="140">
        <f ca="1">IFERROR(__xludf.DUMMYFUNCTION("IMPORTRANGE(""https://docs.google.com/spreadsheets/d/1nNHCLO8ZAXOMfQvxux7cf_hrzPAh8FAvaHq_ClKbZNo/edit?usp=sharing"",""พระนครศรีอยุธยา!J627"")"),0)</f>
        <v>0</v>
      </c>
    </row>
    <row r="65" spans="1:107" ht="21" customHeight="1" x14ac:dyDescent="0.3">
      <c r="A65" s="54">
        <v>13</v>
      </c>
      <c r="B65" s="55" t="s">
        <v>86</v>
      </c>
      <c r="C65" s="56">
        <f t="shared" ca="1" si="77"/>
        <v>218300</v>
      </c>
      <c r="D65" s="57">
        <f ca="1">IFERROR(__xludf.DUMMYFUNCTION("IMPORTRANGE(""https://docs.google.com/spreadsheets/d/1CdNicvf3i6yt4tJlCePe3V1Va76wYqW0QzMzTsaGRrA/edit?usp=sharing"",""เพชรบุรี!L549"")"),218300)</f>
        <v>218300</v>
      </c>
      <c r="E65" s="64">
        <f ca="1">IFERROR(__xludf.DUMMYFUNCTION("IMPORTRANGE(""https://docs.google.com/spreadsheets/d/1CdNicvf3i6yt4tJlCePe3V1Va76wYqW0QzMzTsaGRrA/edit?usp=sharing"",""เพชรบุรี!L557"")"),0)</f>
        <v>0</v>
      </c>
      <c r="F65" s="64">
        <f ca="1">IFERROR(__xludf.DUMMYFUNCTION("IMPORTRANGE(""https://docs.google.com/spreadsheets/d/1CdNicvf3i6yt4tJlCePe3V1Va76wYqW0QzMzTsaGRrA/edit?usp=sharing"",""เพชรบุรี!M549"")"),218300)</f>
        <v>218300</v>
      </c>
      <c r="G65" s="64">
        <f ca="1">IFERROR(__xludf.DUMMYFUNCTION("IMPORTRANGE(""https://docs.google.com/spreadsheets/d/1CdNicvf3i6yt4tJlCePe3V1Va76wYqW0QzMzTsaGRrA/edit?usp=sharing"",""เพชรบุรี!M557"")"),0)</f>
        <v>0</v>
      </c>
      <c r="H65" s="58">
        <f t="shared" ca="1" si="36"/>
        <v>107490</v>
      </c>
      <c r="I65" s="59">
        <f t="shared" ca="1" si="1"/>
        <v>49.239578561612461</v>
      </c>
      <c r="J65" s="60">
        <f t="shared" ca="1" si="78"/>
        <v>107490</v>
      </c>
      <c r="K65" s="61">
        <f t="shared" ca="1" si="44"/>
        <v>49.239578561612461</v>
      </c>
      <c r="L65" s="61">
        <f t="shared" ca="1" si="45"/>
        <v>49.239578561612461</v>
      </c>
      <c r="M65" s="64">
        <f ca="1">IFERROR(__xludf.DUMMYFUNCTION("IMPORTRANGE(""https://docs.google.com/spreadsheets/d/1CdNicvf3i6yt4tJlCePe3V1Va76wYqW0QzMzTsaGRrA/edit?usp=sharing"",""เพชรบุรี!N550"")"),0)</f>
        <v>0</v>
      </c>
      <c r="N65" s="64">
        <f ca="1">IFERROR(__xludf.DUMMYFUNCTION("IMPORTRANGE(""https://docs.google.com/spreadsheets/d/1CdNicvf3i6yt4tJlCePe3V1Va76wYqW0QzMzTsaGRrA/edit?usp=sharing"",""เพชรบุรี!N551"")"),0)</f>
        <v>0</v>
      </c>
      <c r="O65" s="64">
        <f ca="1">IFERROR(__xludf.DUMMYFUNCTION("IMPORTRANGE(""https://docs.google.com/spreadsheets/d/1CdNicvf3i6yt4tJlCePe3V1Va76wYqW0QzMzTsaGRrA/edit?usp=sharing"",""เพชรบุรี!N552"")"),65000)</f>
        <v>65000</v>
      </c>
      <c r="P65" s="64">
        <f ca="1">IFERROR(__xludf.DUMMYFUNCTION("IMPORTRANGE(""https://docs.google.com/spreadsheets/d/1CdNicvf3i6yt4tJlCePe3V1Va76wYqW0QzMzTsaGRrA/edit?usp=sharing"",""เพชรบุรี!N553"")"),42490)</f>
        <v>42490</v>
      </c>
      <c r="Q65" s="64">
        <f ca="1">IFERROR(__xludf.DUMMYFUNCTION("IMPORTRANGE(""https://docs.google.com/spreadsheets/d/1CdNicvf3i6yt4tJlCePe3V1Va76wYqW0QzMzTsaGRrA/edit?usp=sharing"",""เพชรบุรี!N554"")"),0)</f>
        <v>0</v>
      </c>
      <c r="R65" s="62">
        <f ca="1">IFERROR(__xludf.DUMMYFUNCTION("IMPORTRANGE(""https://docs.google.com/spreadsheets/d/1CdNicvf3i6yt4tJlCePe3V1Va76wYqW0QzMzTsaGRrA/edit?usp=sharing"",""เพชรบุรี!N557"")"),0)</f>
        <v>0</v>
      </c>
      <c r="S65" s="62">
        <f t="shared" ca="1" si="47"/>
        <v>0</v>
      </c>
      <c r="T65" s="57">
        <f ca="1">IFERROR(__xludf.DUMMYFUNCTION("IMPORTRANGE(""https://docs.google.com/spreadsheets/d/1CdNicvf3i6yt4tJlCePe3V1Va76wYqW0QzMzTsaGRrA/edit?usp=sharing"",""เพชรบุรี!I560"")"),0)</f>
        <v>0</v>
      </c>
      <c r="U65" s="57">
        <f ca="1">IFERROR(__xludf.DUMMYFUNCTION("IMPORTRANGE(""https://docs.google.com/spreadsheets/d/1CdNicvf3i6yt4tJlCePe3V1Va76wYqW0QzMzTsaGRrA/edit?usp=sharing"",""เพชรบุรี!I561"")"),0)</f>
        <v>0</v>
      </c>
      <c r="V65" s="63">
        <f ca="1">IFERROR(__xludf.DUMMYFUNCTION("IMPORTRANGE(""https://docs.google.com/spreadsheets/d/1CdNicvf3i6yt4tJlCePe3V1Va76wYqW0QzMzTsaGRrA/edit?usp=sharing"",""เพชรบุรี!J560"")"),0)</f>
        <v>0</v>
      </c>
      <c r="W65" s="63">
        <f t="shared" ca="1" si="37"/>
        <v>0</v>
      </c>
      <c r="X65" s="57">
        <f ca="1">IFERROR(__xludf.DUMMYFUNCTION("IMPORTRANGE(""https://docs.google.com/spreadsheets/d/1CdNicvf3i6yt4tJlCePe3V1Va76wYqW0QzMzTsaGRrA/edit?usp=sharing"",""เพชรบุรี!J561"")"),0)</f>
        <v>0</v>
      </c>
      <c r="Y65" s="63">
        <f t="shared" ca="1" si="7"/>
        <v>0</v>
      </c>
      <c r="Z65" s="63">
        <f ca="1">IFERROR(__xludf.DUMMYFUNCTION("IMPORTRANGE(""https://docs.google.com/spreadsheets/d/1CdNicvf3i6yt4tJlCePe3V1Va76wYqW0QzMzTsaGRrA/edit?usp=sharing"",""เพชรบุรี!J562"")"),0)</f>
        <v>0</v>
      </c>
      <c r="AA65" s="140">
        <f ca="1">IFERROR(__xludf.DUMMYFUNCTION("IMPORTRANGE(""https://docs.google.com/spreadsheets/d/1CdNicvf3i6yt4tJlCePe3V1Va76wYqW0QzMzTsaGRrA/edit?usp=sharing"",""เพชรบุรี!J563"")"),0)</f>
        <v>0</v>
      </c>
      <c r="AB65" s="63">
        <f ca="1">IFERROR(__xludf.DUMMYFUNCTION("IMPORTRANGE(""https://docs.google.com/spreadsheets/d/1CdNicvf3i6yt4tJlCePe3V1Va76wYqW0QzMzTsaGRrA/edit?usp=sharing"",""เพชรบุรี!J564"")"),0)</f>
        <v>0</v>
      </c>
      <c r="AC65" s="140">
        <f ca="1">IFERROR(__xludf.DUMMYFUNCTION("IMPORTRANGE(""https://docs.google.com/spreadsheets/d/1CdNicvf3i6yt4tJlCePe3V1Va76wYqW0QzMzTsaGRrA/edit?usp=sharing"",""เพชรบุรี!J565"")"),0)</f>
        <v>0</v>
      </c>
      <c r="AD65" s="63">
        <f ca="1">IFERROR(__xludf.DUMMYFUNCTION("IMPORTRANGE(""https://docs.google.com/spreadsheets/d/1CdNicvf3i6yt4tJlCePe3V1Va76wYqW0QzMzTsaGRrA/edit?usp=sharing"",""เพชรบุรี!J566"")"),0)</f>
        <v>0</v>
      </c>
      <c r="AE65" s="140">
        <f ca="1">IFERROR(__xludf.DUMMYFUNCTION("IMPORTRANGE(""https://docs.google.com/spreadsheets/d/1CdNicvf3i6yt4tJlCePe3V1Va76wYqW0QzMzTsaGRrA/edit?usp=sharing"",""เพชรบุรี!J567"")"),0)</f>
        <v>0</v>
      </c>
      <c r="AF65" s="57">
        <f ca="1">IFERROR(__xludf.DUMMYFUNCTION("IMPORTRANGE(""https://docs.google.com/spreadsheets/d/1CdNicvf3i6yt4tJlCePe3V1Va76wYqW0QzMzTsaGRrA/edit?usp=sharing"",""เพชรบุรี!I568"")"),0)</f>
        <v>0</v>
      </c>
      <c r="AG65" s="57">
        <f ca="1">IFERROR(__xludf.DUMMYFUNCTION("IMPORTRANGE(""https://docs.google.com/spreadsheets/d/1CdNicvf3i6yt4tJlCePe3V1Va76wYqW0QzMzTsaGRrA/edit?usp=sharing"",""เพชรบุรี!I569"")"),0)</f>
        <v>0</v>
      </c>
      <c r="AH65" s="63">
        <f ca="1">IFERROR(__xludf.DUMMYFUNCTION("IMPORTRANGE(""https://docs.google.com/spreadsheets/d/1CdNicvf3i6yt4tJlCePe3V1Va76wYqW0QzMzTsaGRrA/edit?usp=sharing"",""เพชรบุรี!J568"")"),0)</f>
        <v>0</v>
      </c>
      <c r="AI65" s="63">
        <f t="shared" ca="1" si="38"/>
        <v>0</v>
      </c>
      <c r="AJ65" s="57">
        <f ca="1">IFERROR(__xludf.DUMMYFUNCTION("IMPORTRANGE(""https://docs.google.com/spreadsheets/d/1CdNicvf3i6yt4tJlCePe3V1Va76wYqW0QzMzTsaGRrA/edit?usp=sharing"",""เพชรบุรี!J569"")"),0)</f>
        <v>0</v>
      </c>
      <c r="AK65" s="63">
        <f t="shared" ca="1" si="10"/>
        <v>0</v>
      </c>
      <c r="AL65" s="63">
        <f ca="1">IFERROR(__xludf.DUMMYFUNCTION("IMPORTRANGE(""https://docs.google.com/spreadsheets/d/1CdNicvf3i6yt4tJlCePe3V1Va76wYqW0QzMzTsaGRrA/edit?usp=sharing"",""เพชรบุรี!J570"")"),0)</f>
        <v>0</v>
      </c>
      <c r="AM65" s="140">
        <f ca="1">IFERROR(__xludf.DUMMYFUNCTION("IMPORTRANGE(""https://docs.google.com/spreadsheets/d/1CdNicvf3i6yt4tJlCePe3V1Va76wYqW0QzMzTsaGRrA/edit?usp=sharing"",""เพชรบุรี!J571"")"),0)</f>
        <v>0</v>
      </c>
      <c r="AN65" s="63">
        <f ca="1">IFERROR(__xludf.DUMMYFUNCTION("IMPORTRANGE(""https://docs.google.com/spreadsheets/d/1CdNicvf3i6yt4tJlCePe3V1Va76wYqW0QzMzTsaGRrA/edit?usp=sharing"",""เพชรบุรี!J572"")"),0)</f>
        <v>0</v>
      </c>
      <c r="AO65" s="140">
        <f ca="1">IFERROR(__xludf.DUMMYFUNCTION("IMPORTRANGE(""https://docs.google.com/spreadsheets/d/1CdNicvf3i6yt4tJlCePe3V1Va76wYqW0QzMzTsaGRrA/edit?usp=sharing"",""เพชรบุรี!J573"")"),0)</f>
        <v>0</v>
      </c>
      <c r="AP65" s="63">
        <f ca="1">IFERROR(__xludf.DUMMYFUNCTION("IMPORTRANGE(""https://docs.google.com/spreadsheets/d/1CdNicvf3i6yt4tJlCePe3V1Va76wYqW0QzMzTsaGRrA/edit?usp=sharing"",""เพชรบุรี!J574"")"),0)</f>
        <v>0</v>
      </c>
      <c r="AQ65" s="140">
        <f ca="1">IFERROR(__xludf.DUMMYFUNCTION("IMPORTRANGE(""https://docs.google.com/spreadsheets/d/1CdNicvf3i6yt4tJlCePe3V1Va76wYqW0QzMzTsaGRrA/edit?usp=sharing"",""เพชรบุรี!J575"")"),0)</f>
        <v>0</v>
      </c>
      <c r="AR65" s="57">
        <f ca="1">IFERROR(__xludf.DUMMYFUNCTION("IMPORTRANGE(""https://docs.google.com/spreadsheets/d/1CdNicvf3i6yt4tJlCePe3V1Va76wYqW0QzMzTsaGRrA/edit?usp=sharing"",""เพชรบุรี!I576"")"),0)</f>
        <v>0</v>
      </c>
      <c r="AS65" s="57">
        <f ca="1">IFERROR(__xludf.DUMMYFUNCTION("IMPORTRANGE(""https://docs.google.com/spreadsheets/d/1CdNicvf3i6yt4tJlCePe3V1Va76wYqW0QzMzTsaGRrA/edit?usp=sharing"",""เพชรบุรี!I577"")"),0)</f>
        <v>0</v>
      </c>
      <c r="AT65" s="63">
        <f ca="1">IFERROR(__xludf.DUMMYFUNCTION("IMPORTRANGE(""https://docs.google.com/spreadsheets/d/1CdNicvf3i6yt4tJlCePe3V1Va76wYqW0QzMzTsaGRrA/edit?usp=sharing"",""เพชรบุรี!J576"")"),0)</f>
        <v>0</v>
      </c>
      <c r="AU65" s="63">
        <f t="shared" ca="1" si="39"/>
        <v>0</v>
      </c>
      <c r="AV65" s="57">
        <f ca="1">IFERROR(__xludf.DUMMYFUNCTION("IMPORTRANGE(""https://docs.google.com/spreadsheets/d/1CdNicvf3i6yt4tJlCePe3V1Va76wYqW0QzMzTsaGRrA/edit?usp=sharing"",""เพชรบุรี!J577"")"),0)</f>
        <v>0</v>
      </c>
      <c r="AW65" s="63">
        <f t="shared" ca="1" si="13"/>
        <v>0</v>
      </c>
      <c r="AX65" s="63">
        <f ca="1">IFERROR(__xludf.DUMMYFUNCTION("IMPORTRANGE(""https://docs.google.com/spreadsheets/d/1CdNicvf3i6yt4tJlCePe3V1Va76wYqW0QzMzTsaGRrA/edit?usp=sharing"",""เพชรบุรี!J578"")"),0)</f>
        <v>0</v>
      </c>
      <c r="AY65" s="140">
        <f ca="1">IFERROR(__xludf.DUMMYFUNCTION("IMPORTRANGE(""https://docs.google.com/spreadsheets/d/1CdNicvf3i6yt4tJlCePe3V1Va76wYqW0QzMzTsaGRrA/edit?usp=sharing"",""เพชรบุรี!J579"")"),0)</f>
        <v>0</v>
      </c>
      <c r="AZ65" s="63">
        <f ca="1">IFERROR(__xludf.DUMMYFUNCTION("IMPORTRANGE(""https://docs.google.com/spreadsheets/d/1CdNicvf3i6yt4tJlCePe3V1Va76wYqW0QzMzTsaGRrA/edit?usp=sharing"",""เพชรบุรี!J580"")"),0)</f>
        <v>0</v>
      </c>
      <c r="BA65" s="140">
        <f ca="1">IFERROR(__xludf.DUMMYFUNCTION("IMPORTRANGE(""https://docs.google.com/spreadsheets/d/1CdNicvf3i6yt4tJlCePe3V1Va76wYqW0QzMzTsaGRrA/edit?usp=sharing"",""เพชรบุรี!J581"")"),0)</f>
        <v>0</v>
      </c>
      <c r="BB65" s="63">
        <f ca="1">IFERROR(__xludf.DUMMYFUNCTION("IMPORTRANGE(""https://docs.google.com/spreadsheets/d/1CdNicvf3i6yt4tJlCePe3V1Va76wYqW0QzMzTsaGRrA/edit?usp=sharing"",""เพชรบุรี!J582"")"),0)</f>
        <v>0</v>
      </c>
      <c r="BC65" s="140">
        <f ca="1">IFERROR(__xludf.DUMMYFUNCTION("IMPORTRANGE(""https://docs.google.com/spreadsheets/d/1CdNicvf3i6yt4tJlCePe3V1Va76wYqW0QzMzTsaGRrA/edit?usp=sharing"",""เพชรบุรี!J583"")"),0)</f>
        <v>0</v>
      </c>
      <c r="BD65" s="141">
        <f ca="1">IFERROR(__xludf.DUMMYFUNCTION("IMPORTRANGE(""https://docs.google.com/spreadsheets/d/1CdNicvf3i6yt4tJlCePe3V1Va76wYqW0QzMzTsaGRrA/edit?usp=sharing"",""เพชรบุรี!J584"")"),0)</f>
        <v>0</v>
      </c>
      <c r="BE65" s="140">
        <f ca="1">IFERROR(__xludf.DUMMYFUNCTION("IMPORTRANGE(""https://docs.google.com/spreadsheets/d/1CdNicvf3i6yt4tJlCePe3V1Va76wYqW0QzMzTsaGRrA/edit?usp=sharing"",""เพชรบุรี!J585"")"),0)</f>
        <v>0</v>
      </c>
      <c r="BF65" s="141">
        <f ca="1">IFERROR(__xludf.DUMMYFUNCTION("IMPORTRANGE(""https://docs.google.com/spreadsheets/d/1CdNicvf3i6yt4tJlCePe3V1Va76wYqW0QzMzTsaGRrA/edit?usp=sharing"",""เพชรบุรี!J586"")"),0)</f>
        <v>0</v>
      </c>
      <c r="BG65" s="140">
        <f ca="1">IFERROR(__xludf.DUMMYFUNCTION("IMPORTRANGE(""https://docs.google.com/spreadsheets/d/1CdNicvf3i6yt4tJlCePe3V1Va76wYqW0QzMzTsaGRrA/edit?usp=sharing"",""เพชรบุรี!J587"")"),0)</f>
        <v>0</v>
      </c>
      <c r="BH65" s="63">
        <f ca="1">IFERROR(__xludf.DUMMYFUNCTION("IMPORTRANGE(""https://docs.google.com/spreadsheets/d/1CdNicvf3i6yt4tJlCePe3V1Va76wYqW0QzMzTsaGRrA/edit?usp=sharing"",""เพชรบุรี!J588"")"),0)</f>
        <v>0</v>
      </c>
      <c r="BI65" s="140">
        <f ca="1">IFERROR(__xludf.DUMMYFUNCTION("IMPORTRANGE(""https://docs.google.com/spreadsheets/d/1CdNicvf3i6yt4tJlCePe3V1Va76wYqW0QzMzTsaGRrA/edit?usp=sharing"",""เพชรบุรี!J589"")"),0)</f>
        <v>0</v>
      </c>
      <c r="BJ65" s="63">
        <f ca="1">IFERROR(__xludf.DUMMYFUNCTION("IMPORTRANGE(""https://docs.google.com/spreadsheets/d/1CdNicvf3i6yt4tJlCePe3V1Va76wYqW0QzMzTsaGRrA/edit?usp=sharing"",""เพชรบุรี!J590"")"),0)</f>
        <v>0</v>
      </c>
      <c r="BK65" s="140">
        <f ca="1">IFERROR(__xludf.DUMMYFUNCTION("IMPORTRANGE(""https://docs.google.com/spreadsheets/d/1CdNicvf3i6yt4tJlCePe3V1Va76wYqW0QzMzTsaGRrA/edit?usp=sharing"",""เพชรบุรี!J591"")"),0)</f>
        <v>0</v>
      </c>
      <c r="BL65" s="57">
        <f ca="1">IFERROR(__xludf.DUMMYFUNCTION("IMPORTRANGE(""https://docs.google.com/spreadsheets/d/1CdNicvf3i6yt4tJlCePe3V1Va76wYqW0QzMzTsaGRrA/edit?usp=sharing"",""เพชรบุรี!I593"")"),189.09)</f>
        <v>189.09</v>
      </c>
      <c r="BM65" s="57">
        <f ca="1">IFERROR(__xludf.DUMMYFUNCTION("IMPORTRANGE(""https://docs.google.com/spreadsheets/d/1CdNicvf3i6yt4tJlCePe3V1Va76wYqW0QzMzTsaGRrA/edit?usp=sharing"",""เพชรบุรี!I594"")"),21)</f>
        <v>21</v>
      </c>
      <c r="BN65" s="63">
        <f ca="1">IFERROR(__xludf.DUMMYFUNCTION("IMPORTRANGE(""https://docs.google.com/spreadsheets/d/1CdNicvf3i6yt4tJlCePe3V1Va76wYqW0QzMzTsaGRrA/edit?usp=sharing"",""เพชรบุรี!J593"")"),0)</f>
        <v>0</v>
      </c>
      <c r="BO65" s="63">
        <f t="shared" ca="1" si="40"/>
        <v>0</v>
      </c>
      <c r="BP65" s="57">
        <f ca="1">IFERROR(__xludf.DUMMYFUNCTION("IMPORTRANGE(""https://docs.google.com/spreadsheets/d/1CdNicvf3i6yt4tJlCePe3V1Va76wYqW0QzMzTsaGRrA/edit?usp=sharing"",""เพชรบุรี!J594"")"),0)</f>
        <v>0</v>
      </c>
      <c r="BQ65" s="63">
        <f t="shared" ca="1" si="16"/>
        <v>0</v>
      </c>
      <c r="BR65" s="63">
        <f ca="1">IFERROR(__xludf.DUMMYFUNCTION("IMPORTRANGE(""https://docs.google.com/spreadsheets/d/1CdNicvf3i6yt4tJlCePe3V1Va76wYqW0QzMzTsaGRrA/edit?usp=sharing"",""เพชรบุรี!J595"")"),0)</f>
        <v>0</v>
      </c>
      <c r="BS65" s="140">
        <f ca="1">IFERROR(__xludf.DUMMYFUNCTION("IMPORTRANGE(""https://docs.google.com/spreadsheets/d/1CdNicvf3i6yt4tJlCePe3V1Va76wYqW0QzMzTsaGRrA/edit?usp=sharing"",""เพชรบุรี!J596"")"),0)</f>
        <v>0</v>
      </c>
      <c r="BT65" s="63">
        <f ca="1">IFERROR(__xludf.DUMMYFUNCTION("IMPORTRANGE(""https://docs.google.com/spreadsheets/d/1CdNicvf3i6yt4tJlCePe3V1Va76wYqW0QzMzTsaGRrA/edit?usp=sharing"",""เพชรบุรี!J597"")"),0)</f>
        <v>0</v>
      </c>
      <c r="BU65" s="140">
        <f ca="1">IFERROR(__xludf.DUMMYFUNCTION("IMPORTRANGE(""https://docs.google.com/spreadsheets/d/1CdNicvf3i6yt4tJlCePe3V1Va76wYqW0QzMzTsaGRrA/edit?usp=sharing"",""เพชรบุรี!J598"")"),0)</f>
        <v>0</v>
      </c>
      <c r="BV65" s="63">
        <f ca="1">IFERROR(__xludf.DUMMYFUNCTION("IMPORTRANGE(""https://docs.google.com/spreadsheets/d/1CdNicvf3i6yt4tJlCePe3V1Va76wYqW0QzMzTsaGRrA/edit?usp=sharing"",""เพชรบุรี!J599"")"),0)</f>
        <v>0</v>
      </c>
      <c r="BW65" s="140">
        <f ca="1">IFERROR(__xludf.DUMMYFUNCTION("IMPORTRANGE(""https://docs.google.com/spreadsheets/d/1CdNicvf3i6yt4tJlCePe3V1Va76wYqW0QzMzTsaGRrA/edit?usp=sharing"",""เพชรบุรี!J600"")"),0)</f>
        <v>0</v>
      </c>
      <c r="BX65" s="141">
        <f ca="1">IFERROR(__xludf.DUMMYFUNCTION("IMPORTRANGE(""https://docs.google.com/spreadsheets/d/1CdNicvf3i6yt4tJlCePe3V1Va76wYqW0QzMzTsaGRrA/edit?usp=sharing"",""เพชรบุรี!J601"")"),0)</f>
        <v>0</v>
      </c>
      <c r="BY65" s="140">
        <f ca="1">IFERROR(__xludf.DUMMYFUNCTION("IMPORTRANGE(""https://docs.google.com/spreadsheets/d/1CdNicvf3i6yt4tJlCePe3V1Va76wYqW0QzMzTsaGRrA/edit?usp=sharing"",""เพชรบุรี!J602"")"),0)</f>
        <v>0</v>
      </c>
      <c r="BZ65" s="63">
        <f ca="1">IFERROR(__xludf.DUMMYFUNCTION("IMPORTRANGE(""https://docs.google.com/spreadsheets/d/1CdNicvf3i6yt4tJlCePe3V1Va76wYqW0QzMzTsaGRrA/edit?usp=sharing"",""เพชรบุรี!J603"")"),0)</f>
        <v>0</v>
      </c>
      <c r="CA65" s="140">
        <f ca="1">IFERROR(__xludf.DUMMYFUNCTION("IMPORTRANGE(""https://docs.google.com/spreadsheets/d/1CdNicvf3i6yt4tJlCePe3V1Va76wYqW0QzMzTsaGRrA/edit?usp=sharing"",""เพชรบุรี!J604"")"),0)</f>
        <v>0</v>
      </c>
      <c r="CB65" s="63">
        <f ca="1">IFERROR(__xludf.DUMMYFUNCTION("IMPORTRANGE(""https://docs.google.com/spreadsheets/d/1CdNicvf3i6yt4tJlCePe3V1Va76wYqW0QzMzTsaGRrA/edit?usp=sharing"",""เพชรบุรี!J605"")"),0)</f>
        <v>0</v>
      </c>
      <c r="CC65" s="140">
        <f ca="1">IFERROR(__xludf.DUMMYFUNCTION("IMPORTRANGE(""https://docs.google.com/spreadsheets/d/1CdNicvf3i6yt4tJlCePe3V1Va76wYqW0QzMzTsaGRrA/edit?usp=sharing"",""เพชรบุรี!J606"")"),0)</f>
        <v>0</v>
      </c>
      <c r="CD65" s="63">
        <f ca="1">IFERROR(__xludf.DUMMYFUNCTION("IMPORTRANGE(""https://docs.google.com/spreadsheets/d/1CdNicvf3i6yt4tJlCePe3V1Va76wYqW0QzMzTsaGRrA/edit?usp=sharing"",""เพชรบุรี!J607"")"),0)</f>
        <v>0</v>
      </c>
      <c r="CE65" s="140">
        <f ca="1">IFERROR(__xludf.DUMMYFUNCTION("IMPORTRANGE(""https://docs.google.com/spreadsheets/d/1CdNicvf3i6yt4tJlCePe3V1Va76wYqW0QzMzTsaGRrA/edit?usp=sharing"",""เพชรบุรี!J608"")"),0)</f>
        <v>0</v>
      </c>
      <c r="CF65" s="63">
        <f ca="1">IFERROR(__xludf.DUMMYFUNCTION("IMPORTRANGE(""https://docs.google.com/spreadsheets/d/1CdNicvf3i6yt4tJlCePe3V1Va76wYqW0QzMzTsaGRrA/edit?usp=sharing"",""เพชรบุรี!J609"")"),0)</f>
        <v>0</v>
      </c>
      <c r="CG65" s="140">
        <f ca="1">IFERROR(__xludf.DUMMYFUNCTION("IMPORTRANGE(""https://docs.google.com/spreadsheets/d/1CdNicvf3i6yt4tJlCePe3V1Va76wYqW0QzMzTsaGRrA/edit?usp=sharing"",""เพชรบุรี!J610"")"),0)</f>
        <v>0</v>
      </c>
      <c r="CH65" s="140">
        <f ca="1">IFERROR(__xludf.DUMMYFUNCTION("IMPORTRANGE(""https://docs.google.com/spreadsheets/d/1CdNicvf3i6yt4tJlCePe3V1Va76wYqW0QzMzTsaGRrA/edit?usp=sharing"",""เพชรบุรี!I612"")"),0)</f>
        <v>0</v>
      </c>
      <c r="CI65" s="140">
        <f ca="1">IFERROR(__xludf.DUMMYFUNCTION("IMPORTRANGE(""https://docs.google.com/spreadsheets/d/1CdNicvf3i6yt4tJlCePe3V1Va76wYqW0QzMzTsaGRrA/edit?usp=sharing"",""เพชรบุรี!I594"")"),21)</f>
        <v>21</v>
      </c>
      <c r="CJ65" s="141">
        <f ca="1">IFERROR(__xludf.DUMMYFUNCTION("IMPORTRANGE(""https://docs.google.com/spreadsheets/d/1CdNicvf3i6yt4tJlCePe3V1Va76wYqW0QzMzTsaGRrA/edit?usp=sharing"",""เพชรบุรี!J612"")"),0)</f>
        <v>0</v>
      </c>
      <c r="CK65" s="141">
        <f t="shared" ca="1" si="41"/>
        <v>0</v>
      </c>
      <c r="CL65" s="140">
        <f ca="1">IFERROR(__xludf.DUMMYFUNCTION("IMPORTRANGE(""https://docs.google.com/spreadsheets/d/1CdNicvf3i6yt4tJlCePe3V1Va76wYqW0QzMzTsaGRrA/edit?usp=sharing"",""เพชรบุรี!J613"")"),0)</f>
        <v>0</v>
      </c>
      <c r="CM65" s="141">
        <f t="shared" ca="1" si="19"/>
        <v>0</v>
      </c>
      <c r="CN65" s="63">
        <f ca="1">IFERROR(__xludf.DUMMYFUNCTION("IMPORTRANGE(""https://docs.google.com/spreadsheets/d/1CdNicvf3i6yt4tJlCePe3V1Va76wYqW0QzMzTsaGRrA/edit?usp=sharing"",""เพชรบุรี!J614"")"),0)</f>
        <v>0</v>
      </c>
      <c r="CO65" s="140">
        <f ca="1">IFERROR(__xludf.DUMMYFUNCTION("IMPORTRANGE(""https://docs.google.com/spreadsheets/d/1CdNicvf3i6yt4tJlCePe3V1Va76wYqW0QzMzTsaGRrA/edit?usp=sharing"",""เพชรบุรี!J615"")"),0)</f>
        <v>0</v>
      </c>
      <c r="CP65" s="63">
        <f ca="1">IFERROR(__xludf.DUMMYFUNCTION("IMPORTRANGE(""https://docs.google.com/spreadsheets/d/1CdNicvf3i6yt4tJlCePe3V1Va76wYqW0QzMzTsaGRrA/edit?usp=sharing"",""เพชรบุรี!J616"")"),0)</f>
        <v>0</v>
      </c>
      <c r="CQ65" s="140">
        <f ca="1">IFERROR(__xludf.DUMMYFUNCTION("IMPORTRANGE(""https://docs.google.com/spreadsheets/d/1CdNicvf3i6yt4tJlCePe3V1Va76wYqW0QzMzTsaGRrA/edit?usp=sharing"",""เพชรบุรี!J617"")"),0)</f>
        <v>0</v>
      </c>
      <c r="CR65" s="140">
        <f ca="1">IFERROR(__xludf.DUMMYFUNCTION("IMPORTRANGE(""https://docs.google.com/spreadsheets/d/1CdNicvf3i6yt4tJlCePe3V1Va76wYqW0QzMzTsaGRrA/edit?usp=sharing"",""เพชรบุรี!I620"")"),0)</f>
        <v>0</v>
      </c>
      <c r="CS65" s="140">
        <f ca="1">IFERROR(__xludf.DUMMYFUNCTION("IMPORTRANGE(""https://docs.google.com/spreadsheets/d/1CdNicvf3i6yt4tJlCePe3V1Va76wYqW0QzMzTsaGRrA/edit?usp=sharing"",""เพชรบุรี!I621"")"),0)</f>
        <v>0</v>
      </c>
      <c r="CT65" s="141">
        <f ca="1">IFERROR(__xludf.DUMMYFUNCTION("IMPORTRANGE(""https://docs.google.com/spreadsheets/d/1CdNicvf3i6yt4tJlCePe3V1Va76wYqW0QzMzTsaGRrA/edit?usp=sharing"",""เพชรบุรี!J620"")"),0)</f>
        <v>0</v>
      </c>
      <c r="CU65" s="141">
        <f t="shared" ca="1" si="42"/>
        <v>0</v>
      </c>
      <c r="CV65" s="140">
        <f ca="1">IFERROR(__xludf.DUMMYFUNCTION("IMPORTRANGE(""https://docs.google.com/spreadsheets/d/1CdNicvf3i6yt4tJlCePe3V1Va76wYqW0QzMzTsaGRrA/edit?usp=sharing"",""เพชรบุรี!J621"")"),0)</f>
        <v>0</v>
      </c>
      <c r="CW65" s="141">
        <f t="shared" ca="1" si="22"/>
        <v>0</v>
      </c>
      <c r="CX65" s="63">
        <f ca="1">IFERROR(__xludf.DUMMYFUNCTION("IMPORTRANGE(""https://docs.google.com/spreadsheets/d/1CdNicvf3i6yt4tJlCePe3V1Va76wYqW0QzMzTsaGRrA/edit?usp=sharing"",""เพชรบุรี!J622"")"),0)</f>
        <v>0</v>
      </c>
      <c r="CY65" s="140">
        <f ca="1">IFERROR(__xludf.DUMMYFUNCTION("IMPORTRANGE(""https://docs.google.com/spreadsheets/d/1CdNicvf3i6yt4tJlCePe3V1Va76wYqW0QzMzTsaGRrA/edit?usp=sharing"",""เพชรบุรี!J623"")"),0)</f>
        <v>0</v>
      </c>
      <c r="CZ65" s="63">
        <f ca="1">IFERROR(__xludf.DUMMYFUNCTION("IMPORTRANGE(""https://docs.google.com/spreadsheets/d/1CdNicvf3i6yt4tJlCePe3V1Va76wYqW0QzMzTsaGRrA/edit?usp=sharing"",""เพชรบุรี!J624"")"),0)</f>
        <v>0</v>
      </c>
      <c r="DA65" s="140">
        <f ca="1">IFERROR(__xludf.DUMMYFUNCTION("IMPORTRANGE(""https://docs.google.com/spreadsheets/d/1CdNicvf3i6yt4tJlCePe3V1Va76wYqW0QzMzTsaGRrA/edit?usp=sharing"",""เพชรบุรี!J625"")"),0)</f>
        <v>0</v>
      </c>
      <c r="DB65" s="63">
        <f ca="1">IFERROR(__xludf.DUMMYFUNCTION("IMPORTRANGE(""https://docs.google.com/spreadsheets/d/1CdNicvf3i6yt4tJlCePe3V1Va76wYqW0QzMzTsaGRrA/edit?usp=sharing"",""เพชรบุรี!J626"")"),0)</f>
        <v>0</v>
      </c>
      <c r="DC65" s="140">
        <f ca="1">IFERROR(__xludf.DUMMYFUNCTION("IMPORTRANGE(""https://docs.google.com/spreadsheets/d/1CdNicvf3i6yt4tJlCePe3V1Va76wYqW0QzMzTsaGRrA/edit?usp=sharing"",""เพชรบุรี!J627"")"),0)</f>
        <v>0</v>
      </c>
    </row>
    <row r="66" spans="1:107" ht="21" customHeight="1" x14ac:dyDescent="0.3">
      <c r="A66" s="54">
        <v>14</v>
      </c>
      <c r="B66" s="55" t="s">
        <v>87</v>
      </c>
      <c r="C66" s="56">
        <f t="shared" ca="1" si="77"/>
        <v>236000</v>
      </c>
      <c r="D66" s="57">
        <f ca="1">IFERROR(__xludf.DUMMYFUNCTION("IMPORTRANGE(""https://docs.google.com/spreadsheets/d/1XiF77UIVHV0Kjc6xbXuOuJ10WgJYxd4p_22ngKVV5oM/edit?usp=sharing"",""ระยอง!L549"")"),236000)</f>
        <v>236000</v>
      </c>
      <c r="E66" s="64">
        <f ca="1">IFERROR(__xludf.DUMMYFUNCTION("IMPORTRANGE(""https://docs.google.com/spreadsheets/d/1XiF77UIVHV0Kjc6xbXuOuJ10WgJYxd4p_22ngKVV5oM/edit?usp=sharing"",""ระยอง!L557"")"),0)</f>
        <v>0</v>
      </c>
      <c r="F66" s="64">
        <f ca="1">IFERROR(__xludf.DUMMYFUNCTION("IMPORTRANGE(""https://docs.google.com/spreadsheets/d/1XiF77UIVHV0Kjc6xbXuOuJ10WgJYxd4p_22ngKVV5oM/edit?usp=sharing"",""ระยอง!M549"")"),236000)</f>
        <v>236000</v>
      </c>
      <c r="G66" s="64">
        <f ca="1">IFERROR(__xludf.DUMMYFUNCTION("IMPORTRANGE(""https://docs.google.com/spreadsheets/d/1XiF77UIVHV0Kjc6xbXuOuJ10WgJYxd4p_22ngKVV5oM/edit?usp=sharing"",""ระยอง!M557"")"),0)</f>
        <v>0</v>
      </c>
      <c r="H66" s="58">
        <f t="shared" ca="1" si="36"/>
        <v>88000</v>
      </c>
      <c r="I66" s="59">
        <f t="shared" ca="1" si="1"/>
        <v>37.288135593220339</v>
      </c>
      <c r="J66" s="60">
        <f t="shared" ca="1" si="78"/>
        <v>88000</v>
      </c>
      <c r="K66" s="61">
        <f t="shared" ca="1" si="44"/>
        <v>37.288135593220339</v>
      </c>
      <c r="L66" s="61">
        <f t="shared" ca="1" si="45"/>
        <v>37.288135593220339</v>
      </c>
      <c r="M66" s="64">
        <f ca="1">IFERROR(__xludf.DUMMYFUNCTION("IMPORTRANGE(""https://docs.google.com/spreadsheets/d/1XiF77UIVHV0Kjc6xbXuOuJ10WgJYxd4p_22ngKVV5oM/edit?usp=sharing"",""ระยอง!N550"")"),0)</f>
        <v>0</v>
      </c>
      <c r="N66" s="64">
        <f ca="1">IFERROR(__xludf.DUMMYFUNCTION("IMPORTRANGE(""https://docs.google.com/spreadsheets/d/1XiF77UIVHV0Kjc6xbXuOuJ10WgJYxd4p_22ngKVV5oM/edit?usp=sharing"",""ระยอง!N551"")"),19240)</f>
        <v>19240</v>
      </c>
      <c r="O66" s="64">
        <f ca="1">IFERROR(__xludf.DUMMYFUNCTION("IMPORTRANGE(""https://docs.google.com/spreadsheets/d/1XiF77UIVHV0Kjc6xbXuOuJ10WgJYxd4p_22ngKVV5oM/edit?usp=sharing"",""ระยอง!N552"")"),65000)</f>
        <v>65000</v>
      </c>
      <c r="P66" s="64">
        <f ca="1">IFERROR(__xludf.DUMMYFUNCTION("IMPORTRANGE(""https://docs.google.com/spreadsheets/d/1XiF77UIVHV0Kjc6xbXuOuJ10WgJYxd4p_22ngKVV5oM/edit?usp=sharing"",""ระยอง!N553"")"),3760)</f>
        <v>3760</v>
      </c>
      <c r="Q66" s="64">
        <f ca="1">IFERROR(__xludf.DUMMYFUNCTION("IMPORTRANGE(""https://docs.google.com/spreadsheets/d/1XiF77UIVHV0Kjc6xbXuOuJ10WgJYxd4p_22ngKVV5oM/edit?usp=sharing"",""ระยอง!N554"")"),0)</f>
        <v>0</v>
      </c>
      <c r="R66" s="62">
        <f ca="1">IFERROR(__xludf.DUMMYFUNCTION("IMPORTRANGE(""https://docs.google.com/spreadsheets/d/1XiF77UIVHV0Kjc6xbXuOuJ10WgJYxd4p_22ngKVV5oM/edit?usp=sharing"",""ระยอง!N557"")"),0)</f>
        <v>0</v>
      </c>
      <c r="S66" s="62">
        <f t="shared" ca="1" si="47"/>
        <v>0</v>
      </c>
      <c r="T66" s="57">
        <f ca="1">IFERROR(__xludf.DUMMYFUNCTION("IMPORTRANGE(""https://docs.google.com/spreadsheets/d/1XiF77UIVHV0Kjc6xbXuOuJ10WgJYxd4p_22ngKVV5oM/edit?usp=sharing"",""ระยอง!I560"")"),0)</f>
        <v>0</v>
      </c>
      <c r="U66" s="57">
        <f ca="1">IFERROR(__xludf.DUMMYFUNCTION("IMPORTRANGE(""https://docs.google.com/spreadsheets/d/1XiF77UIVHV0Kjc6xbXuOuJ10WgJYxd4p_22ngKVV5oM/edit?usp=sharing"",""ระยอง!I561"")"),0)</f>
        <v>0</v>
      </c>
      <c r="V66" s="63">
        <f ca="1">IFERROR(__xludf.DUMMYFUNCTION("IMPORTRANGE(""https://docs.google.com/spreadsheets/d/1XiF77UIVHV0Kjc6xbXuOuJ10WgJYxd4p_22ngKVV5oM/edit?usp=sharing"",""ระยอง!J560"")"),0)</f>
        <v>0</v>
      </c>
      <c r="W66" s="63">
        <f t="shared" ca="1" si="37"/>
        <v>0</v>
      </c>
      <c r="X66" s="57">
        <f ca="1">IFERROR(__xludf.DUMMYFUNCTION("IMPORTRANGE(""https://docs.google.com/spreadsheets/d/1XiF77UIVHV0Kjc6xbXuOuJ10WgJYxd4p_22ngKVV5oM/edit?usp=sharing"",""ระยอง!J561"")"),0)</f>
        <v>0</v>
      </c>
      <c r="Y66" s="63">
        <f t="shared" ca="1" si="7"/>
        <v>0</v>
      </c>
      <c r="Z66" s="63">
        <f ca="1">IFERROR(__xludf.DUMMYFUNCTION("IMPORTRANGE(""https://docs.google.com/spreadsheets/d/1XiF77UIVHV0Kjc6xbXuOuJ10WgJYxd4p_22ngKVV5oM/edit?usp=sharing"",""ระยอง!J562"")"),0)</f>
        <v>0</v>
      </c>
      <c r="AA66" s="140">
        <f ca="1">IFERROR(__xludf.DUMMYFUNCTION("IMPORTRANGE(""https://docs.google.com/spreadsheets/d/1XiF77UIVHV0Kjc6xbXuOuJ10WgJYxd4p_22ngKVV5oM/edit?usp=sharing"",""ระยอง!J563"")"),0)</f>
        <v>0</v>
      </c>
      <c r="AB66" s="63">
        <f ca="1">IFERROR(__xludf.DUMMYFUNCTION("IMPORTRANGE(""https://docs.google.com/spreadsheets/d/1XiF77UIVHV0Kjc6xbXuOuJ10WgJYxd4p_22ngKVV5oM/edit?usp=sharing"",""ระยอง!J564"")"),0)</f>
        <v>0</v>
      </c>
      <c r="AC66" s="140">
        <f ca="1">IFERROR(__xludf.DUMMYFUNCTION("IMPORTRANGE(""https://docs.google.com/spreadsheets/d/1XiF77UIVHV0Kjc6xbXuOuJ10WgJYxd4p_22ngKVV5oM/edit?usp=sharing"",""ระยอง!J565"")"),0)</f>
        <v>0</v>
      </c>
      <c r="AD66" s="63">
        <f ca="1">IFERROR(__xludf.DUMMYFUNCTION("IMPORTRANGE(""https://docs.google.com/spreadsheets/d/1XiF77UIVHV0Kjc6xbXuOuJ10WgJYxd4p_22ngKVV5oM/edit?usp=sharing"",""ระยอง!J566"")"),0)</f>
        <v>0</v>
      </c>
      <c r="AE66" s="140">
        <f ca="1">IFERROR(__xludf.DUMMYFUNCTION("IMPORTRANGE(""https://docs.google.com/spreadsheets/d/1XiF77UIVHV0Kjc6xbXuOuJ10WgJYxd4p_22ngKVV5oM/edit?usp=sharing"",""ระยอง!J567"")"),0)</f>
        <v>0</v>
      </c>
      <c r="AF66" s="57">
        <f ca="1">IFERROR(__xludf.DUMMYFUNCTION("IMPORTRANGE(""https://docs.google.com/spreadsheets/d/1XiF77UIVHV0Kjc6xbXuOuJ10WgJYxd4p_22ngKVV5oM/edit?usp=sharing"",""ระยอง!I568"")"),0)</f>
        <v>0</v>
      </c>
      <c r="AG66" s="57">
        <f ca="1">IFERROR(__xludf.DUMMYFUNCTION("IMPORTRANGE(""https://docs.google.com/spreadsheets/d/1XiF77UIVHV0Kjc6xbXuOuJ10WgJYxd4p_22ngKVV5oM/edit?usp=sharing"",""ระยอง!I569"")"),0)</f>
        <v>0</v>
      </c>
      <c r="AH66" s="63">
        <f ca="1">IFERROR(__xludf.DUMMYFUNCTION("IMPORTRANGE(""https://docs.google.com/spreadsheets/d/1XiF77UIVHV0Kjc6xbXuOuJ10WgJYxd4p_22ngKVV5oM/edit?usp=sharing"",""ระยอง!J568"")"),0)</f>
        <v>0</v>
      </c>
      <c r="AI66" s="63">
        <f t="shared" ca="1" si="38"/>
        <v>0</v>
      </c>
      <c r="AJ66" s="57">
        <f ca="1">IFERROR(__xludf.DUMMYFUNCTION("IMPORTRANGE(""https://docs.google.com/spreadsheets/d/1XiF77UIVHV0Kjc6xbXuOuJ10WgJYxd4p_22ngKVV5oM/edit?usp=sharing"",""ระยอง!J569"")"),0)</f>
        <v>0</v>
      </c>
      <c r="AK66" s="63">
        <f t="shared" ca="1" si="10"/>
        <v>0</v>
      </c>
      <c r="AL66" s="63">
        <f ca="1">IFERROR(__xludf.DUMMYFUNCTION("IMPORTRANGE(""https://docs.google.com/spreadsheets/d/1XiF77UIVHV0Kjc6xbXuOuJ10WgJYxd4p_22ngKVV5oM/edit?usp=sharing"",""ระยอง!J570"")"),0)</f>
        <v>0</v>
      </c>
      <c r="AM66" s="140">
        <f ca="1">IFERROR(__xludf.DUMMYFUNCTION("IMPORTRANGE(""https://docs.google.com/spreadsheets/d/1XiF77UIVHV0Kjc6xbXuOuJ10WgJYxd4p_22ngKVV5oM/edit?usp=sharing"",""ระยอง!J571"")"),0)</f>
        <v>0</v>
      </c>
      <c r="AN66" s="63">
        <f ca="1">IFERROR(__xludf.DUMMYFUNCTION("IMPORTRANGE(""https://docs.google.com/spreadsheets/d/1XiF77UIVHV0Kjc6xbXuOuJ10WgJYxd4p_22ngKVV5oM/edit?usp=sharing"",""ระยอง!J572"")"),0)</f>
        <v>0</v>
      </c>
      <c r="AO66" s="140">
        <f ca="1">IFERROR(__xludf.DUMMYFUNCTION("IMPORTRANGE(""https://docs.google.com/spreadsheets/d/1XiF77UIVHV0Kjc6xbXuOuJ10WgJYxd4p_22ngKVV5oM/edit?usp=sharing"",""ระยอง!J573"")"),0)</f>
        <v>0</v>
      </c>
      <c r="AP66" s="63">
        <f ca="1">IFERROR(__xludf.DUMMYFUNCTION("IMPORTRANGE(""https://docs.google.com/spreadsheets/d/1XiF77UIVHV0Kjc6xbXuOuJ10WgJYxd4p_22ngKVV5oM/edit?usp=sharing"",""ระยอง!J574"")"),0)</f>
        <v>0</v>
      </c>
      <c r="AQ66" s="140">
        <f ca="1">IFERROR(__xludf.DUMMYFUNCTION("IMPORTRANGE(""https://docs.google.com/spreadsheets/d/1XiF77UIVHV0Kjc6xbXuOuJ10WgJYxd4p_22ngKVV5oM/edit?usp=sharing"",""ระยอง!J575"")"),0)</f>
        <v>0</v>
      </c>
      <c r="AR66" s="57">
        <f ca="1">IFERROR(__xludf.DUMMYFUNCTION("IMPORTRANGE(""https://docs.google.com/spreadsheets/d/1XiF77UIVHV0Kjc6xbXuOuJ10WgJYxd4p_22ngKVV5oM/edit?usp=sharing"",""ระยอง!I576"")"),0)</f>
        <v>0</v>
      </c>
      <c r="AS66" s="57">
        <f ca="1">IFERROR(__xludf.DUMMYFUNCTION("IMPORTRANGE(""https://docs.google.com/spreadsheets/d/1XiF77UIVHV0Kjc6xbXuOuJ10WgJYxd4p_22ngKVV5oM/edit?usp=sharing"",""ระยอง!I577"")"),0)</f>
        <v>0</v>
      </c>
      <c r="AT66" s="63">
        <f ca="1">IFERROR(__xludf.DUMMYFUNCTION("IMPORTRANGE(""https://docs.google.com/spreadsheets/d/1XiF77UIVHV0Kjc6xbXuOuJ10WgJYxd4p_22ngKVV5oM/edit?usp=sharing"",""ระยอง!J576"")"),0)</f>
        <v>0</v>
      </c>
      <c r="AU66" s="63">
        <f t="shared" ca="1" si="39"/>
        <v>0</v>
      </c>
      <c r="AV66" s="57">
        <f ca="1">IFERROR(__xludf.DUMMYFUNCTION("IMPORTRANGE(""https://docs.google.com/spreadsheets/d/1XiF77UIVHV0Kjc6xbXuOuJ10WgJYxd4p_22ngKVV5oM/edit?usp=sharing"",""ระยอง!J577"")"),0)</f>
        <v>0</v>
      </c>
      <c r="AW66" s="63">
        <f t="shared" ca="1" si="13"/>
        <v>0</v>
      </c>
      <c r="AX66" s="63">
        <f ca="1">IFERROR(__xludf.DUMMYFUNCTION("IMPORTRANGE(""https://docs.google.com/spreadsheets/d/1XiF77UIVHV0Kjc6xbXuOuJ10WgJYxd4p_22ngKVV5oM/edit?usp=sharing"",""ระยอง!J578"")"),0)</f>
        <v>0</v>
      </c>
      <c r="AY66" s="140">
        <f ca="1">IFERROR(__xludf.DUMMYFUNCTION("IMPORTRANGE(""https://docs.google.com/spreadsheets/d/1XiF77UIVHV0Kjc6xbXuOuJ10WgJYxd4p_22ngKVV5oM/edit?usp=sharing"",""ระยอง!J579"")"),0)</f>
        <v>0</v>
      </c>
      <c r="AZ66" s="63">
        <f ca="1">IFERROR(__xludf.DUMMYFUNCTION("IMPORTRANGE(""https://docs.google.com/spreadsheets/d/1XiF77UIVHV0Kjc6xbXuOuJ10WgJYxd4p_22ngKVV5oM/edit?usp=sharing"",""ระยอง!J580"")"),0)</f>
        <v>0</v>
      </c>
      <c r="BA66" s="140">
        <f ca="1">IFERROR(__xludf.DUMMYFUNCTION("IMPORTRANGE(""https://docs.google.com/spreadsheets/d/1XiF77UIVHV0Kjc6xbXuOuJ10WgJYxd4p_22ngKVV5oM/edit?usp=sharing"",""ระยอง!J581"")"),0)</f>
        <v>0</v>
      </c>
      <c r="BB66" s="63">
        <f ca="1">IFERROR(__xludf.DUMMYFUNCTION("IMPORTRANGE(""https://docs.google.com/spreadsheets/d/1XiF77UIVHV0Kjc6xbXuOuJ10WgJYxd4p_22ngKVV5oM/edit?usp=sharing"",""ระยอง!J582"")"),0)</f>
        <v>0</v>
      </c>
      <c r="BC66" s="140">
        <f ca="1">IFERROR(__xludf.DUMMYFUNCTION("IMPORTRANGE(""https://docs.google.com/spreadsheets/d/1XiF77UIVHV0Kjc6xbXuOuJ10WgJYxd4p_22ngKVV5oM/edit?usp=sharing"",""ระยอง!J583"")"),0)</f>
        <v>0</v>
      </c>
      <c r="BD66" s="141">
        <f ca="1">IFERROR(__xludf.DUMMYFUNCTION("IMPORTRANGE(""https://docs.google.com/spreadsheets/d/1XiF77UIVHV0Kjc6xbXuOuJ10WgJYxd4p_22ngKVV5oM/edit?usp=sharing"",""ระยอง!J584"")"),0)</f>
        <v>0</v>
      </c>
      <c r="BE66" s="140">
        <f ca="1">IFERROR(__xludf.DUMMYFUNCTION("IMPORTRANGE(""https://docs.google.com/spreadsheets/d/1XiF77UIVHV0Kjc6xbXuOuJ10WgJYxd4p_22ngKVV5oM/edit?usp=sharing"",""ระยอง!J585"")"),0)</f>
        <v>0</v>
      </c>
      <c r="BF66" s="141">
        <f ca="1">IFERROR(__xludf.DUMMYFUNCTION("IMPORTRANGE(""https://docs.google.com/spreadsheets/d/1XiF77UIVHV0Kjc6xbXuOuJ10WgJYxd4p_22ngKVV5oM/edit?usp=sharing"",""ระยอง!J586"")"),0)</f>
        <v>0</v>
      </c>
      <c r="BG66" s="140">
        <f ca="1">IFERROR(__xludf.DUMMYFUNCTION("IMPORTRANGE(""https://docs.google.com/spreadsheets/d/1XiF77UIVHV0Kjc6xbXuOuJ10WgJYxd4p_22ngKVV5oM/edit?usp=sharing"",""ระยอง!J587"")"),0)</f>
        <v>0</v>
      </c>
      <c r="BH66" s="63">
        <f ca="1">IFERROR(__xludf.DUMMYFUNCTION("IMPORTRANGE(""https://docs.google.com/spreadsheets/d/1XiF77UIVHV0Kjc6xbXuOuJ10WgJYxd4p_22ngKVV5oM/edit?usp=sharing"",""ระยอง!J588"")"),0)</f>
        <v>0</v>
      </c>
      <c r="BI66" s="140">
        <f ca="1">IFERROR(__xludf.DUMMYFUNCTION("IMPORTRANGE(""https://docs.google.com/spreadsheets/d/1XiF77UIVHV0Kjc6xbXuOuJ10WgJYxd4p_22ngKVV5oM/edit?usp=sharing"",""ระยอง!J589"")"),0)</f>
        <v>0</v>
      </c>
      <c r="BJ66" s="63">
        <f ca="1">IFERROR(__xludf.DUMMYFUNCTION("IMPORTRANGE(""https://docs.google.com/spreadsheets/d/1XiF77UIVHV0Kjc6xbXuOuJ10WgJYxd4p_22ngKVV5oM/edit?usp=sharing"",""ระยอง!J590"")"),0)</f>
        <v>0</v>
      </c>
      <c r="BK66" s="140">
        <f ca="1">IFERROR(__xludf.DUMMYFUNCTION("IMPORTRANGE(""https://docs.google.com/spreadsheets/d/1XiF77UIVHV0Kjc6xbXuOuJ10WgJYxd4p_22ngKVV5oM/edit?usp=sharing"",""ระยอง!J591"")"),0)</f>
        <v>0</v>
      </c>
      <c r="BL66" s="57">
        <f ca="1">IFERROR(__xludf.DUMMYFUNCTION("IMPORTRANGE(""https://docs.google.com/spreadsheets/d/1XiF77UIVHV0Kjc6xbXuOuJ10WgJYxd4p_22ngKVV5oM/edit?usp=sharing"",""ระยอง!I593"")"),1292.23)</f>
        <v>1292.23</v>
      </c>
      <c r="BM66" s="57">
        <f ca="1">IFERROR(__xludf.DUMMYFUNCTION("IMPORTRANGE(""https://docs.google.com/spreadsheets/d/1XiF77UIVHV0Kjc6xbXuOuJ10WgJYxd4p_22ngKVV5oM/edit?usp=sharing"",""ระยอง!I594"")"),80)</f>
        <v>80</v>
      </c>
      <c r="BN66" s="63">
        <f ca="1">IFERROR(__xludf.DUMMYFUNCTION("IMPORTRANGE(""https://docs.google.com/spreadsheets/d/1XiF77UIVHV0Kjc6xbXuOuJ10WgJYxd4p_22ngKVV5oM/edit?usp=sharing"",""ระยอง!J593"")"),595)</f>
        <v>595</v>
      </c>
      <c r="BO66" s="63">
        <f t="shared" ca="1" si="40"/>
        <v>46.044434814235856</v>
      </c>
      <c r="BP66" s="57">
        <f ca="1">IFERROR(__xludf.DUMMYFUNCTION("IMPORTRANGE(""https://docs.google.com/spreadsheets/d/1XiF77UIVHV0Kjc6xbXuOuJ10WgJYxd4p_22ngKVV5oM/edit?usp=sharing"",""ระยอง!J594"")"),37)</f>
        <v>37</v>
      </c>
      <c r="BQ66" s="63">
        <f t="shared" ca="1" si="16"/>
        <v>46.25</v>
      </c>
      <c r="BR66" s="63">
        <f ca="1">IFERROR(__xludf.DUMMYFUNCTION("IMPORTRANGE(""https://docs.google.com/spreadsheets/d/1XiF77UIVHV0Kjc6xbXuOuJ10WgJYxd4p_22ngKVV5oM/edit?usp=sharing"",""ระยอง!J595"")"),367)</f>
        <v>367</v>
      </c>
      <c r="BS66" s="140">
        <f ca="1">IFERROR(__xludf.DUMMYFUNCTION("IMPORTRANGE(""https://docs.google.com/spreadsheets/d/1XiF77UIVHV0Kjc6xbXuOuJ10WgJYxd4p_22ngKVV5oM/edit?usp=sharing"",""ระยอง!J596"")"),22)</f>
        <v>22</v>
      </c>
      <c r="BT66" s="63">
        <f ca="1">IFERROR(__xludf.DUMMYFUNCTION("IMPORTRANGE(""https://docs.google.com/spreadsheets/d/1XiF77UIVHV0Kjc6xbXuOuJ10WgJYxd4p_22ngKVV5oM/edit?usp=sharing"",""ระยอง!J597"")"),84)</f>
        <v>84</v>
      </c>
      <c r="BU66" s="140">
        <f ca="1">IFERROR(__xludf.DUMMYFUNCTION("IMPORTRANGE(""https://docs.google.com/spreadsheets/d/1XiF77UIVHV0Kjc6xbXuOuJ10WgJYxd4p_22ngKVV5oM/edit?usp=sharing"",""ระยอง!J598"")"),6)</f>
        <v>6</v>
      </c>
      <c r="BV66" s="63">
        <f ca="1">IFERROR(__xludf.DUMMYFUNCTION("IMPORTRANGE(""https://docs.google.com/spreadsheets/d/1XiF77UIVHV0Kjc6xbXuOuJ10WgJYxd4p_22ngKVV5oM/edit?usp=sharing"",""ระยอง!J599"")"),283)</f>
        <v>283</v>
      </c>
      <c r="BW66" s="140">
        <f ca="1">IFERROR(__xludf.DUMMYFUNCTION("IMPORTRANGE(""https://docs.google.com/spreadsheets/d/1XiF77UIVHV0Kjc6xbXuOuJ10WgJYxd4p_22ngKVV5oM/edit?usp=sharing"",""ระยอง!J600"")"),16)</f>
        <v>16</v>
      </c>
      <c r="BX66" s="141">
        <f ca="1">IFERROR(__xludf.DUMMYFUNCTION("IMPORTRANGE(""https://docs.google.com/spreadsheets/d/1XiF77UIVHV0Kjc6xbXuOuJ10WgJYxd4p_22ngKVV5oM/edit?usp=sharing"",""ระยอง!J601"")"),0)</f>
        <v>0</v>
      </c>
      <c r="BY66" s="140">
        <f ca="1">IFERROR(__xludf.DUMMYFUNCTION("IMPORTRANGE(""https://docs.google.com/spreadsheets/d/1XiF77UIVHV0Kjc6xbXuOuJ10WgJYxd4p_22ngKVV5oM/edit?usp=sharing"",""ระยอง!J602"")"),0)</f>
        <v>0</v>
      </c>
      <c r="BZ66" s="63">
        <f ca="1">IFERROR(__xludf.DUMMYFUNCTION("IMPORTRANGE(""https://docs.google.com/spreadsheets/d/1XiF77UIVHV0Kjc6xbXuOuJ10WgJYxd4p_22ngKVV5oM/edit?usp=sharing"",""ระยอง!J603"")"),228)</f>
        <v>228</v>
      </c>
      <c r="CA66" s="140">
        <f ca="1">IFERROR(__xludf.DUMMYFUNCTION("IMPORTRANGE(""https://docs.google.com/spreadsheets/d/1XiF77UIVHV0Kjc6xbXuOuJ10WgJYxd4p_22ngKVV5oM/edit?usp=sharing"",""ระยอง!J604"")"),15)</f>
        <v>15</v>
      </c>
      <c r="CB66" s="63">
        <f ca="1">IFERROR(__xludf.DUMMYFUNCTION("IMPORTRANGE(""https://docs.google.com/spreadsheets/d/1XiF77UIVHV0Kjc6xbXuOuJ10WgJYxd4p_22ngKVV5oM/edit?usp=sharing"",""ระยอง!J605"")"),228)</f>
        <v>228</v>
      </c>
      <c r="CC66" s="140">
        <f ca="1">IFERROR(__xludf.DUMMYFUNCTION("IMPORTRANGE(""https://docs.google.com/spreadsheets/d/1XiF77UIVHV0Kjc6xbXuOuJ10WgJYxd4p_22ngKVV5oM/edit?usp=sharing"",""ระยอง!J606"")"),15)</f>
        <v>15</v>
      </c>
      <c r="CD66" s="63">
        <f ca="1">IFERROR(__xludf.DUMMYFUNCTION("IMPORTRANGE(""https://docs.google.com/spreadsheets/d/1XiF77UIVHV0Kjc6xbXuOuJ10WgJYxd4p_22ngKVV5oM/edit?usp=sharing"",""ระยอง!J607"")"),0)</f>
        <v>0</v>
      </c>
      <c r="CE66" s="140">
        <f ca="1">IFERROR(__xludf.DUMMYFUNCTION("IMPORTRANGE(""https://docs.google.com/spreadsheets/d/1XiF77UIVHV0Kjc6xbXuOuJ10WgJYxd4p_22ngKVV5oM/edit?usp=sharing"",""ระยอง!J608"")"),0)</f>
        <v>0</v>
      </c>
      <c r="CF66" s="63">
        <f ca="1">IFERROR(__xludf.DUMMYFUNCTION("IMPORTRANGE(""https://docs.google.com/spreadsheets/d/1XiF77UIVHV0Kjc6xbXuOuJ10WgJYxd4p_22ngKVV5oM/edit?usp=sharing"",""ระยอง!J609"")"),0)</f>
        <v>0</v>
      </c>
      <c r="CG66" s="140">
        <f ca="1">IFERROR(__xludf.DUMMYFUNCTION("IMPORTRANGE(""https://docs.google.com/spreadsheets/d/1XiF77UIVHV0Kjc6xbXuOuJ10WgJYxd4p_22ngKVV5oM/edit?usp=sharing"",""ระยอง!J610"")"),0)</f>
        <v>0</v>
      </c>
      <c r="CH66" s="140">
        <f ca="1">IFERROR(__xludf.DUMMYFUNCTION("IMPORTRANGE(""https://docs.google.com/spreadsheets/d/1XiF77UIVHV0Kjc6xbXuOuJ10WgJYxd4p_22ngKVV5oM/edit?usp=sharing"",""ระยอง!I612"")"),0)</f>
        <v>0</v>
      </c>
      <c r="CI66" s="140">
        <f ca="1">IFERROR(__xludf.DUMMYFUNCTION("IMPORTRANGE(""https://docs.google.com/spreadsheets/d/1XiF77UIVHV0Kjc6xbXuOuJ10WgJYxd4p_22ngKVV5oM/edit?usp=sharing"",""ระยอง!I594"")"),80)</f>
        <v>80</v>
      </c>
      <c r="CJ66" s="141">
        <f ca="1">IFERROR(__xludf.DUMMYFUNCTION("IMPORTRANGE(""https://docs.google.com/spreadsheets/d/1XiF77UIVHV0Kjc6xbXuOuJ10WgJYxd4p_22ngKVV5oM/edit?usp=sharing"",""ระยอง!J612"")"),0)</f>
        <v>0</v>
      </c>
      <c r="CK66" s="141">
        <f t="shared" ca="1" si="41"/>
        <v>0</v>
      </c>
      <c r="CL66" s="140">
        <f ca="1">IFERROR(__xludf.DUMMYFUNCTION("IMPORTRANGE(""https://docs.google.com/spreadsheets/d/1XiF77UIVHV0Kjc6xbXuOuJ10WgJYxd4p_22ngKVV5oM/edit?usp=sharing"",""ระยอง!J613"")"),0)</f>
        <v>0</v>
      </c>
      <c r="CM66" s="141">
        <f t="shared" ca="1" si="19"/>
        <v>0</v>
      </c>
      <c r="CN66" s="63">
        <f ca="1">IFERROR(__xludf.DUMMYFUNCTION("IMPORTRANGE(""https://docs.google.com/spreadsheets/d/1XiF77UIVHV0Kjc6xbXuOuJ10WgJYxd4p_22ngKVV5oM/edit?usp=sharing"",""ระยอง!J614"")"),0)</f>
        <v>0</v>
      </c>
      <c r="CO66" s="140">
        <f ca="1">IFERROR(__xludf.DUMMYFUNCTION("IMPORTRANGE(""https://docs.google.com/spreadsheets/d/1XiF77UIVHV0Kjc6xbXuOuJ10WgJYxd4p_22ngKVV5oM/edit?usp=sharing"",""ระยอง!J615"")"),0)</f>
        <v>0</v>
      </c>
      <c r="CP66" s="63">
        <f ca="1">IFERROR(__xludf.DUMMYFUNCTION("IMPORTRANGE(""https://docs.google.com/spreadsheets/d/1XiF77UIVHV0Kjc6xbXuOuJ10WgJYxd4p_22ngKVV5oM/edit?usp=sharing"",""ระยอง!J616"")"),0)</f>
        <v>0</v>
      </c>
      <c r="CQ66" s="140">
        <f ca="1">IFERROR(__xludf.DUMMYFUNCTION("IMPORTRANGE(""https://docs.google.com/spreadsheets/d/1XiF77UIVHV0Kjc6xbXuOuJ10WgJYxd4p_22ngKVV5oM/edit?usp=sharing"",""ระยอง!J617"")"),0)</f>
        <v>0</v>
      </c>
      <c r="CR66" s="140">
        <f ca="1">IFERROR(__xludf.DUMMYFUNCTION("IMPORTRANGE(""https://docs.google.com/spreadsheets/d/1XiF77UIVHV0Kjc6xbXuOuJ10WgJYxd4p_22ngKVV5oM/edit?usp=sharing"",""ระยอง!I620"")"),0)</f>
        <v>0</v>
      </c>
      <c r="CS66" s="140">
        <f ca="1">IFERROR(__xludf.DUMMYFUNCTION("IMPORTRANGE(""https://docs.google.com/spreadsheets/d/1XiF77UIVHV0Kjc6xbXuOuJ10WgJYxd4p_22ngKVV5oM/edit?usp=sharing"",""ระยอง!I621"")"),0)</f>
        <v>0</v>
      </c>
      <c r="CT66" s="141">
        <f ca="1">IFERROR(__xludf.DUMMYFUNCTION("IMPORTRANGE(""https://docs.google.com/spreadsheets/d/1XiF77UIVHV0Kjc6xbXuOuJ10WgJYxd4p_22ngKVV5oM/edit?usp=sharing"",""ระยอง!J620"")"),0)</f>
        <v>0</v>
      </c>
      <c r="CU66" s="141">
        <f t="shared" ca="1" si="42"/>
        <v>0</v>
      </c>
      <c r="CV66" s="140">
        <f ca="1">IFERROR(__xludf.DUMMYFUNCTION("IMPORTRANGE(""https://docs.google.com/spreadsheets/d/1XiF77UIVHV0Kjc6xbXuOuJ10WgJYxd4p_22ngKVV5oM/edit?usp=sharing"",""ระยอง!J621"")"),0)</f>
        <v>0</v>
      </c>
      <c r="CW66" s="141">
        <f t="shared" ca="1" si="22"/>
        <v>0</v>
      </c>
      <c r="CX66" s="63">
        <f ca="1">IFERROR(__xludf.DUMMYFUNCTION("IMPORTRANGE(""https://docs.google.com/spreadsheets/d/1XiF77UIVHV0Kjc6xbXuOuJ10WgJYxd4p_22ngKVV5oM/edit?usp=sharing"",""ระยอง!J622"")"),0)</f>
        <v>0</v>
      </c>
      <c r="CY66" s="140">
        <f ca="1">IFERROR(__xludf.DUMMYFUNCTION("IMPORTRANGE(""https://docs.google.com/spreadsheets/d/1XiF77UIVHV0Kjc6xbXuOuJ10WgJYxd4p_22ngKVV5oM/edit?usp=sharing"",""ระยอง!J623"")"),0)</f>
        <v>0</v>
      </c>
      <c r="CZ66" s="63">
        <f ca="1">IFERROR(__xludf.DUMMYFUNCTION("IMPORTRANGE(""https://docs.google.com/spreadsheets/d/1XiF77UIVHV0Kjc6xbXuOuJ10WgJYxd4p_22ngKVV5oM/edit?usp=sharing"",""ระยอง!J624"")"),0)</f>
        <v>0</v>
      </c>
      <c r="DA66" s="140">
        <f ca="1">IFERROR(__xludf.DUMMYFUNCTION("IMPORTRANGE(""https://docs.google.com/spreadsheets/d/1XiF77UIVHV0Kjc6xbXuOuJ10WgJYxd4p_22ngKVV5oM/edit?usp=sharing"",""ระยอง!J625"")"),0)</f>
        <v>0</v>
      </c>
      <c r="DB66" s="63">
        <f ca="1">IFERROR(__xludf.DUMMYFUNCTION("IMPORTRANGE(""https://docs.google.com/spreadsheets/d/1XiF77UIVHV0Kjc6xbXuOuJ10WgJYxd4p_22ngKVV5oM/edit?usp=sharing"",""ระยอง!J626"")"),0)</f>
        <v>0</v>
      </c>
      <c r="DC66" s="140">
        <f ca="1">IFERROR(__xludf.DUMMYFUNCTION("IMPORTRANGE(""https://docs.google.com/spreadsheets/d/1XiF77UIVHV0Kjc6xbXuOuJ10WgJYxd4p_22ngKVV5oM/edit?usp=sharing"",""ระยอง!J627"")"),0)</f>
        <v>0</v>
      </c>
    </row>
    <row r="67" spans="1:107" ht="21" customHeight="1" x14ac:dyDescent="0.3">
      <c r="A67" s="54">
        <v>15</v>
      </c>
      <c r="B67" s="55" t="s">
        <v>88</v>
      </c>
      <c r="C67" s="56">
        <f t="shared" ca="1" si="77"/>
        <v>255500</v>
      </c>
      <c r="D67" s="57">
        <f ca="1">IFERROR(__xludf.DUMMYFUNCTION("IMPORTRANGE(""https://docs.google.com/spreadsheets/d/1qU-W_9MCQD1pgIVXGEOjCFo9QqlmJywuebyGgaN92r8/edit?usp=sharing"",""ราชบุรี!L549"")"),255500)</f>
        <v>255500</v>
      </c>
      <c r="E67" s="64">
        <f ca="1">IFERROR(__xludf.DUMMYFUNCTION("IMPORTRANGE(""https://docs.google.com/spreadsheets/d/1qU-W_9MCQD1pgIVXGEOjCFo9QqlmJywuebyGgaN92r8/edit?usp=sharing"",""ราชบุรี!L557"")"),0)</f>
        <v>0</v>
      </c>
      <c r="F67" s="64">
        <f ca="1">IFERROR(__xludf.DUMMYFUNCTION("IMPORTRANGE(""https://docs.google.com/spreadsheets/d/1qU-W_9MCQD1pgIVXGEOjCFo9QqlmJywuebyGgaN92r8/edit?usp=sharing"",""ราชบุรี!M549"")"),255500)</f>
        <v>255500</v>
      </c>
      <c r="G67" s="64">
        <f ca="1">IFERROR(__xludf.DUMMYFUNCTION("IMPORTRANGE(""https://docs.google.com/spreadsheets/d/1qU-W_9MCQD1pgIVXGEOjCFo9QqlmJywuebyGgaN92r8/edit?usp=sharing"",""ราชบุรี!M557"")"),0)</f>
        <v>0</v>
      </c>
      <c r="H67" s="58">
        <f t="shared" ca="1" si="36"/>
        <v>143781.29999999999</v>
      </c>
      <c r="I67" s="59">
        <f t="shared" ca="1" si="1"/>
        <v>56.27448140900195</v>
      </c>
      <c r="J67" s="60">
        <f t="shared" ca="1" si="78"/>
        <v>143781.29999999999</v>
      </c>
      <c r="K67" s="61">
        <f t="shared" ca="1" si="44"/>
        <v>56.27448140900195</v>
      </c>
      <c r="L67" s="61">
        <f t="shared" ca="1" si="45"/>
        <v>56.27448140900195</v>
      </c>
      <c r="M67" s="64">
        <f ca="1">IFERROR(__xludf.DUMMYFUNCTION("IMPORTRANGE(""https://docs.google.com/spreadsheets/d/1qU-W_9MCQD1pgIVXGEOjCFo9QqlmJywuebyGgaN92r8/edit?usp=sharing"",""ราชบุรี!N550"")"),0)</f>
        <v>0</v>
      </c>
      <c r="N67" s="64">
        <f ca="1">IFERROR(__xludf.DUMMYFUNCTION("IMPORTRANGE(""https://docs.google.com/spreadsheets/d/1qU-W_9MCQD1pgIVXGEOjCFo9QqlmJywuebyGgaN92r8/edit?usp=sharing"",""ราชบุรี!N551"")"),0)</f>
        <v>0</v>
      </c>
      <c r="O67" s="64">
        <f ca="1">IFERROR(__xludf.DUMMYFUNCTION("IMPORTRANGE(""https://docs.google.com/spreadsheets/d/1qU-W_9MCQD1pgIVXGEOjCFo9QqlmJywuebyGgaN92r8/edit?usp=sharing"",""ราชบุรี!N552"")"),64133.24)</f>
        <v>64133.24</v>
      </c>
      <c r="P67" s="64">
        <f ca="1">IFERROR(__xludf.DUMMYFUNCTION("IMPORTRANGE(""https://docs.google.com/spreadsheets/d/1qU-W_9MCQD1pgIVXGEOjCFo9QqlmJywuebyGgaN92r8/edit?usp=sharing"",""ราชบุรี!N553"")"),79648.06)</f>
        <v>79648.06</v>
      </c>
      <c r="Q67" s="64">
        <f ca="1">IFERROR(__xludf.DUMMYFUNCTION("IMPORTRANGE(""https://docs.google.com/spreadsheets/d/1qU-W_9MCQD1pgIVXGEOjCFo9QqlmJywuebyGgaN92r8/edit?usp=sharing"",""ราชบุรี!N554"")"),0)</f>
        <v>0</v>
      </c>
      <c r="R67" s="62">
        <f ca="1">IFERROR(__xludf.DUMMYFUNCTION("IMPORTRANGE(""https://docs.google.com/spreadsheets/d/1qU-W_9MCQD1pgIVXGEOjCFo9QqlmJywuebyGgaN92r8/edit?usp=sharing"",""ราชบุรี!N557"")"),0)</f>
        <v>0</v>
      </c>
      <c r="S67" s="62">
        <f t="shared" ca="1" si="47"/>
        <v>0</v>
      </c>
      <c r="T67" s="57">
        <f ca="1">IFERROR(__xludf.DUMMYFUNCTION("IMPORTRANGE(""https://docs.google.com/spreadsheets/d/1qU-W_9MCQD1pgIVXGEOjCFo9QqlmJywuebyGgaN92r8/edit?usp=sharing"",""ราชบุรี!I560"")"),0)</f>
        <v>0</v>
      </c>
      <c r="U67" s="57">
        <f ca="1">IFERROR(__xludf.DUMMYFUNCTION("IMPORTRANGE(""https://docs.google.com/spreadsheets/d/1qU-W_9MCQD1pgIVXGEOjCFo9QqlmJywuebyGgaN92r8/edit?usp=sharing"",""ราชบุรี!I561"")"),0)</f>
        <v>0</v>
      </c>
      <c r="V67" s="63">
        <f ca="1">IFERROR(__xludf.DUMMYFUNCTION("IMPORTRANGE(""https://docs.google.com/spreadsheets/d/1qU-W_9MCQD1pgIVXGEOjCFo9QqlmJywuebyGgaN92r8/edit?usp=sharing"",""ราชบุรี!J560"")"),0)</f>
        <v>0</v>
      </c>
      <c r="W67" s="63">
        <f t="shared" ca="1" si="37"/>
        <v>0</v>
      </c>
      <c r="X67" s="57">
        <f ca="1">IFERROR(__xludf.DUMMYFUNCTION("IMPORTRANGE(""https://docs.google.com/spreadsheets/d/1qU-W_9MCQD1pgIVXGEOjCFo9QqlmJywuebyGgaN92r8/edit?usp=sharing"",""ราชบุรี!J561"")"),0)</f>
        <v>0</v>
      </c>
      <c r="Y67" s="63">
        <f t="shared" ca="1" si="7"/>
        <v>0</v>
      </c>
      <c r="Z67" s="63">
        <f ca="1">IFERROR(__xludf.DUMMYFUNCTION("IMPORTRANGE(""https://docs.google.com/spreadsheets/d/1qU-W_9MCQD1pgIVXGEOjCFo9QqlmJywuebyGgaN92r8/edit?usp=sharing"",""ราชบุรี!J562"")"),0)</f>
        <v>0</v>
      </c>
      <c r="AA67" s="140">
        <f ca="1">IFERROR(__xludf.DUMMYFUNCTION("IMPORTRANGE(""https://docs.google.com/spreadsheets/d/1qU-W_9MCQD1pgIVXGEOjCFo9QqlmJywuebyGgaN92r8/edit?usp=sharing"",""ราชบุรี!J563"")"),0)</f>
        <v>0</v>
      </c>
      <c r="AB67" s="63">
        <f ca="1">IFERROR(__xludf.DUMMYFUNCTION("IMPORTRANGE(""https://docs.google.com/spreadsheets/d/1qU-W_9MCQD1pgIVXGEOjCFo9QqlmJywuebyGgaN92r8/edit?usp=sharing"",""ราชบุรี!J564"")"),0)</f>
        <v>0</v>
      </c>
      <c r="AC67" s="140">
        <f ca="1">IFERROR(__xludf.DUMMYFUNCTION("IMPORTRANGE(""https://docs.google.com/spreadsheets/d/1qU-W_9MCQD1pgIVXGEOjCFo9QqlmJywuebyGgaN92r8/edit?usp=sharing"",""ราชบุรี!J565"")"),0)</f>
        <v>0</v>
      </c>
      <c r="AD67" s="63">
        <f ca="1">IFERROR(__xludf.DUMMYFUNCTION("IMPORTRANGE(""https://docs.google.com/spreadsheets/d/1qU-W_9MCQD1pgIVXGEOjCFo9QqlmJywuebyGgaN92r8/edit?usp=sharing"",""ราชบุรี!J566"")"),0)</f>
        <v>0</v>
      </c>
      <c r="AE67" s="140">
        <f ca="1">IFERROR(__xludf.DUMMYFUNCTION("IMPORTRANGE(""https://docs.google.com/spreadsheets/d/1qU-W_9MCQD1pgIVXGEOjCFo9QqlmJywuebyGgaN92r8/edit?usp=sharing"",""ราชบุรี!J567"")"),0)</f>
        <v>0</v>
      </c>
      <c r="AF67" s="57">
        <f ca="1">IFERROR(__xludf.DUMMYFUNCTION("IMPORTRANGE(""https://docs.google.com/spreadsheets/d/1qU-W_9MCQD1pgIVXGEOjCFo9QqlmJywuebyGgaN92r8/edit?usp=sharing"",""ราชบุรี!I568"")"),0)</f>
        <v>0</v>
      </c>
      <c r="AG67" s="57">
        <f ca="1">IFERROR(__xludf.DUMMYFUNCTION("IMPORTRANGE(""https://docs.google.com/spreadsheets/d/1qU-W_9MCQD1pgIVXGEOjCFo9QqlmJywuebyGgaN92r8/edit?usp=sharing"",""ราชบุรี!I569"")"),0)</f>
        <v>0</v>
      </c>
      <c r="AH67" s="63">
        <f ca="1">IFERROR(__xludf.DUMMYFUNCTION("IMPORTRANGE(""https://docs.google.com/spreadsheets/d/1qU-W_9MCQD1pgIVXGEOjCFo9QqlmJywuebyGgaN92r8/edit?usp=sharing"",""ราชบุรี!J568"")"),0)</f>
        <v>0</v>
      </c>
      <c r="AI67" s="63">
        <f t="shared" ca="1" si="38"/>
        <v>0</v>
      </c>
      <c r="AJ67" s="57">
        <f ca="1">IFERROR(__xludf.DUMMYFUNCTION("IMPORTRANGE(""https://docs.google.com/spreadsheets/d/1qU-W_9MCQD1pgIVXGEOjCFo9QqlmJywuebyGgaN92r8/edit?usp=sharing"",""ราชบุรี!J569"")"),0)</f>
        <v>0</v>
      </c>
      <c r="AK67" s="63">
        <f t="shared" ca="1" si="10"/>
        <v>0</v>
      </c>
      <c r="AL67" s="63">
        <f ca="1">IFERROR(__xludf.DUMMYFUNCTION("IMPORTRANGE(""https://docs.google.com/spreadsheets/d/1qU-W_9MCQD1pgIVXGEOjCFo9QqlmJywuebyGgaN92r8/edit?usp=sharing"",""ราชบุรี!J570"")"),0)</f>
        <v>0</v>
      </c>
      <c r="AM67" s="140">
        <f ca="1">IFERROR(__xludf.DUMMYFUNCTION("IMPORTRANGE(""https://docs.google.com/spreadsheets/d/1qU-W_9MCQD1pgIVXGEOjCFo9QqlmJywuebyGgaN92r8/edit?usp=sharing"",""ราชบุรี!J571"")"),0)</f>
        <v>0</v>
      </c>
      <c r="AN67" s="63">
        <f ca="1">IFERROR(__xludf.DUMMYFUNCTION("IMPORTRANGE(""https://docs.google.com/spreadsheets/d/1qU-W_9MCQD1pgIVXGEOjCFo9QqlmJywuebyGgaN92r8/edit?usp=sharing"",""ราชบุรี!J572"")"),0)</f>
        <v>0</v>
      </c>
      <c r="AO67" s="140">
        <f ca="1">IFERROR(__xludf.DUMMYFUNCTION("IMPORTRANGE(""https://docs.google.com/spreadsheets/d/1qU-W_9MCQD1pgIVXGEOjCFo9QqlmJywuebyGgaN92r8/edit?usp=sharing"",""ราชบุรี!J573"")"),0)</f>
        <v>0</v>
      </c>
      <c r="AP67" s="63">
        <f ca="1">IFERROR(__xludf.DUMMYFUNCTION("IMPORTRANGE(""https://docs.google.com/spreadsheets/d/1qU-W_9MCQD1pgIVXGEOjCFo9QqlmJywuebyGgaN92r8/edit?usp=sharing"",""ราชบุรี!J574"")"),0)</f>
        <v>0</v>
      </c>
      <c r="AQ67" s="140">
        <f ca="1">IFERROR(__xludf.DUMMYFUNCTION("IMPORTRANGE(""https://docs.google.com/spreadsheets/d/1qU-W_9MCQD1pgIVXGEOjCFo9QqlmJywuebyGgaN92r8/edit?usp=sharing"",""ราชบุรี!J575"")"),0)</f>
        <v>0</v>
      </c>
      <c r="AR67" s="57">
        <f ca="1">IFERROR(__xludf.DUMMYFUNCTION("IMPORTRANGE(""https://docs.google.com/spreadsheets/d/1qU-W_9MCQD1pgIVXGEOjCFo9QqlmJywuebyGgaN92r8/edit?usp=sharing"",""ราชบุรี!I576"")"),0)</f>
        <v>0</v>
      </c>
      <c r="AS67" s="57">
        <f ca="1">IFERROR(__xludf.DUMMYFUNCTION("IMPORTRANGE(""https://docs.google.com/spreadsheets/d/1qU-W_9MCQD1pgIVXGEOjCFo9QqlmJywuebyGgaN92r8/edit?usp=sharing"",""ราชบุรี!I577"")"),0)</f>
        <v>0</v>
      </c>
      <c r="AT67" s="63">
        <f ca="1">IFERROR(__xludf.DUMMYFUNCTION("IMPORTRANGE(""https://docs.google.com/spreadsheets/d/1qU-W_9MCQD1pgIVXGEOjCFo9QqlmJywuebyGgaN92r8/edit?usp=sharing"",""ราชบุรี!J576"")"),0)</f>
        <v>0</v>
      </c>
      <c r="AU67" s="63">
        <f t="shared" ca="1" si="39"/>
        <v>0</v>
      </c>
      <c r="AV67" s="57">
        <f ca="1">IFERROR(__xludf.DUMMYFUNCTION("IMPORTRANGE(""https://docs.google.com/spreadsheets/d/1qU-W_9MCQD1pgIVXGEOjCFo9QqlmJywuebyGgaN92r8/edit?usp=sharing"",""ราชบุรี!J577"")"),0)</f>
        <v>0</v>
      </c>
      <c r="AW67" s="63">
        <f t="shared" ca="1" si="13"/>
        <v>0</v>
      </c>
      <c r="AX67" s="63">
        <f ca="1">IFERROR(__xludf.DUMMYFUNCTION("IMPORTRANGE(""https://docs.google.com/spreadsheets/d/1qU-W_9MCQD1pgIVXGEOjCFo9QqlmJywuebyGgaN92r8/edit?usp=sharing"",""ราชบุรี!J578"")"),0)</f>
        <v>0</v>
      </c>
      <c r="AY67" s="140">
        <f ca="1">IFERROR(__xludf.DUMMYFUNCTION("IMPORTRANGE(""https://docs.google.com/spreadsheets/d/1qU-W_9MCQD1pgIVXGEOjCFo9QqlmJywuebyGgaN92r8/edit?usp=sharing"",""ราชบุรี!J579"")"),0)</f>
        <v>0</v>
      </c>
      <c r="AZ67" s="63">
        <f ca="1">IFERROR(__xludf.DUMMYFUNCTION("IMPORTRANGE(""https://docs.google.com/spreadsheets/d/1qU-W_9MCQD1pgIVXGEOjCFo9QqlmJywuebyGgaN92r8/edit?usp=sharing"",""ราชบุรี!J580"")"),0)</f>
        <v>0</v>
      </c>
      <c r="BA67" s="140">
        <f ca="1">IFERROR(__xludf.DUMMYFUNCTION("IMPORTRANGE(""https://docs.google.com/spreadsheets/d/1qU-W_9MCQD1pgIVXGEOjCFo9QqlmJywuebyGgaN92r8/edit?usp=sharing"",""ราชบุรี!J581"")"),0)</f>
        <v>0</v>
      </c>
      <c r="BB67" s="63">
        <f ca="1">IFERROR(__xludf.DUMMYFUNCTION("IMPORTRANGE(""https://docs.google.com/spreadsheets/d/1qU-W_9MCQD1pgIVXGEOjCFo9QqlmJywuebyGgaN92r8/edit?usp=sharing"",""ราชบุรี!J582"")"),0)</f>
        <v>0</v>
      </c>
      <c r="BC67" s="140">
        <f ca="1">IFERROR(__xludf.DUMMYFUNCTION("IMPORTRANGE(""https://docs.google.com/spreadsheets/d/1qU-W_9MCQD1pgIVXGEOjCFo9QqlmJywuebyGgaN92r8/edit?usp=sharing"",""ราชบุรี!J583"")"),0)</f>
        <v>0</v>
      </c>
      <c r="BD67" s="141">
        <f ca="1">IFERROR(__xludf.DUMMYFUNCTION("IMPORTRANGE(""https://docs.google.com/spreadsheets/d/1qU-W_9MCQD1pgIVXGEOjCFo9QqlmJywuebyGgaN92r8/edit?usp=sharing"",""ราชบุรี!J584"")"),0)</f>
        <v>0</v>
      </c>
      <c r="BE67" s="140">
        <f ca="1">IFERROR(__xludf.DUMMYFUNCTION("IMPORTRANGE(""https://docs.google.com/spreadsheets/d/1qU-W_9MCQD1pgIVXGEOjCFo9QqlmJywuebyGgaN92r8/edit?usp=sharing"",""ราชบุรี!J585"")"),0)</f>
        <v>0</v>
      </c>
      <c r="BF67" s="141">
        <f ca="1">IFERROR(__xludf.DUMMYFUNCTION("IMPORTRANGE(""https://docs.google.com/spreadsheets/d/1qU-W_9MCQD1pgIVXGEOjCFo9QqlmJywuebyGgaN92r8/edit?usp=sharing"",""ราชบุรี!J586"")"),0)</f>
        <v>0</v>
      </c>
      <c r="BG67" s="140">
        <f ca="1">IFERROR(__xludf.DUMMYFUNCTION("IMPORTRANGE(""https://docs.google.com/spreadsheets/d/1qU-W_9MCQD1pgIVXGEOjCFo9QqlmJywuebyGgaN92r8/edit?usp=sharing"",""ราชบุรี!J587"")"),0)</f>
        <v>0</v>
      </c>
      <c r="BH67" s="63">
        <f ca="1">IFERROR(__xludf.DUMMYFUNCTION("IMPORTRANGE(""https://docs.google.com/spreadsheets/d/1qU-W_9MCQD1pgIVXGEOjCFo9QqlmJywuebyGgaN92r8/edit?usp=sharing"",""ราชบุรี!J588"")"),0)</f>
        <v>0</v>
      </c>
      <c r="BI67" s="140">
        <f ca="1">IFERROR(__xludf.DUMMYFUNCTION("IMPORTRANGE(""https://docs.google.com/spreadsheets/d/1qU-W_9MCQD1pgIVXGEOjCFo9QqlmJywuebyGgaN92r8/edit?usp=sharing"",""ราชบุรี!J589"")"),0)</f>
        <v>0</v>
      </c>
      <c r="BJ67" s="63">
        <f ca="1">IFERROR(__xludf.DUMMYFUNCTION("IMPORTRANGE(""https://docs.google.com/spreadsheets/d/1qU-W_9MCQD1pgIVXGEOjCFo9QqlmJywuebyGgaN92r8/edit?usp=sharing"",""ราชบุรี!J590"")"),0)</f>
        <v>0</v>
      </c>
      <c r="BK67" s="140">
        <f ca="1">IFERROR(__xludf.DUMMYFUNCTION("IMPORTRANGE(""https://docs.google.com/spreadsheets/d/1qU-W_9MCQD1pgIVXGEOjCFo9QqlmJywuebyGgaN92r8/edit?usp=sharing"",""ราชบุรี!J591"")"),0)</f>
        <v>0</v>
      </c>
      <c r="BL67" s="57">
        <f ca="1">IFERROR(__xludf.DUMMYFUNCTION("IMPORTRANGE(""https://docs.google.com/spreadsheets/d/1qU-W_9MCQD1pgIVXGEOjCFo9QqlmJywuebyGgaN92r8/edit?usp=sharing"",""ราชบุรี!I593"")"),3492.21)</f>
        <v>3492.21</v>
      </c>
      <c r="BM67" s="57">
        <f ca="1">IFERROR(__xludf.DUMMYFUNCTION("IMPORTRANGE(""https://docs.google.com/spreadsheets/d/1qU-W_9MCQD1pgIVXGEOjCFo9QqlmJywuebyGgaN92r8/edit?usp=sharing"",""ราชบุรี!I594"")"),145)</f>
        <v>145</v>
      </c>
      <c r="BN67" s="63">
        <f ca="1">IFERROR(__xludf.DUMMYFUNCTION("IMPORTRANGE(""https://docs.google.com/spreadsheets/d/1qU-W_9MCQD1pgIVXGEOjCFo9QqlmJywuebyGgaN92r8/edit?usp=sharing"",""ราชบุรี!J593"")"),2005)</f>
        <v>2005</v>
      </c>
      <c r="BO67" s="63">
        <f t="shared" ca="1" si="40"/>
        <v>57.413500333599643</v>
      </c>
      <c r="BP67" s="57">
        <f ca="1">IFERROR(__xludf.DUMMYFUNCTION("IMPORTRANGE(""https://docs.google.com/spreadsheets/d/1qU-W_9MCQD1pgIVXGEOjCFo9QqlmJywuebyGgaN92r8/edit?usp=sharing"",""ราชบุรี!J594"")"),72)</f>
        <v>72</v>
      </c>
      <c r="BQ67" s="63">
        <f t="shared" ca="1" si="16"/>
        <v>49.655172413793103</v>
      </c>
      <c r="BR67" s="63">
        <f ca="1">IFERROR(__xludf.DUMMYFUNCTION("IMPORTRANGE(""https://docs.google.com/spreadsheets/d/1qU-W_9MCQD1pgIVXGEOjCFo9QqlmJywuebyGgaN92r8/edit?usp=sharing"",""ราชบุรี!J595"")"),1858)</f>
        <v>1858</v>
      </c>
      <c r="BS67" s="140">
        <f ca="1">IFERROR(__xludf.DUMMYFUNCTION("IMPORTRANGE(""https://docs.google.com/spreadsheets/d/1qU-W_9MCQD1pgIVXGEOjCFo9QqlmJywuebyGgaN92r8/edit?usp=sharing"",""ราชบุรี!J596"")"),66)</f>
        <v>66</v>
      </c>
      <c r="BT67" s="63">
        <f ca="1">IFERROR(__xludf.DUMMYFUNCTION("IMPORTRANGE(""https://docs.google.com/spreadsheets/d/1qU-W_9MCQD1pgIVXGEOjCFo9QqlmJywuebyGgaN92r8/edit?usp=sharing"",""ราชบุรี!J597"")"),383)</f>
        <v>383</v>
      </c>
      <c r="BU67" s="140">
        <f ca="1">IFERROR(__xludf.DUMMYFUNCTION("IMPORTRANGE(""https://docs.google.com/spreadsheets/d/1qU-W_9MCQD1pgIVXGEOjCFo9QqlmJywuebyGgaN92r8/edit?usp=sharing"",""ราชบุรี!J598"")"),16)</f>
        <v>16</v>
      </c>
      <c r="BV67" s="63">
        <f ca="1">IFERROR(__xludf.DUMMYFUNCTION("IMPORTRANGE(""https://docs.google.com/spreadsheets/d/1qU-W_9MCQD1pgIVXGEOjCFo9QqlmJywuebyGgaN92r8/edit?usp=sharing"",""ราชบุรี!J599"")"),1475)</f>
        <v>1475</v>
      </c>
      <c r="BW67" s="140">
        <f ca="1">IFERROR(__xludf.DUMMYFUNCTION("IMPORTRANGE(""https://docs.google.com/spreadsheets/d/1qU-W_9MCQD1pgIVXGEOjCFo9QqlmJywuebyGgaN92r8/edit?usp=sharing"",""ราชบุรี!J600"")"),50)</f>
        <v>50</v>
      </c>
      <c r="BX67" s="141">
        <f ca="1">IFERROR(__xludf.DUMMYFUNCTION("IMPORTRANGE(""https://docs.google.com/spreadsheets/d/1qU-W_9MCQD1pgIVXGEOjCFo9QqlmJywuebyGgaN92r8/edit?usp=sharing"",""ราชบุรี!J601"")"),63)</f>
        <v>63</v>
      </c>
      <c r="BY67" s="140">
        <f ca="1">IFERROR(__xludf.DUMMYFUNCTION("IMPORTRANGE(""https://docs.google.com/spreadsheets/d/1qU-W_9MCQD1pgIVXGEOjCFo9QqlmJywuebyGgaN92r8/edit?usp=sharing"",""ราชบุรี!J602"")"),2)</f>
        <v>2</v>
      </c>
      <c r="BZ67" s="63">
        <f ca="1">IFERROR(__xludf.DUMMYFUNCTION("IMPORTRANGE(""https://docs.google.com/spreadsheets/d/1qU-W_9MCQD1pgIVXGEOjCFo9QqlmJywuebyGgaN92r8/edit?usp=sharing"",""ราชบุรี!J603"")"),147)</f>
        <v>147</v>
      </c>
      <c r="CA67" s="140">
        <f ca="1">IFERROR(__xludf.DUMMYFUNCTION("IMPORTRANGE(""https://docs.google.com/spreadsheets/d/1qU-W_9MCQD1pgIVXGEOjCFo9QqlmJywuebyGgaN92r8/edit?usp=sharing"",""ราชบุรี!J604"")"),6)</f>
        <v>6</v>
      </c>
      <c r="CB67" s="63">
        <f ca="1">IFERROR(__xludf.DUMMYFUNCTION("IMPORTRANGE(""https://docs.google.com/spreadsheets/d/1qU-W_9MCQD1pgIVXGEOjCFo9QqlmJywuebyGgaN92r8/edit?usp=sharing"",""ราชบุรี!J605"")"),147)</f>
        <v>147</v>
      </c>
      <c r="CC67" s="140">
        <f ca="1">IFERROR(__xludf.DUMMYFUNCTION("IMPORTRANGE(""https://docs.google.com/spreadsheets/d/1qU-W_9MCQD1pgIVXGEOjCFo9QqlmJywuebyGgaN92r8/edit?usp=sharing"",""ราชบุรี!J606"")"),6)</f>
        <v>6</v>
      </c>
      <c r="CD67" s="63">
        <f ca="1">IFERROR(__xludf.DUMMYFUNCTION("IMPORTRANGE(""https://docs.google.com/spreadsheets/d/1qU-W_9MCQD1pgIVXGEOjCFo9QqlmJywuebyGgaN92r8/edit?usp=sharing"",""ราชบุรี!J607"")"),0)</f>
        <v>0</v>
      </c>
      <c r="CE67" s="140">
        <f ca="1">IFERROR(__xludf.DUMMYFUNCTION("IMPORTRANGE(""https://docs.google.com/spreadsheets/d/1qU-W_9MCQD1pgIVXGEOjCFo9QqlmJywuebyGgaN92r8/edit?usp=sharing"",""ราชบุรี!J608"")"),0)</f>
        <v>0</v>
      </c>
      <c r="CF67" s="63">
        <f ca="1">IFERROR(__xludf.DUMMYFUNCTION("IMPORTRANGE(""https://docs.google.com/spreadsheets/d/1qU-W_9MCQD1pgIVXGEOjCFo9QqlmJywuebyGgaN92r8/edit?usp=sharing"",""ราชบุรี!J609"")"),0)</f>
        <v>0</v>
      </c>
      <c r="CG67" s="140">
        <f ca="1">IFERROR(__xludf.DUMMYFUNCTION("IMPORTRANGE(""https://docs.google.com/spreadsheets/d/1qU-W_9MCQD1pgIVXGEOjCFo9QqlmJywuebyGgaN92r8/edit?usp=sharing"",""ราชบุรี!J610"")"),0)</f>
        <v>0</v>
      </c>
      <c r="CH67" s="140">
        <f ca="1">IFERROR(__xludf.DUMMYFUNCTION("IMPORTRANGE(""https://docs.google.com/spreadsheets/d/1qU-W_9MCQD1pgIVXGEOjCFo9QqlmJywuebyGgaN92r8/edit?usp=sharing"",""ราชบุรี!I612"")"),0)</f>
        <v>0</v>
      </c>
      <c r="CI67" s="140">
        <f ca="1">IFERROR(__xludf.DUMMYFUNCTION("IMPORTRANGE(""https://docs.google.com/spreadsheets/d/1qU-W_9MCQD1pgIVXGEOjCFo9QqlmJywuebyGgaN92r8/edit?usp=sharing"",""ราชบุรี!I594"")"),145)</f>
        <v>145</v>
      </c>
      <c r="CJ67" s="141">
        <f ca="1">IFERROR(__xludf.DUMMYFUNCTION("IMPORTRANGE(""https://docs.google.com/spreadsheets/d/1qU-W_9MCQD1pgIVXGEOjCFo9QqlmJywuebyGgaN92r8/edit?usp=sharing"",""ราชบุรี!J612"")"),0)</f>
        <v>0</v>
      </c>
      <c r="CK67" s="141">
        <f t="shared" ca="1" si="41"/>
        <v>0</v>
      </c>
      <c r="CL67" s="140">
        <f ca="1">IFERROR(__xludf.DUMMYFUNCTION("IMPORTRANGE(""https://docs.google.com/spreadsheets/d/1qU-W_9MCQD1pgIVXGEOjCFo9QqlmJywuebyGgaN92r8/edit?usp=sharing"",""ราชบุรี!J613"")"),0)</f>
        <v>0</v>
      </c>
      <c r="CM67" s="141">
        <f t="shared" ca="1" si="19"/>
        <v>0</v>
      </c>
      <c r="CN67" s="63">
        <f ca="1">IFERROR(__xludf.DUMMYFUNCTION("IMPORTRANGE(""https://docs.google.com/spreadsheets/d/1qU-W_9MCQD1pgIVXGEOjCFo9QqlmJywuebyGgaN92r8/edit?usp=sharing"",""ราชบุรี!J614"")"),0)</f>
        <v>0</v>
      </c>
      <c r="CO67" s="140">
        <f ca="1">IFERROR(__xludf.DUMMYFUNCTION("IMPORTRANGE(""https://docs.google.com/spreadsheets/d/1qU-W_9MCQD1pgIVXGEOjCFo9QqlmJywuebyGgaN92r8/edit?usp=sharing"",""ราชบุรี!J615"")"),0)</f>
        <v>0</v>
      </c>
      <c r="CP67" s="63">
        <f ca="1">IFERROR(__xludf.DUMMYFUNCTION("IMPORTRANGE(""https://docs.google.com/spreadsheets/d/1qU-W_9MCQD1pgIVXGEOjCFo9QqlmJywuebyGgaN92r8/edit?usp=sharing"",""ราชบุรี!J616"")"),0)</f>
        <v>0</v>
      </c>
      <c r="CQ67" s="140">
        <f ca="1">IFERROR(__xludf.DUMMYFUNCTION("IMPORTRANGE(""https://docs.google.com/spreadsheets/d/1qU-W_9MCQD1pgIVXGEOjCFo9QqlmJywuebyGgaN92r8/edit?usp=sharing"",""ราชบุรี!J617"")"),0)</f>
        <v>0</v>
      </c>
      <c r="CR67" s="140">
        <f ca="1">IFERROR(__xludf.DUMMYFUNCTION("IMPORTRANGE(""https://docs.google.com/spreadsheets/d/1qU-W_9MCQD1pgIVXGEOjCFo9QqlmJywuebyGgaN92r8/edit?usp=sharing"",""ราชบุรี!I620"")"),0)</f>
        <v>0</v>
      </c>
      <c r="CS67" s="140">
        <f ca="1">IFERROR(__xludf.DUMMYFUNCTION("IMPORTRANGE(""https://docs.google.com/spreadsheets/d/1qU-W_9MCQD1pgIVXGEOjCFo9QqlmJywuebyGgaN92r8/edit?usp=sharing"",""ราชบุรี!I621"")"),0)</f>
        <v>0</v>
      </c>
      <c r="CT67" s="141">
        <f ca="1">IFERROR(__xludf.DUMMYFUNCTION("IMPORTRANGE(""https://docs.google.com/spreadsheets/d/1qU-W_9MCQD1pgIVXGEOjCFo9QqlmJywuebyGgaN92r8/edit?usp=sharing"",""ราชบุรี!J620"")"),0)</f>
        <v>0</v>
      </c>
      <c r="CU67" s="141">
        <f t="shared" ca="1" si="42"/>
        <v>0</v>
      </c>
      <c r="CV67" s="140">
        <f ca="1">IFERROR(__xludf.DUMMYFUNCTION("IMPORTRANGE(""https://docs.google.com/spreadsheets/d/1qU-W_9MCQD1pgIVXGEOjCFo9QqlmJywuebyGgaN92r8/edit?usp=sharing"",""ราชบุรี!J621"")"),0)</f>
        <v>0</v>
      </c>
      <c r="CW67" s="141">
        <f t="shared" ca="1" si="22"/>
        <v>0</v>
      </c>
      <c r="CX67" s="63">
        <f ca="1">IFERROR(__xludf.DUMMYFUNCTION("IMPORTRANGE(""https://docs.google.com/spreadsheets/d/1qU-W_9MCQD1pgIVXGEOjCFo9QqlmJywuebyGgaN92r8/edit?usp=sharing"",""ราชบุรี!J622"")"),0)</f>
        <v>0</v>
      </c>
      <c r="CY67" s="140">
        <f ca="1">IFERROR(__xludf.DUMMYFUNCTION("IMPORTRANGE(""https://docs.google.com/spreadsheets/d/1qU-W_9MCQD1pgIVXGEOjCFo9QqlmJywuebyGgaN92r8/edit?usp=sharing"",""ราชบุรี!J623"")"),0)</f>
        <v>0</v>
      </c>
      <c r="CZ67" s="63">
        <f ca="1">IFERROR(__xludf.DUMMYFUNCTION("IMPORTRANGE(""https://docs.google.com/spreadsheets/d/1qU-W_9MCQD1pgIVXGEOjCFo9QqlmJywuebyGgaN92r8/edit?usp=sharing"",""ราชบุรี!J624"")"),0)</f>
        <v>0</v>
      </c>
      <c r="DA67" s="140">
        <f ca="1">IFERROR(__xludf.DUMMYFUNCTION("IMPORTRANGE(""https://docs.google.com/spreadsheets/d/1qU-W_9MCQD1pgIVXGEOjCFo9QqlmJywuebyGgaN92r8/edit?usp=sharing"",""ราชบุรี!J625"")"),0)</f>
        <v>0</v>
      </c>
      <c r="DB67" s="63">
        <f ca="1">IFERROR(__xludf.DUMMYFUNCTION("IMPORTRANGE(""https://docs.google.com/spreadsheets/d/1qU-W_9MCQD1pgIVXGEOjCFo9QqlmJywuebyGgaN92r8/edit?usp=sharing"",""ราชบุรี!J626"")"),0)</f>
        <v>0</v>
      </c>
      <c r="DC67" s="140">
        <f ca="1">IFERROR(__xludf.DUMMYFUNCTION("IMPORTRANGE(""https://docs.google.com/spreadsheets/d/1qU-W_9MCQD1pgIVXGEOjCFo9QqlmJywuebyGgaN92r8/edit?usp=sharing"",""ราชบุรี!J627"")"),0)</f>
        <v>0</v>
      </c>
    </row>
    <row r="68" spans="1:107" ht="24" customHeight="1" x14ac:dyDescent="0.3">
      <c r="A68" s="54">
        <v>16</v>
      </c>
      <c r="B68" s="55" t="s">
        <v>89</v>
      </c>
      <c r="C68" s="56">
        <f t="shared" ca="1" si="77"/>
        <v>451282</v>
      </c>
      <c r="D68" s="57">
        <f ca="1">IFERROR(__xludf.DUMMYFUNCTION("IMPORTRANGE(""https://docs.google.com/spreadsheets/d/1xYFIxIM_CspAP5Q-5Zx_V0T_Ut3cjryrjd2hss28vGk/edit?usp=sharing"",""ลพบุรี!L549"")"),451282)</f>
        <v>451282</v>
      </c>
      <c r="E68" s="64">
        <f ca="1">IFERROR(__xludf.DUMMYFUNCTION("IMPORTRANGE(""https://docs.google.com/spreadsheets/d/1xYFIxIM_CspAP5Q-5Zx_V0T_Ut3cjryrjd2hss28vGk/edit?usp=sharing"",""ลพบุรี!L557"")"),0)</f>
        <v>0</v>
      </c>
      <c r="F68" s="64">
        <f ca="1">IFERROR(__xludf.DUMMYFUNCTION("IMPORTRANGE(""https://docs.google.com/spreadsheets/d/1xYFIxIM_CspAP5Q-5Zx_V0T_Ut3cjryrjd2hss28vGk/edit?usp=sharing"",""ลพบุรี!M549"")"),451282)</f>
        <v>451282</v>
      </c>
      <c r="G68" s="64">
        <f ca="1">IFERROR(__xludf.DUMMYFUNCTION("IMPORTRANGE(""https://docs.google.com/spreadsheets/d/1xYFIxIM_CspAP5Q-5Zx_V0T_Ut3cjryrjd2hss28vGk/edit?usp=sharing"",""ลพบุรี!M557"")"),0)</f>
        <v>0</v>
      </c>
      <c r="H68" s="58">
        <f t="shared" ca="1" si="36"/>
        <v>171309</v>
      </c>
      <c r="I68" s="59">
        <f t="shared" ca="1" si="1"/>
        <v>37.960521359150157</v>
      </c>
      <c r="J68" s="60">
        <f t="shared" ca="1" si="78"/>
        <v>171309</v>
      </c>
      <c r="K68" s="61">
        <f t="shared" ca="1" si="44"/>
        <v>37.960521359150157</v>
      </c>
      <c r="L68" s="61">
        <f t="shared" ca="1" si="45"/>
        <v>37.960521359150157</v>
      </c>
      <c r="M68" s="64">
        <f ca="1">IFERROR(__xludf.DUMMYFUNCTION("IMPORTRANGE(""https://docs.google.com/spreadsheets/d/1xYFIxIM_CspAP5Q-5Zx_V0T_Ut3cjryrjd2hss28vGk/edit?usp=sharing"",""ลพบุรี!N550"")"),0)</f>
        <v>0</v>
      </c>
      <c r="N68" s="64">
        <f ca="1">IFERROR(__xludf.DUMMYFUNCTION("IMPORTRANGE(""https://docs.google.com/spreadsheets/d/1xYFIxIM_CspAP5Q-5Zx_V0T_Ut3cjryrjd2hss28vGk/edit?usp=sharing"",""ลพบุรี!N551"")"),0)</f>
        <v>0</v>
      </c>
      <c r="O68" s="64">
        <f ca="1">IFERROR(__xludf.DUMMYFUNCTION("IMPORTRANGE(""https://docs.google.com/spreadsheets/d/1xYFIxIM_CspAP5Q-5Zx_V0T_Ut3cjryrjd2hss28vGk/edit?usp=sharing"",""ลพบุรี!N552"")"),52000)</f>
        <v>52000</v>
      </c>
      <c r="P68" s="64">
        <f ca="1">IFERROR(__xludf.DUMMYFUNCTION("IMPORTRANGE(""https://docs.google.com/spreadsheets/d/1xYFIxIM_CspAP5Q-5Zx_V0T_Ut3cjryrjd2hss28vGk/edit?usp=sharing"",""ลพบุรี!N553"")"),119309)</f>
        <v>119309</v>
      </c>
      <c r="Q68" s="64">
        <f ca="1">IFERROR(__xludf.DUMMYFUNCTION("IMPORTRANGE(""https://docs.google.com/spreadsheets/d/1xYFIxIM_CspAP5Q-5Zx_V0T_Ut3cjryrjd2hss28vGk/edit?usp=sharing"",""ลพบุรี!N554"")"),0)</f>
        <v>0</v>
      </c>
      <c r="R68" s="62">
        <f ca="1">IFERROR(__xludf.DUMMYFUNCTION("IMPORTRANGE(""https://docs.google.com/spreadsheets/d/1xYFIxIM_CspAP5Q-5Zx_V0T_Ut3cjryrjd2hss28vGk/edit?usp=sharing"",""ลพบุรี!N557"")"),0)</f>
        <v>0</v>
      </c>
      <c r="S68" s="62">
        <f t="shared" ca="1" si="47"/>
        <v>0</v>
      </c>
      <c r="T68" s="57">
        <f ca="1">IFERROR(__xludf.DUMMYFUNCTION("IMPORTRANGE(""https://docs.google.com/spreadsheets/d/1xYFIxIM_CspAP5Q-5Zx_V0T_Ut3cjryrjd2hss28vGk/edit?usp=sharing"",""ลพบุรี!I560"")"),36182)</f>
        <v>36182</v>
      </c>
      <c r="U68" s="57">
        <f ca="1">IFERROR(__xludf.DUMMYFUNCTION("IMPORTRANGE(""https://docs.google.com/spreadsheets/d/1xYFIxIM_CspAP5Q-5Zx_V0T_Ut3cjryrjd2hss28vGk/edit?usp=sharing"",""ลพบุรี!I561"")"),3060)</f>
        <v>3060</v>
      </c>
      <c r="V68" s="63">
        <f ca="1">IFERROR(__xludf.DUMMYFUNCTION("IMPORTRANGE(""https://docs.google.com/spreadsheets/d/1xYFIxIM_CspAP5Q-5Zx_V0T_Ut3cjryrjd2hss28vGk/edit?usp=sharing"",""ลพบุรี!J560"")"),36182.37)</f>
        <v>36182.370000000003</v>
      </c>
      <c r="W68" s="63">
        <f t="shared" ca="1" si="37"/>
        <v>100.0010226079266</v>
      </c>
      <c r="X68" s="57">
        <f ca="1">IFERROR(__xludf.DUMMYFUNCTION("IMPORTRANGE(""https://docs.google.com/spreadsheets/d/1xYFIxIM_CspAP5Q-5Zx_V0T_Ut3cjryrjd2hss28vGk/edit?usp=sharing"",""ลพบุรี!J561"")"),3060)</f>
        <v>3060</v>
      </c>
      <c r="Y68" s="63">
        <f t="shared" ca="1" si="7"/>
        <v>100</v>
      </c>
      <c r="Z68" s="63">
        <f ca="1">IFERROR(__xludf.DUMMYFUNCTION("IMPORTRANGE(""https://docs.google.com/spreadsheets/d/1xYFIxIM_CspAP5Q-5Zx_V0T_Ut3cjryrjd2hss28vGk/edit?usp=sharing"",""ลพบุรี!J562"")"),24667.96)</f>
        <v>24667.96</v>
      </c>
      <c r="AA68" s="140">
        <f ca="1">IFERROR(__xludf.DUMMYFUNCTION("IMPORTRANGE(""https://docs.google.com/spreadsheets/d/1xYFIxIM_CspAP5Q-5Zx_V0T_Ut3cjryrjd2hss28vGk/edit?usp=sharing"",""ลพบุรี!J563"")"),2086)</f>
        <v>2086</v>
      </c>
      <c r="AB68" s="63">
        <f ca="1">IFERROR(__xludf.DUMMYFUNCTION("IMPORTRANGE(""https://docs.google.com/spreadsheets/d/1xYFIxIM_CspAP5Q-5Zx_V0T_Ut3cjryrjd2hss28vGk/edit?usp=sharing"",""ลพบุรี!J564"")"),11033)</f>
        <v>11033</v>
      </c>
      <c r="AC68" s="140">
        <f ca="1">IFERROR(__xludf.DUMMYFUNCTION("IMPORTRANGE(""https://docs.google.com/spreadsheets/d/1xYFIxIM_CspAP5Q-5Zx_V0T_Ut3cjryrjd2hss28vGk/edit?usp=sharing"",""ลพบุรี!J565"")"),937)</f>
        <v>937</v>
      </c>
      <c r="AD68" s="63">
        <f ca="1">IFERROR(__xludf.DUMMYFUNCTION("IMPORTRANGE(""https://docs.google.com/spreadsheets/d/1xYFIxIM_CspAP5Q-5Zx_V0T_Ut3cjryrjd2hss28vGk/edit?usp=sharing"",""ลพบุรี!J566"")"),481.41)</f>
        <v>481.41</v>
      </c>
      <c r="AE68" s="140">
        <f ca="1">IFERROR(__xludf.DUMMYFUNCTION("IMPORTRANGE(""https://docs.google.com/spreadsheets/d/1xYFIxIM_CspAP5Q-5Zx_V0T_Ut3cjryrjd2hss28vGk/edit?usp=sharing"",""ลพบุรี!J567"")"),37)</f>
        <v>37</v>
      </c>
      <c r="AF68" s="57">
        <f ca="1">IFERROR(__xludf.DUMMYFUNCTION("IMPORTRANGE(""https://docs.google.com/spreadsheets/d/1xYFIxIM_CspAP5Q-5Zx_V0T_Ut3cjryrjd2hss28vGk/edit?usp=sharing"",""ลพบุรี!I568"")"),36182)</f>
        <v>36182</v>
      </c>
      <c r="AG68" s="57">
        <f ca="1">IFERROR(__xludf.DUMMYFUNCTION("IMPORTRANGE(""https://docs.google.com/spreadsheets/d/1xYFIxIM_CspAP5Q-5Zx_V0T_Ut3cjryrjd2hss28vGk/edit?usp=sharing"",""ลพบุรี!I569"")"),3060)</f>
        <v>3060</v>
      </c>
      <c r="AH68" s="63">
        <f ca="1">IFERROR(__xludf.DUMMYFUNCTION("IMPORTRANGE(""https://docs.google.com/spreadsheets/d/1xYFIxIM_CspAP5Q-5Zx_V0T_Ut3cjryrjd2hss28vGk/edit?usp=sharing"",""ลพบุรี!J568"")"),36182.37)</f>
        <v>36182.370000000003</v>
      </c>
      <c r="AI68" s="63">
        <f t="shared" ca="1" si="38"/>
        <v>100.0010226079266</v>
      </c>
      <c r="AJ68" s="57">
        <f ca="1">IFERROR(__xludf.DUMMYFUNCTION("IMPORTRANGE(""https://docs.google.com/spreadsheets/d/1xYFIxIM_CspAP5Q-5Zx_V0T_Ut3cjryrjd2hss28vGk/edit?usp=sharing"",""ลพบุรี!J569"")"),3060)</f>
        <v>3060</v>
      </c>
      <c r="AK68" s="63">
        <f t="shared" ca="1" si="10"/>
        <v>100</v>
      </c>
      <c r="AL68" s="63">
        <f ca="1">IFERROR(__xludf.DUMMYFUNCTION("IMPORTRANGE(""https://docs.google.com/spreadsheets/d/1xYFIxIM_CspAP5Q-5Zx_V0T_Ut3cjryrjd2hss28vGk/edit?usp=sharing"",""ลพบุรี!J570"")"),24667.96)</f>
        <v>24667.96</v>
      </c>
      <c r="AM68" s="140">
        <f ca="1">IFERROR(__xludf.DUMMYFUNCTION("IMPORTRANGE(""https://docs.google.com/spreadsheets/d/1xYFIxIM_CspAP5Q-5Zx_V0T_Ut3cjryrjd2hss28vGk/edit?usp=sharing"",""ลพบุรี!J571"")"),2086)</f>
        <v>2086</v>
      </c>
      <c r="AN68" s="63">
        <f ca="1">IFERROR(__xludf.DUMMYFUNCTION("IMPORTRANGE(""https://docs.google.com/spreadsheets/d/1xYFIxIM_CspAP5Q-5Zx_V0T_Ut3cjryrjd2hss28vGk/edit?usp=sharing"",""ลพบุรี!J572"")"),11033)</f>
        <v>11033</v>
      </c>
      <c r="AO68" s="140">
        <f ca="1">IFERROR(__xludf.DUMMYFUNCTION("IMPORTRANGE(""https://docs.google.com/spreadsheets/d/1xYFIxIM_CspAP5Q-5Zx_V0T_Ut3cjryrjd2hss28vGk/edit?usp=sharing"",""ลพบุรี!J573"")"),937)</f>
        <v>937</v>
      </c>
      <c r="AP68" s="63">
        <f ca="1">IFERROR(__xludf.DUMMYFUNCTION("IMPORTRANGE(""https://docs.google.com/spreadsheets/d/1xYFIxIM_CspAP5Q-5Zx_V0T_Ut3cjryrjd2hss28vGk/edit?usp=sharing"",""ลพบุรี!J574"")"),481.41)</f>
        <v>481.41</v>
      </c>
      <c r="AQ68" s="140">
        <f ca="1">IFERROR(__xludf.DUMMYFUNCTION("IMPORTRANGE(""https://docs.google.com/spreadsheets/d/1xYFIxIM_CspAP5Q-5Zx_V0T_Ut3cjryrjd2hss28vGk/edit?usp=sharing"",""ลพบุรี!J575"")"),37)</f>
        <v>37</v>
      </c>
      <c r="AR68" s="57">
        <f ca="1">IFERROR(__xludf.DUMMYFUNCTION("IMPORTRANGE(""https://docs.google.com/spreadsheets/d/1xYFIxIM_CspAP5Q-5Zx_V0T_Ut3cjryrjd2hss28vGk/edit?usp=sharing"",""ลพบุรี!I576"")"),36182)</f>
        <v>36182</v>
      </c>
      <c r="AS68" s="57">
        <f ca="1">IFERROR(__xludf.DUMMYFUNCTION("IMPORTRANGE(""https://docs.google.com/spreadsheets/d/1xYFIxIM_CspAP5Q-5Zx_V0T_Ut3cjryrjd2hss28vGk/edit?usp=sharing"",""ลพบุรี!I577"")"),3060)</f>
        <v>3060</v>
      </c>
      <c r="AT68" s="63">
        <f ca="1">IFERROR(__xludf.DUMMYFUNCTION("IMPORTRANGE(""https://docs.google.com/spreadsheets/d/1xYFIxIM_CspAP5Q-5Zx_V0T_Ut3cjryrjd2hss28vGk/edit?usp=sharing"",""ลพบุรี!J576"")"),0)</f>
        <v>0</v>
      </c>
      <c r="AU68" s="63">
        <f t="shared" ca="1" si="39"/>
        <v>0</v>
      </c>
      <c r="AV68" s="57">
        <f ca="1">IFERROR(__xludf.DUMMYFUNCTION("IMPORTRANGE(""https://docs.google.com/spreadsheets/d/1xYFIxIM_CspAP5Q-5Zx_V0T_Ut3cjryrjd2hss28vGk/edit?usp=sharing"",""ลพบุรี!J577"")"),0)</f>
        <v>0</v>
      </c>
      <c r="AW68" s="63">
        <f t="shared" ca="1" si="13"/>
        <v>0</v>
      </c>
      <c r="AX68" s="63">
        <f ca="1">IFERROR(__xludf.DUMMYFUNCTION("IMPORTRANGE(""https://docs.google.com/spreadsheets/d/1xYFIxIM_CspAP5Q-5Zx_V0T_Ut3cjryrjd2hss28vGk/edit?usp=sharing"",""ลพบุรี!J578"")"),0)</f>
        <v>0</v>
      </c>
      <c r="AY68" s="140">
        <f ca="1">IFERROR(__xludf.DUMMYFUNCTION("IMPORTRANGE(""https://docs.google.com/spreadsheets/d/1xYFIxIM_CspAP5Q-5Zx_V0T_Ut3cjryrjd2hss28vGk/edit?usp=sharing"",""ลพบุรี!J579"")"),0)</f>
        <v>0</v>
      </c>
      <c r="AZ68" s="63">
        <f ca="1">IFERROR(__xludf.DUMMYFUNCTION("IMPORTRANGE(""https://docs.google.com/spreadsheets/d/1xYFIxIM_CspAP5Q-5Zx_V0T_Ut3cjryrjd2hss28vGk/edit?usp=sharing"",""ลพบุรี!J580"")"),0)</f>
        <v>0</v>
      </c>
      <c r="BA68" s="140">
        <f ca="1">IFERROR(__xludf.DUMMYFUNCTION("IMPORTRANGE(""https://docs.google.com/spreadsheets/d/1xYFIxIM_CspAP5Q-5Zx_V0T_Ut3cjryrjd2hss28vGk/edit?usp=sharing"",""ลพบุรี!J581"")"),0)</f>
        <v>0</v>
      </c>
      <c r="BB68" s="63">
        <f ca="1">IFERROR(__xludf.DUMMYFUNCTION("IMPORTRANGE(""https://docs.google.com/spreadsheets/d/1xYFIxIM_CspAP5Q-5Zx_V0T_Ut3cjryrjd2hss28vGk/edit?usp=sharing"",""ลพบุรี!J582"")"),0)</f>
        <v>0</v>
      </c>
      <c r="BC68" s="140">
        <f ca="1">IFERROR(__xludf.DUMMYFUNCTION("IMPORTRANGE(""https://docs.google.com/spreadsheets/d/1xYFIxIM_CspAP5Q-5Zx_V0T_Ut3cjryrjd2hss28vGk/edit?usp=sharing"",""ลพบุรี!J583"")"),0)</f>
        <v>0</v>
      </c>
      <c r="BD68" s="141">
        <f ca="1">IFERROR(__xludf.DUMMYFUNCTION("IMPORTRANGE(""https://docs.google.com/spreadsheets/d/1xYFIxIM_CspAP5Q-5Zx_V0T_Ut3cjryrjd2hss28vGk/edit?usp=sharing"",""ลพบุรี!J584"")"),0)</f>
        <v>0</v>
      </c>
      <c r="BE68" s="140">
        <f ca="1">IFERROR(__xludf.DUMMYFUNCTION("IMPORTRANGE(""https://docs.google.com/spreadsheets/d/1xYFIxIM_CspAP5Q-5Zx_V0T_Ut3cjryrjd2hss28vGk/edit?usp=sharing"",""ลพบุรี!J585"")"),0)</f>
        <v>0</v>
      </c>
      <c r="BF68" s="141">
        <f ca="1">IFERROR(__xludf.DUMMYFUNCTION("IMPORTRANGE(""https://docs.google.com/spreadsheets/d/1xYFIxIM_CspAP5Q-5Zx_V0T_Ut3cjryrjd2hss28vGk/edit?usp=sharing"",""ลพบุรี!J586"")"),0)</f>
        <v>0</v>
      </c>
      <c r="BG68" s="140">
        <f ca="1">IFERROR(__xludf.DUMMYFUNCTION("IMPORTRANGE(""https://docs.google.com/spreadsheets/d/1xYFIxIM_CspAP5Q-5Zx_V0T_Ut3cjryrjd2hss28vGk/edit?usp=sharing"",""ลพบุรี!J587"")"),0)</f>
        <v>0</v>
      </c>
      <c r="BH68" s="63">
        <f ca="1">IFERROR(__xludf.DUMMYFUNCTION("IMPORTRANGE(""https://docs.google.com/spreadsheets/d/1xYFIxIM_CspAP5Q-5Zx_V0T_Ut3cjryrjd2hss28vGk/edit?usp=sharing"",""ลพบุรี!J588"")"),0)</f>
        <v>0</v>
      </c>
      <c r="BI68" s="140">
        <f ca="1">IFERROR(__xludf.DUMMYFUNCTION("IMPORTRANGE(""https://docs.google.com/spreadsheets/d/1xYFIxIM_CspAP5Q-5Zx_V0T_Ut3cjryrjd2hss28vGk/edit?usp=sharing"",""ลพบุรี!J589"")"),0)</f>
        <v>0</v>
      </c>
      <c r="BJ68" s="63">
        <f ca="1">IFERROR(__xludf.DUMMYFUNCTION("IMPORTRANGE(""https://docs.google.com/spreadsheets/d/1xYFIxIM_CspAP5Q-5Zx_V0T_Ut3cjryrjd2hss28vGk/edit?usp=sharing"",""ลพบุรี!J590"")"),0)</f>
        <v>0</v>
      </c>
      <c r="BK68" s="140">
        <f ca="1">IFERROR(__xludf.DUMMYFUNCTION("IMPORTRANGE(""https://docs.google.com/spreadsheets/d/1xYFIxIM_CspAP5Q-5Zx_V0T_Ut3cjryrjd2hss28vGk/edit?usp=sharing"",""ลพบุรี!J591"")"),0)</f>
        <v>0</v>
      </c>
      <c r="BL68" s="57">
        <f ca="1">IFERROR(__xludf.DUMMYFUNCTION("IMPORTRANGE(""https://docs.google.com/spreadsheets/d/1xYFIxIM_CspAP5Q-5Zx_V0T_Ut3cjryrjd2hss28vGk/edit?usp=sharing"",""ลพบุรี!I593"")"),7807.08)</f>
        <v>7807.08</v>
      </c>
      <c r="BM68" s="57">
        <f ca="1">IFERROR(__xludf.DUMMYFUNCTION("IMPORTRANGE(""https://docs.google.com/spreadsheets/d/1xYFIxIM_CspAP5Q-5Zx_V0T_Ut3cjryrjd2hss28vGk/edit?usp=sharing"",""ลพบุรี!I594"")"),361)</f>
        <v>361</v>
      </c>
      <c r="BN68" s="63">
        <f ca="1">IFERROR(__xludf.DUMMYFUNCTION("IMPORTRANGE(""https://docs.google.com/spreadsheets/d/1xYFIxIM_CspAP5Q-5Zx_V0T_Ut3cjryrjd2hss28vGk/edit?usp=sharing"",""ลพบุรี!J593"")"),0)</f>
        <v>0</v>
      </c>
      <c r="BO68" s="63">
        <f t="shared" ca="1" si="40"/>
        <v>0</v>
      </c>
      <c r="BP68" s="57">
        <f ca="1">IFERROR(__xludf.DUMMYFUNCTION("IMPORTRANGE(""https://docs.google.com/spreadsheets/d/1xYFIxIM_CspAP5Q-5Zx_V0T_Ut3cjryrjd2hss28vGk/edit?usp=sharing"",""ลพบุรี!J594"")"),0)</f>
        <v>0</v>
      </c>
      <c r="BQ68" s="63">
        <f t="shared" ca="1" si="16"/>
        <v>0</v>
      </c>
      <c r="BR68" s="63">
        <f ca="1">IFERROR(__xludf.DUMMYFUNCTION("IMPORTRANGE(""https://docs.google.com/spreadsheets/d/1xYFIxIM_CspAP5Q-5Zx_V0T_Ut3cjryrjd2hss28vGk/edit?usp=sharing"",""ลพบุรี!J595"")"),0)</f>
        <v>0</v>
      </c>
      <c r="BS68" s="140">
        <f ca="1">IFERROR(__xludf.DUMMYFUNCTION("IMPORTRANGE(""https://docs.google.com/spreadsheets/d/1xYFIxIM_CspAP5Q-5Zx_V0T_Ut3cjryrjd2hss28vGk/edit?usp=sharing"",""ลพบุรี!J596"")"),0)</f>
        <v>0</v>
      </c>
      <c r="BT68" s="63">
        <f ca="1">IFERROR(__xludf.DUMMYFUNCTION("IMPORTRANGE(""https://docs.google.com/spreadsheets/d/1xYFIxIM_CspAP5Q-5Zx_V0T_Ut3cjryrjd2hss28vGk/edit?usp=sharing"",""ลพบุรี!J597"")"),0)</f>
        <v>0</v>
      </c>
      <c r="BU68" s="140">
        <f ca="1">IFERROR(__xludf.DUMMYFUNCTION("IMPORTRANGE(""https://docs.google.com/spreadsheets/d/1xYFIxIM_CspAP5Q-5Zx_V0T_Ut3cjryrjd2hss28vGk/edit?usp=sharing"",""ลพบุรี!J598"")"),0)</f>
        <v>0</v>
      </c>
      <c r="BV68" s="63">
        <f ca="1">IFERROR(__xludf.DUMMYFUNCTION("IMPORTRANGE(""https://docs.google.com/spreadsheets/d/1xYFIxIM_CspAP5Q-5Zx_V0T_Ut3cjryrjd2hss28vGk/edit?usp=sharing"",""ลพบุรี!J599"")"),0)</f>
        <v>0</v>
      </c>
      <c r="BW68" s="140">
        <f ca="1">IFERROR(__xludf.DUMMYFUNCTION("IMPORTRANGE(""https://docs.google.com/spreadsheets/d/1xYFIxIM_CspAP5Q-5Zx_V0T_Ut3cjryrjd2hss28vGk/edit?usp=sharing"",""ลพบุรี!J600"")"),0)</f>
        <v>0</v>
      </c>
      <c r="BX68" s="141">
        <f ca="1">IFERROR(__xludf.DUMMYFUNCTION("IMPORTRANGE(""https://docs.google.com/spreadsheets/d/1xYFIxIM_CspAP5Q-5Zx_V0T_Ut3cjryrjd2hss28vGk/edit?usp=sharing"",""ลพบุรี!J601"")"),0)</f>
        <v>0</v>
      </c>
      <c r="BY68" s="140">
        <f ca="1">IFERROR(__xludf.DUMMYFUNCTION("IMPORTRANGE(""https://docs.google.com/spreadsheets/d/1xYFIxIM_CspAP5Q-5Zx_V0T_Ut3cjryrjd2hss28vGk/edit?usp=sharing"",""ลพบุรี!J602"")"),0)</f>
        <v>0</v>
      </c>
      <c r="BZ68" s="63">
        <f ca="1">IFERROR(__xludf.DUMMYFUNCTION("IMPORTRANGE(""https://docs.google.com/spreadsheets/d/1xYFIxIM_CspAP5Q-5Zx_V0T_Ut3cjryrjd2hss28vGk/edit?usp=sharing"",""ลพบุรี!J603"")"),0)</f>
        <v>0</v>
      </c>
      <c r="CA68" s="140">
        <f ca="1">IFERROR(__xludf.DUMMYFUNCTION("IMPORTRANGE(""https://docs.google.com/spreadsheets/d/1xYFIxIM_CspAP5Q-5Zx_V0T_Ut3cjryrjd2hss28vGk/edit?usp=sharing"",""ลพบุรี!J604"")"),0)</f>
        <v>0</v>
      </c>
      <c r="CB68" s="63">
        <f ca="1">IFERROR(__xludf.DUMMYFUNCTION("IMPORTRANGE(""https://docs.google.com/spreadsheets/d/1xYFIxIM_CspAP5Q-5Zx_V0T_Ut3cjryrjd2hss28vGk/edit?usp=sharing"",""ลพบุรี!J605"")"),0)</f>
        <v>0</v>
      </c>
      <c r="CC68" s="140">
        <f ca="1">IFERROR(__xludf.DUMMYFUNCTION("IMPORTRANGE(""https://docs.google.com/spreadsheets/d/1xYFIxIM_CspAP5Q-5Zx_V0T_Ut3cjryrjd2hss28vGk/edit?usp=sharing"",""ลพบุรี!J606"")"),0)</f>
        <v>0</v>
      </c>
      <c r="CD68" s="63">
        <f ca="1">IFERROR(__xludf.DUMMYFUNCTION("IMPORTRANGE(""https://docs.google.com/spreadsheets/d/1xYFIxIM_CspAP5Q-5Zx_V0T_Ut3cjryrjd2hss28vGk/edit?usp=sharing"",""ลพบุรี!J607"")"),0)</f>
        <v>0</v>
      </c>
      <c r="CE68" s="140">
        <f ca="1">IFERROR(__xludf.DUMMYFUNCTION("IMPORTRANGE(""https://docs.google.com/spreadsheets/d/1xYFIxIM_CspAP5Q-5Zx_V0T_Ut3cjryrjd2hss28vGk/edit?usp=sharing"",""ลพบุรี!J608"")"),0)</f>
        <v>0</v>
      </c>
      <c r="CF68" s="63">
        <f ca="1">IFERROR(__xludf.DUMMYFUNCTION("IMPORTRANGE(""https://docs.google.com/spreadsheets/d/1xYFIxIM_CspAP5Q-5Zx_V0T_Ut3cjryrjd2hss28vGk/edit?usp=sharing"",""ลพบุรี!J609"")"),0)</f>
        <v>0</v>
      </c>
      <c r="CG68" s="140">
        <f ca="1">IFERROR(__xludf.DUMMYFUNCTION("IMPORTRANGE(""https://docs.google.com/spreadsheets/d/1xYFIxIM_CspAP5Q-5Zx_V0T_Ut3cjryrjd2hss28vGk/edit?usp=sharing"",""ลพบุรี!J610"")"),0)</f>
        <v>0</v>
      </c>
      <c r="CH68" s="140">
        <f ca="1">IFERROR(__xludf.DUMMYFUNCTION("IMPORTRANGE(""https://docs.google.com/spreadsheets/d/1xYFIxIM_CspAP5Q-5Zx_V0T_Ut3cjryrjd2hss28vGk/edit?usp=sharing"",""ลพบุรี!I612"")"),0)</f>
        <v>0</v>
      </c>
      <c r="CI68" s="140">
        <f ca="1">IFERROR(__xludf.DUMMYFUNCTION("IMPORTRANGE(""https://docs.google.com/spreadsheets/d/1xYFIxIM_CspAP5Q-5Zx_V0T_Ut3cjryrjd2hss28vGk/edit?usp=sharing"",""ลพบุรี!I594"")"),361)</f>
        <v>361</v>
      </c>
      <c r="CJ68" s="141">
        <f ca="1">IFERROR(__xludf.DUMMYFUNCTION("IMPORTRANGE(""https://docs.google.com/spreadsheets/d/1xYFIxIM_CspAP5Q-5Zx_V0T_Ut3cjryrjd2hss28vGk/edit?usp=sharing"",""ลพบุรี!J612"")"),0)</f>
        <v>0</v>
      </c>
      <c r="CK68" s="141">
        <f t="shared" ca="1" si="41"/>
        <v>0</v>
      </c>
      <c r="CL68" s="140">
        <f ca="1">IFERROR(__xludf.DUMMYFUNCTION("IMPORTRANGE(""https://docs.google.com/spreadsheets/d/1xYFIxIM_CspAP5Q-5Zx_V0T_Ut3cjryrjd2hss28vGk/edit?usp=sharing"",""ลพบุรี!J613"")"),0)</f>
        <v>0</v>
      </c>
      <c r="CM68" s="141">
        <f t="shared" ca="1" si="19"/>
        <v>0</v>
      </c>
      <c r="CN68" s="63">
        <f ca="1">IFERROR(__xludf.DUMMYFUNCTION("IMPORTRANGE(""https://docs.google.com/spreadsheets/d/1xYFIxIM_CspAP5Q-5Zx_V0T_Ut3cjryrjd2hss28vGk/edit?usp=sharing"",""ลพบุรี!J614"")"),0)</f>
        <v>0</v>
      </c>
      <c r="CO68" s="140">
        <f ca="1">IFERROR(__xludf.DUMMYFUNCTION("IMPORTRANGE(""https://docs.google.com/spreadsheets/d/1xYFIxIM_CspAP5Q-5Zx_V0T_Ut3cjryrjd2hss28vGk/edit?usp=sharing"",""ลพบุรี!J615"")"),0)</f>
        <v>0</v>
      </c>
      <c r="CP68" s="63">
        <f ca="1">IFERROR(__xludf.DUMMYFUNCTION("IMPORTRANGE(""https://docs.google.com/spreadsheets/d/1xYFIxIM_CspAP5Q-5Zx_V0T_Ut3cjryrjd2hss28vGk/edit?usp=sharing"",""ลพบุรี!J616"")"),0)</f>
        <v>0</v>
      </c>
      <c r="CQ68" s="140">
        <f ca="1">IFERROR(__xludf.DUMMYFUNCTION("IMPORTRANGE(""https://docs.google.com/spreadsheets/d/1xYFIxIM_CspAP5Q-5Zx_V0T_Ut3cjryrjd2hss28vGk/edit?usp=sharing"",""ลพบุรี!J617"")"),0)</f>
        <v>0</v>
      </c>
      <c r="CR68" s="140">
        <f ca="1">IFERROR(__xludf.DUMMYFUNCTION("IMPORTRANGE(""https://docs.google.com/spreadsheets/d/1xYFIxIM_CspAP5Q-5Zx_V0T_Ut3cjryrjd2hss28vGk/edit?usp=sharing"",""ลพบุรี!I620"")"),5)</f>
        <v>5</v>
      </c>
      <c r="CS68" s="140">
        <f ca="1">IFERROR(__xludf.DUMMYFUNCTION("IMPORTRANGE(""https://docs.google.com/spreadsheets/d/1xYFIxIM_CspAP5Q-5Zx_V0T_Ut3cjryrjd2hss28vGk/edit?usp=sharing"",""ลพบุรี!I621"")"),8)</f>
        <v>8</v>
      </c>
      <c r="CT68" s="141">
        <f ca="1">IFERROR(__xludf.DUMMYFUNCTION("IMPORTRANGE(""https://docs.google.com/spreadsheets/d/1xYFIxIM_CspAP5Q-5Zx_V0T_Ut3cjryrjd2hss28vGk/edit?usp=sharing"",""ลพบุรี!J620"")"),5)</f>
        <v>5</v>
      </c>
      <c r="CU68" s="141">
        <f t="shared" ca="1" si="42"/>
        <v>100</v>
      </c>
      <c r="CV68" s="140">
        <f ca="1">IFERROR(__xludf.DUMMYFUNCTION("IMPORTRANGE(""https://docs.google.com/spreadsheets/d/1xYFIxIM_CspAP5Q-5Zx_V0T_Ut3cjryrjd2hss28vGk/edit?usp=sharing"",""ลพบุรี!J621"")"),8)</f>
        <v>8</v>
      </c>
      <c r="CW68" s="141">
        <f t="shared" ca="1" si="22"/>
        <v>100</v>
      </c>
      <c r="CX68" s="63">
        <f ca="1">IFERROR(__xludf.DUMMYFUNCTION("IMPORTRANGE(""https://docs.google.com/spreadsheets/d/1xYFIxIM_CspAP5Q-5Zx_V0T_Ut3cjryrjd2hss28vGk/edit?usp=sharing"",""ลพบุรี!J622"")"),1)</f>
        <v>1</v>
      </c>
      <c r="CY68" s="140">
        <f ca="1">IFERROR(__xludf.DUMMYFUNCTION("IMPORTRANGE(""https://docs.google.com/spreadsheets/d/1xYFIxIM_CspAP5Q-5Zx_V0T_Ut3cjryrjd2hss28vGk/edit?usp=sharing"",""ลพบุรี!J623"")"),1)</f>
        <v>1</v>
      </c>
      <c r="CZ68" s="63">
        <f ca="1">IFERROR(__xludf.DUMMYFUNCTION("IMPORTRANGE(""https://docs.google.com/spreadsheets/d/1xYFIxIM_CspAP5Q-5Zx_V0T_Ut3cjryrjd2hss28vGk/edit?usp=sharing"",""ลพบุรี!J624"")"),0)</f>
        <v>0</v>
      </c>
      <c r="DA68" s="140">
        <f ca="1">IFERROR(__xludf.DUMMYFUNCTION("IMPORTRANGE(""https://docs.google.com/spreadsheets/d/1xYFIxIM_CspAP5Q-5Zx_V0T_Ut3cjryrjd2hss28vGk/edit?usp=sharing"",""ลพบุรี!J625"")"),0)</f>
        <v>0</v>
      </c>
      <c r="DB68" s="63">
        <f ca="1">IFERROR(__xludf.DUMMYFUNCTION("IMPORTRANGE(""https://docs.google.com/spreadsheets/d/1xYFIxIM_CspAP5Q-5Zx_V0T_Ut3cjryrjd2hss28vGk/edit?usp=sharing"",""ลพบุรี!J626"")"),4)</f>
        <v>4</v>
      </c>
      <c r="DC68" s="140">
        <f ca="1">IFERROR(__xludf.DUMMYFUNCTION("IMPORTRANGE(""https://docs.google.com/spreadsheets/d/1xYFIxIM_CspAP5Q-5Zx_V0T_Ut3cjryrjd2hss28vGk/edit?usp=sharing"",""ลพบุรี!J627"")"),7)</f>
        <v>7</v>
      </c>
    </row>
    <row r="69" spans="1:107" ht="21" customHeight="1" x14ac:dyDescent="0.3">
      <c r="A69" s="54">
        <v>17</v>
      </c>
      <c r="B69" s="55" t="s">
        <v>90</v>
      </c>
      <c r="C69" s="56">
        <f t="shared" ca="1" si="77"/>
        <v>612784</v>
      </c>
      <c r="D69" s="57">
        <f ca="1">IFERROR(__xludf.DUMMYFUNCTION("IMPORTRANGE(""https://docs.google.com/spreadsheets/d/11s9m3tKsCBdPWq6syhZm27eBGbKneDLZc75co106bio/edit?usp=sharing"",""สระแก้ว!L549"")"),612784)</f>
        <v>612784</v>
      </c>
      <c r="E69" s="64">
        <f ca="1">IFERROR(__xludf.DUMMYFUNCTION("IMPORTRANGE(""https://docs.google.com/spreadsheets/d/11s9m3tKsCBdPWq6syhZm27eBGbKneDLZc75co106bio/edit?usp=sharing"",""สระแก้ว!L557"")"),0)</f>
        <v>0</v>
      </c>
      <c r="F69" s="64">
        <f ca="1">IFERROR(__xludf.DUMMYFUNCTION("IMPORTRANGE(""https://docs.google.com/spreadsheets/d/11s9m3tKsCBdPWq6syhZm27eBGbKneDLZc75co106bio/edit?usp=sharing"",""สระแก้ว!M549"")"),612784)</f>
        <v>612784</v>
      </c>
      <c r="G69" s="64">
        <f ca="1">IFERROR(__xludf.DUMMYFUNCTION("IMPORTRANGE(""https://docs.google.com/spreadsheets/d/11s9m3tKsCBdPWq6syhZm27eBGbKneDLZc75co106bio/edit?usp=sharing"",""สระแก้ว!M557"")"),0)</f>
        <v>0</v>
      </c>
      <c r="H69" s="58">
        <f t="shared" ca="1" si="36"/>
        <v>257086.15000000002</v>
      </c>
      <c r="I69" s="59">
        <f t="shared" ca="1" si="1"/>
        <v>41.953796117392102</v>
      </c>
      <c r="J69" s="60">
        <f t="shared" ca="1" si="78"/>
        <v>257086.15000000002</v>
      </c>
      <c r="K69" s="61">
        <f t="shared" ca="1" si="44"/>
        <v>41.953796117392102</v>
      </c>
      <c r="L69" s="61">
        <f t="shared" ca="1" si="45"/>
        <v>41.953796117392102</v>
      </c>
      <c r="M69" s="64">
        <f ca="1">IFERROR(__xludf.DUMMYFUNCTION("IMPORTRANGE(""https://docs.google.com/spreadsheets/d/11s9m3tKsCBdPWq6syhZm27eBGbKneDLZc75co106bio/edit?usp=sharing"",""สระแก้ว!N550"")"),0)</f>
        <v>0</v>
      </c>
      <c r="N69" s="64">
        <f ca="1">IFERROR(__xludf.DUMMYFUNCTION("IMPORTRANGE(""https://docs.google.com/spreadsheets/d/11s9m3tKsCBdPWq6syhZm27eBGbKneDLZc75co106bio/edit?usp=sharing"",""สระแก้ว!N551"")"),0)</f>
        <v>0</v>
      </c>
      <c r="O69" s="64">
        <f ca="1">IFERROR(__xludf.DUMMYFUNCTION("IMPORTRANGE(""https://docs.google.com/spreadsheets/d/11s9m3tKsCBdPWq6syhZm27eBGbKneDLZc75co106bio/edit?usp=sharing"",""สระแก้ว!N552"")"),64566.67)</f>
        <v>64566.67</v>
      </c>
      <c r="P69" s="64">
        <f ca="1">IFERROR(__xludf.DUMMYFUNCTION("IMPORTRANGE(""https://docs.google.com/spreadsheets/d/11s9m3tKsCBdPWq6syhZm27eBGbKneDLZc75co106bio/edit?usp=sharing"",""สระแก้ว!N553"")"),192519.48)</f>
        <v>192519.48</v>
      </c>
      <c r="Q69" s="64">
        <f ca="1">IFERROR(__xludf.DUMMYFUNCTION("IMPORTRANGE(""https://docs.google.com/spreadsheets/d/11s9m3tKsCBdPWq6syhZm27eBGbKneDLZc75co106bio/edit?usp=sharing"",""สระแก้ว!N554"")"),0)</f>
        <v>0</v>
      </c>
      <c r="R69" s="62">
        <f ca="1">IFERROR(__xludf.DUMMYFUNCTION("IMPORTRANGE(""https://docs.google.com/spreadsheets/d/11s9m3tKsCBdPWq6syhZm27eBGbKneDLZc75co106bio/edit?usp=sharing"",""สระแก้ว!N557"")"),0)</f>
        <v>0</v>
      </c>
      <c r="S69" s="62">
        <f t="shared" ca="1" si="47"/>
        <v>0</v>
      </c>
      <c r="T69" s="57">
        <f ca="1">IFERROR(__xludf.DUMMYFUNCTION("IMPORTRANGE(""https://docs.google.com/spreadsheets/d/11s9m3tKsCBdPWq6syhZm27eBGbKneDLZc75co106bio/edit?usp=sharing"",""สระแก้ว!I560"")"),132197)</f>
        <v>132197</v>
      </c>
      <c r="U69" s="57">
        <f ca="1">IFERROR(__xludf.DUMMYFUNCTION("IMPORTRANGE(""https://docs.google.com/spreadsheets/d/11s9m3tKsCBdPWq6syhZm27eBGbKneDLZc75co106bio/edit?usp=sharing"",""สระแก้ว!I561"")"),11643)</f>
        <v>11643</v>
      </c>
      <c r="V69" s="63">
        <f ca="1">IFERROR(__xludf.DUMMYFUNCTION("IMPORTRANGE(""https://docs.google.com/spreadsheets/d/11s9m3tKsCBdPWq6syhZm27eBGbKneDLZc75co106bio/edit?usp=sharing"",""สระแก้ว!J560"")"),132197)</f>
        <v>132197</v>
      </c>
      <c r="W69" s="63">
        <f t="shared" ca="1" si="37"/>
        <v>100</v>
      </c>
      <c r="X69" s="57">
        <f ca="1">IFERROR(__xludf.DUMMYFUNCTION("IMPORTRANGE(""https://docs.google.com/spreadsheets/d/11s9m3tKsCBdPWq6syhZm27eBGbKneDLZc75co106bio/edit?usp=sharing"",""สระแก้ว!J561"")"),11643)</f>
        <v>11643</v>
      </c>
      <c r="Y69" s="63">
        <f t="shared" ca="1" si="7"/>
        <v>100</v>
      </c>
      <c r="Z69" s="63">
        <f ca="1">IFERROR(__xludf.DUMMYFUNCTION("IMPORTRANGE(""https://docs.google.com/spreadsheets/d/11s9m3tKsCBdPWq6syhZm27eBGbKneDLZc75co106bio/edit?usp=sharing"",""สระแก้ว!J562"")"),108485)</f>
        <v>108485</v>
      </c>
      <c r="AA69" s="140">
        <f ca="1">IFERROR(__xludf.DUMMYFUNCTION("IMPORTRANGE(""https://docs.google.com/spreadsheets/d/11s9m3tKsCBdPWq6syhZm27eBGbKneDLZc75co106bio/edit?usp=sharing"",""สระแก้ว!J563"")"),10096)</f>
        <v>10096</v>
      </c>
      <c r="AB69" s="63">
        <f ca="1">IFERROR(__xludf.DUMMYFUNCTION("IMPORTRANGE(""https://docs.google.com/spreadsheets/d/11s9m3tKsCBdPWq6syhZm27eBGbKneDLZc75co106bio/edit?usp=sharing"",""สระแก้ว!J564"")"),19271)</f>
        <v>19271</v>
      </c>
      <c r="AC69" s="140">
        <f ca="1">IFERROR(__xludf.DUMMYFUNCTION("IMPORTRANGE(""https://docs.google.com/spreadsheets/d/11s9m3tKsCBdPWq6syhZm27eBGbKneDLZc75co106bio/edit?usp=sharing"",""สระแก้ว!J565"")"),1194)</f>
        <v>1194</v>
      </c>
      <c r="AD69" s="63">
        <f ca="1">IFERROR(__xludf.DUMMYFUNCTION("IMPORTRANGE(""https://docs.google.com/spreadsheets/d/11s9m3tKsCBdPWq6syhZm27eBGbKneDLZc75co106bio/edit?usp=sharing"",""สระแก้ว!J566"")"),4441)</f>
        <v>4441</v>
      </c>
      <c r="AE69" s="140">
        <f ca="1">IFERROR(__xludf.DUMMYFUNCTION("IMPORTRANGE(""https://docs.google.com/spreadsheets/d/11s9m3tKsCBdPWq6syhZm27eBGbKneDLZc75co106bio/edit?usp=sharing"",""สระแก้ว!J567"")"),353)</f>
        <v>353</v>
      </c>
      <c r="AF69" s="57">
        <f ca="1">IFERROR(__xludf.DUMMYFUNCTION("IMPORTRANGE(""https://docs.google.com/spreadsheets/d/11s9m3tKsCBdPWq6syhZm27eBGbKneDLZc75co106bio/edit?usp=sharing"",""สระแก้ว!I568"")"),132197)</f>
        <v>132197</v>
      </c>
      <c r="AG69" s="57">
        <f ca="1">IFERROR(__xludf.DUMMYFUNCTION("IMPORTRANGE(""https://docs.google.com/spreadsheets/d/11s9m3tKsCBdPWq6syhZm27eBGbKneDLZc75co106bio/edit?usp=sharing"",""สระแก้ว!I569"")"),11643)</f>
        <v>11643</v>
      </c>
      <c r="AH69" s="63">
        <f ca="1">IFERROR(__xludf.DUMMYFUNCTION("IMPORTRANGE(""https://docs.google.com/spreadsheets/d/11s9m3tKsCBdPWq6syhZm27eBGbKneDLZc75co106bio/edit?usp=sharing"",""สระแก้ว!J568"")"),132197)</f>
        <v>132197</v>
      </c>
      <c r="AI69" s="63">
        <f t="shared" ca="1" si="38"/>
        <v>100</v>
      </c>
      <c r="AJ69" s="57">
        <f ca="1">IFERROR(__xludf.DUMMYFUNCTION("IMPORTRANGE(""https://docs.google.com/spreadsheets/d/11s9m3tKsCBdPWq6syhZm27eBGbKneDLZc75co106bio/edit?usp=sharing"",""สระแก้ว!J569"")"),11643)</f>
        <v>11643</v>
      </c>
      <c r="AK69" s="63">
        <f t="shared" ca="1" si="10"/>
        <v>100</v>
      </c>
      <c r="AL69" s="63">
        <f ca="1">IFERROR(__xludf.DUMMYFUNCTION("IMPORTRANGE(""https://docs.google.com/spreadsheets/d/11s9m3tKsCBdPWq6syhZm27eBGbKneDLZc75co106bio/edit?usp=sharing"",""สระแก้ว!J570"")"),121239)</f>
        <v>121239</v>
      </c>
      <c r="AM69" s="140">
        <f ca="1">IFERROR(__xludf.DUMMYFUNCTION("IMPORTRANGE(""https://docs.google.com/spreadsheets/d/11s9m3tKsCBdPWq6syhZm27eBGbKneDLZc75co106bio/edit?usp=sharing"",""สระแก้ว!J571"")"),10647)</f>
        <v>10647</v>
      </c>
      <c r="AN69" s="63">
        <f ca="1">IFERROR(__xludf.DUMMYFUNCTION("IMPORTRANGE(""https://docs.google.com/spreadsheets/d/11s9m3tKsCBdPWq6syhZm27eBGbKneDLZc75co106bio/edit?usp=sharing"",""สระแก้ว!J572"")"),5462)</f>
        <v>5462</v>
      </c>
      <c r="AO69" s="140">
        <f ca="1">IFERROR(__xludf.DUMMYFUNCTION("IMPORTRANGE(""https://docs.google.com/spreadsheets/d/11s9m3tKsCBdPWq6syhZm27eBGbKneDLZc75co106bio/edit?usp=sharing"",""สระแก้ว!J573"")"),591)</f>
        <v>591</v>
      </c>
      <c r="AP69" s="63">
        <f ca="1">IFERROR(__xludf.DUMMYFUNCTION("IMPORTRANGE(""https://docs.google.com/spreadsheets/d/11s9m3tKsCBdPWq6syhZm27eBGbKneDLZc75co106bio/edit?usp=sharing"",""สระแก้ว!J574"")"),5496)</f>
        <v>5496</v>
      </c>
      <c r="AQ69" s="140">
        <f ca="1">IFERROR(__xludf.DUMMYFUNCTION("IMPORTRANGE(""https://docs.google.com/spreadsheets/d/11s9m3tKsCBdPWq6syhZm27eBGbKneDLZc75co106bio/edit?usp=sharing"",""สระแก้ว!J575"")"),405)</f>
        <v>405</v>
      </c>
      <c r="AR69" s="57">
        <f ca="1">IFERROR(__xludf.DUMMYFUNCTION("IMPORTRANGE(""https://docs.google.com/spreadsheets/d/11s9m3tKsCBdPWq6syhZm27eBGbKneDLZc75co106bio/edit?usp=sharing"",""สระแก้ว!I576"")"),132197)</f>
        <v>132197</v>
      </c>
      <c r="AS69" s="57">
        <f ca="1">IFERROR(__xludf.DUMMYFUNCTION("IMPORTRANGE(""https://docs.google.com/spreadsheets/d/11s9m3tKsCBdPWq6syhZm27eBGbKneDLZc75co106bio/edit?usp=sharing"",""สระแก้ว!I577"")"),11643)</f>
        <v>11643</v>
      </c>
      <c r="AT69" s="63">
        <f ca="1">IFERROR(__xludf.DUMMYFUNCTION("IMPORTRANGE(""https://docs.google.com/spreadsheets/d/11s9m3tKsCBdPWq6syhZm27eBGbKneDLZc75co106bio/edit?usp=sharing"",""สระแก้ว!J576"")"),0)</f>
        <v>0</v>
      </c>
      <c r="AU69" s="63">
        <f t="shared" ca="1" si="39"/>
        <v>0</v>
      </c>
      <c r="AV69" s="57">
        <f ca="1">IFERROR(__xludf.DUMMYFUNCTION("IMPORTRANGE(""https://docs.google.com/spreadsheets/d/11s9m3tKsCBdPWq6syhZm27eBGbKneDLZc75co106bio/edit?usp=sharing"",""สระแก้ว!J577"")"),0)</f>
        <v>0</v>
      </c>
      <c r="AW69" s="63">
        <f t="shared" ca="1" si="13"/>
        <v>0</v>
      </c>
      <c r="AX69" s="63">
        <f ca="1">IFERROR(__xludf.DUMMYFUNCTION("IMPORTRANGE(""https://docs.google.com/spreadsheets/d/11s9m3tKsCBdPWq6syhZm27eBGbKneDLZc75co106bio/edit?usp=sharing"",""สระแก้ว!J578"")"),0)</f>
        <v>0</v>
      </c>
      <c r="AY69" s="140">
        <f ca="1">IFERROR(__xludf.DUMMYFUNCTION("IMPORTRANGE(""https://docs.google.com/spreadsheets/d/11s9m3tKsCBdPWq6syhZm27eBGbKneDLZc75co106bio/edit?usp=sharing"",""สระแก้ว!J579"")"),0)</f>
        <v>0</v>
      </c>
      <c r="AZ69" s="63">
        <f ca="1">IFERROR(__xludf.DUMMYFUNCTION("IMPORTRANGE(""https://docs.google.com/spreadsheets/d/11s9m3tKsCBdPWq6syhZm27eBGbKneDLZc75co106bio/edit?usp=sharing"",""สระแก้ว!J580"")"),0)</f>
        <v>0</v>
      </c>
      <c r="BA69" s="140">
        <f ca="1">IFERROR(__xludf.DUMMYFUNCTION("IMPORTRANGE(""https://docs.google.com/spreadsheets/d/11s9m3tKsCBdPWq6syhZm27eBGbKneDLZc75co106bio/edit?usp=sharing"",""สระแก้ว!J581"")"),0)</f>
        <v>0</v>
      </c>
      <c r="BB69" s="63">
        <f ca="1">IFERROR(__xludf.DUMMYFUNCTION("IMPORTRANGE(""https://docs.google.com/spreadsheets/d/11s9m3tKsCBdPWq6syhZm27eBGbKneDLZc75co106bio/edit?usp=sharing"",""สระแก้ว!J582"")"),0)</f>
        <v>0</v>
      </c>
      <c r="BC69" s="140">
        <f ca="1">IFERROR(__xludf.DUMMYFUNCTION("IMPORTRANGE(""https://docs.google.com/spreadsheets/d/11s9m3tKsCBdPWq6syhZm27eBGbKneDLZc75co106bio/edit?usp=sharing"",""สระแก้ว!J583"")"),0)</f>
        <v>0</v>
      </c>
      <c r="BD69" s="141">
        <f ca="1">IFERROR(__xludf.DUMMYFUNCTION("IMPORTRANGE(""https://docs.google.com/spreadsheets/d/11s9m3tKsCBdPWq6syhZm27eBGbKneDLZc75co106bio/edit?usp=sharing"",""สระแก้ว!J584"")"),0)</f>
        <v>0</v>
      </c>
      <c r="BE69" s="140">
        <f ca="1">IFERROR(__xludf.DUMMYFUNCTION("IMPORTRANGE(""https://docs.google.com/spreadsheets/d/11s9m3tKsCBdPWq6syhZm27eBGbKneDLZc75co106bio/edit?usp=sharing"",""สระแก้ว!J585"")"),0)</f>
        <v>0</v>
      </c>
      <c r="BF69" s="141">
        <f ca="1">IFERROR(__xludf.DUMMYFUNCTION("IMPORTRANGE(""https://docs.google.com/spreadsheets/d/11s9m3tKsCBdPWq6syhZm27eBGbKneDLZc75co106bio/edit?usp=sharing"",""สระแก้ว!J586"")"),0)</f>
        <v>0</v>
      </c>
      <c r="BG69" s="140">
        <f ca="1">IFERROR(__xludf.DUMMYFUNCTION("IMPORTRANGE(""https://docs.google.com/spreadsheets/d/11s9m3tKsCBdPWq6syhZm27eBGbKneDLZc75co106bio/edit?usp=sharing"",""สระแก้ว!J587"")"),0)</f>
        <v>0</v>
      </c>
      <c r="BH69" s="63">
        <f ca="1">IFERROR(__xludf.DUMMYFUNCTION("IMPORTRANGE(""https://docs.google.com/spreadsheets/d/11s9m3tKsCBdPWq6syhZm27eBGbKneDLZc75co106bio/edit?usp=sharing"",""สระแก้ว!J588"")"),0)</f>
        <v>0</v>
      </c>
      <c r="BI69" s="140">
        <f ca="1">IFERROR(__xludf.DUMMYFUNCTION("IMPORTRANGE(""https://docs.google.com/spreadsheets/d/11s9m3tKsCBdPWq6syhZm27eBGbKneDLZc75co106bio/edit?usp=sharing"",""สระแก้ว!J589"")"),0)</f>
        <v>0</v>
      </c>
      <c r="BJ69" s="63">
        <f ca="1">IFERROR(__xludf.DUMMYFUNCTION("IMPORTRANGE(""https://docs.google.com/spreadsheets/d/11s9m3tKsCBdPWq6syhZm27eBGbKneDLZc75co106bio/edit?usp=sharing"",""สระแก้ว!J590"")"),0)</f>
        <v>0</v>
      </c>
      <c r="BK69" s="140">
        <f ca="1">IFERROR(__xludf.DUMMYFUNCTION("IMPORTRANGE(""https://docs.google.com/spreadsheets/d/11s9m3tKsCBdPWq6syhZm27eBGbKneDLZc75co106bio/edit?usp=sharing"",""สระแก้ว!J591"")"),0)</f>
        <v>0</v>
      </c>
      <c r="BL69" s="57">
        <f ca="1">IFERROR(__xludf.DUMMYFUNCTION("IMPORTRANGE(""https://docs.google.com/spreadsheets/d/11s9m3tKsCBdPWq6syhZm27eBGbKneDLZc75co106bio/edit?usp=sharing"",""สระแก้ว!I593"")"),6889.23)</f>
        <v>6889.23</v>
      </c>
      <c r="BM69" s="57">
        <f ca="1">IFERROR(__xludf.DUMMYFUNCTION("IMPORTRANGE(""https://docs.google.com/spreadsheets/d/11s9m3tKsCBdPWq6syhZm27eBGbKneDLZc75co106bio/edit?usp=sharing"",""สระแก้ว!I594"")"),387)</f>
        <v>387</v>
      </c>
      <c r="BN69" s="63">
        <f ca="1">IFERROR(__xludf.DUMMYFUNCTION("IMPORTRANGE(""https://docs.google.com/spreadsheets/d/11s9m3tKsCBdPWq6syhZm27eBGbKneDLZc75co106bio/edit?usp=sharing"",""สระแก้ว!J593"")"),6697)</f>
        <v>6697</v>
      </c>
      <c r="BO69" s="63">
        <f t="shared" ca="1" si="40"/>
        <v>97.209702680851137</v>
      </c>
      <c r="BP69" s="57">
        <f ca="1">IFERROR(__xludf.DUMMYFUNCTION("IMPORTRANGE(""https://docs.google.com/spreadsheets/d/11s9m3tKsCBdPWq6syhZm27eBGbKneDLZc75co106bio/edit?usp=sharing"",""สระแก้ว!J594"")"),374)</f>
        <v>374</v>
      </c>
      <c r="BQ69" s="63">
        <f t="shared" ca="1" si="16"/>
        <v>96.640826873385009</v>
      </c>
      <c r="BR69" s="63">
        <f ca="1">IFERROR(__xludf.DUMMYFUNCTION("IMPORTRANGE(""https://docs.google.com/spreadsheets/d/11s9m3tKsCBdPWq6syhZm27eBGbKneDLZc75co106bio/edit?usp=sharing"",""สระแก้ว!J595"")"),6697)</f>
        <v>6697</v>
      </c>
      <c r="BS69" s="140">
        <f ca="1">IFERROR(__xludf.DUMMYFUNCTION("IMPORTRANGE(""https://docs.google.com/spreadsheets/d/11s9m3tKsCBdPWq6syhZm27eBGbKneDLZc75co106bio/edit?usp=sharing"",""สระแก้ว!J596"")"),374)</f>
        <v>374</v>
      </c>
      <c r="BT69" s="63">
        <f ca="1">IFERROR(__xludf.DUMMYFUNCTION("IMPORTRANGE(""https://docs.google.com/spreadsheets/d/11s9m3tKsCBdPWq6syhZm27eBGbKneDLZc75co106bio/edit?usp=sharing"",""สระแก้ว!J597"")"),1344)</f>
        <v>1344</v>
      </c>
      <c r="BU69" s="140">
        <f ca="1">IFERROR(__xludf.DUMMYFUNCTION("IMPORTRANGE(""https://docs.google.com/spreadsheets/d/11s9m3tKsCBdPWq6syhZm27eBGbKneDLZc75co106bio/edit?usp=sharing"",""สระแก้ว!J598"")"),127)</f>
        <v>127</v>
      </c>
      <c r="BV69" s="63">
        <f ca="1">IFERROR(__xludf.DUMMYFUNCTION("IMPORTRANGE(""https://docs.google.com/spreadsheets/d/11s9m3tKsCBdPWq6syhZm27eBGbKneDLZc75co106bio/edit?usp=sharing"",""สระแก้ว!J599"")"),5353)</f>
        <v>5353</v>
      </c>
      <c r="BW69" s="140">
        <f ca="1">IFERROR(__xludf.DUMMYFUNCTION("IMPORTRANGE(""https://docs.google.com/spreadsheets/d/11s9m3tKsCBdPWq6syhZm27eBGbKneDLZc75co106bio/edit?usp=sharing"",""สระแก้ว!J600"")"),247)</f>
        <v>247</v>
      </c>
      <c r="BX69" s="141">
        <f ca="1">IFERROR(__xludf.DUMMYFUNCTION("IMPORTRANGE(""https://docs.google.com/spreadsheets/d/11s9m3tKsCBdPWq6syhZm27eBGbKneDLZc75co106bio/edit?usp=sharing"",""สระแก้ว!J601"")"),0)</f>
        <v>0</v>
      </c>
      <c r="BY69" s="140">
        <f ca="1">IFERROR(__xludf.DUMMYFUNCTION("IMPORTRANGE(""https://docs.google.com/spreadsheets/d/11s9m3tKsCBdPWq6syhZm27eBGbKneDLZc75co106bio/edit?usp=sharing"",""สระแก้ว!J602"")"),0)</f>
        <v>0</v>
      </c>
      <c r="BZ69" s="63">
        <f ca="1">IFERROR(__xludf.DUMMYFUNCTION("IMPORTRANGE(""https://docs.google.com/spreadsheets/d/11s9m3tKsCBdPWq6syhZm27eBGbKneDLZc75co106bio/edit?usp=sharing"",""สระแก้ว!J603"")"),0)</f>
        <v>0</v>
      </c>
      <c r="CA69" s="140">
        <f ca="1">IFERROR(__xludf.DUMMYFUNCTION("IMPORTRANGE(""https://docs.google.com/spreadsheets/d/11s9m3tKsCBdPWq6syhZm27eBGbKneDLZc75co106bio/edit?usp=sharing"",""สระแก้ว!J604"")"),0)</f>
        <v>0</v>
      </c>
      <c r="CB69" s="63">
        <f ca="1">IFERROR(__xludf.DUMMYFUNCTION("IMPORTRANGE(""https://docs.google.com/spreadsheets/d/11s9m3tKsCBdPWq6syhZm27eBGbKneDLZc75co106bio/edit?usp=sharing"",""สระแก้ว!J605"")"),0)</f>
        <v>0</v>
      </c>
      <c r="CC69" s="140">
        <f ca="1">IFERROR(__xludf.DUMMYFUNCTION("IMPORTRANGE(""https://docs.google.com/spreadsheets/d/11s9m3tKsCBdPWq6syhZm27eBGbKneDLZc75co106bio/edit?usp=sharing"",""สระแก้ว!J606"")"),0)</f>
        <v>0</v>
      </c>
      <c r="CD69" s="63">
        <f ca="1">IFERROR(__xludf.DUMMYFUNCTION("IMPORTRANGE(""https://docs.google.com/spreadsheets/d/11s9m3tKsCBdPWq6syhZm27eBGbKneDLZc75co106bio/edit?usp=sharing"",""สระแก้ว!J607"")"),0)</f>
        <v>0</v>
      </c>
      <c r="CE69" s="140">
        <f ca="1">IFERROR(__xludf.DUMMYFUNCTION("IMPORTRANGE(""https://docs.google.com/spreadsheets/d/11s9m3tKsCBdPWq6syhZm27eBGbKneDLZc75co106bio/edit?usp=sharing"",""สระแก้ว!J608"")"),0)</f>
        <v>0</v>
      </c>
      <c r="CF69" s="63">
        <f ca="1">IFERROR(__xludf.DUMMYFUNCTION("IMPORTRANGE(""https://docs.google.com/spreadsheets/d/11s9m3tKsCBdPWq6syhZm27eBGbKneDLZc75co106bio/edit?usp=sharing"",""สระแก้ว!J609"")"),0)</f>
        <v>0</v>
      </c>
      <c r="CG69" s="140">
        <f ca="1">IFERROR(__xludf.DUMMYFUNCTION("IMPORTRANGE(""https://docs.google.com/spreadsheets/d/11s9m3tKsCBdPWq6syhZm27eBGbKneDLZc75co106bio/edit?usp=sharing"",""สระแก้ว!J610"")"),0)</f>
        <v>0</v>
      </c>
      <c r="CH69" s="140">
        <f ca="1">IFERROR(__xludf.DUMMYFUNCTION("IMPORTRANGE(""https://docs.google.com/spreadsheets/d/11s9m3tKsCBdPWq6syhZm27eBGbKneDLZc75co106bio/edit?usp=sharing"",""สระแก้ว!I612"")"),0)</f>
        <v>0</v>
      </c>
      <c r="CI69" s="140">
        <f ca="1">IFERROR(__xludf.DUMMYFUNCTION("IMPORTRANGE(""https://docs.google.com/spreadsheets/d/11s9m3tKsCBdPWq6syhZm27eBGbKneDLZc75co106bio/edit?usp=sharing"",""สระแก้ว!I594"")"),387)</f>
        <v>387</v>
      </c>
      <c r="CJ69" s="141">
        <f ca="1">IFERROR(__xludf.DUMMYFUNCTION("IMPORTRANGE(""https://docs.google.com/spreadsheets/d/11s9m3tKsCBdPWq6syhZm27eBGbKneDLZc75co106bio/edit?usp=sharing"",""สระแก้ว!J612"")"),0)</f>
        <v>0</v>
      </c>
      <c r="CK69" s="141">
        <f t="shared" ca="1" si="41"/>
        <v>0</v>
      </c>
      <c r="CL69" s="140">
        <f ca="1">IFERROR(__xludf.DUMMYFUNCTION("IMPORTRANGE(""https://docs.google.com/spreadsheets/d/11s9m3tKsCBdPWq6syhZm27eBGbKneDLZc75co106bio/edit?usp=sharing"",""สระแก้ว!J613"")"),0)</f>
        <v>0</v>
      </c>
      <c r="CM69" s="141">
        <f t="shared" ca="1" si="19"/>
        <v>0</v>
      </c>
      <c r="CN69" s="63">
        <f ca="1">IFERROR(__xludf.DUMMYFUNCTION("IMPORTRANGE(""https://docs.google.com/spreadsheets/d/11s9m3tKsCBdPWq6syhZm27eBGbKneDLZc75co106bio/edit?usp=sharing"",""สระแก้ว!J614"")"),0)</f>
        <v>0</v>
      </c>
      <c r="CO69" s="140">
        <f ca="1">IFERROR(__xludf.DUMMYFUNCTION("IMPORTRANGE(""https://docs.google.com/spreadsheets/d/11s9m3tKsCBdPWq6syhZm27eBGbKneDLZc75co106bio/edit?usp=sharing"",""สระแก้ว!J615"")"),0)</f>
        <v>0</v>
      </c>
      <c r="CP69" s="63">
        <f ca="1">IFERROR(__xludf.DUMMYFUNCTION("IMPORTRANGE(""https://docs.google.com/spreadsheets/d/11s9m3tKsCBdPWq6syhZm27eBGbKneDLZc75co106bio/edit?usp=sharing"",""สระแก้ว!J616"")"),0)</f>
        <v>0</v>
      </c>
      <c r="CQ69" s="140">
        <f ca="1">IFERROR(__xludf.DUMMYFUNCTION("IMPORTRANGE(""https://docs.google.com/spreadsheets/d/11s9m3tKsCBdPWq6syhZm27eBGbKneDLZc75co106bio/edit?usp=sharing"",""สระแก้ว!J617"")"),0)</f>
        <v>0</v>
      </c>
      <c r="CR69" s="140">
        <f ca="1">IFERROR(__xludf.DUMMYFUNCTION("IMPORTRANGE(""https://docs.google.com/spreadsheets/d/11s9m3tKsCBdPWq6syhZm27eBGbKneDLZc75co106bio/edit?usp=sharing"",""สระแก้ว!I620"")"),267)</f>
        <v>267</v>
      </c>
      <c r="CS69" s="140">
        <f ca="1">IFERROR(__xludf.DUMMYFUNCTION("IMPORTRANGE(""https://docs.google.com/spreadsheets/d/11s9m3tKsCBdPWq6syhZm27eBGbKneDLZc75co106bio/edit?usp=sharing"",""สระแก้ว!I621"")"),22)</f>
        <v>22</v>
      </c>
      <c r="CT69" s="141">
        <f ca="1">IFERROR(__xludf.DUMMYFUNCTION("IMPORTRANGE(""https://docs.google.com/spreadsheets/d/11s9m3tKsCBdPWq6syhZm27eBGbKneDLZc75co106bio/edit?usp=sharing"",""สระแก้ว!J620"")"),0)</f>
        <v>0</v>
      </c>
      <c r="CU69" s="141">
        <f t="shared" ca="1" si="42"/>
        <v>0</v>
      </c>
      <c r="CV69" s="140">
        <f ca="1">IFERROR(__xludf.DUMMYFUNCTION("IMPORTRANGE(""https://docs.google.com/spreadsheets/d/11s9m3tKsCBdPWq6syhZm27eBGbKneDLZc75co106bio/edit?usp=sharing"",""สระแก้ว!J621"")"),0)</f>
        <v>0</v>
      </c>
      <c r="CW69" s="141">
        <f t="shared" ca="1" si="22"/>
        <v>0</v>
      </c>
      <c r="CX69" s="63">
        <f ca="1">IFERROR(__xludf.DUMMYFUNCTION("IMPORTRANGE(""https://docs.google.com/spreadsheets/d/11s9m3tKsCBdPWq6syhZm27eBGbKneDLZc75co106bio/edit?usp=sharing"",""สระแก้ว!J622"")"),0)</f>
        <v>0</v>
      </c>
      <c r="CY69" s="140">
        <f ca="1">IFERROR(__xludf.DUMMYFUNCTION("IMPORTRANGE(""https://docs.google.com/spreadsheets/d/11s9m3tKsCBdPWq6syhZm27eBGbKneDLZc75co106bio/edit?usp=sharing"",""สระแก้ว!J623"")"),0)</f>
        <v>0</v>
      </c>
      <c r="CZ69" s="63">
        <f ca="1">IFERROR(__xludf.DUMMYFUNCTION("IMPORTRANGE(""https://docs.google.com/spreadsheets/d/11s9m3tKsCBdPWq6syhZm27eBGbKneDLZc75co106bio/edit?usp=sharing"",""สระแก้ว!J624"")"),0)</f>
        <v>0</v>
      </c>
      <c r="DA69" s="140">
        <f ca="1">IFERROR(__xludf.DUMMYFUNCTION("IMPORTRANGE(""https://docs.google.com/spreadsheets/d/11s9m3tKsCBdPWq6syhZm27eBGbKneDLZc75co106bio/edit?usp=sharing"",""สระแก้ว!J625"")"),0)</f>
        <v>0</v>
      </c>
      <c r="DB69" s="63">
        <f ca="1">IFERROR(__xludf.DUMMYFUNCTION("IMPORTRANGE(""https://docs.google.com/spreadsheets/d/11s9m3tKsCBdPWq6syhZm27eBGbKneDLZc75co106bio/edit?usp=sharing"",""สระแก้ว!J626"")"),0)</f>
        <v>0</v>
      </c>
      <c r="DC69" s="140">
        <f ca="1">IFERROR(__xludf.DUMMYFUNCTION("IMPORTRANGE(""https://docs.google.com/spreadsheets/d/11s9m3tKsCBdPWq6syhZm27eBGbKneDLZc75co106bio/edit?usp=sharing"",""สระแก้ว!J627"")"),0)</f>
        <v>0</v>
      </c>
    </row>
    <row r="70" spans="1:107" ht="21" customHeight="1" x14ac:dyDescent="0.3">
      <c r="A70" s="54">
        <v>18</v>
      </c>
      <c r="B70" s="55" t="s">
        <v>91</v>
      </c>
      <c r="C70" s="56">
        <f t="shared" ca="1" si="77"/>
        <v>248300</v>
      </c>
      <c r="D70" s="57">
        <f ca="1">IFERROR(__xludf.DUMMYFUNCTION("IMPORTRANGE(""https://docs.google.com/spreadsheets/d/1Nn1EvsFPtXldgpgVb3Rcng2K2cls68LFQsBh2FyW0Bg/edit?usp=sharing"",""สระบุรี!L549"")"),248300)</f>
        <v>248300</v>
      </c>
      <c r="E70" s="64">
        <f ca="1">IFERROR(__xludf.DUMMYFUNCTION("IMPORTRANGE(""https://docs.google.com/spreadsheets/d/1Nn1EvsFPtXldgpgVb3Rcng2K2cls68LFQsBh2FyW0Bg/edit?usp=sharing"",""สระบุรี!L557"")"),0)</f>
        <v>0</v>
      </c>
      <c r="F70" s="64">
        <f ca="1">IFERROR(__xludf.DUMMYFUNCTION("IMPORTRANGE(""https://docs.google.com/spreadsheets/d/1Nn1EvsFPtXldgpgVb3Rcng2K2cls68LFQsBh2FyW0Bg/edit?usp=sharing"",""สระบุรี!M549"")"),248300)</f>
        <v>248300</v>
      </c>
      <c r="G70" s="64">
        <f ca="1">IFERROR(__xludf.DUMMYFUNCTION("IMPORTRANGE(""https://docs.google.com/spreadsheets/d/1Nn1EvsFPtXldgpgVb3Rcng2K2cls68LFQsBh2FyW0Bg/edit?usp=sharing"",""สระบุรี!M557"")"),0)</f>
        <v>0</v>
      </c>
      <c r="H70" s="58">
        <f t="shared" ca="1" si="36"/>
        <v>128558.05</v>
      </c>
      <c r="I70" s="59">
        <f t="shared" ca="1" si="1"/>
        <v>51.775291985501411</v>
      </c>
      <c r="J70" s="60">
        <f t="shared" ca="1" si="78"/>
        <v>128558.05</v>
      </c>
      <c r="K70" s="61">
        <f t="shared" ca="1" si="44"/>
        <v>51.775291985501411</v>
      </c>
      <c r="L70" s="61">
        <f t="shared" ca="1" si="45"/>
        <v>51.775291985501411</v>
      </c>
      <c r="M70" s="64">
        <f ca="1">IFERROR(__xludf.DUMMYFUNCTION("IMPORTRANGE(""https://docs.google.com/spreadsheets/d/1Nn1EvsFPtXldgpgVb3Rcng2K2cls68LFQsBh2FyW0Bg/edit?usp=sharing"",""สระบุรี!N550"")"),0)</f>
        <v>0</v>
      </c>
      <c r="N70" s="64">
        <f ca="1">IFERROR(__xludf.DUMMYFUNCTION("IMPORTRANGE(""https://docs.google.com/spreadsheets/d/1Nn1EvsFPtXldgpgVb3Rcng2K2cls68LFQsBh2FyW0Bg/edit?usp=sharing"",""สระบุรี!N551"")"),0)</f>
        <v>0</v>
      </c>
      <c r="O70" s="64">
        <f ca="1">IFERROR(__xludf.DUMMYFUNCTION("IMPORTRANGE(""https://docs.google.com/spreadsheets/d/1Nn1EvsFPtXldgpgVb3Rcng2K2cls68LFQsBh2FyW0Bg/edit?usp=sharing"",""สระบุรี!N552"")"),76701)</f>
        <v>76701</v>
      </c>
      <c r="P70" s="64">
        <f ca="1">IFERROR(__xludf.DUMMYFUNCTION("IMPORTRANGE(""https://docs.google.com/spreadsheets/d/1Nn1EvsFPtXldgpgVb3Rcng2K2cls68LFQsBh2FyW0Bg/edit?usp=sharing"",""สระบุรี!N553"")"),51857.05)</f>
        <v>51857.05</v>
      </c>
      <c r="Q70" s="64">
        <f ca="1">IFERROR(__xludf.DUMMYFUNCTION("IMPORTRANGE(""https://docs.google.com/spreadsheets/d/1Nn1EvsFPtXldgpgVb3Rcng2K2cls68LFQsBh2FyW0Bg/edit?usp=sharing"",""สระบุรี!N554"")"),0)</f>
        <v>0</v>
      </c>
      <c r="R70" s="62">
        <f ca="1">IFERROR(__xludf.DUMMYFUNCTION("IMPORTRANGE(""https://docs.google.com/spreadsheets/d/1Nn1EvsFPtXldgpgVb3Rcng2K2cls68LFQsBh2FyW0Bg/edit?usp=sharing"",""สระบุรี!N557"")"),0)</f>
        <v>0</v>
      </c>
      <c r="S70" s="62">
        <f t="shared" ca="1" si="47"/>
        <v>0</v>
      </c>
      <c r="T70" s="57">
        <f ca="1">IFERROR(__xludf.DUMMYFUNCTION("IMPORTRANGE(""https://docs.google.com/spreadsheets/d/1Nn1EvsFPtXldgpgVb3Rcng2K2cls68LFQsBh2FyW0Bg/edit?usp=sharing"",""สระบุรี!I560"")"),0)</f>
        <v>0</v>
      </c>
      <c r="U70" s="57">
        <f ca="1">IFERROR(__xludf.DUMMYFUNCTION("IMPORTRANGE(""https://docs.google.com/spreadsheets/d/1Nn1EvsFPtXldgpgVb3Rcng2K2cls68LFQsBh2FyW0Bg/edit?usp=sharing"",""สระบุรี!I561"")"),0)</f>
        <v>0</v>
      </c>
      <c r="V70" s="63">
        <f ca="1">IFERROR(__xludf.DUMMYFUNCTION("IMPORTRANGE(""https://docs.google.com/spreadsheets/d/1Nn1EvsFPtXldgpgVb3Rcng2K2cls68LFQsBh2FyW0Bg/edit?usp=sharing"",""สระบุรี!J560"")"),0)</f>
        <v>0</v>
      </c>
      <c r="W70" s="63">
        <f t="shared" ca="1" si="37"/>
        <v>0</v>
      </c>
      <c r="X70" s="57">
        <f ca="1">IFERROR(__xludf.DUMMYFUNCTION("IMPORTRANGE(""https://docs.google.com/spreadsheets/d/1Nn1EvsFPtXldgpgVb3Rcng2K2cls68LFQsBh2FyW0Bg/edit?usp=sharing"",""สระบุรี!J561"")"),0)</f>
        <v>0</v>
      </c>
      <c r="Y70" s="63">
        <f t="shared" ca="1" si="7"/>
        <v>0</v>
      </c>
      <c r="Z70" s="63">
        <f ca="1">IFERROR(__xludf.DUMMYFUNCTION("IMPORTRANGE(""https://docs.google.com/spreadsheets/d/1Nn1EvsFPtXldgpgVb3Rcng2K2cls68LFQsBh2FyW0Bg/edit?usp=sharing"",""สระบุรี!J562"")"),0)</f>
        <v>0</v>
      </c>
      <c r="AA70" s="140">
        <f ca="1">IFERROR(__xludf.DUMMYFUNCTION("IMPORTRANGE(""https://docs.google.com/spreadsheets/d/1Nn1EvsFPtXldgpgVb3Rcng2K2cls68LFQsBh2FyW0Bg/edit?usp=sharing"",""สระบุรี!J563"")"),0)</f>
        <v>0</v>
      </c>
      <c r="AB70" s="63">
        <f ca="1">IFERROR(__xludf.DUMMYFUNCTION("IMPORTRANGE(""https://docs.google.com/spreadsheets/d/1Nn1EvsFPtXldgpgVb3Rcng2K2cls68LFQsBh2FyW0Bg/edit?usp=sharing"",""สระบุรี!J564"")"),0)</f>
        <v>0</v>
      </c>
      <c r="AC70" s="140">
        <f ca="1">IFERROR(__xludf.DUMMYFUNCTION("IMPORTRANGE(""https://docs.google.com/spreadsheets/d/1Nn1EvsFPtXldgpgVb3Rcng2K2cls68LFQsBh2FyW0Bg/edit?usp=sharing"",""สระบุรี!J565"")"),0)</f>
        <v>0</v>
      </c>
      <c r="AD70" s="63">
        <f ca="1">IFERROR(__xludf.DUMMYFUNCTION("IMPORTRANGE(""https://docs.google.com/spreadsheets/d/1Nn1EvsFPtXldgpgVb3Rcng2K2cls68LFQsBh2FyW0Bg/edit?usp=sharing"",""สระบุรี!J566"")"),0)</f>
        <v>0</v>
      </c>
      <c r="AE70" s="140">
        <f ca="1">IFERROR(__xludf.DUMMYFUNCTION("IMPORTRANGE(""https://docs.google.com/spreadsheets/d/1Nn1EvsFPtXldgpgVb3Rcng2K2cls68LFQsBh2FyW0Bg/edit?usp=sharing"",""สระบุรี!J567"")"),0)</f>
        <v>0</v>
      </c>
      <c r="AF70" s="57">
        <f ca="1">IFERROR(__xludf.DUMMYFUNCTION("IMPORTRANGE(""https://docs.google.com/spreadsheets/d/1Nn1EvsFPtXldgpgVb3Rcng2K2cls68LFQsBh2FyW0Bg/edit?usp=sharing"",""สระบุรี!I568"")"),0)</f>
        <v>0</v>
      </c>
      <c r="AG70" s="57">
        <f ca="1">IFERROR(__xludf.DUMMYFUNCTION("IMPORTRANGE(""https://docs.google.com/spreadsheets/d/1Nn1EvsFPtXldgpgVb3Rcng2K2cls68LFQsBh2FyW0Bg/edit?usp=sharing"",""สระบุรี!I569"")"),0)</f>
        <v>0</v>
      </c>
      <c r="AH70" s="63">
        <f ca="1">IFERROR(__xludf.DUMMYFUNCTION("IMPORTRANGE(""https://docs.google.com/spreadsheets/d/1Nn1EvsFPtXldgpgVb3Rcng2K2cls68LFQsBh2FyW0Bg/edit?usp=sharing"",""สระบุรี!J568"")"),0)</f>
        <v>0</v>
      </c>
      <c r="AI70" s="63">
        <f t="shared" ca="1" si="38"/>
        <v>0</v>
      </c>
      <c r="AJ70" s="57">
        <f ca="1">IFERROR(__xludf.DUMMYFUNCTION("IMPORTRANGE(""https://docs.google.com/spreadsheets/d/1Nn1EvsFPtXldgpgVb3Rcng2K2cls68LFQsBh2FyW0Bg/edit?usp=sharing"",""สระบุรี!J569"")"),0)</f>
        <v>0</v>
      </c>
      <c r="AK70" s="63">
        <f t="shared" ca="1" si="10"/>
        <v>0</v>
      </c>
      <c r="AL70" s="63">
        <f ca="1">IFERROR(__xludf.DUMMYFUNCTION("IMPORTRANGE(""https://docs.google.com/spreadsheets/d/1Nn1EvsFPtXldgpgVb3Rcng2K2cls68LFQsBh2FyW0Bg/edit?usp=sharing"",""สระบุรี!J570"")"),0)</f>
        <v>0</v>
      </c>
      <c r="AM70" s="140">
        <f ca="1">IFERROR(__xludf.DUMMYFUNCTION("IMPORTRANGE(""https://docs.google.com/spreadsheets/d/1Nn1EvsFPtXldgpgVb3Rcng2K2cls68LFQsBh2FyW0Bg/edit?usp=sharing"",""สระบุรี!J571"")"),0)</f>
        <v>0</v>
      </c>
      <c r="AN70" s="63">
        <f ca="1">IFERROR(__xludf.DUMMYFUNCTION("IMPORTRANGE(""https://docs.google.com/spreadsheets/d/1Nn1EvsFPtXldgpgVb3Rcng2K2cls68LFQsBh2FyW0Bg/edit?usp=sharing"",""สระบุรี!J572"")"),0)</f>
        <v>0</v>
      </c>
      <c r="AO70" s="140">
        <f ca="1">IFERROR(__xludf.DUMMYFUNCTION("IMPORTRANGE(""https://docs.google.com/spreadsheets/d/1Nn1EvsFPtXldgpgVb3Rcng2K2cls68LFQsBh2FyW0Bg/edit?usp=sharing"",""สระบุรี!J573"")"),0)</f>
        <v>0</v>
      </c>
      <c r="AP70" s="63">
        <f ca="1">IFERROR(__xludf.DUMMYFUNCTION("IMPORTRANGE(""https://docs.google.com/spreadsheets/d/1Nn1EvsFPtXldgpgVb3Rcng2K2cls68LFQsBh2FyW0Bg/edit?usp=sharing"",""สระบุรี!J574"")"),0)</f>
        <v>0</v>
      </c>
      <c r="AQ70" s="140">
        <f ca="1">IFERROR(__xludf.DUMMYFUNCTION("IMPORTRANGE(""https://docs.google.com/spreadsheets/d/1Nn1EvsFPtXldgpgVb3Rcng2K2cls68LFQsBh2FyW0Bg/edit?usp=sharing"",""สระบุรี!J575"")"),0)</f>
        <v>0</v>
      </c>
      <c r="AR70" s="57">
        <f ca="1">IFERROR(__xludf.DUMMYFUNCTION("IMPORTRANGE(""https://docs.google.com/spreadsheets/d/1Nn1EvsFPtXldgpgVb3Rcng2K2cls68LFQsBh2FyW0Bg/edit?usp=sharing"",""สระบุรี!I576"")"),0)</f>
        <v>0</v>
      </c>
      <c r="AS70" s="57">
        <f ca="1">IFERROR(__xludf.DUMMYFUNCTION("IMPORTRANGE(""https://docs.google.com/spreadsheets/d/1Nn1EvsFPtXldgpgVb3Rcng2K2cls68LFQsBh2FyW0Bg/edit?usp=sharing"",""สระบุรี!I577"")"),0)</f>
        <v>0</v>
      </c>
      <c r="AT70" s="63">
        <f ca="1">IFERROR(__xludf.DUMMYFUNCTION("IMPORTRANGE(""https://docs.google.com/spreadsheets/d/1Nn1EvsFPtXldgpgVb3Rcng2K2cls68LFQsBh2FyW0Bg/edit?usp=sharing"",""สระบุรี!J576"")"),0)</f>
        <v>0</v>
      </c>
      <c r="AU70" s="63">
        <f t="shared" ca="1" si="39"/>
        <v>0</v>
      </c>
      <c r="AV70" s="57">
        <f ca="1">IFERROR(__xludf.DUMMYFUNCTION("IMPORTRANGE(""https://docs.google.com/spreadsheets/d/1Nn1EvsFPtXldgpgVb3Rcng2K2cls68LFQsBh2FyW0Bg/edit?usp=sharing"",""สระบุรี!J577"")"),0)</f>
        <v>0</v>
      </c>
      <c r="AW70" s="63">
        <f t="shared" ca="1" si="13"/>
        <v>0</v>
      </c>
      <c r="AX70" s="63">
        <f ca="1">IFERROR(__xludf.DUMMYFUNCTION("IMPORTRANGE(""https://docs.google.com/spreadsheets/d/1Nn1EvsFPtXldgpgVb3Rcng2K2cls68LFQsBh2FyW0Bg/edit?usp=sharing"",""สระบุรี!J578"")"),0)</f>
        <v>0</v>
      </c>
      <c r="AY70" s="140">
        <f ca="1">IFERROR(__xludf.DUMMYFUNCTION("IMPORTRANGE(""https://docs.google.com/spreadsheets/d/1Nn1EvsFPtXldgpgVb3Rcng2K2cls68LFQsBh2FyW0Bg/edit?usp=sharing"",""สระบุรี!J579"")"),0)</f>
        <v>0</v>
      </c>
      <c r="AZ70" s="63">
        <f ca="1">IFERROR(__xludf.DUMMYFUNCTION("IMPORTRANGE(""https://docs.google.com/spreadsheets/d/1Nn1EvsFPtXldgpgVb3Rcng2K2cls68LFQsBh2FyW0Bg/edit?usp=sharing"",""สระบุรี!J580"")"),0)</f>
        <v>0</v>
      </c>
      <c r="BA70" s="140">
        <f ca="1">IFERROR(__xludf.DUMMYFUNCTION("IMPORTRANGE(""https://docs.google.com/spreadsheets/d/1Nn1EvsFPtXldgpgVb3Rcng2K2cls68LFQsBh2FyW0Bg/edit?usp=sharing"",""สระบุรี!J581"")"),0)</f>
        <v>0</v>
      </c>
      <c r="BB70" s="63">
        <f ca="1">IFERROR(__xludf.DUMMYFUNCTION("IMPORTRANGE(""https://docs.google.com/spreadsheets/d/1Nn1EvsFPtXldgpgVb3Rcng2K2cls68LFQsBh2FyW0Bg/edit?usp=sharing"",""สระบุรี!J582"")"),0)</f>
        <v>0</v>
      </c>
      <c r="BC70" s="140">
        <f ca="1">IFERROR(__xludf.DUMMYFUNCTION("IMPORTRANGE(""https://docs.google.com/spreadsheets/d/1Nn1EvsFPtXldgpgVb3Rcng2K2cls68LFQsBh2FyW0Bg/edit?usp=sharing"",""สระบุรี!J583"")"),0)</f>
        <v>0</v>
      </c>
      <c r="BD70" s="141">
        <f ca="1">IFERROR(__xludf.DUMMYFUNCTION("IMPORTRANGE(""https://docs.google.com/spreadsheets/d/1Nn1EvsFPtXldgpgVb3Rcng2K2cls68LFQsBh2FyW0Bg/edit?usp=sharing"",""สระบุรี!J584"")"),0)</f>
        <v>0</v>
      </c>
      <c r="BE70" s="140">
        <f ca="1">IFERROR(__xludf.DUMMYFUNCTION("IMPORTRANGE(""https://docs.google.com/spreadsheets/d/1Nn1EvsFPtXldgpgVb3Rcng2K2cls68LFQsBh2FyW0Bg/edit?usp=sharing"",""สระบุรี!J585"")"),0)</f>
        <v>0</v>
      </c>
      <c r="BF70" s="141">
        <f ca="1">IFERROR(__xludf.DUMMYFUNCTION("IMPORTRANGE(""https://docs.google.com/spreadsheets/d/1Nn1EvsFPtXldgpgVb3Rcng2K2cls68LFQsBh2FyW0Bg/edit?usp=sharing"",""สระบุรี!J586"")"),0)</f>
        <v>0</v>
      </c>
      <c r="BG70" s="140">
        <f ca="1">IFERROR(__xludf.DUMMYFUNCTION("IMPORTRANGE(""https://docs.google.com/spreadsheets/d/1Nn1EvsFPtXldgpgVb3Rcng2K2cls68LFQsBh2FyW0Bg/edit?usp=sharing"",""สระบุรี!J587"")"),0)</f>
        <v>0</v>
      </c>
      <c r="BH70" s="63">
        <f ca="1">IFERROR(__xludf.DUMMYFUNCTION("IMPORTRANGE(""https://docs.google.com/spreadsheets/d/1Nn1EvsFPtXldgpgVb3Rcng2K2cls68LFQsBh2FyW0Bg/edit?usp=sharing"",""สระบุรี!J588"")"),0)</f>
        <v>0</v>
      </c>
      <c r="BI70" s="140">
        <f ca="1">IFERROR(__xludf.DUMMYFUNCTION("IMPORTRANGE(""https://docs.google.com/spreadsheets/d/1Nn1EvsFPtXldgpgVb3Rcng2K2cls68LFQsBh2FyW0Bg/edit?usp=sharing"",""สระบุรี!J589"")"),0)</f>
        <v>0</v>
      </c>
      <c r="BJ70" s="63">
        <f ca="1">IFERROR(__xludf.DUMMYFUNCTION("IMPORTRANGE(""https://docs.google.com/spreadsheets/d/1Nn1EvsFPtXldgpgVb3Rcng2K2cls68LFQsBh2FyW0Bg/edit?usp=sharing"",""สระบุรี!J590"")"),0)</f>
        <v>0</v>
      </c>
      <c r="BK70" s="140">
        <f ca="1">IFERROR(__xludf.DUMMYFUNCTION("IMPORTRANGE(""https://docs.google.com/spreadsheets/d/1Nn1EvsFPtXldgpgVb3Rcng2K2cls68LFQsBh2FyW0Bg/edit?usp=sharing"",""สระบุรี!J591"")"),0)</f>
        <v>0</v>
      </c>
      <c r="BL70" s="57">
        <f ca="1">IFERROR(__xludf.DUMMYFUNCTION("IMPORTRANGE(""https://docs.google.com/spreadsheets/d/1Nn1EvsFPtXldgpgVb3Rcng2K2cls68LFQsBh2FyW0Bg/edit?usp=sharing"",""สระบุรี!I593"")"),641.15)</f>
        <v>641.15</v>
      </c>
      <c r="BM70" s="57">
        <f ca="1">IFERROR(__xludf.DUMMYFUNCTION("IMPORTRANGE(""https://docs.google.com/spreadsheets/d/1Nn1EvsFPtXldgpgVb3Rcng2K2cls68LFQsBh2FyW0Bg/edit?usp=sharing"",""สระบุรี!I594"")"),121)</f>
        <v>121</v>
      </c>
      <c r="BN70" s="63">
        <f ca="1">IFERROR(__xludf.DUMMYFUNCTION("IMPORTRANGE(""https://docs.google.com/spreadsheets/d/1Nn1EvsFPtXldgpgVb3Rcng2K2cls68LFQsBh2FyW0Bg/edit?usp=sharing"",""สระบุรี!J593"")"),0)</f>
        <v>0</v>
      </c>
      <c r="BO70" s="63">
        <f t="shared" ca="1" si="40"/>
        <v>0</v>
      </c>
      <c r="BP70" s="57">
        <f ca="1">IFERROR(__xludf.DUMMYFUNCTION("IMPORTRANGE(""https://docs.google.com/spreadsheets/d/1Nn1EvsFPtXldgpgVb3Rcng2K2cls68LFQsBh2FyW0Bg/edit?usp=sharing"",""สระบุรี!J594"")"),0)</f>
        <v>0</v>
      </c>
      <c r="BQ70" s="63">
        <f t="shared" ca="1" si="16"/>
        <v>0</v>
      </c>
      <c r="BR70" s="63">
        <f ca="1">IFERROR(__xludf.DUMMYFUNCTION("IMPORTRANGE(""https://docs.google.com/spreadsheets/d/1Nn1EvsFPtXldgpgVb3Rcng2K2cls68LFQsBh2FyW0Bg/edit?usp=sharing"",""สระบุรี!J595"")"),0)</f>
        <v>0</v>
      </c>
      <c r="BS70" s="140">
        <f ca="1">IFERROR(__xludf.DUMMYFUNCTION("IMPORTRANGE(""https://docs.google.com/spreadsheets/d/1Nn1EvsFPtXldgpgVb3Rcng2K2cls68LFQsBh2FyW0Bg/edit?usp=sharing"",""สระบุรี!J596"")"),0)</f>
        <v>0</v>
      </c>
      <c r="BT70" s="63">
        <f ca="1">IFERROR(__xludf.DUMMYFUNCTION("IMPORTRANGE(""https://docs.google.com/spreadsheets/d/1Nn1EvsFPtXldgpgVb3Rcng2K2cls68LFQsBh2FyW0Bg/edit?usp=sharing"",""สระบุรี!J597"")"),0)</f>
        <v>0</v>
      </c>
      <c r="BU70" s="140">
        <f ca="1">IFERROR(__xludf.DUMMYFUNCTION("IMPORTRANGE(""https://docs.google.com/spreadsheets/d/1Nn1EvsFPtXldgpgVb3Rcng2K2cls68LFQsBh2FyW0Bg/edit?usp=sharing"",""สระบุรี!J598"")"),0)</f>
        <v>0</v>
      </c>
      <c r="BV70" s="63">
        <f ca="1">IFERROR(__xludf.DUMMYFUNCTION("IMPORTRANGE(""https://docs.google.com/spreadsheets/d/1Nn1EvsFPtXldgpgVb3Rcng2K2cls68LFQsBh2FyW0Bg/edit?usp=sharing"",""สระบุรี!J599"")"),0)</f>
        <v>0</v>
      </c>
      <c r="BW70" s="140">
        <f ca="1">IFERROR(__xludf.DUMMYFUNCTION("IMPORTRANGE(""https://docs.google.com/spreadsheets/d/1Nn1EvsFPtXldgpgVb3Rcng2K2cls68LFQsBh2FyW0Bg/edit?usp=sharing"",""สระบุรี!J600"")"),0)</f>
        <v>0</v>
      </c>
      <c r="BX70" s="141">
        <f ca="1">IFERROR(__xludf.DUMMYFUNCTION("IMPORTRANGE(""https://docs.google.com/spreadsheets/d/1Nn1EvsFPtXldgpgVb3Rcng2K2cls68LFQsBh2FyW0Bg/edit?usp=sharing"",""สระบุรี!J601"")"),0)</f>
        <v>0</v>
      </c>
      <c r="BY70" s="140">
        <f ca="1">IFERROR(__xludf.DUMMYFUNCTION("IMPORTRANGE(""https://docs.google.com/spreadsheets/d/1Nn1EvsFPtXldgpgVb3Rcng2K2cls68LFQsBh2FyW0Bg/edit?usp=sharing"",""สระบุรี!J602"")"),0)</f>
        <v>0</v>
      </c>
      <c r="BZ70" s="63">
        <f ca="1">IFERROR(__xludf.DUMMYFUNCTION("IMPORTRANGE(""https://docs.google.com/spreadsheets/d/1Nn1EvsFPtXldgpgVb3Rcng2K2cls68LFQsBh2FyW0Bg/edit?usp=sharing"",""สระบุรี!J603"")"),0)</f>
        <v>0</v>
      </c>
      <c r="CA70" s="140">
        <f ca="1">IFERROR(__xludf.DUMMYFUNCTION("IMPORTRANGE(""https://docs.google.com/spreadsheets/d/1Nn1EvsFPtXldgpgVb3Rcng2K2cls68LFQsBh2FyW0Bg/edit?usp=sharing"",""สระบุรี!J604"")"),0)</f>
        <v>0</v>
      </c>
      <c r="CB70" s="63">
        <f ca="1">IFERROR(__xludf.DUMMYFUNCTION("IMPORTRANGE(""https://docs.google.com/spreadsheets/d/1Nn1EvsFPtXldgpgVb3Rcng2K2cls68LFQsBh2FyW0Bg/edit?usp=sharing"",""สระบุรี!J605"")"),0)</f>
        <v>0</v>
      </c>
      <c r="CC70" s="140">
        <f ca="1">IFERROR(__xludf.DUMMYFUNCTION("IMPORTRANGE(""https://docs.google.com/spreadsheets/d/1Nn1EvsFPtXldgpgVb3Rcng2K2cls68LFQsBh2FyW0Bg/edit?usp=sharing"",""สระบุรี!J606"")"),0)</f>
        <v>0</v>
      </c>
      <c r="CD70" s="63">
        <f ca="1">IFERROR(__xludf.DUMMYFUNCTION("IMPORTRANGE(""https://docs.google.com/spreadsheets/d/1Nn1EvsFPtXldgpgVb3Rcng2K2cls68LFQsBh2FyW0Bg/edit?usp=sharing"",""สระบุรี!J607"")"),0)</f>
        <v>0</v>
      </c>
      <c r="CE70" s="140">
        <f ca="1">IFERROR(__xludf.DUMMYFUNCTION("IMPORTRANGE(""https://docs.google.com/spreadsheets/d/1Nn1EvsFPtXldgpgVb3Rcng2K2cls68LFQsBh2FyW0Bg/edit?usp=sharing"",""สระบุรี!J608"")"),0)</f>
        <v>0</v>
      </c>
      <c r="CF70" s="63">
        <f ca="1">IFERROR(__xludf.DUMMYFUNCTION("IMPORTRANGE(""https://docs.google.com/spreadsheets/d/1Nn1EvsFPtXldgpgVb3Rcng2K2cls68LFQsBh2FyW0Bg/edit?usp=sharing"",""สระบุรี!J609"")"),0)</f>
        <v>0</v>
      </c>
      <c r="CG70" s="140">
        <f ca="1">IFERROR(__xludf.DUMMYFUNCTION("IMPORTRANGE(""https://docs.google.com/spreadsheets/d/1Nn1EvsFPtXldgpgVb3Rcng2K2cls68LFQsBh2FyW0Bg/edit?usp=sharing"",""สระบุรี!J610"")"),0)</f>
        <v>0</v>
      </c>
      <c r="CH70" s="140">
        <f ca="1">IFERROR(__xludf.DUMMYFUNCTION("IMPORTRANGE(""https://docs.google.com/spreadsheets/d/1Nn1EvsFPtXldgpgVb3Rcng2K2cls68LFQsBh2FyW0Bg/edit?usp=sharing"",""สระบุรี!I612"")"),0)</f>
        <v>0</v>
      </c>
      <c r="CI70" s="140">
        <f ca="1">IFERROR(__xludf.DUMMYFUNCTION("IMPORTRANGE(""https://docs.google.com/spreadsheets/d/1Nn1EvsFPtXldgpgVb3Rcng2K2cls68LFQsBh2FyW0Bg/edit?usp=sharing"",""สระบุรี!I594"")"),121)</f>
        <v>121</v>
      </c>
      <c r="CJ70" s="141">
        <f ca="1">IFERROR(__xludf.DUMMYFUNCTION("IMPORTRANGE(""https://docs.google.com/spreadsheets/d/1Nn1EvsFPtXldgpgVb3Rcng2K2cls68LFQsBh2FyW0Bg/edit?usp=sharing"",""สระบุรี!J612"")"),0)</f>
        <v>0</v>
      </c>
      <c r="CK70" s="141">
        <f t="shared" ca="1" si="41"/>
        <v>0</v>
      </c>
      <c r="CL70" s="140">
        <f ca="1">IFERROR(__xludf.DUMMYFUNCTION("IMPORTRANGE(""https://docs.google.com/spreadsheets/d/1Nn1EvsFPtXldgpgVb3Rcng2K2cls68LFQsBh2FyW0Bg/edit?usp=sharing"",""สระบุรี!J613"")"),0)</f>
        <v>0</v>
      </c>
      <c r="CM70" s="141">
        <f t="shared" ca="1" si="19"/>
        <v>0</v>
      </c>
      <c r="CN70" s="63">
        <f ca="1">IFERROR(__xludf.DUMMYFUNCTION("IMPORTRANGE(""https://docs.google.com/spreadsheets/d/1Nn1EvsFPtXldgpgVb3Rcng2K2cls68LFQsBh2FyW0Bg/edit?usp=sharing"",""สระบุรี!J614"")"),0)</f>
        <v>0</v>
      </c>
      <c r="CO70" s="140">
        <f ca="1">IFERROR(__xludf.DUMMYFUNCTION("IMPORTRANGE(""https://docs.google.com/spreadsheets/d/1Nn1EvsFPtXldgpgVb3Rcng2K2cls68LFQsBh2FyW0Bg/edit?usp=sharing"",""สระบุรี!J615"")"),0)</f>
        <v>0</v>
      </c>
      <c r="CP70" s="63">
        <f ca="1">IFERROR(__xludf.DUMMYFUNCTION("IMPORTRANGE(""https://docs.google.com/spreadsheets/d/1Nn1EvsFPtXldgpgVb3Rcng2K2cls68LFQsBh2FyW0Bg/edit?usp=sharing"",""สระบุรี!J616"")"),0)</f>
        <v>0</v>
      </c>
      <c r="CQ70" s="140">
        <f ca="1">IFERROR(__xludf.DUMMYFUNCTION("IMPORTRANGE(""https://docs.google.com/spreadsheets/d/1Nn1EvsFPtXldgpgVb3Rcng2K2cls68LFQsBh2FyW0Bg/edit?usp=sharing"",""สระบุรี!J617"")"),0)</f>
        <v>0</v>
      </c>
      <c r="CR70" s="140">
        <f ca="1">IFERROR(__xludf.DUMMYFUNCTION("IMPORTRANGE(""https://docs.google.com/spreadsheets/d/1Nn1EvsFPtXldgpgVb3Rcng2K2cls68LFQsBh2FyW0Bg/edit?usp=sharing"",""สระบุรี!I620"")"),0)</f>
        <v>0</v>
      </c>
      <c r="CS70" s="140">
        <f ca="1">IFERROR(__xludf.DUMMYFUNCTION("IMPORTRANGE(""https://docs.google.com/spreadsheets/d/1Nn1EvsFPtXldgpgVb3Rcng2K2cls68LFQsBh2FyW0Bg/edit?usp=sharing"",""สระบุรี!I621"")"),0)</f>
        <v>0</v>
      </c>
      <c r="CT70" s="141">
        <f ca="1">IFERROR(__xludf.DUMMYFUNCTION("IMPORTRANGE(""https://docs.google.com/spreadsheets/d/1Nn1EvsFPtXldgpgVb3Rcng2K2cls68LFQsBh2FyW0Bg/edit?usp=sharing"",""สระบุรี!J620"")"),0)</f>
        <v>0</v>
      </c>
      <c r="CU70" s="141">
        <f t="shared" ca="1" si="42"/>
        <v>0</v>
      </c>
      <c r="CV70" s="140">
        <f ca="1">IFERROR(__xludf.DUMMYFUNCTION("IMPORTRANGE(""https://docs.google.com/spreadsheets/d/1Nn1EvsFPtXldgpgVb3Rcng2K2cls68LFQsBh2FyW0Bg/edit?usp=sharing"",""สระบุรี!J621"")"),0)</f>
        <v>0</v>
      </c>
      <c r="CW70" s="141">
        <f t="shared" ca="1" si="22"/>
        <v>0</v>
      </c>
      <c r="CX70" s="63">
        <f ca="1">IFERROR(__xludf.DUMMYFUNCTION("IMPORTRANGE(""https://docs.google.com/spreadsheets/d/1Nn1EvsFPtXldgpgVb3Rcng2K2cls68LFQsBh2FyW0Bg/edit?usp=sharing"",""สระบุรี!J622"")"),0)</f>
        <v>0</v>
      </c>
      <c r="CY70" s="140">
        <f ca="1">IFERROR(__xludf.DUMMYFUNCTION("IMPORTRANGE(""https://docs.google.com/spreadsheets/d/1Nn1EvsFPtXldgpgVb3Rcng2K2cls68LFQsBh2FyW0Bg/edit?usp=sharing"",""สระบุรี!J623"")"),0)</f>
        <v>0</v>
      </c>
      <c r="CZ70" s="63">
        <f ca="1">IFERROR(__xludf.DUMMYFUNCTION("IMPORTRANGE(""https://docs.google.com/spreadsheets/d/1Nn1EvsFPtXldgpgVb3Rcng2K2cls68LFQsBh2FyW0Bg/edit?usp=sharing"",""สระบุรี!J624"")"),0)</f>
        <v>0</v>
      </c>
      <c r="DA70" s="140">
        <f ca="1">IFERROR(__xludf.DUMMYFUNCTION("IMPORTRANGE(""https://docs.google.com/spreadsheets/d/1Nn1EvsFPtXldgpgVb3Rcng2K2cls68LFQsBh2FyW0Bg/edit?usp=sharing"",""สระบุรี!J625"")"),0)</f>
        <v>0</v>
      </c>
      <c r="DB70" s="63">
        <f ca="1">IFERROR(__xludf.DUMMYFUNCTION("IMPORTRANGE(""https://docs.google.com/spreadsheets/d/1Nn1EvsFPtXldgpgVb3Rcng2K2cls68LFQsBh2FyW0Bg/edit?usp=sharing"",""สระบุรี!J626"")"),0)</f>
        <v>0</v>
      </c>
      <c r="DC70" s="140">
        <f ca="1">IFERROR(__xludf.DUMMYFUNCTION("IMPORTRANGE(""https://docs.google.com/spreadsheets/d/1Nn1EvsFPtXldgpgVb3Rcng2K2cls68LFQsBh2FyW0Bg/edit?usp=sharing"",""สระบุรี!J627"")"),0)</f>
        <v>0</v>
      </c>
    </row>
    <row r="71" spans="1:107" ht="21" customHeight="1" x14ac:dyDescent="0.3">
      <c r="A71" s="54">
        <v>19</v>
      </c>
      <c r="B71" s="55" t="s">
        <v>92</v>
      </c>
      <c r="C71" s="56">
        <f t="shared" ca="1" si="77"/>
        <v>75300</v>
      </c>
      <c r="D71" s="57">
        <f ca="1">IFERROR(__xludf.DUMMYFUNCTION("IMPORTRANGE(""https://docs.google.com/spreadsheets/d/149xufxukrnEciK3WPbNpHwUK8BKEJxp3UcBG3Al6dA4/edit?usp=sharing"",""สิงห์บุรี!L549"")"),75300)</f>
        <v>75300</v>
      </c>
      <c r="E71" s="64">
        <f ca="1">IFERROR(__xludf.DUMMYFUNCTION("IMPORTRANGE(""https://docs.google.com/spreadsheets/d/149xufxukrnEciK3WPbNpHwUK8BKEJxp3UcBG3Al6dA4/edit?usp=sharing"",""สิงห์บุรี!L557"")"),0)</f>
        <v>0</v>
      </c>
      <c r="F71" s="64">
        <f ca="1">IFERROR(__xludf.DUMMYFUNCTION("IMPORTRANGE(""https://docs.google.com/spreadsheets/d/149xufxukrnEciK3WPbNpHwUK8BKEJxp3UcBG3Al6dA4/edit?usp=sharing"",""สิงห์บุรี!M549"")"),75300)</f>
        <v>75300</v>
      </c>
      <c r="G71" s="64">
        <f ca="1">IFERROR(__xludf.DUMMYFUNCTION("IMPORTRANGE(""https://docs.google.com/spreadsheets/d/149xufxukrnEciK3WPbNpHwUK8BKEJxp3UcBG3Al6dA4/edit?usp=sharing"",""สิงห์บุรี!M557"")"),0)</f>
        <v>0</v>
      </c>
      <c r="H71" s="58">
        <f t="shared" ca="1" si="36"/>
        <v>9200</v>
      </c>
      <c r="I71" s="59">
        <f t="shared" ca="1" si="1"/>
        <v>12.217795484727755</v>
      </c>
      <c r="J71" s="60">
        <f t="shared" ca="1" si="78"/>
        <v>9200</v>
      </c>
      <c r="K71" s="61">
        <f t="shared" ca="1" si="44"/>
        <v>12.217795484727755</v>
      </c>
      <c r="L71" s="61">
        <f t="shared" ca="1" si="45"/>
        <v>12.217795484727755</v>
      </c>
      <c r="M71" s="64">
        <f ca="1">IFERROR(__xludf.DUMMYFUNCTION("IMPORTRANGE(""https://docs.google.com/spreadsheets/d/149xufxukrnEciK3WPbNpHwUK8BKEJxp3UcBG3Al6dA4/edit?usp=sharing"",""สิงห์บุรี!N550"")"),0)</f>
        <v>0</v>
      </c>
      <c r="N71" s="64">
        <f ca="1">IFERROR(__xludf.DUMMYFUNCTION("IMPORTRANGE(""https://docs.google.com/spreadsheets/d/149xufxukrnEciK3WPbNpHwUK8BKEJxp3UcBG3Al6dA4/edit?usp=sharing"",""สิงห์บุรี!N551"")"),0)</f>
        <v>0</v>
      </c>
      <c r="O71" s="64">
        <f ca="1">IFERROR(__xludf.DUMMYFUNCTION("IMPORTRANGE(""https://docs.google.com/spreadsheets/d/149xufxukrnEciK3WPbNpHwUK8BKEJxp3UcBG3Al6dA4/edit?usp=sharing"",""สิงห์บุรี!N552"")"),0)</f>
        <v>0</v>
      </c>
      <c r="P71" s="64">
        <f ca="1">IFERROR(__xludf.DUMMYFUNCTION("IMPORTRANGE(""https://docs.google.com/spreadsheets/d/149xufxukrnEciK3WPbNpHwUK8BKEJxp3UcBG3Al6dA4/edit?usp=sharing"",""สิงห์บุรี!N553"")"),9200)</f>
        <v>9200</v>
      </c>
      <c r="Q71" s="64">
        <f ca="1">IFERROR(__xludf.DUMMYFUNCTION("IMPORTRANGE(""https://docs.google.com/spreadsheets/d/149xufxukrnEciK3WPbNpHwUK8BKEJxp3UcBG3Al6dA4/edit?usp=sharing"",""สิงห์บุรี!N554"")"),0)</f>
        <v>0</v>
      </c>
      <c r="R71" s="62">
        <f ca="1">IFERROR(__xludf.DUMMYFUNCTION("IMPORTRANGE(""https://docs.google.com/spreadsheets/d/149xufxukrnEciK3WPbNpHwUK8BKEJxp3UcBG3Al6dA4/edit?usp=sharing"",""สิงห์บุรี!N557"")"),0)</f>
        <v>0</v>
      </c>
      <c r="S71" s="62">
        <f t="shared" ca="1" si="47"/>
        <v>0</v>
      </c>
      <c r="T71" s="57">
        <f ca="1">IFERROR(__xludf.DUMMYFUNCTION("IMPORTRANGE(""https://docs.google.com/spreadsheets/d/149xufxukrnEciK3WPbNpHwUK8BKEJxp3UcBG3Al6dA4/edit?usp=sharing"",""สิงห์บุรี!I560"")"),0)</f>
        <v>0</v>
      </c>
      <c r="U71" s="57">
        <f ca="1">IFERROR(__xludf.DUMMYFUNCTION("IMPORTRANGE(""https://docs.google.com/spreadsheets/d/149xufxukrnEciK3WPbNpHwUK8BKEJxp3UcBG3Al6dA4/edit?usp=sharing"",""สิงห์บุรี!I561"")"),0)</f>
        <v>0</v>
      </c>
      <c r="V71" s="63">
        <f ca="1">IFERROR(__xludf.DUMMYFUNCTION("IMPORTRANGE(""https://docs.google.com/spreadsheets/d/149xufxukrnEciK3WPbNpHwUK8BKEJxp3UcBG3Al6dA4/edit?usp=sharing"",""สิงห์บุรี!J560"")"),0)</f>
        <v>0</v>
      </c>
      <c r="W71" s="63">
        <f t="shared" ca="1" si="37"/>
        <v>0</v>
      </c>
      <c r="X71" s="57">
        <f ca="1">IFERROR(__xludf.DUMMYFUNCTION("IMPORTRANGE(""https://docs.google.com/spreadsheets/d/149xufxukrnEciK3WPbNpHwUK8BKEJxp3UcBG3Al6dA4/edit?usp=sharing"",""สิงห์บุรี!J561"")"),0)</f>
        <v>0</v>
      </c>
      <c r="Y71" s="63">
        <f t="shared" ca="1" si="7"/>
        <v>0</v>
      </c>
      <c r="Z71" s="63">
        <f ca="1">IFERROR(__xludf.DUMMYFUNCTION("IMPORTRANGE(""https://docs.google.com/spreadsheets/d/149xufxukrnEciK3WPbNpHwUK8BKEJxp3UcBG3Al6dA4/edit?usp=sharing"",""สิงห์บุรี!J562"")"),0)</f>
        <v>0</v>
      </c>
      <c r="AA71" s="140">
        <f ca="1">IFERROR(__xludf.DUMMYFUNCTION("IMPORTRANGE(""https://docs.google.com/spreadsheets/d/149xufxukrnEciK3WPbNpHwUK8BKEJxp3UcBG3Al6dA4/edit?usp=sharing"",""สิงห์บุรี!J563"")"),0)</f>
        <v>0</v>
      </c>
      <c r="AB71" s="63">
        <f ca="1">IFERROR(__xludf.DUMMYFUNCTION("IMPORTRANGE(""https://docs.google.com/spreadsheets/d/149xufxukrnEciK3WPbNpHwUK8BKEJxp3UcBG3Al6dA4/edit?usp=sharing"",""สิงห์บุรี!J564"")"),0)</f>
        <v>0</v>
      </c>
      <c r="AC71" s="140">
        <f ca="1">IFERROR(__xludf.DUMMYFUNCTION("IMPORTRANGE(""https://docs.google.com/spreadsheets/d/149xufxukrnEciK3WPbNpHwUK8BKEJxp3UcBG3Al6dA4/edit?usp=sharing"",""สิงห์บุรี!J565"")"),0)</f>
        <v>0</v>
      </c>
      <c r="AD71" s="63">
        <f ca="1">IFERROR(__xludf.DUMMYFUNCTION("IMPORTRANGE(""https://docs.google.com/spreadsheets/d/149xufxukrnEciK3WPbNpHwUK8BKEJxp3UcBG3Al6dA4/edit?usp=sharing"",""สิงห์บุรี!J566"")"),0)</f>
        <v>0</v>
      </c>
      <c r="AE71" s="140">
        <f ca="1">IFERROR(__xludf.DUMMYFUNCTION("IMPORTRANGE(""https://docs.google.com/spreadsheets/d/149xufxukrnEciK3WPbNpHwUK8BKEJxp3UcBG3Al6dA4/edit?usp=sharing"",""สิงห์บุรี!J567"")"),0)</f>
        <v>0</v>
      </c>
      <c r="AF71" s="57">
        <f ca="1">IFERROR(__xludf.DUMMYFUNCTION("IMPORTRANGE(""https://docs.google.com/spreadsheets/d/149xufxukrnEciK3WPbNpHwUK8BKEJxp3UcBG3Al6dA4/edit?usp=sharing"",""สิงห์บุรี!I568"")"),0)</f>
        <v>0</v>
      </c>
      <c r="AG71" s="57">
        <f ca="1">IFERROR(__xludf.DUMMYFUNCTION("IMPORTRANGE(""https://docs.google.com/spreadsheets/d/149xufxukrnEciK3WPbNpHwUK8BKEJxp3UcBG3Al6dA4/edit?usp=sharing"",""สิงห์บุรี!I569"")"),0)</f>
        <v>0</v>
      </c>
      <c r="AH71" s="63">
        <f ca="1">IFERROR(__xludf.DUMMYFUNCTION("IMPORTRANGE(""https://docs.google.com/spreadsheets/d/149xufxukrnEciK3WPbNpHwUK8BKEJxp3UcBG3Al6dA4/edit?usp=sharing"",""สิงห์บุรี!J568"")"),0)</f>
        <v>0</v>
      </c>
      <c r="AI71" s="63">
        <f t="shared" ca="1" si="38"/>
        <v>0</v>
      </c>
      <c r="AJ71" s="57">
        <f ca="1">IFERROR(__xludf.DUMMYFUNCTION("IMPORTRANGE(""https://docs.google.com/spreadsheets/d/149xufxukrnEciK3WPbNpHwUK8BKEJxp3UcBG3Al6dA4/edit?usp=sharing"",""สิงห์บุรี!J569"")"),0)</f>
        <v>0</v>
      </c>
      <c r="AK71" s="63">
        <f t="shared" ca="1" si="10"/>
        <v>0</v>
      </c>
      <c r="AL71" s="63">
        <f ca="1">IFERROR(__xludf.DUMMYFUNCTION("IMPORTRANGE(""https://docs.google.com/spreadsheets/d/149xufxukrnEciK3WPbNpHwUK8BKEJxp3UcBG3Al6dA4/edit?usp=sharing"",""สิงห์บุรี!J570"")"),0)</f>
        <v>0</v>
      </c>
      <c r="AM71" s="140">
        <f ca="1">IFERROR(__xludf.DUMMYFUNCTION("IMPORTRANGE(""https://docs.google.com/spreadsheets/d/149xufxukrnEciK3WPbNpHwUK8BKEJxp3UcBG3Al6dA4/edit?usp=sharing"",""สิงห์บุรี!J571"")"),0)</f>
        <v>0</v>
      </c>
      <c r="AN71" s="63">
        <f ca="1">IFERROR(__xludf.DUMMYFUNCTION("IMPORTRANGE(""https://docs.google.com/spreadsheets/d/149xufxukrnEciK3WPbNpHwUK8BKEJxp3UcBG3Al6dA4/edit?usp=sharing"",""สิงห์บุรี!J572"")"),0)</f>
        <v>0</v>
      </c>
      <c r="AO71" s="140">
        <f ca="1">IFERROR(__xludf.DUMMYFUNCTION("IMPORTRANGE(""https://docs.google.com/spreadsheets/d/149xufxukrnEciK3WPbNpHwUK8BKEJxp3UcBG3Al6dA4/edit?usp=sharing"",""สิงห์บุรี!J573"")"),0)</f>
        <v>0</v>
      </c>
      <c r="AP71" s="63">
        <f ca="1">IFERROR(__xludf.DUMMYFUNCTION("IMPORTRANGE(""https://docs.google.com/spreadsheets/d/149xufxukrnEciK3WPbNpHwUK8BKEJxp3UcBG3Al6dA4/edit?usp=sharing"",""สิงห์บุรี!J574"")"),0)</f>
        <v>0</v>
      </c>
      <c r="AQ71" s="140">
        <f ca="1">IFERROR(__xludf.DUMMYFUNCTION("IMPORTRANGE(""https://docs.google.com/spreadsheets/d/149xufxukrnEciK3WPbNpHwUK8BKEJxp3UcBG3Al6dA4/edit?usp=sharing"",""สิงห์บุรี!J575"")"),0)</f>
        <v>0</v>
      </c>
      <c r="AR71" s="57">
        <f ca="1">IFERROR(__xludf.DUMMYFUNCTION("IMPORTRANGE(""https://docs.google.com/spreadsheets/d/149xufxukrnEciK3WPbNpHwUK8BKEJxp3UcBG3Al6dA4/edit?usp=sharing"",""สิงห์บุรี!I576"")"),0)</f>
        <v>0</v>
      </c>
      <c r="AS71" s="57">
        <f ca="1">IFERROR(__xludf.DUMMYFUNCTION("IMPORTRANGE(""https://docs.google.com/spreadsheets/d/149xufxukrnEciK3WPbNpHwUK8BKEJxp3UcBG3Al6dA4/edit?usp=sharing"",""สิงห์บุรี!I577"")"),0)</f>
        <v>0</v>
      </c>
      <c r="AT71" s="63">
        <f ca="1">IFERROR(__xludf.DUMMYFUNCTION("IMPORTRANGE(""https://docs.google.com/spreadsheets/d/149xufxukrnEciK3WPbNpHwUK8BKEJxp3UcBG3Al6dA4/edit?usp=sharing"",""สิงห์บุรี!J576"")"),0)</f>
        <v>0</v>
      </c>
      <c r="AU71" s="63">
        <f t="shared" ca="1" si="39"/>
        <v>0</v>
      </c>
      <c r="AV71" s="57">
        <f ca="1">IFERROR(__xludf.DUMMYFUNCTION("IMPORTRANGE(""https://docs.google.com/spreadsheets/d/149xufxukrnEciK3WPbNpHwUK8BKEJxp3UcBG3Al6dA4/edit?usp=sharing"",""สิงห์บุรี!J577"")"),0)</f>
        <v>0</v>
      </c>
      <c r="AW71" s="63">
        <f t="shared" ca="1" si="13"/>
        <v>0</v>
      </c>
      <c r="AX71" s="63">
        <f ca="1">IFERROR(__xludf.DUMMYFUNCTION("IMPORTRANGE(""https://docs.google.com/spreadsheets/d/149xufxukrnEciK3WPbNpHwUK8BKEJxp3UcBG3Al6dA4/edit?usp=sharing"",""สิงห์บุรี!J578"")"),0)</f>
        <v>0</v>
      </c>
      <c r="AY71" s="140">
        <f ca="1">IFERROR(__xludf.DUMMYFUNCTION("IMPORTRANGE(""https://docs.google.com/spreadsheets/d/149xufxukrnEciK3WPbNpHwUK8BKEJxp3UcBG3Al6dA4/edit?usp=sharing"",""สิงห์บุรี!J579"")"),0)</f>
        <v>0</v>
      </c>
      <c r="AZ71" s="63">
        <f ca="1">IFERROR(__xludf.DUMMYFUNCTION("IMPORTRANGE(""https://docs.google.com/spreadsheets/d/149xufxukrnEciK3WPbNpHwUK8BKEJxp3UcBG3Al6dA4/edit?usp=sharing"",""สิงห์บุรี!J580"")"),0)</f>
        <v>0</v>
      </c>
      <c r="BA71" s="140">
        <f ca="1">IFERROR(__xludf.DUMMYFUNCTION("IMPORTRANGE(""https://docs.google.com/spreadsheets/d/149xufxukrnEciK3WPbNpHwUK8BKEJxp3UcBG3Al6dA4/edit?usp=sharing"",""สิงห์บุรี!J581"")"),0)</f>
        <v>0</v>
      </c>
      <c r="BB71" s="63">
        <f ca="1">IFERROR(__xludf.DUMMYFUNCTION("IMPORTRANGE(""https://docs.google.com/spreadsheets/d/149xufxukrnEciK3WPbNpHwUK8BKEJxp3UcBG3Al6dA4/edit?usp=sharing"",""สิงห์บุรี!J582"")"),0)</f>
        <v>0</v>
      </c>
      <c r="BC71" s="140">
        <f ca="1">IFERROR(__xludf.DUMMYFUNCTION("IMPORTRANGE(""https://docs.google.com/spreadsheets/d/149xufxukrnEciK3WPbNpHwUK8BKEJxp3UcBG3Al6dA4/edit?usp=sharing"",""สิงห์บุรี!J583"")"),0)</f>
        <v>0</v>
      </c>
      <c r="BD71" s="141">
        <f ca="1">IFERROR(__xludf.DUMMYFUNCTION("IMPORTRANGE(""https://docs.google.com/spreadsheets/d/149xufxukrnEciK3WPbNpHwUK8BKEJxp3UcBG3Al6dA4/edit?usp=sharing"",""สิงห์บุรี!J584"")"),0)</f>
        <v>0</v>
      </c>
      <c r="BE71" s="140">
        <f ca="1">IFERROR(__xludf.DUMMYFUNCTION("IMPORTRANGE(""https://docs.google.com/spreadsheets/d/149xufxukrnEciK3WPbNpHwUK8BKEJxp3UcBG3Al6dA4/edit?usp=sharing"",""สิงห์บุรี!J585"")"),0)</f>
        <v>0</v>
      </c>
      <c r="BF71" s="141">
        <f ca="1">IFERROR(__xludf.DUMMYFUNCTION("IMPORTRANGE(""https://docs.google.com/spreadsheets/d/149xufxukrnEciK3WPbNpHwUK8BKEJxp3UcBG3Al6dA4/edit?usp=sharing"",""สิงห์บุรี!J586"")"),0)</f>
        <v>0</v>
      </c>
      <c r="BG71" s="140">
        <f ca="1">IFERROR(__xludf.DUMMYFUNCTION("IMPORTRANGE(""https://docs.google.com/spreadsheets/d/149xufxukrnEciK3WPbNpHwUK8BKEJxp3UcBG3Al6dA4/edit?usp=sharing"",""สิงห์บุรี!J587"")"),0)</f>
        <v>0</v>
      </c>
      <c r="BH71" s="63">
        <f ca="1">IFERROR(__xludf.DUMMYFUNCTION("IMPORTRANGE(""https://docs.google.com/spreadsheets/d/149xufxukrnEciK3WPbNpHwUK8BKEJxp3UcBG3Al6dA4/edit?usp=sharing"",""สิงห์บุรี!J588"")"),0)</f>
        <v>0</v>
      </c>
      <c r="BI71" s="140">
        <f ca="1">IFERROR(__xludf.DUMMYFUNCTION("IMPORTRANGE(""https://docs.google.com/spreadsheets/d/149xufxukrnEciK3WPbNpHwUK8BKEJxp3UcBG3Al6dA4/edit?usp=sharing"",""สิงห์บุรี!J589"")"),0)</f>
        <v>0</v>
      </c>
      <c r="BJ71" s="63">
        <f ca="1">IFERROR(__xludf.DUMMYFUNCTION("IMPORTRANGE(""https://docs.google.com/spreadsheets/d/149xufxukrnEciK3WPbNpHwUK8BKEJxp3UcBG3Al6dA4/edit?usp=sharing"",""สิงห์บุรี!J590"")"),0)</f>
        <v>0</v>
      </c>
      <c r="BK71" s="140">
        <f ca="1">IFERROR(__xludf.DUMMYFUNCTION("IMPORTRANGE(""https://docs.google.com/spreadsheets/d/149xufxukrnEciK3WPbNpHwUK8BKEJxp3UcBG3Al6dA4/edit?usp=sharing"",""สิงห์บุรี!J591"")"),0)</f>
        <v>0</v>
      </c>
      <c r="BL71" s="57">
        <f ca="1">IFERROR(__xludf.DUMMYFUNCTION("IMPORTRANGE(""https://docs.google.com/spreadsheets/d/149xufxukrnEciK3WPbNpHwUK8BKEJxp3UcBG3Al6dA4/edit?usp=sharing"",""สิงห์บุรี!I593"")"),398.83)</f>
        <v>398.83</v>
      </c>
      <c r="BM71" s="57">
        <f ca="1">IFERROR(__xludf.DUMMYFUNCTION("IMPORTRANGE(""https://docs.google.com/spreadsheets/d/149xufxukrnEciK3WPbNpHwUK8BKEJxp3UcBG3Al6dA4/edit?usp=sharing"",""สิงห์บุรี!I594"")"),31)</f>
        <v>31</v>
      </c>
      <c r="BN71" s="63">
        <f ca="1">IFERROR(__xludf.DUMMYFUNCTION("IMPORTRANGE(""https://docs.google.com/spreadsheets/d/149xufxukrnEciK3WPbNpHwUK8BKEJxp3UcBG3Al6dA4/edit?usp=sharing"",""สิงห์บุรี!J593"")"),0)</f>
        <v>0</v>
      </c>
      <c r="BO71" s="63">
        <f t="shared" ca="1" si="40"/>
        <v>0</v>
      </c>
      <c r="BP71" s="57">
        <f ca="1">IFERROR(__xludf.DUMMYFUNCTION("IMPORTRANGE(""https://docs.google.com/spreadsheets/d/149xufxukrnEciK3WPbNpHwUK8BKEJxp3UcBG3Al6dA4/edit?usp=sharing"",""สิงห์บุรี!J594"")"),0)</f>
        <v>0</v>
      </c>
      <c r="BQ71" s="63">
        <f t="shared" ca="1" si="16"/>
        <v>0</v>
      </c>
      <c r="BR71" s="63">
        <f ca="1">IFERROR(__xludf.DUMMYFUNCTION("IMPORTRANGE(""https://docs.google.com/spreadsheets/d/149xufxukrnEciK3WPbNpHwUK8BKEJxp3UcBG3Al6dA4/edit?usp=sharing"",""สิงห์บุรี!J595"")"),0)</f>
        <v>0</v>
      </c>
      <c r="BS71" s="140">
        <f ca="1">IFERROR(__xludf.DUMMYFUNCTION("IMPORTRANGE(""https://docs.google.com/spreadsheets/d/149xufxukrnEciK3WPbNpHwUK8BKEJxp3UcBG3Al6dA4/edit?usp=sharing"",""สิงห์บุรี!J596"")"),0)</f>
        <v>0</v>
      </c>
      <c r="BT71" s="63">
        <f ca="1">IFERROR(__xludf.DUMMYFUNCTION("IMPORTRANGE(""https://docs.google.com/spreadsheets/d/149xufxukrnEciK3WPbNpHwUK8BKEJxp3UcBG3Al6dA4/edit?usp=sharing"",""สิงห์บุรี!J597"")"),0)</f>
        <v>0</v>
      </c>
      <c r="BU71" s="140">
        <f ca="1">IFERROR(__xludf.DUMMYFUNCTION("IMPORTRANGE(""https://docs.google.com/spreadsheets/d/149xufxukrnEciK3WPbNpHwUK8BKEJxp3UcBG3Al6dA4/edit?usp=sharing"",""สิงห์บุรี!J598"")"),0)</f>
        <v>0</v>
      </c>
      <c r="BV71" s="63">
        <f ca="1">IFERROR(__xludf.DUMMYFUNCTION("IMPORTRANGE(""https://docs.google.com/spreadsheets/d/149xufxukrnEciK3WPbNpHwUK8BKEJxp3UcBG3Al6dA4/edit?usp=sharing"",""สิงห์บุรี!J599"")"),0)</f>
        <v>0</v>
      </c>
      <c r="BW71" s="140">
        <f ca="1">IFERROR(__xludf.DUMMYFUNCTION("IMPORTRANGE(""https://docs.google.com/spreadsheets/d/149xufxukrnEciK3WPbNpHwUK8BKEJxp3UcBG3Al6dA4/edit?usp=sharing"",""สิงห์บุรี!J600"")"),0)</f>
        <v>0</v>
      </c>
      <c r="BX71" s="141">
        <f ca="1">IFERROR(__xludf.DUMMYFUNCTION("IMPORTRANGE(""https://docs.google.com/spreadsheets/d/149xufxukrnEciK3WPbNpHwUK8BKEJxp3UcBG3Al6dA4/edit?usp=sharing"",""สิงห์บุรี!J601"")"),0)</f>
        <v>0</v>
      </c>
      <c r="BY71" s="140">
        <f ca="1">IFERROR(__xludf.DUMMYFUNCTION("IMPORTRANGE(""https://docs.google.com/spreadsheets/d/149xufxukrnEciK3WPbNpHwUK8BKEJxp3UcBG3Al6dA4/edit?usp=sharing"",""สิงห์บุรี!J602"")"),0)</f>
        <v>0</v>
      </c>
      <c r="BZ71" s="63">
        <f ca="1">IFERROR(__xludf.DUMMYFUNCTION("IMPORTRANGE(""https://docs.google.com/spreadsheets/d/149xufxukrnEciK3WPbNpHwUK8BKEJxp3UcBG3Al6dA4/edit?usp=sharing"",""สิงห์บุรี!J603"")"),0)</f>
        <v>0</v>
      </c>
      <c r="CA71" s="140">
        <f ca="1">IFERROR(__xludf.DUMMYFUNCTION("IMPORTRANGE(""https://docs.google.com/spreadsheets/d/149xufxukrnEciK3WPbNpHwUK8BKEJxp3UcBG3Al6dA4/edit?usp=sharing"",""สิงห์บุรี!J604"")"),0)</f>
        <v>0</v>
      </c>
      <c r="CB71" s="63">
        <f ca="1">IFERROR(__xludf.DUMMYFUNCTION("IMPORTRANGE(""https://docs.google.com/spreadsheets/d/149xufxukrnEciK3WPbNpHwUK8BKEJxp3UcBG3Al6dA4/edit?usp=sharing"",""สิงห์บุรี!J605"")"),0)</f>
        <v>0</v>
      </c>
      <c r="CC71" s="140">
        <f ca="1">IFERROR(__xludf.DUMMYFUNCTION("IMPORTRANGE(""https://docs.google.com/spreadsheets/d/149xufxukrnEciK3WPbNpHwUK8BKEJxp3UcBG3Al6dA4/edit?usp=sharing"",""สิงห์บุรี!J606"")"),0)</f>
        <v>0</v>
      </c>
      <c r="CD71" s="63">
        <f ca="1">IFERROR(__xludf.DUMMYFUNCTION("IMPORTRANGE(""https://docs.google.com/spreadsheets/d/149xufxukrnEciK3WPbNpHwUK8BKEJxp3UcBG3Al6dA4/edit?usp=sharing"",""สิงห์บุรี!J607"")"),0)</f>
        <v>0</v>
      </c>
      <c r="CE71" s="140">
        <f ca="1">IFERROR(__xludf.DUMMYFUNCTION("IMPORTRANGE(""https://docs.google.com/spreadsheets/d/149xufxukrnEciK3WPbNpHwUK8BKEJxp3UcBG3Al6dA4/edit?usp=sharing"",""สิงห์บุรี!J608"")"),0)</f>
        <v>0</v>
      </c>
      <c r="CF71" s="63">
        <f ca="1">IFERROR(__xludf.DUMMYFUNCTION("IMPORTRANGE(""https://docs.google.com/spreadsheets/d/149xufxukrnEciK3WPbNpHwUK8BKEJxp3UcBG3Al6dA4/edit?usp=sharing"",""สิงห์บุรี!J609"")"),0)</f>
        <v>0</v>
      </c>
      <c r="CG71" s="140">
        <f ca="1">IFERROR(__xludf.DUMMYFUNCTION("IMPORTRANGE(""https://docs.google.com/spreadsheets/d/149xufxukrnEciK3WPbNpHwUK8BKEJxp3UcBG3Al6dA4/edit?usp=sharing"",""สิงห์บุรี!J610"")"),0)</f>
        <v>0</v>
      </c>
      <c r="CH71" s="140">
        <f ca="1">IFERROR(__xludf.DUMMYFUNCTION("IMPORTRANGE(""https://docs.google.com/spreadsheets/d/149xufxukrnEciK3WPbNpHwUK8BKEJxp3UcBG3Al6dA4/edit?usp=sharing"",""สิงห์บุรี!I612"")"),0)</f>
        <v>0</v>
      </c>
      <c r="CI71" s="140">
        <f ca="1">IFERROR(__xludf.DUMMYFUNCTION("IMPORTRANGE(""https://docs.google.com/spreadsheets/d/149xufxukrnEciK3WPbNpHwUK8BKEJxp3UcBG3Al6dA4/edit?usp=sharing"",""สิงห์บุรี!I594"")"),31)</f>
        <v>31</v>
      </c>
      <c r="CJ71" s="141">
        <f ca="1">IFERROR(__xludf.DUMMYFUNCTION("IMPORTRANGE(""https://docs.google.com/spreadsheets/d/149xufxukrnEciK3WPbNpHwUK8BKEJxp3UcBG3Al6dA4/edit?usp=sharing"",""สิงห์บุรี!J612"")"),0)</f>
        <v>0</v>
      </c>
      <c r="CK71" s="141">
        <f t="shared" ca="1" si="41"/>
        <v>0</v>
      </c>
      <c r="CL71" s="140">
        <f ca="1">IFERROR(__xludf.DUMMYFUNCTION("IMPORTRANGE(""https://docs.google.com/spreadsheets/d/149xufxukrnEciK3WPbNpHwUK8BKEJxp3UcBG3Al6dA4/edit?usp=sharing"",""สิงห์บุรี!J613"")"),0)</f>
        <v>0</v>
      </c>
      <c r="CM71" s="141">
        <f t="shared" ca="1" si="19"/>
        <v>0</v>
      </c>
      <c r="CN71" s="63">
        <f ca="1">IFERROR(__xludf.DUMMYFUNCTION("IMPORTRANGE(""https://docs.google.com/spreadsheets/d/149xufxukrnEciK3WPbNpHwUK8BKEJxp3UcBG3Al6dA4/edit?usp=sharing"",""สิงห์บุรี!J614"")"),0)</f>
        <v>0</v>
      </c>
      <c r="CO71" s="140">
        <f ca="1">IFERROR(__xludf.DUMMYFUNCTION("IMPORTRANGE(""https://docs.google.com/spreadsheets/d/149xufxukrnEciK3WPbNpHwUK8BKEJxp3UcBG3Al6dA4/edit?usp=sharing"",""สิงห์บุรี!J615"")"),0)</f>
        <v>0</v>
      </c>
      <c r="CP71" s="63">
        <f ca="1">IFERROR(__xludf.DUMMYFUNCTION("IMPORTRANGE(""https://docs.google.com/spreadsheets/d/149xufxukrnEciK3WPbNpHwUK8BKEJxp3UcBG3Al6dA4/edit?usp=sharing"",""สิงห์บุรี!J616"")"),0)</f>
        <v>0</v>
      </c>
      <c r="CQ71" s="140">
        <f ca="1">IFERROR(__xludf.DUMMYFUNCTION("IMPORTRANGE(""https://docs.google.com/spreadsheets/d/149xufxukrnEciK3WPbNpHwUK8BKEJxp3UcBG3Al6dA4/edit?usp=sharing"",""สิงห์บุรี!J617"")"),0)</f>
        <v>0</v>
      </c>
      <c r="CR71" s="140">
        <f ca="1">IFERROR(__xludf.DUMMYFUNCTION("IMPORTRANGE(""https://docs.google.com/spreadsheets/d/149xufxukrnEciK3WPbNpHwUK8BKEJxp3UcBG3Al6dA4/edit?usp=sharing"",""สิงห์บุรี!I620"")"),0)</f>
        <v>0</v>
      </c>
      <c r="CS71" s="140">
        <f ca="1">IFERROR(__xludf.DUMMYFUNCTION("IMPORTRANGE(""https://docs.google.com/spreadsheets/d/149xufxukrnEciK3WPbNpHwUK8BKEJxp3UcBG3Al6dA4/edit?usp=sharing"",""สิงห์บุรี!I621"")"),0)</f>
        <v>0</v>
      </c>
      <c r="CT71" s="141">
        <f ca="1">IFERROR(__xludf.DUMMYFUNCTION("IMPORTRANGE(""https://docs.google.com/spreadsheets/d/149xufxukrnEciK3WPbNpHwUK8BKEJxp3UcBG3Al6dA4/edit?usp=sharing"",""สิงห์บุรี!J620"")"),0)</f>
        <v>0</v>
      </c>
      <c r="CU71" s="141">
        <f t="shared" ca="1" si="42"/>
        <v>0</v>
      </c>
      <c r="CV71" s="140">
        <f ca="1">IFERROR(__xludf.DUMMYFUNCTION("IMPORTRANGE(""https://docs.google.com/spreadsheets/d/149xufxukrnEciK3WPbNpHwUK8BKEJxp3UcBG3Al6dA4/edit?usp=sharing"",""สิงห์บุรี!J621"")"),0)</f>
        <v>0</v>
      </c>
      <c r="CW71" s="141">
        <f t="shared" ca="1" si="22"/>
        <v>0</v>
      </c>
      <c r="CX71" s="63">
        <f ca="1">IFERROR(__xludf.DUMMYFUNCTION("IMPORTRANGE(""https://docs.google.com/spreadsheets/d/149xufxukrnEciK3WPbNpHwUK8BKEJxp3UcBG3Al6dA4/edit?usp=sharing"",""สิงห์บุรี!J622"")"),0)</f>
        <v>0</v>
      </c>
      <c r="CY71" s="140">
        <f ca="1">IFERROR(__xludf.DUMMYFUNCTION("IMPORTRANGE(""https://docs.google.com/spreadsheets/d/149xufxukrnEciK3WPbNpHwUK8BKEJxp3UcBG3Al6dA4/edit?usp=sharing"",""สิงห์บุรี!J623"")"),0)</f>
        <v>0</v>
      </c>
      <c r="CZ71" s="63">
        <f ca="1">IFERROR(__xludf.DUMMYFUNCTION("IMPORTRANGE(""https://docs.google.com/spreadsheets/d/149xufxukrnEciK3WPbNpHwUK8BKEJxp3UcBG3Al6dA4/edit?usp=sharing"",""สิงห์บุรี!J624"")"),0)</f>
        <v>0</v>
      </c>
      <c r="DA71" s="140">
        <f ca="1">IFERROR(__xludf.DUMMYFUNCTION("IMPORTRANGE(""https://docs.google.com/spreadsheets/d/149xufxukrnEciK3WPbNpHwUK8BKEJxp3UcBG3Al6dA4/edit?usp=sharing"",""สิงห์บุรี!J625"")"),0)</f>
        <v>0</v>
      </c>
      <c r="DB71" s="63">
        <f ca="1">IFERROR(__xludf.DUMMYFUNCTION("IMPORTRANGE(""https://docs.google.com/spreadsheets/d/149xufxukrnEciK3WPbNpHwUK8BKEJxp3UcBG3Al6dA4/edit?usp=sharing"",""สิงห์บุรี!J626"")"),0)</f>
        <v>0</v>
      </c>
      <c r="DC71" s="140">
        <f ca="1">IFERROR(__xludf.DUMMYFUNCTION("IMPORTRANGE(""https://docs.google.com/spreadsheets/d/149xufxukrnEciK3WPbNpHwUK8BKEJxp3UcBG3Al6dA4/edit?usp=sharing"",""สิงห์บุรี!J627"")"),0)</f>
        <v>0</v>
      </c>
    </row>
    <row r="72" spans="1:107" ht="21" customHeight="1" x14ac:dyDescent="0.3">
      <c r="A72" s="54">
        <v>20</v>
      </c>
      <c r="B72" s="55" t="s">
        <v>93</v>
      </c>
      <c r="C72" s="56">
        <f t="shared" ca="1" si="77"/>
        <v>496730</v>
      </c>
      <c r="D72" s="57">
        <f ca="1">IFERROR(__xludf.DUMMYFUNCTION("IMPORTRANGE(""https://docs.google.com/spreadsheets/d/132g-zJpz2uMKimp17uOIx8A7o3w1Z25zwJyXnwsB56c/edit?usp=sharing"",""สุพรรณบุรี!L549"")"),496730)</f>
        <v>496730</v>
      </c>
      <c r="E72" s="64">
        <f ca="1">IFERROR(__xludf.DUMMYFUNCTION("IMPORTRANGE(""https://docs.google.com/spreadsheets/d/132g-zJpz2uMKimp17uOIx8A7o3w1Z25zwJyXnwsB56c/edit?usp=sharing"",""สุพรรณบุรี!L557"")"),0)</f>
        <v>0</v>
      </c>
      <c r="F72" s="64">
        <f ca="1">IFERROR(__xludf.DUMMYFUNCTION("IMPORTRANGE(""https://docs.google.com/spreadsheets/d/132g-zJpz2uMKimp17uOIx8A7o3w1Z25zwJyXnwsB56c/edit?usp=sharing"",""สุพรรณบุรี!M549"")"),496730)</f>
        <v>496730</v>
      </c>
      <c r="G72" s="64">
        <f ca="1">IFERROR(__xludf.DUMMYFUNCTION("IMPORTRANGE(""https://docs.google.com/spreadsheets/d/132g-zJpz2uMKimp17uOIx8A7o3w1Z25zwJyXnwsB56c/edit?usp=sharing"",""สุพรรณบุรี!M557"")"),0)</f>
        <v>0</v>
      </c>
      <c r="H72" s="58">
        <f t="shared" ca="1" si="36"/>
        <v>257113.45</v>
      </c>
      <c r="I72" s="59">
        <f t="shared" ca="1" si="1"/>
        <v>51.761208302297021</v>
      </c>
      <c r="J72" s="60">
        <f t="shared" ca="1" si="78"/>
        <v>257113.45</v>
      </c>
      <c r="K72" s="61">
        <f t="shared" ca="1" si="44"/>
        <v>51.761208302297021</v>
      </c>
      <c r="L72" s="61">
        <f t="shared" ca="1" si="45"/>
        <v>51.761208302297021</v>
      </c>
      <c r="M72" s="64">
        <f ca="1">IFERROR(__xludf.DUMMYFUNCTION("IMPORTRANGE(""https://docs.google.com/spreadsheets/d/132g-zJpz2uMKimp17uOIx8A7o3w1Z25zwJyXnwsB56c/edit?usp=sharing"",""สุพรรณบุรี!N550"")"),0)</f>
        <v>0</v>
      </c>
      <c r="N72" s="64">
        <f ca="1">IFERROR(__xludf.DUMMYFUNCTION("IMPORTRANGE(""https://docs.google.com/spreadsheets/d/132g-zJpz2uMKimp17uOIx8A7o3w1Z25zwJyXnwsB56c/edit?usp=sharing"",""สุพรรณบุรี!N551"")"),0)</f>
        <v>0</v>
      </c>
      <c r="O72" s="64">
        <f ca="1">IFERROR(__xludf.DUMMYFUNCTION("IMPORTRANGE(""https://docs.google.com/spreadsheets/d/132g-zJpz2uMKimp17uOIx8A7o3w1Z25zwJyXnwsB56c/edit?usp=sharing"",""สุพรรณบุรี!N552"")"),76607)</f>
        <v>76607</v>
      </c>
      <c r="P72" s="64">
        <f ca="1">IFERROR(__xludf.DUMMYFUNCTION("IMPORTRANGE(""https://docs.google.com/spreadsheets/d/132g-zJpz2uMKimp17uOIx8A7o3w1Z25zwJyXnwsB56c/edit?usp=sharing"",""สุพรรณบุรี!N553"")"),180506.45)</f>
        <v>180506.45</v>
      </c>
      <c r="Q72" s="64">
        <f ca="1">IFERROR(__xludf.DUMMYFUNCTION("IMPORTRANGE(""https://docs.google.com/spreadsheets/d/132g-zJpz2uMKimp17uOIx8A7o3w1Z25zwJyXnwsB56c/edit?usp=sharing"",""สุพรรณบุรี!N554"")"),0)</f>
        <v>0</v>
      </c>
      <c r="R72" s="62">
        <f ca="1">IFERROR(__xludf.DUMMYFUNCTION("IMPORTRANGE(""https://docs.google.com/spreadsheets/d/132g-zJpz2uMKimp17uOIx8A7o3w1Z25zwJyXnwsB56c/edit?usp=sharing"",""สุพรรณบุรี!N557"")"),0)</f>
        <v>0</v>
      </c>
      <c r="S72" s="62">
        <f t="shared" ca="1" si="47"/>
        <v>0</v>
      </c>
      <c r="T72" s="57">
        <f ca="1">IFERROR(__xludf.DUMMYFUNCTION("IMPORTRANGE(""https://docs.google.com/spreadsheets/d/132g-zJpz2uMKimp17uOIx8A7o3w1Z25zwJyXnwsB56c/edit?usp=sharing"",""สุพรรณบุรี!I560"")"),14728)</f>
        <v>14728</v>
      </c>
      <c r="U72" s="57">
        <f ca="1">IFERROR(__xludf.DUMMYFUNCTION("IMPORTRANGE(""https://docs.google.com/spreadsheets/d/132g-zJpz2uMKimp17uOIx8A7o3w1Z25zwJyXnwsB56c/edit?usp=sharing"",""สุพรรณบุรี!I561"")"),1477)</f>
        <v>1477</v>
      </c>
      <c r="V72" s="63">
        <f ca="1">IFERROR(__xludf.DUMMYFUNCTION("IMPORTRANGE(""https://docs.google.com/spreadsheets/d/132g-zJpz2uMKimp17uOIx8A7o3w1Z25zwJyXnwsB56c/edit?usp=sharing"",""สุพรรณบุรี!J560"")"),14728)</f>
        <v>14728</v>
      </c>
      <c r="W72" s="63">
        <f t="shared" ca="1" si="37"/>
        <v>100</v>
      </c>
      <c r="X72" s="57">
        <f ca="1">IFERROR(__xludf.DUMMYFUNCTION("IMPORTRANGE(""https://docs.google.com/spreadsheets/d/132g-zJpz2uMKimp17uOIx8A7o3w1Z25zwJyXnwsB56c/edit?usp=sharing"",""สุพรรณบุรี!J561"")"),1477)</f>
        <v>1477</v>
      </c>
      <c r="Y72" s="63">
        <f t="shared" ca="1" si="7"/>
        <v>100</v>
      </c>
      <c r="Z72" s="63">
        <f ca="1">IFERROR(__xludf.DUMMYFUNCTION("IMPORTRANGE(""https://docs.google.com/spreadsheets/d/132g-zJpz2uMKimp17uOIx8A7o3w1Z25zwJyXnwsB56c/edit?usp=sharing"",""สุพรรณบุรี!J562"")"),10728)</f>
        <v>10728</v>
      </c>
      <c r="AA72" s="140">
        <f ca="1">IFERROR(__xludf.DUMMYFUNCTION("IMPORTRANGE(""https://docs.google.com/spreadsheets/d/132g-zJpz2uMKimp17uOIx8A7o3w1Z25zwJyXnwsB56c/edit?usp=sharing"",""สุพรรณบุรี!J563"")"),1128)</f>
        <v>1128</v>
      </c>
      <c r="AB72" s="63">
        <f ca="1">IFERROR(__xludf.DUMMYFUNCTION("IMPORTRANGE(""https://docs.google.com/spreadsheets/d/132g-zJpz2uMKimp17uOIx8A7o3w1Z25zwJyXnwsB56c/edit?usp=sharing"",""สุพรรณบุรี!J564"")"),3628)</f>
        <v>3628</v>
      </c>
      <c r="AC72" s="140">
        <f ca="1">IFERROR(__xludf.DUMMYFUNCTION("IMPORTRANGE(""https://docs.google.com/spreadsheets/d/132g-zJpz2uMKimp17uOIx8A7o3w1Z25zwJyXnwsB56c/edit?usp=sharing"",""สุพรรณบุรี!J565"")"),318)</f>
        <v>318</v>
      </c>
      <c r="AD72" s="63">
        <f ca="1">IFERROR(__xludf.DUMMYFUNCTION("IMPORTRANGE(""https://docs.google.com/spreadsheets/d/132g-zJpz2uMKimp17uOIx8A7o3w1Z25zwJyXnwsB56c/edit?usp=sharing"",""สุพรรณบุรี!J566"")"),372)</f>
        <v>372</v>
      </c>
      <c r="AE72" s="140">
        <f ca="1">IFERROR(__xludf.DUMMYFUNCTION("IMPORTRANGE(""https://docs.google.com/spreadsheets/d/132g-zJpz2uMKimp17uOIx8A7o3w1Z25zwJyXnwsB56c/edit?usp=sharing"",""สุพรรณบุรี!J567"")"),31)</f>
        <v>31</v>
      </c>
      <c r="AF72" s="57">
        <f ca="1">IFERROR(__xludf.DUMMYFUNCTION("IMPORTRANGE(""https://docs.google.com/spreadsheets/d/132g-zJpz2uMKimp17uOIx8A7o3w1Z25zwJyXnwsB56c/edit?usp=sharing"",""สุพรรณบุรี!I568"")"),14728)</f>
        <v>14728</v>
      </c>
      <c r="AG72" s="57">
        <f ca="1">IFERROR(__xludf.DUMMYFUNCTION("IMPORTRANGE(""https://docs.google.com/spreadsheets/d/132g-zJpz2uMKimp17uOIx8A7o3w1Z25zwJyXnwsB56c/edit?usp=sharing"",""สุพรรณบุรี!I569"")"),1477)</f>
        <v>1477</v>
      </c>
      <c r="AH72" s="63">
        <f ca="1">IFERROR(__xludf.DUMMYFUNCTION("IMPORTRANGE(""https://docs.google.com/spreadsheets/d/132g-zJpz2uMKimp17uOIx8A7o3w1Z25zwJyXnwsB56c/edit?usp=sharing"",""สุพรรณบุรี!J568"")"),14728)</f>
        <v>14728</v>
      </c>
      <c r="AI72" s="63">
        <f t="shared" ca="1" si="38"/>
        <v>100</v>
      </c>
      <c r="AJ72" s="57">
        <f ca="1">IFERROR(__xludf.DUMMYFUNCTION("IMPORTRANGE(""https://docs.google.com/spreadsheets/d/132g-zJpz2uMKimp17uOIx8A7o3w1Z25zwJyXnwsB56c/edit?usp=sharing"",""สุพรรณบุรี!J569"")"),1477)</f>
        <v>1477</v>
      </c>
      <c r="AK72" s="63">
        <f t="shared" ca="1" si="10"/>
        <v>100</v>
      </c>
      <c r="AL72" s="63">
        <f ca="1">IFERROR(__xludf.DUMMYFUNCTION("IMPORTRANGE(""https://docs.google.com/spreadsheets/d/132g-zJpz2uMKimp17uOIx8A7o3w1Z25zwJyXnwsB56c/edit?usp=sharing"",""สุพรรณบุรี!J570"")"),11223)</f>
        <v>11223</v>
      </c>
      <c r="AM72" s="140">
        <f ca="1">IFERROR(__xludf.DUMMYFUNCTION("IMPORTRANGE(""https://docs.google.com/spreadsheets/d/132g-zJpz2uMKimp17uOIx8A7o3w1Z25zwJyXnwsB56c/edit?usp=sharing"",""สุพรรณบุรี!J571"")"),1173)</f>
        <v>1173</v>
      </c>
      <c r="AN72" s="63">
        <f ca="1">IFERROR(__xludf.DUMMYFUNCTION("IMPORTRANGE(""https://docs.google.com/spreadsheets/d/132g-zJpz2uMKimp17uOIx8A7o3w1Z25zwJyXnwsB56c/edit?usp=sharing"",""สุพรรณบุรี!J572"")"),2745)</f>
        <v>2745</v>
      </c>
      <c r="AO72" s="140">
        <f ca="1">IFERROR(__xludf.DUMMYFUNCTION("IMPORTRANGE(""https://docs.google.com/spreadsheets/d/132g-zJpz2uMKimp17uOIx8A7o3w1Z25zwJyXnwsB56c/edit?usp=sharing"",""สุพรรณบุรี!J573"")"),242)</f>
        <v>242</v>
      </c>
      <c r="AP72" s="63">
        <f ca="1">IFERROR(__xludf.DUMMYFUNCTION("IMPORTRANGE(""https://docs.google.com/spreadsheets/d/132g-zJpz2uMKimp17uOIx8A7o3w1Z25zwJyXnwsB56c/edit?usp=sharing"",""สุพรรณบุรี!J574"")"),760)</f>
        <v>760</v>
      </c>
      <c r="AQ72" s="140">
        <f ca="1">IFERROR(__xludf.DUMMYFUNCTION("IMPORTRANGE(""https://docs.google.com/spreadsheets/d/132g-zJpz2uMKimp17uOIx8A7o3w1Z25zwJyXnwsB56c/edit?usp=sharing"",""สุพรรณบุรี!J575"")"),62)</f>
        <v>62</v>
      </c>
      <c r="AR72" s="57">
        <f ca="1">IFERROR(__xludf.DUMMYFUNCTION("IMPORTRANGE(""https://docs.google.com/spreadsheets/d/132g-zJpz2uMKimp17uOIx8A7o3w1Z25zwJyXnwsB56c/edit?usp=sharing"",""สุพรรณบุรี!I576"")"),14728)</f>
        <v>14728</v>
      </c>
      <c r="AS72" s="57">
        <f ca="1">IFERROR(__xludf.DUMMYFUNCTION("IMPORTRANGE(""https://docs.google.com/spreadsheets/d/132g-zJpz2uMKimp17uOIx8A7o3w1Z25zwJyXnwsB56c/edit?usp=sharing"",""สุพรรณบุรี!I577"")"),1477)</f>
        <v>1477</v>
      </c>
      <c r="AT72" s="63">
        <f ca="1">IFERROR(__xludf.DUMMYFUNCTION("IMPORTRANGE(""https://docs.google.com/spreadsheets/d/132g-zJpz2uMKimp17uOIx8A7o3w1Z25zwJyXnwsB56c/edit?usp=sharing"",""สุพรรณบุรี!J576"")"),14728)</f>
        <v>14728</v>
      </c>
      <c r="AU72" s="63">
        <f t="shared" ca="1" si="39"/>
        <v>100</v>
      </c>
      <c r="AV72" s="57">
        <f ca="1">IFERROR(__xludf.DUMMYFUNCTION("IMPORTRANGE(""https://docs.google.com/spreadsheets/d/132g-zJpz2uMKimp17uOIx8A7o3w1Z25zwJyXnwsB56c/edit?usp=sharing"",""สุพรรณบุรี!J577"")"),1477)</f>
        <v>1477</v>
      </c>
      <c r="AW72" s="63">
        <f t="shared" ca="1" si="13"/>
        <v>100</v>
      </c>
      <c r="AX72" s="63">
        <f ca="1">IFERROR(__xludf.DUMMYFUNCTION("IMPORTRANGE(""https://docs.google.com/spreadsheets/d/132g-zJpz2uMKimp17uOIx8A7o3w1Z25zwJyXnwsB56c/edit?usp=sharing"",""สุพรรณบุรี!J578"")"),11223)</f>
        <v>11223</v>
      </c>
      <c r="AY72" s="140">
        <f ca="1">IFERROR(__xludf.DUMMYFUNCTION("IMPORTRANGE(""https://docs.google.com/spreadsheets/d/132g-zJpz2uMKimp17uOIx8A7o3w1Z25zwJyXnwsB56c/edit?usp=sharing"",""สุพรรณบุรี!J579"")"),1173)</f>
        <v>1173</v>
      </c>
      <c r="AZ72" s="63">
        <f ca="1">IFERROR(__xludf.DUMMYFUNCTION("IMPORTRANGE(""https://docs.google.com/spreadsheets/d/132g-zJpz2uMKimp17uOIx8A7o3w1Z25zwJyXnwsB56c/edit?usp=sharing"",""สุพรรณบุรี!J580"")"),2745)</f>
        <v>2745</v>
      </c>
      <c r="BA72" s="140">
        <f ca="1">IFERROR(__xludf.DUMMYFUNCTION("IMPORTRANGE(""https://docs.google.com/spreadsheets/d/132g-zJpz2uMKimp17uOIx8A7o3w1Z25zwJyXnwsB56c/edit?usp=sharing"",""สุพรรณบุรี!J581"")"),242)</f>
        <v>242</v>
      </c>
      <c r="BB72" s="63">
        <f ca="1">IFERROR(__xludf.DUMMYFUNCTION("IMPORTRANGE(""https://docs.google.com/spreadsheets/d/132g-zJpz2uMKimp17uOIx8A7o3w1Z25zwJyXnwsB56c/edit?usp=sharing"",""สุพรรณบุรี!J582"")"),760)</f>
        <v>760</v>
      </c>
      <c r="BC72" s="140">
        <f ca="1">IFERROR(__xludf.DUMMYFUNCTION("IMPORTRANGE(""https://docs.google.com/spreadsheets/d/132g-zJpz2uMKimp17uOIx8A7o3w1Z25zwJyXnwsB56c/edit?usp=sharing"",""สุพรรณบุรี!J583"")"),62)</f>
        <v>62</v>
      </c>
      <c r="BD72" s="141">
        <f ca="1">IFERROR(__xludf.DUMMYFUNCTION("IMPORTRANGE(""https://docs.google.com/spreadsheets/d/132g-zJpz2uMKimp17uOIx8A7o3w1Z25zwJyXnwsB56c/edit?usp=sharing"",""สุพรรณบุรี!J584"")"),760)</f>
        <v>760</v>
      </c>
      <c r="BE72" s="140">
        <f ca="1">IFERROR(__xludf.DUMMYFUNCTION("IMPORTRANGE(""https://docs.google.com/spreadsheets/d/132g-zJpz2uMKimp17uOIx8A7o3w1Z25zwJyXnwsB56c/edit?usp=sharing"",""สุพรรณบุรี!J585"")"),62)</f>
        <v>62</v>
      </c>
      <c r="BF72" s="141">
        <f ca="1">IFERROR(__xludf.DUMMYFUNCTION("IMPORTRANGE(""https://docs.google.com/spreadsheets/d/132g-zJpz2uMKimp17uOIx8A7o3w1Z25zwJyXnwsB56c/edit?usp=sharing"",""สุพรรณบุรี!J586"")"),0)</f>
        <v>0</v>
      </c>
      <c r="BG72" s="140">
        <f ca="1">IFERROR(__xludf.DUMMYFUNCTION("IMPORTRANGE(""https://docs.google.com/spreadsheets/d/132g-zJpz2uMKimp17uOIx8A7o3w1Z25zwJyXnwsB56c/edit?usp=sharing"",""สุพรรณบุรี!J587"")"),0)</f>
        <v>0</v>
      </c>
      <c r="BH72" s="63">
        <f ca="1">IFERROR(__xludf.DUMMYFUNCTION("IMPORTRANGE(""https://docs.google.com/spreadsheets/d/132g-zJpz2uMKimp17uOIx8A7o3w1Z25zwJyXnwsB56c/edit?usp=sharing"",""สุพรรณบุรี!J588"")"),0)</f>
        <v>0</v>
      </c>
      <c r="BI72" s="140">
        <f ca="1">IFERROR(__xludf.DUMMYFUNCTION("IMPORTRANGE(""https://docs.google.com/spreadsheets/d/132g-zJpz2uMKimp17uOIx8A7o3w1Z25zwJyXnwsB56c/edit?usp=sharing"",""สุพรรณบุรี!J589"")"),0)</f>
        <v>0</v>
      </c>
      <c r="BJ72" s="63">
        <f ca="1">IFERROR(__xludf.DUMMYFUNCTION("IMPORTRANGE(""https://docs.google.com/spreadsheets/d/132g-zJpz2uMKimp17uOIx8A7o3w1Z25zwJyXnwsB56c/edit?usp=sharing"",""สุพรรณบุรี!J590"")"),0)</f>
        <v>0</v>
      </c>
      <c r="BK72" s="140">
        <f ca="1">IFERROR(__xludf.DUMMYFUNCTION("IMPORTRANGE(""https://docs.google.com/spreadsheets/d/132g-zJpz2uMKimp17uOIx8A7o3w1Z25zwJyXnwsB56c/edit?usp=sharing"",""สุพรรณบุรี!J591"")"),0)</f>
        <v>0</v>
      </c>
      <c r="BL72" s="57">
        <f ca="1">IFERROR(__xludf.DUMMYFUNCTION("IMPORTRANGE(""https://docs.google.com/spreadsheets/d/132g-zJpz2uMKimp17uOIx8A7o3w1Z25zwJyXnwsB56c/edit?usp=sharing"",""สุพรรณบุรี!I593"")"),4157.69)</f>
        <v>4157.6899999999996</v>
      </c>
      <c r="BM72" s="57">
        <f ca="1">IFERROR(__xludf.DUMMYFUNCTION("IMPORTRANGE(""https://docs.google.com/spreadsheets/d/132g-zJpz2uMKimp17uOIx8A7o3w1Z25zwJyXnwsB56c/edit?usp=sharing"",""สุพรรณบุรี!I594"")"),489)</f>
        <v>489</v>
      </c>
      <c r="BN72" s="63">
        <f ca="1">IFERROR(__xludf.DUMMYFUNCTION("IMPORTRANGE(""https://docs.google.com/spreadsheets/d/132g-zJpz2uMKimp17uOIx8A7o3w1Z25zwJyXnwsB56c/edit?usp=sharing"",""สุพรรณบุรี!J593"")"),663)</f>
        <v>663</v>
      </c>
      <c r="BO72" s="63">
        <f t="shared" ca="1" si="40"/>
        <v>15.946354826838943</v>
      </c>
      <c r="BP72" s="57">
        <f ca="1">IFERROR(__xludf.DUMMYFUNCTION("IMPORTRANGE(""https://docs.google.com/spreadsheets/d/132g-zJpz2uMKimp17uOIx8A7o3w1Z25zwJyXnwsB56c/edit?usp=sharing"",""สุพรรณบุรี!J594"")"),76)</f>
        <v>76</v>
      </c>
      <c r="BQ72" s="63">
        <f t="shared" ca="1" si="16"/>
        <v>15.541922290388548</v>
      </c>
      <c r="BR72" s="63">
        <f ca="1">IFERROR(__xludf.DUMMYFUNCTION("IMPORTRANGE(""https://docs.google.com/spreadsheets/d/132g-zJpz2uMKimp17uOIx8A7o3w1Z25zwJyXnwsB56c/edit?usp=sharing"",""สุพรรณบุรี!J595"")"),663)</f>
        <v>663</v>
      </c>
      <c r="BS72" s="140">
        <f ca="1">IFERROR(__xludf.DUMMYFUNCTION("IMPORTRANGE(""https://docs.google.com/spreadsheets/d/132g-zJpz2uMKimp17uOIx8A7o3w1Z25zwJyXnwsB56c/edit?usp=sharing"",""สุพรรณบุรี!J596"")"),76)</f>
        <v>76</v>
      </c>
      <c r="BT72" s="63">
        <f ca="1">IFERROR(__xludf.DUMMYFUNCTION("IMPORTRANGE(""https://docs.google.com/spreadsheets/d/132g-zJpz2uMKimp17uOIx8A7o3w1Z25zwJyXnwsB56c/edit?usp=sharing"",""สุพรรณบุรี!J597"")"),613)</f>
        <v>613</v>
      </c>
      <c r="BU72" s="140">
        <f ca="1">IFERROR(__xludf.DUMMYFUNCTION("IMPORTRANGE(""https://docs.google.com/spreadsheets/d/132g-zJpz2uMKimp17uOIx8A7o3w1Z25zwJyXnwsB56c/edit?usp=sharing"",""สุพรรณบุรี!J598"")"),71)</f>
        <v>71</v>
      </c>
      <c r="BV72" s="63">
        <f ca="1">IFERROR(__xludf.DUMMYFUNCTION("IMPORTRANGE(""https://docs.google.com/spreadsheets/d/132g-zJpz2uMKimp17uOIx8A7o3w1Z25zwJyXnwsB56c/edit?usp=sharing"",""สุพรรณบุรี!J599"")"),50)</f>
        <v>50</v>
      </c>
      <c r="BW72" s="140">
        <f ca="1">IFERROR(__xludf.DUMMYFUNCTION("IMPORTRANGE(""https://docs.google.com/spreadsheets/d/132g-zJpz2uMKimp17uOIx8A7o3w1Z25zwJyXnwsB56c/edit?usp=sharing"",""สุพรรณบุรี!J600"")"),5)</f>
        <v>5</v>
      </c>
      <c r="BX72" s="141">
        <f ca="1">IFERROR(__xludf.DUMMYFUNCTION("IMPORTRANGE(""https://docs.google.com/spreadsheets/d/132g-zJpz2uMKimp17uOIx8A7o3w1Z25zwJyXnwsB56c/edit?usp=sharing"",""สุพรรณบุรี!J601"")"),0)</f>
        <v>0</v>
      </c>
      <c r="BY72" s="140">
        <f ca="1">IFERROR(__xludf.DUMMYFUNCTION("IMPORTRANGE(""https://docs.google.com/spreadsheets/d/132g-zJpz2uMKimp17uOIx8A7o3w1Z25zwJyXnwsB56c/edit?usp=sharing"",""สุพรรณบุรี!J602"")"),0)</f>
        <v>0</v>
      </c>
      <c r="BZ72" s="63">
        <f ca="1">IFERROR(__xludf.DUMMYFUNCTION("IMPORTRANGE(""https://docs.google.com/spreadsheets/d/132g-zJpz2uMKimp17uOIx8A7o3w1Z25zwJyXnwsB56c/edit?usp=sharing"",""สุพรรณบุรี!J603"")"),0)</f>
        <v>0</v>
      </c>
      <c r="CA72" s="140">
        <f ca="1">IFERROR(__xludf.DUMMYFUNCTION("IMPORTRANGE(""https://docs.google.com/spreadsheets/d/132g-zJpz2uMKimp17uOIx8A7o3w1Z25zwJyXnwsB56c/edit?usp=sharing"",""สุพรรณบุรี!J604"")"),0)</f>
        <v>0</v>
      </c>
      <c r="CB72" s="63">
        <f ca="1">IFERROR(__xludf.DUMMYFUNCTION("IMPORTRANGE(""https://docs.google.com/spreadsheets/d/132g-zJpz2uMKimp17uOIx8A7o3w1Z25zwJyXnwsB56c/edit?usp=sharing"",""สุพรรณบุรี!J605"")"),0)</f>
        <v>0</v>
      </c>
      <c r="CC72" s="140">
        <f ca="1">IFERROR(__xludf.DUMMYFUNCTION("IMPORTRANGE(""https://docs.google.com/spreadsheets/d/132g-zJpz2uMKimp17uOIx8A7o3w1Z25zwJyXnwsB56c/edit?usp=sharing"",""สุพรรณบุรี!J606"")"),0)</f>
        <v>0</v>
      </c>
      <c r="CD72" s="63">
        <f ca="1">IFERROR(__xludf.DUMMYFUNCTION("IMPORTRANGE(""https://docs.google.com/spreadsheets/d/132g-zJpz2uMKimp17uOIx8A7o3w1Z25zwJyXnwsB56c/edit?usp=sharing"",""สุพรรณบุรี!J607"")"),0)</f>
        <v>0</v>
      </c>
      <c r="CE72" s="140">
        <f ca="1">IFERROR(__xludf.DUMMYFUNCTION("IMPORTRANGE(""https://docs.google.com/spreadsheets/d/132g-zJpz2uMKimp17uOIx8A7o3w1Z25zwJyXnwsB56c/edit?usp=sharing"",""สุพรรณบุรี!J608"")"),0)</f>
        <v>0</v>
      </c>
      <c r="CF72" s="63">
        <f ca="1">IFERROR(__xludf.DUMMYFUNCTION("IMPORTRANGE(""https://docs.google.com/spreadsheets/d/132g-zJpz2uMKimp17uOIx8A7o3w1Z25zwJyXnwsB56c/edit?usp=sharing"",""สุพรรณบุรี!J609"")"),0)</f>
        <v>0</v>
      </c>
      <c r="CG72" s="140">
        <f ca="1">IFERROR(__xludf.DUMMYFUNCTION("IMPORTRANGE(""https://docs.google.com/spreadsheets/d/132g-zJpz2uMKimp17uOIx8A7o3w1Z25zwJyXnwsB56c/edit?usp=sharing"",""สุพรรณบุรี!J610"")"),0)</f>
        <v>0</v>
      </c>
      <c r="CH72" s="140">
        <f ca="1">IFERROR(__xludf.DUMMYFUNCTION("IMPORTRANGE(""https://docs.google.com/spreadsheets/d/132g-zJpz2uMKimp17uOIx8A7o3w1Z25zwJyXnwsB56c/edit?usp=sharing"",""สุพรรณบุรี!I612"")"),0)</f>
        <v>0</v>
      </c>
      <c r="CI72" s="140">
        <f ca="1">IFERROR(__xludf.DUMMYFUNCTION("IMPORTRANGE(""https://docs.google.com/spreadsheets/d/132g-zJpz2uMKimp17uOIx8A7o3w1Z25zwJyXnwsB56c/edit?usp=sharing"",""สุพรรณบุรี!I594"")"),489)</f>
        <v>489</v>
      </c>
      <c r="CJ72" s="141">
        <f ca="1">IFERROR(__xludf.DUMMYFUNCTION("IMPORTRANGE(""https://docs.google.com/spreadsheets/d/132g-zJpz2uMKimp17uOIx8A7o3w1Z25zwJyXnwsB56c/edit?usp=sharing"",""สุพรรณบุรี!J612"")"),0)</f>
        <v>0</v>
      </c>
      <c r="CK72" s="141">
        <f t="shared" ca="1" si="41"/>
        <v>0</v>
      </c>
      <c r="CL72" s="140">
        <f ca="1">IFERROR(__xludf.DUMMYFUNCTION("IMPORTRANGE(""https://docs.google.com/spreadsheets/d/132g-zJpz2uMKimp17uOIx8A7o3w1Z25zwJyXnwsB56c/edit?usp=sharing"",""สุพรรณบุรี!J613"")"),0)</f>
        <v>0</v>
      </c>
      <c r="CM72" s="141">
        <f t="shared" ca="1" si="19"/>
        <v>0</v>
      </c>
      <c r="CN72" s="63">
        <f ca="1">IFERROR(__xludf.DUMMYFUNCTION("IMPORTRANGE(""https://docs.google.com/spreadsheets/d/132g-zJpz2uMKimp17uOIx8A7o3w1Z25zwJyXnwsB56c/edit?usp=sharing"",""สุพรรณบุรี!J614"")"),0)</f>
        <v>0</v>
      </c>
      <c r="CO72" s="140">
        <f ca="1">IFERROR(__xludf.DUMMYFUNCTION("IMPORTRANGE(""https://docs.google.com/spreadsheets/d/132g-zJpz2uMKimp17uOIx8A7o3w1Z25zwJyXnwsB56c/edit?usp=sharing"",""สุพรรณบุรี!J615"")"),0)</f>
        <v>0</v>
      </c>
      <c r="CP72" s="63">
        <f ca="1">IFERROR(__xludf.DUMMYFUNCTION("IMPORTRANGE(""https://docs.google.com/spreadsheets/d/132g-zJpz2uMKimp17uOIx8A7o3w1Z25zwJyXnwsB56c/edit?usp=sharing"",""สุพรรณบุรี!J616"")"),0)</f>
        <v>0</v>
      </c>
      <c r="CQ72" s="140">
        <f ca="1">IFERROR(__xludf.DUMMYFUNCTION("IMPORTRANGE(""https://docs.google.com/spreadsheets/d/132g-zJpz2uMKimp17uOIx8A7o3w1Z25zwJyXnwsB56c/edit?usp=sharing"",""สุพรรณบุรี!J617"")"),0)</f>
        <v>0</v>
      </c>
      <c r="CR72" s="140">
        <f ca="1">IFERROR(__xludf.DUMMYFUNCTION("IMPORTRANGE(""https://docs.google.com/spreadsheets/d/132g-zJpz2uMKimp17uOIx8A7o3w1Z25zwJyXnwsB56c/edit?usp=sharing"",""สุพรรณบุรี!I620"")"),8)</f>
        <v>8</v>
      </c>
      <c r="CS72" s="140">
        <f ca="1">IFERROR(__xludf.DUMMYFUNCTION("IMPORTRANGE(""https://docs.google.com/spreadsheets/d/132g-zJpz2uMKimp17uOIx8A7o3w1Z25zwJyXnwsB56c/edit?usp=sharing"",""สุพรรณบุรี!I621"")"),3)</f>
        <v>3</v>
      </c>
      <c r="CT72" s="141">
        <f ca="1">IFERROR(__xludf.DUMMYFUNCTION("IMPORTRANGE(""https://docs.google.com/spreadsheets/d/132g-zJpz2uMKimp17uOIx8A7o3w1Z25zwJyXnwsB56c/edit?usp=sharing"",""สุพรรณบุรี!J620"")"),0)</f>
        <v>0</v>
      </c>
      <c r="CU72" s="141">
        <f t="shared" ca="1" si="42"/>
        <v>0</v>
      </c>
      <c r="CV72" s="140">
        <f ca="1">IFERROR(__xludf.DUMMYFUNCTION("IMPORTRANGE(""https://docs.google.com/spreadsheets/d/132g-zJpz2uMKimp17uOIx8A7o3w1Z25zwJyXnwsB56c/edit?usp=sharing"",""สุพรรณบุรี!J621"")"),0)</f>
        <v>0</v>
      </c>
      <c r="CW72" s="141">
        <f t="shared" ca="1" si="22"/>
        <v>0</v>
      </c>
      <c r="CX72" s="63">
        <f ca="1">IFERROR(__xludf.DUMMYFUNCTION("IMPORTRANGE(""https://docs.google.com/spreadsheets/d/132g-zJpz2uMKimp17uOIx8A7o3w1Z25zwJyXnwsB56c/edit?usp=sharing"",""สุพรรณบุรี!J622"")"),0)</f>
        <v>0</v>
      </c>
      <c r="CY72" s="140">
        <f ca="1">IFERROR(__xludf.DUMMYFUNCTION("IMPORTRANGE(""https://docs.google.com/spreadsheets/d/132g-zJpz2uMKimp17uOIx8A7o3w1Z25zwJyXnwsB56c/edit?usp=sharing"",""สุพรรณบุรี!J623"")"),0)</f>
        <v>0</v>
      </c>
      <c r="CZ72" s="63">
        <f ca="1">IFERROR(__xludf.DUMMYFUNCTION("IMPORTRANGE(""https://docs.google.com/spreadsheets/d/132g-zJpz2uMKimp17uOIx8A7o3w1Z25zwJyXnwsB56c/edit?usp=sharing"",""สุพรรณบุรี!J624"")"),0)</f>
        <v>0</v>
      </c>
      <c r="DA72" s="140">
        <f ca="1">IFERROR(__xludf.DUMMYFUNCTION("IMPORTRANGE(""https://docs.google.com/spreadsheets/d/132g-zJpz2uMKimp17uOIx8A7o3w1Z25zwJyXnwsB56c/edit?usp=sharing"",""สุพรรณบุรี!J625"")"),0)</f>
        <v>0</v>
      </c>
      <c r="DB72" s="63">
        <f ca="1">IFERROR(__xludf.DUMMYFUNCTION("IMPORTRANGE(""https://docs.google.com/spreadsheets/d/132g-zJpz2uMKimp17uOIx8A7o3w1Z25zwJyXnwsB56c/edit?usp=sharing"",""สุพรรณบุรี!J626"")"),0)</f>
        <v>0</v>
      </c>
      <c r="DC72" s="140">
        <f ca="1">IFERROR(__xludf.DUMMYFUNCTION("IMPORTRANGE(""https://docs.google.com/spreadsheets/d/132g-zJpz2uMKimp17uOIx8A7o3w1Z25zwJyXnwsB56c/edit?usp=sharing"",""สุพรรณบุรี!J627"")"),0)</f>
        <v>0</v>
      </c>
    </row>
    <row r="73" spans="1:107" ht="21" customHeight="1" x14ac:dyDescent="0.3">
      <c r="A73" s="65">
        <v>21</v>
      </c>
      <c r="B73" s="66" t="s">
        <v>94</v>
      </c>
      <c r="C73" s="67">
        <f t="shared" ca="1" si="77"/>
        <v>85200</v>
      </c>
      <c r="D73" s="68">
        <f ca="1">IFERROR(__xludf.DUMMYFUNCTION("IMPORTRANGE(""https://docs.google.com/spreadsheets/d/12Q_U0nVnFdxDFwa0pej9xvx8ZvLC9Dpi_vRro_aiG5g/edit?usp=sharing"",""อ่างทอง!L549"")"),85200)</f>
        <v>85200</v>
      </c>
      <c r="E73" s="69">
        <f ca="1">IFERROR(__xludf.DUMMYFUNCTION("IMPORTRANGE(""https://docs.google.com/spreadsheets/d/12Q_U0nVnFdxDFwa0pej9xvx8ZvLC9Dpi_vRro_aiG5g/edit?usp=sharing"",""อ่างทอง!L557"")"),0)</f>
        <v>0</v>
      </c>
      <c r="F73" s="69">
        <f ca="1">IFERROR(__xludf.DUMMYFUNCTION("IMPORTRANGE(""https://docs.google.com/spreadsheets/d/12Q_U0nVnFdxDFwa0pej9xvx8ZvLC9Dpi_vRro_aiG5g/edit?usp=sharing"",""อ่างทอง!M549"")"),85200)</f>
        <v>85200</v>
      </c>
      <c r="G73" s="69">
        <f ca="1">IFERROR(__xludf.DUMMYFUNCTION("IMPORTRANGE(""https://docs.google.com/spreadsheets/d/12Q_U0nVnFdxDFwa0pej9xvx8ZvLC9Dpi_vRro_aiG5g/edit?usp=sharing"",""อ่างทอง!M557"")"),0)</f>
        <v>0</v>
      </c>
      <c r="H73" s="70">
        <f t="shared" ca="1" si="36"/>
        <v>0</v>
      </c>
      <c r="I73" s="71">
        <f t="shared" ca="1" si="1"/>
        <v>0</v>
      </c>
      <c r="J73" s="72">
        <f t="shared" ca="1" si="78"/>
        <v>0</v>
      </c>
      <c r="K73" s="73">
        <f t="shared" ca="1" si="44"/>
        <v>0</v>
      </c>
      <c r="L73" s="73">
        <f t="shared" ca="1" si="45"/>
        <v>0</v>
      </c>
      <c r="M73" s="69">
        <f ca="1">IFERROR(__xludf.DUMMYFUNCTION("IMPORTRANGE(""https://docs.google.com/spreadsheets/d/12Q_U0nVnFdxDFwa0pej9xvx8ZvLC9Dpi_vRro_aiG5g/edit?usp=sharing"",""อ่างทอง!N550"")"),0)</f>
        <v>0</v>
      </c>
      <c r="N73" s="69">
        <f ca="1">IFERROR(__xludf.DUMMYFUNCTION("IMPORTRANGE(""https://docs.google.com/spreadsheets/d/12Q_U0nVnFdxDFwa0pej9xvx8ZvLC9Dpi_vRro_aiG5g/edit?usp=sharing"",""อ่างทอง!N551"")"),0)</f>
        <v>0</v>
      </c>
      <c r="O73" s="69">
        <f ca="1">IFERROR(__xludf.DUMMYFUNCTION("IMPORTRANGE(""https://docs.google.com/spreadsheets/d/12Q_U0nVnFdxDFwa0pej9xvx8ZvLC9Dpi_vRro_aiG5g/edit?usp=sharing"",""อ่างทอง!N552"")"),0)</f>
        <v>0</v>
      </c>
      <c r="P73" s="69">
        <f ca="1">IFERROR(__xludf.DUMMYFUNCTION("IMPORTRANGE(""https://docs.google.com/spreadsheets/d/12Q_U0nVnFdxDFwa0pej9xvx8ZvLC9Dpi_vRro_aiG5g/edit?usp=sharing"",""อ่างทอง!N553"")"),0)</f>
        <v>0</v>
      </c>
      <c r="Q73" s="69">
        <f ca="1">IFERROR(__xludf.DUMMYFUNCTION("IMPORTRANGE(""https://docs.google.com/spreadsheets/d/12Q_U0nVnFdxDFwa0pej9xvx8ZvLC9Dpi_vRro_aiG5g/edit?usp=sharing"",""อ่างทอง!N554"")"),0)</f>
        <v>0</v>
      </c>
      <c r="R73" s="74">
        <f ca="1">IFERROR(__xludf.DUMMYFUNCTION("IMPORTRANGE(""https://docs.google.com/spreadsheets/d/12Q_U0nVnFdxDFwa0pej9xvx8ZvLC9Dpi_vRro_aiG5g/edit?usp=sharing"",""อ่างทอง!N557"")"),0)</f>
        <v>0</v>
      </c>
      <c r="S73" s="74">
        <f t="shared" ca="1" si="47"/>
        <v>0</v>
      </c>
      <c r="T73" s="68">
        <f ca="1">IFERROR(__xludf.DUMMYFUNCTION("IMPORTRANGE(""https://docs.google.com/spreadsheets/d/12Q_U0nVnFdxDFwa0pej9xvx8ZvLC9Dpi_vRro_aiG5g/edit?usp=sharing"",""อ่างทอง!I560"")"),0)</f>
        <v>0</v>
      </c>
      <c r="U73" s="68">
        <f ca="1">IFERROR(__xludf.DUMMYFUNCTION("IMPORTRANGE(""https://docs.google.com/spreadsheets/d/12Q_U0nVnFdxDFwa0pej9xvx8ZvLC9Dpi_vRro_aiG5g/edit?usp=sharing"",""อ่างทอง!I561"")"),0)</f>
        <v>0</v>
      </c>
      <c r="V73" s="75">
        <f ca="1">IFERROR(__xludf.DUMMYFUNCTION("IMPORTRANGE(""https://docs.google.com/spreadsheets/d/12Q_U0nVnFdxDFwa0pej9xvx8ZvLC9Dpi_vRro_aiG5g/edit?usp=sharing"",""อ่างทอง!J560"")"),0)</f>
        <v>0</v>
      </c>
      <c r="W73" s="75">
        <f t="shared" ca="1" si="37"/>
        <v>0</v>
      </c>
      <c r="X73" s="68">
        <f ca="1">IFERROR(__xludf.DUMMYFUNCTION("IMPORTRANGE(""https://docs.google.com/spreadsheets/d/12Q_U0nVnFdxDFwa0pej9xvx8ZvLC9Dpi_vRro_aiG5g/edit?usp=sharing"",""อ่างทอง!J561"")"),0)</f>
        <v>0</v>
      </c>
      <c r="Y73" s="75">
        <f t="shared" ca="1" si="7"/>
        <v>0</v>
      </c>
      <c r="Z73" s="75">
        <f ca="1">IFERROR(__xludf.DUMMYFUNCTION("IMPORTRANGE(""https://docs.google.com/spreadsheets/d/12Q_U0nVnFdxDFwa0pej9xvx8ZvLC9Dpi_vRro_aiG5g/edit?usp=sharing"",""อ่างทอง!J562"")"),0)</f>
        <v>0</v>
      </c>
      <c r="AA73" s="142">
        <f ca="1">IFERROR(__xludf.DUMMYFUNCTION("IMPORTRANGE(""https://docs.google.com/spreadsheets/d/12Q_U0nVnFdxDFwa0pej9xvx8ZvLC9Dpi_vRro_aiG5g/edit?usp=sharing"",""อ่างทอง!J563"")"),0)</f>
        <v>0</v>
      </c>
      <c r="AB73" s="75">
        <f ca="1">IFERROR(__xludf.DUMMYFUNCTION("IMPORTRANGE(""https://docs.google.com/spreadsheets/d/12Q_U0nVnFdxDFwa0pej9xvx8ZvLC9Dpi_vRro_aiG5g/edit?usp=sharing"",""อ่างทอง!J564"")"),0)</f>
        <v>0</v>
      </c>
      <c r="AC73" s="142">
        <f ca="1">IFERROR(__xludf.DUMMYFUNCTION("IMPORTRANGE(""https://docs.google.com/spreadsheets/d/12Q_U0nVnFdxDFwa0pej9xvx8ZvLC9Dpi_vRro_aiG5g/edit?usp=sharing"",""อ่างทอง!J565"")"),0)</f>
        <v>0</v>
      </c>
      <c r="AD73" s="75">
        <f ca="1">IFERROR(__xludf.DUMMYFUNCTION("IMPORTRANGE(""https://docs.google.com/spreadsheets/d/12Q_U0nVnFdxDFwa0pej9xvx8ZvLC9Dpi_vRro_aiG5g/edit?usp=sharing"",""อ่างทอง!J566"")"),0)</f>
        <v>0</v>
      </c>
      <c r="AE73" s="142">
        <f ca="1">IFERROR(__xludf.DUMMYFUNCTION("IMPORTRANGE(""https://docs.google.com/spreadsheets/d/12Q_U0nVnFdxDFwa0pej9xvx8ZvLC9Dpi_vRro_aiG5g/edit?usp=sharing"",""อ่างทอง!J567"")"),0)</f>
        <v>0</v>
      </c>
      <c r="AF73" s="68">
        <f ca="1">IFERROR(__xludf.DUMMYFUNCTION("IMPORTRANGE(""https://docs.google.com/spreadsheets/d/12Q_U0nVnFdxDFwa0pej9xvx8ZvLC9Dpi_vRro_aiG5g/edit?usp=sharing"",""อ่างทอง!I568"")"),0)</f>
        <v>0</v>
      </c>
      <c r="AG73" s="68">
        <f ca="1">IFERROR(__xludf.DUMMYFUNCTION("IMPORTRANGE(""https://docs.google.com/spreadsheets/d/12Q_U0nVnFdxDFwa0pej9xvx8ZvLC9Dpi_vRro_aiG5g/edit?usp=sharing"",""อ่างทอง!I569"")"),0)</f>
        <v>0</v>
      </c>
      <c r="AH73" s="75">
        <f ca="1">IFERROR(__xludf.DUMMYFUNCTION("IMPORTRANGE(""https://docs.google.com/spreadsheets/d/12Q_U0nVnFdxDFwa0pej9xvx8ZvLC9Dpi_vRro_aiG5g/edit?usp=sharing"",""อ่างทอง!J568"")"),0)</f>
        <v>0</v>
      </c>
      <c r="AI73" s="75">
        <f t="shared" ca="1" si="38"/>
        <v>0</v>
      </c>
      <c r="AJ73" s="68">
        <f ca="1">IFERROR(__xludf.DUMMYFUNCTION("IMPORTRANGE(""https://docs.google.com/spreadsheets/d/12Q_U0nVnFdxDFwa0pej9xvx8ZvLC9Dpi_vRro_aiG5g/edit?usp=sharing"",""อ่างทอง!J569"")"),0)</f>
        <v>0</v>
      </c>
      <c r="AK73" s="75">
        <f t="shared" ca="1" si="10"/>
        <v>0</v>
      </c>
      <c r="AL73" s="75">
        <f ca="1">IFERROR(__xludf.DUMMYFUNCTION("IMPORTRANGE(""https://docs.google.com/spreadsheets/d/12Q_U0nVnFdxDFwa0pej9xvx8ZvLC9Dpi_vRro_aiG5g/edit?usp=sharing"",""อ่างทอง!J570"")"),0)</f>
        <v>0</v>
      </c>
      <c r="AM73" s="142">
        <f ca="1">IFERROR(__xludf.DUMMYFUNCTION("IMPORTRANGE(""https://docs.google.com/spreadsheets/d/12Q_U0nVnFdxDFwa0pej9xvx8ZvLC9Dpi_vRro_aiG5g/edit?usp=sharing"",""อ่างทอง!J571"")"),0)</f>
        <v>0</v>
      </c>
      <c r="AN73" s="75">
        <f ca="1">IFERROR(__xludf.DUMMYFUNCTION("IMPORTRANGE(""https://docs.google.com/spreadsheets/d/12Q_U0nVnFdxDFwa0pej9xvx8ZvLC9Dpi_vRro_aiG5g/edit?usp=sharing"",""อ่างทอง!J572"")"),0)</f>
        <v>0</v>
      </c>
      <c r="AO73" s="142">
        <f ca="1">IFERROR(__xludf.DUMMYFUNCTION("IMPORTRANGE(""https://docs.google.com/spreadsheets/d/12Q_U0nVnFdxDFwa0pej9xvx8ZvLC9Dpi_vRro_aiG5g/edit?usp=sharing"",""อ่างทอง!J573"")"),0)</f>
        <v>0</v>
      </c>
      <c r="AP73" s="75">
        <f ca="1">IFERROR(__xludf.DUMMYFUNCTION("IMPORTRANGE(""https://docs.google.com/spreadsheets/d/12Q_U0nVnFdxDFwa0pej9xvx8ZvLC9Dpi_vRro_aiG5g/edit?usp=sharing"",""อ่างทอง!J574"")"),0)</f>
        <v>0</v>
      </c>
      <c r="AQ73" s="142">
        <f ca="1">IFERROR(__xludf.DUMMYFUNCTION("IMPORTRANGE(""https://docs.google.com/spreadsheets/d/12Q_U0nVnFdxDFwa0pej9xvx8ZvLC9Dpi_vRro_aiG5g/edit?usp=sharing"",""อ่างทอง!J575"")"),0)</f>
        <v>0</v>
      </c>
      <c r="AR73" s="68">
        <f ca="1">IFERROR(__xludf.DUMMYFUNCTION("IMPORTRANGE(""https://docs.google.com/spreadsheets/d/12Q_U0nVnFdxDFwa0pej9xvx8ZvLC9Dpi_vRro_aiG5g/edit?usp=sharing"",""อ่างทอง!I576"")"),0)</f>
        <v>0</v>
      </c>
      <c r="AS73" s="68">
        <f ca="1">IFERROR(__xludf.DUMMYFUNCTION("IMPORTRANGE(""https://docs.google.com/spreadsheets/d/12Q_U0nVnFdxDFwa0pej9xvx8ZvLC9Dpi_vRro_aiG5g/edit?usp=sharing"",""อ่างทอง!I577"")"),0)</f>
        <v>0</v>
      </c>
      <c r="AT73" s="75">
        <f ca="1">IFERROR(__xludf.DUMMYFUNCTION("IMPORTRANGE(""https://docs.google.com/spreadsheets/d/12Q_U0nVnFdxDFwa0pej9xvx8ZvLC9Dpi_vRro_aiG5g/edit?usp=sharing"",""อ่างทอง!J576"")"),0)</f>
        <v>0</v>
      </c>
      <c r="AU73" s="75">
        <f t="shared" ca="1" si="39"/>
        <v>0</v>
      </c>
      <c r="AV73" s="68">
        <f ca="1">IFERROR(__xludf.DUMMYFUNCTION("IMPORTRANGE(""https://docs.google.com/spreadsheets/d/12Q_U0nVnFdxDFwa0pej9xvx8ZvLC9Dpi_vRro_aiG5g/edit?usp=sharing"",""อ่างทอง!J577"")"),0)</f>
        <v>0</v>
      </c>
      <c r="AW73" s="75">
        <f t="shared" ca="1" si="13"/>
        <v>0</v>
      </c>
      <c r="AX73" s="75">
        <f ca="1">IFERROR(__xludf.DUMMYFUNCTION("IMPORTRANGE(""https://docs.google.com/spreadsheets/d/12Q_U0nVnFdxDFwa0pej9xvx8ZvLC9Dpi_vRro_aiG5g/edit?usp=sharing"",""อ่างทอง!J578"")"),0)</f>
        <v>0</v>
      </c>
      <c r="AY73" s="142">
        <f ca="1">IFERROR(__xludf.DUMMYFUNCTION("IMPORTRANGE(""https://docs.google.com/spreadsheets/d/12Q_U0nVnFdxDFwa0pej9xvx8ZvLC9Dpi_vRro_aiG5g/edit?usp=sharing"",""อ่างทอง!J579"")"),0)</f>
        <v>0</v>
      </c>
      <c r="AZ73" s="75">
        <f ca="1">IFERROR(__xludf.DUMMYFUNCTION("IMPORTRANGE(""https://docs.google.com/spreadsheets/d/12Q_U0nVnFdxDFwa0pej9xvx8ZvLC9Dpi_vRro_aiG5g/edit?usp=sharing"",""อ่างทอง!J580"")"),0)</f>
        <v>0</v>
      </c>
      <c r="BA73" s="142">
        <f ca="1">IFERROR(__xludf.DUMMYFUNCTION("IMPORTRANGE(""https://docs.google.com/spreadsheets/d/12Q_U0nVnFdxDFwa0pej9xvx8ZvLC9Dpi_vRro_aiG5g/edit?usp=sharing"",""อ่างทอง!J581"")"),0)</f>
        <v>0</v>
      </c>
      <c r="BB73" s="75">
        <f ca="1">IFERROR(__xludf.DUMMYFUNCTION("IMPORTRANGE(""https://docs.google.com/spreadsheets/d/12Q_U0nVnFdxDFwa0pej9xvx8ZvLC9Dpi_vRro_aiG5g/edit?usp=sharing"",""อ่างทอง!J582"")"),0)</f>
        <v>0</v>
      </c>
      <c r="BC73" s="142">
        <f ca="1">IFERROR(__xludf.DUMMYFUNCTION("IMPORTRANGE(""https://docs.google.com/spreadsheets/d/12Q_U0nVnFdxDFwa0pej9xvx8ZvLC9Dpi_vRro_aiG5g/edit?usp=sharing"",""อ่างทอง!J583"")"),0)</f>
        <v>0</v>
      </c>
      <c r="BD73" s="143">
        <f ca="1">IFERROR(__xludf.DUMMYFUNCTION("IMPORTRANGE(""https://docs.google.com/spreadsheets/d/12Q_U0nVnFdxDFwa0pej9xvx8ZvLC9Dpi_vRro_aiG5g/edit?usp=sharing"",""อ่างทอง!J584"")"),0)</f>
        <v>0</v>
      </c>
      <c r="BE73" s="142">
        <f ca="1">IFERROR(__xludf.DUMMYFUNCTION("IMPORTRANGE(""https://docs.google.com/spreadsheets/d/12Q_U0nVnFdxDFwa0pej9xvx8ZvLC9Dpi_vRro_aiG5g/edit?usp=sharing"",""อ่างทอง!J585"")"),0)</f>
        <v>0</v>
      </c>
      <c r="BF73" s="143">
        <f ca="1">IFERROR(__xludf.DUMMYFUNCTION("IMPORTRANGE(""https://docs.google.com/spreadsheets/d/12Q_U0nVnFdxDFwa0pej9xvx8ZvLC9Dpi_vRro_aiG5g/edit?usp=sharing"",""อ่างทอง!J586"")"),0)</f>
        <v>0</v>
      </c>
      <c r="BG73" s="142">
        <f ca="1">IFERROR(__xludf.DUMMYFUNCTION("IMPORTRANGE(""https://docs.google.com/spreadsheets/d/12Q_U0nVnFdxDFwa0pej9xvx8ZvLC9Dpi_vRro_aiG5g/edit?usp=sharing"",""อ่างทอง!J587"")"),0)</f>
        <v>0</v>
      </c>
      <c r="BH73" s="75">
        <f ca="1">IFERROR(__xludf.DUMMYFUNCTION("IMPORTRANGE(""https://docs.google.com/spreadsheets/d/12Q_U0nVnFdxDFwa0pej9xvx8ZvLC9Dpi_vRro_aiG5g/edit?usp=sharing"",""อ่างทอง!J588"")"),0)</f>
        <v>0</v>
      </c>
      <c r="BI73" s="142">
        <f ca="1">IFERROR(__xludf.DUMMYFUNCTION("IMPORTRANGE(""https://docs.google.com/spreadsheets/d/12Q_U0nVnFdxDFwa0pej9xvx8ZvLC9Dpi_vRro_aiG5g/edit?usp=sharing"",""อ่างทอง!J589"")"),0)</f>
        <v>0</v>
      </c>
      <c r="BJ73" s="75">
        <f ca="1">IFERROR(__xludf.DUMMYFUNCTION("IMPORTRANGE(""https://docs.google.com/spreadsheets/d/12Q_U0nVnFdxDFwa0pej9xvx8ZvLC9Dpi_vRro_aiG5g/edit?usp=sharing"",""อ่างทอง!J590"")"),0)</f>
        <v>0</v>
      </c>
      <c r="BK73" s="142">
        <f ca="1">IFERROR(__xludf.DUMMYFUNCTION("IMPORTRANGE(""https://docs.google.com/spreadsheets/d/12Q_U0nVnFdxDFwa0pej9xvx8ZvLC9Dpi_vRro_aiG5g/edit?usp=sharing"",""อ่างทอง!J591"")"),0)</f>
        <v>0</v>
      </c>
      <c r="BL73" s="68">
        <f ca="1">IFERROR(__xludf.DUMMYFUNCTION("IMPORTRANGE(""https://docs.google.com/spreadsheets/d/12Q_U0nVnFdxDFwa0pej9xvx8ZvLC9Dpi_vRro_aiG5g/edit?usp=sharing"",""อ่างทอง!I593"")"),258.67)</f>
        <v>258.67</v>
      </c>
      <c r="BM73" s="68">
        <f ca="1">IFERROR(__xludf.DUMMYFUNCTION("IMPORTRANGE(""https://docs.google.com/spreadsheets/d/12Q_U0nVnFdxDFwa0pej9xvx8ZvLC9Dpi_vRro_aiG5g/edit?usp=sharing"",""อ่างทอง!I594"")"),64)</f>
        <v>64</v>
      </c>
      <c r="BN73" s="75">
        <f ca="1">IFERROR(__xludf.DUMMYFUNCTION("IMPORTRANGE(""https://docs.google.com/spreadsheets/d/12Q_U0nVnFdxDFwa0pej9xvx8ZvLC9Dpi_vRro_aiG5g/edit?usp=sharing"",""อ่างทอง!J593"")"),258.67)</f>
        <v>258.67</v>
      </c>
      <c r="BO73" s="75">
        <f t="shared" ca="1" si="40"/>
        <v>100</v>
      </c>
      <c r="BP73" s="68">
        <f ca="1">IFERROR(__xludf.DUMMYFUNCTION("IMPORTRANGE(""https://docs.google.com/spreadsheets/d/12Q_U0nVnFdxDFwa0pej9xvx8ZvLC9Dpi_vRro_aiG5g/edit?usp=sharing"",""อ่างทอง!J594"")"),0)</f>
        <v>0</v>
      </c>
      <c r="BQ73" s="75">
        <f t="shared" ca="1" si="16"/>
        <v>0</v>
      </c>
      <c r="BR73" s="75">
        <f ca="1">IFERROR(__xludf.DUMMYFUNCTION("IMPORTRANGE(""https://docs.google.com/spreadsheets/d/12Q_U0nVnFdxDFwa0pej9xvx8ZvLC9Dpi_vRro_aiG5g/edit?usp=sharing"",""อ่างทอง!J595"")"),258.67)</f>
        <v>258.67</v>
      </c>
      <c r="BS73" s="142">
        <f ca="1">IFERROR(__xludf.DUMMYFUNCTION("IMPORTRANGE(""https://docs.google.com/spreadsheets/d/12Q_U0nVnFdxDFwa0pej9xvx8ZvLC9Dpi_vRro_aiG5g/edit?usp=sharing"",""อ่างทอง!J596"")"),0)</f>
        <v>0</v>
      </c>
      <c r="BT73" s="75">
        <f ca="1">IFERROR(__xludf.DUMMYFUNCTION("IMPORTRANGE(""https://docs.google.com/spreadsheets/d/12Q_U0nVnFdxDFwa0pej9xvx8ZvLC9Dpi_vRro_aiG5g/edit?usp=sharing"",""อ่างทอง!J597"")"),258.67)</f>
        <v>258.67</v>
      </c>
      <c r="BU73" s="142">
        <f ca="1">IFERROR(__xludf.DUMMYFUNCTION("IMPORTRANGE(""https://docs.google.com/spreadsheets/d/12Q_U0nVnFdxDFwa0pej9xvx8ZvLC9Dpi_vRro_aiG5g/edit?usp=sharing"",""อ่างทอง!J598"")"),0)</f>
        <v>0</v>
      </c>
      <c r="BV73" s="75">
        <f ca="1">IFERROR(__xludf.DUMMYFUNCTION("IMPORTRANGE(""https://docs.google.com/spreadsheets/d/12Q_U0nVnFdxDFwa0pej9xvx8ZvLC9Dpi_vRro_aiG5g/edit?usp=sharing"",""อ่างทอง!J599"")"),0)</f>
        <v>0</v>
      </c>
      <c r="BW73" s="142">
        <f ca="1">IFERROR(__xludf.DUMMYFUNCTION("IMPORTRANGE(""https://docs.google.com/spreadsheets/d/12Q_U0nVnFdxDFwa0pej9xvx8ZvLC9Dpi_vRro_aiG5g/edit?usp=sharing"",""อ่างทอง!J600"")"),0)</f>
        <v>0</v>
      </c>
      <c r="BX73" s="143">
        <f ca="1">IFERROR(__xludf.DUMMYFUNCTION("IMPORTRANGE(""https://docs.google.com/spreadsheets/d/12Q_U0nVnFdxDFwa0pej9xvx8ZvLC9Dpi_vRro_aiG5g/edit?usp=sharing"",""อ่างทอง!J601"")"),0)</f>
        <v>0</v>
      </c>
      <c r="BY73" s="142">
        <f ca="1">IFERROR(__xludf.DUMMYFUNCTION("IMPORTRANGE(""https://docs.google.com/spreadsheets/d/12Q_U0nVnFdxDFwa0pej9xvx8ZvLC9Dpi_vRro_aiG5g/edit?usp=sharing"",""อ่างทอง!J602"")"),0)</f>
        <v>0</v>
      </c>
      <c r="BZ73" s="75">
        <f ca="1">IFERROR(__xludf.DUMMYFUNCTION("IMPORTRANGE(""https://docs.google.com/spreadsheets/d/12Q_U0nVnFdxDFwa0pej9xvx8ZvLC9Dpi_vRro_aiG5g/edit?usp=sharing"",""อ่างทอง!J603"")"),0)</f>
        <v>0</v>
      </c>
      <c r="CA73" s="142">
        <f ca="1">IFERROR(__xludf.DUMMYFUNCTION("IMPORTRANGE(""https://docs.google.com/spreadsheets/d/12Q_U0nVnFdxDFwa0pej9xvx8ZvLC9Dpi_vRro_aiG5g/edit?usp=sharing"",""อ่างทอง!J604"")"),0)</f>
        <v>0</v>
      </c>
      <c r="CB73" s="75">
        <f ca="1">IFERROR(__xludf.DUMMYFUNCTION("IMPORTRANGE(""https://docs.google.com/spreadsheets/d/12Q_U0nVnFdxDFwa0pej9xvx8ZvLC9Dpi_vRro_aiG5g/edit?usp=sharing"",""อ่างทอง!J605"")"),0)</f>
        <v>0</v>
      </c>
      <c r="CC73" s="142">
        <f ca="1">IFERROR(__xludf.DUMMYFUNCTION("IMPORTRANGE(""https://docs.google.com/spreadsheets/d/12Q_U0nVnFdxDFwa0pej9xvx8ZvLC9Dpi_vRro_aiG5g/edit?usp=sharing"",""อ่างทอง!J606"")"),0)</f>
        <v>0</v>
      </c>
      <c r="CD73" s="75">
        <f ca="1">IFERROR(__xludf.DUMMYFUNCTION("IMPORTRANGE(""https://docs.google.com/spreadsheets/d/12Q_U0nVnFdxDFwa0pej9xvx8ZvLC9Dpi_vRro_aiG5g/edit?usp=sharing"",""อ่างทอง!J607"")"),0)</f>
        <v>0</v>
      </c>
      <c r="CE73" s="142">
        <f ca="1">IFERROR(__xludf.DUMMYFUNCTION("IMPORTRANGE(""https://docs.google.com/spreadsheets/d/12Q_U0nVnFdxDFwa0pej9xvx8ZvLC9Dpi_vRro_aiG5g/edit?usp=sharing"",""อ่างทอง!J608"")"),0)</f>
        <v>0</v>
      </c>
      <c r="CF73" s="75">
        <f ca="1">IFERROR(__xludf.DUMMYFUNCTION("IMPORTRANGE(""https://docs.google.com/spreadsheets/d/12Q_U0nVnFdxDFwa0pej9xvx8ZvLC9Dpi_vRro_aiG5g/edit?usp=sharing"",""อ่างทอง!J609"")"),0)</f>
        <v>0</v>
      </c>
      <c r="CG73" s="142">
        <f ca="1">IFERROR(__xludf.DUMMYFUNCTION("IMPORTRANGE(""https://docs.google.com/spreadsheets/d/12Q_U0nVnFdxDFwa0pej9xvx8ZvLC9Dpi_vRro_aiG5g/edit?usp=sharing"",""อ่างทอง!J610"")"),0)</f>
        <v>0</v>
      </c>
      <c r="CH73" s="142">
        <f ca="1">IFERROR(__xludf.DUMMYFUNCTION("IMPORTRANGE(""https://docs.google.com/spreadsheets/d/12Q_U0nVnFdxDFwa0pej9xvx8ZvLC9Dpi_vRro_aiG5g/edit?usp=sharing"",""อ่างทอง!I612"")"),0)</f>
        <v>0</v>
      </c>
      <c r="CI73" s="142">
        <f ca="1">IFERROR(__xludf.DUMMYFUNCTION("IMPORTRANGE(""https://docs.google.com/spreadsheets/d/12Q_U0nVnFdxDFwa0pej9xvx8ZvLC9Dpi_vRro_aiG5g/edit?usp=sharing"",""อ่างทอง!I594"")"),64)</f>
        <v>64</v>
      </c>
      <c r="CJ73" s="143">
        <f ca="1">IFERROR(__xludf.DUMMYFUNCTION("IMPORTRANGE(""https://docs.google.com/spreadsheets/d/12Q_U0nVnFdxDFwa0pej9xvx8ZvLC9Dpi_vRro_aiG5g/edit?usp=sharing"",""อ่างทอง!J612"")"),0)</f>
        <v>0</v>
      </c>
      <c r="CK73" s="143">
        <f t="shared" ca="1" si="41"/>
        <v>0</v>
      </c>
      <c r="CL73" s="142">
        <f ca="1">IFERROR(__xludf.DUMMYFUNCTION("IMPORTRANGE(""https://docs.google.com/spreadsheets/d/12Q_U0nVnFdxDFwa0pej9xvx8ZvLC9Dpi_vRro_aiG5g/edit?usp=sharing"",""อ่างทอง!J613"")"),0)</f>
        <v>0</v>
      </c>
      <c r="CM73" s="143">
        <f t="shared" ca="1" si="19"/>
        <v>0</v>
      </c>
      <c r="CN73" s="75">
        <f ca="1">IFERROR(__xludf.DUMMYFUNCTION("IMPORTRANGE(""https://docs.google.com/spreadsheets/d/12Q_U0nVnFdxDFwa0pej9xvx8ZvLC9Dpi_vRro_aiG5g/edit?usp=sharing"",""อ่างทอง!J614"")"),0)</f>
        <v>0</v>
      </c>
      <c r="CO73" s="142">
        <f ca="1">IFERROR(__xludf.DUMMYFUNCTION("IMPORTRANGE(""https://docs.google.com/spreadsheets/d/12Q_U0nVnFdxDFwa0pej9xvx8ZvLC9Dpi_vRro_aiG5g/edit?usp=sharing"",""อ่างทอง!J615"")"),0)</f>
        <v>0</v>
      </c>
      <c r="CP73" s="75">
        <f ca="1">IFERROR(__xludf.DUMMYFUNCTION("IMPORTRANGE(""https://docs.google.com/spreadsheets/d/12Q_U0nVnFdxDFwa0pej9xvx8ZvLC9Dpi_vRro_aiG5g/edit?usp=sharing"",""อ่างทอง!J616"")"),0)</f>
        <v>0</v>
      </c>
      <c r="CQ73" s="142">
        <f ca="1">IFERROR(__xludf.DUMMYFUNCTION("IMPORTRANGE(""https://docs.google.com/spreadsheets/d/12Q_U0nVnFdxDFwa0pej9xvx8ZvLC9Dpi_vRro_aiG5g/edit?usp=sharing"",""อ่างทอง!J617"")"),0)</f>
        <v>0</v>
      </c>
      <c r="CR73" s="142">
        <f ca="1">IFERROR(__xludf.DUMMYFUNCTION("IMPORTRANGE(""https://docs.google.com/spreadsheets/d/12Q_U0nVnFdxDFwa0pej9xvx8ZvLC9Dpi_vRro_aiG5g/edit?usp=sharing"",""อ่างทอง!I620"")"),0)</f>
        <v>0</v>
      </c>
      <c r="CS73" s="142">
        <f ca="1">IFERROR(__xludf.DUMMYFUNCTION("IMPORTRANGE(""https://docs.google.com/spreadsheets/d/12Q_U0nVnFdxDFwa0pej9xvx8ZvLC9Dpi_vRro_aiG5g/edit?usp=sharing"",""อ่างทอง!I621"")"),0)</f>
        <v>0</v>
      </c>
      <c r="CT73" s="143">
        <f ca="1">IFERROR(__xludf.DUMMYFUNCTION("IMPORTRANGE(""https://docs.google.com/spreadsheets/d/12Q_U0nVnFdxDFwa0pej9xvx8ZvLC9Dpi_vRro_aiG5g/edit?usp=sharing"",""อ่างทอง!J620"")"),0)</f>
        <v>0</v>
      </c>
      <c r="CU73" s="143">
        <f t="shared" ca="1" si="42"/>
        <v>0</v>
      </c>
      <c r="CV73" s="142">
        <f ca="1">IFERROR(__xludf.DUMMYFUNCTION("IMPORTRANGE(""https://docs.google.com/spreadsheets/d/12Q_U0nVnFdxDFwa0pej9xvx8ZvLC9Dpi_vRro_aiG5g/edit?usp=sharing"",""อ่างทอง!J621"")"),0)</f>
        <v>0</v>
      </c>
      <c r="CW73" s="143">
        <f t="shared" ca="1" si="22"/>
        <v>0</v>
      </c>
      <c r="CX73" s="75">
        <f ca="1">IFERROR(__xludf.DUMMYFUNCTION("IMPORTRANGE(""https://docs.google.com/spreadsheets/d/12Q_U0nVnFdxDFwa0pej9xvx8ZvLC9Dpi_vRro_aiG5g/edit?usp=sharing"",""อ่างทอง!J622"")"),0)</f>
        <v>0</v>
      </c>
      <c r="CY73" s="142">
        <f ca="1">IFERROR(__xludf.DUMMYFUNCTION("IMPORTRANGE(""https://docs.google.com/spreadsheets/d/12Q_U0nVnFdxDFwa0pej9xvx8ZvLC9Dpi_vRro_aiG5g/edit?usp=sharing"",""อ่างทอง!J623"")"),0)</f>
        <v>0</v>
      </c>
      <c r="CZ73" s="75">
        <f ca="1">IFERROR(__xludf.DUMMYFUNCTION("IMPORTRANGE(""https://docs.google.com/spreadsheets/d/12Q_U0nVnFdxDFwa0pej9xvx8ZvLC9Dpi_vRro_aiG5g/edit?usp=sharing"",""อ่างทอง!J624"")"),0)</f>
        <v>0</v>
      </c>
      <c r="DA73" s="142">
        <f ca="1">IFERROR(__xludf.DUMMYFUNCTION("IMPORTRANGE(""https://docs.google.com/spreadsheets/d/12Q_U0nVnFdxDFwa0pej9xvx8ZvLC9Dpi_vRro_aiG5g/edit?usp=sharing"",""อ่างทอง!J625"")"),0)</f>
        <v>0</v>
      </c>
      <c r="DB73" s="75">
        <f ca="1">IFERROR(__xludf.DUMMYFUNCTION("IMPORTRANGE(""https://docs.google.com/spreadsheets/d/12Q_U0nVnFdxDFwa0pej9xvx8ZvLC9Dpi_vRro_aiG5g/edit?usp=sharing"",""อ่างทอง!J626"")"),0)</f>
        <v>0</v>
      </c>
      <c r="DC73" s="142">
        <f ca="1">IFERROR(__xludf.DUMMYFUNCTION("IMPORTRANGE(""https://docs.google.com/spreadsheets/d/12Q_U0nVnFdxDFwa0pej9xvx8ZvLC9Dpi_vRro_aiG5g/edit?usp=sharing"",""อ่างทอง!J627"")"),0)</f>
        <v>0</v>
      </c>
    </row>
    <row r="74" spans="1:107" ht="21" customHeight="1" x14ac:dyDescent="0.3">
      <c r="A74" s="177" t="s">
        <v>95</v>
      </c>
      <c r="B74" s="178"/>
      <c r="C74" s="76">
        <f t="shared" ref="C74:G74" ca="1" si="79">SUM(C75:C88)</f>
        <v>5238283</v>
      </c>
      <c r="D74" s="34">
        <f t="shared" ca="1" si="79"/>
        <v>5238283</v>
      </c>
      <c r="E74" s="34">
        <f t="shared" ca="1" si="79"/>
        <v>0</v>
      </c>
      <c r="F74" s="34">
        <f t="shared" ca="1" si="79"/>
        <v>5238283</v>
      </c>
      <c r="G74" s="34">
        <f t="shared" ca="1" si="79"/>
        <v>0</v>
      </c>
      <c r="H74" s="34">
        <f t="shared" ca="1" si="36"/>
        <v>2602506.96</v>
      </c>
      <c r="I74" s="35">
        <f t="shared" ca="1" si="1"/>
        <v>49.682442892069787</v>
      </c>
      <c r="J74" s="34">
        <f ca="1">SUM(J75:J88)</f>
        <v>2602506.96</v>
      </c>
      <c r="K74" s="35">
        <f t="shared" ca="1" si="44"/>
        <v>49.682442892069787</v>
      </c>
      <c r="L74" s="35">
        <f t="shared" ca="1" si="45"/>
        <v>49.682442892069787</v>
      </c>
      <c r="M74" s="34">
        <f t="shared" ref="M74:R74" ca="1" si="80">SUM(M75:M88)</f>
        <v>25642.5</v>
      </c>
      <c r="N74" s="34">
        <f t="shared" ca="1" si="80"/>
        <v>26350</v>
      </c>
      <c r="O74" s="34">
        <f t="shared" ca="1" si="80"/>
        <v>774104.85</v>
      </c>
      <c r="P74" s="34">
        <f t="shared" ca="1" si="80"/>
        <v>1511909.61</v>
      </c>
      <c r="Q74" s="34">
        <f t="shared" ca="1" si="80"/>
        <v>264500</v>
      </c>
      <c r="R74" s="36">
        <f t="shared" ca="1" si="80"/>
        <v>0</v>
      </c>
      <c r="S74" s="36">
        <f t="shared" ca="1" si="47"/>
        <v>0</v>
      </c>
      <c r="T74" s="34">
        <f t="shared" ref="T74:V74" ca="1" si="81">SUM(T75:T88)</f>
        <v>380540</v>
      </c>
      <c r="U74" s="34">
        <f t="shared" ca="1" si="81"/>
        <v>42774</v>
      </c>
      <c r="V74" s="37">
        <f t="shared" ca="1" si="81"/>
        <v>379548.7095</v>
      </c>
      <c r="W74" s="37">
        <f t="shared" ca="1" si="37"/>
        <v>99.739504257108322</v>
      </c>
      <c r="X74" s="34">
        <f ca="1">SUM(X75:X88)</f>
        <v>42639</v>
      </c>
      <c r="Y74" s="37">
        <f t="shared" ca="1" si="7"/>
        <v>99.684387712161595</v>
      </c>
      <c r="Z74" s="37">
        <f t="shared" ref="Z74:AH74" ca="1" si="82">SUM(Z75:Z88)</f>
        <v>336171.93400000001</v>
      </c>
      <c r="AA74" s="113">
        <f t="shared" ca="1" si="82"/>
        <v>37977</v>
      </c>
      <c r="AB74" s="37">
        <f t="shared" ca="1" si="82"/>
        <v>35466.937999999995</v>
      </c>
      <c r="AC74" s="113">
        <f t="shared" ca="1" si="82"/>
        <v>3712</v>
      </c>
      <c r="AD74" s="37">
        <f t="shared" ca="1" si="82"/>
        <v>7909.8375000000005</v>
      </c>
      <c r="AE74" s="113">
        <f t="shared" ca="1" si="82"/>
        <v>950</v>
      </c>
      <c r="AF74" s="34">
        <f t="shared" ca="1" si="82"/>
        <v>380540</v>
      </c>
      <c r="AG74" s="34">
        <f t="shared" ca="1" si="82"/>
        <v>42774</v>
      </c>
      <c r="AH74" s="37">
        <f t="shared" ca="1" si="82"/>
        <v>373951.77749999997</v>
      </c>
      <c r="AI74" s="37">
        <f t="shared" ca="1" si="38"/>
        <v>98.268717480422552</v>
      </c>
      <c r="AJ74" s="34">
        <f ca="1">SUM(AJ75:AJ88)</f>
        <v>41699</v>
      </c>
      <c r="AK74" s="37">
        <f t="shared" ca="1" si="10"/>
        <v>97.486791041286764</v>
      </c>
      <c r="AL74" s="37">
        <f t="shared" ref="AL74:AT74" ca="1" si="83">SUM(AL75:AL88)</f>
        <v>342778</v>
      </c>
      <c r="AM74" s="113">
        <f t="shared" ca="1" si="83"/>
        <v>38389</v>
      </c>
      <c r="AN74" s="37">
        <f t="shared" ca="1" si="83"/>
        <v>23439</v>
      </c>
      <c r="AO74" s="113">
        <f t="shared" ca="1" si="83"/>
        <v>2402</v>
      </c>
      <c r="AP74" s="37">
        <f t="shared" ca="1" si="83"/>
        <v>7734.7775000000001</v>
      </c>
      <c r="AQ74" s="113">
        <f t="shared" ca="1" si="83"/>
        <v>908</v>
      </c>
      <c r="AR74" s="34">
        <f t="shared" ca="1" si="83"/>
        <v>380540</v>
      </c>
      <c r="AS74" s="34">
        <f t="shared" ca="1" si="83"/>
        <v>42774</v>
      </c>
      <c r="AT74" s="37">
        <f t="shared" ca="1" si="83"/>
        <v>297348.19500000001</v>
      </c>
      <c r="AU74" s="37">
        <f t="shared" ca="1" si="39"/>
        <v>78.138486098701847</v>
      </c>
      <c r="AV74" s="34">
        <f ca="1">SUM(AV75:AV88)</f>
        <v>32332</v>
      </c>
      <c r="AW74" s="37">
        <f t="shared" ca="1" si="13"/>
        <v>75.58797400289896</v>
      </c>
      <c r="AX74" s="37">
        <f t="shared" ref="AX74:BN74" ca="1" si="84">SUM(AX75:AX88)</f>
        <v>274557.60250000004</v>
      </c>
      <c r="AY74" s="113">
        <f t="shared" ca="1" si="84"/>
        <v>29960</v>
      </c>
      <c r="AZ74" s="37">
        <f t="shared" ca="1" si="84"/>
        <v>17458.815000000002</v>
      </c>
      <c r="BA74" s="113">
        <f t="shared" ca="1" si="84"/>
        <v>1728</v>
      </c>
      <c r="BB74" s="37">
        <f t="shared" ca="1" si="84"/>
        <v>5331.7775000000001</v>
      </c>
      <c r="BC74" s="113">
        <f t="shared" ca="1" si="84"/>
        <v>644</v>
      </c>
      <c r="BD74" s="135">
        <f t="shared" ca="1" si="84"/>
        <v>5331.7775000000001</v>
      </c>
      <c r="BE74" s="113">
        <f t="shared" ca="1" si="84"/>
        <v>644</v>
      </c>
      <c r="BF74" s="135">
        <f t="shared" ca="1" si="84"/>
        <v>0</v>
      </c>
      <c r="BG74" s="113">
        <f t="shared" ca="1" si="84"/>
        <v>0</v>
      </c>
      <c r="BH74" s="37">
        <f t="shared" ca="1" si="84"/>
        <v>0</v>
      </c>
      <c r="BI74" s="113">
        <f t="shared" ca="1" si="84"/>
        <v>0</v>
      </c>
      <c r="BJ74" s="37">
        <f t="shared" ca="1" si="84"/>
        <v>0</v>
      </c>
      <c r="BK74" s="113">
        <f t="shared" ca="1" si="84"/>
        <v>0</v>
      </c>
      <c r="BL74" s="34">
        <f t="shared" ca="1" si="84"/>
        <v>44574.529999999992</v>
      </c>
      <c r="BM74" s="34">
        <f t="shared" ca="1" si="84"/>
        <v>4230</v>
      </c>
      <c r="BN74" s="37">
        <f t="shared" ca="1" si="84"/>
        <v>399</v>
      </c>
      <c r="BO74" s="37">
        <f t="shared" ca="1" si="40"/>
        <v>0.8951300215616409</v>
      </c>
      <c r="BP74" s="34">
        <f ca="1">SUM(BP75:BP88)</f>
        <v>49</v>
      </c>
      <c r="BQ74" s="37">
        <f t="shared" ca="1" si="16"/>
        <v>1.1583924349881796</v>
      </c>
      <c r="BR74" s="37">
        <f t="shared" ref="BR74:CJ74" ca="1" si="85">SUM(BR75:BR88)</f>
        <v>399</v>
      </c>
      <c r="BS74" s="113">
        <f t="shared" ca="1" si="85"/>
        <v>49</v>
      </c>
      <c r="BT74" s="37">
        <f t="shared" ca="1" si="85"/>
        <v>399</v>
      </c>
      <c r="BU74" s="113">
        <f t="shared" ca="1" si="85"/>
        <v>49</v>
      </c>
      <c r="BV74" s="37">
        <f t="shared" ca="1" si="85"/>
        <v>0</v>
      </c>
      <c r="BW74" s="113">
        <f t="shared" ca="1" si="85"/>
        <v>0</v>
      </c>
      <c r="BX74" s="135">
        <f t="shared" ca="1" si="85"/>
        <v>0</v>
      </c>
      <c r="BY74" s="113">
        <f t="shared" ca="1" si="85"/>
        <v>0</v>
      </c>
      <c r="BZ74" s="37">
        <f t="shared" ca="1" si="85"/>
        <v>0</v>
      </c>
      <c r="CA74" s="113">
        <f t="shared" ca="1" si="85"/>
        <v>0</v>
      </c>
      <c r="CB74" s="37">
        <f t="shared" ca="1" si="85"/>
        <v>0</v>
      </c>
      <c r="CC74" s="113">
        <f t="shared" ca="1" si="85"/>
        <v>0</v>
      </c>
      <c r="CD74" s="37">
        <f t="shared" ca="1" si="85"/>
        <v>0</v>
      </c>
      <c r="CE74" s="113">
        <f t="shared" ca="1" si="85"/>
        <v>0</v>
      </c>
      <c r="CF74" s="37">
        <f t="shared" ca="1" si="85"/>
        <v>0</v>
      </c>
      <c r="CG74" s="113">
        <f t="shared" ca="1" si="85"/>
        <v>0</v>
      </c>
      <c r="CH74" s="113">
        <f t="shared" ca="1" si="85"/>
        <v>0</v>
      </c>
      <c r="CI74" s="113">
        <f t="shared" ca="1" si="85"/>
        <v>4230</v>
      </c>
      <c r="CJ74" s="135">
        <f t="shared" ca="1" si="85"/>
        <v>0</v>
      </c>
      <c r="CK74" s="135">
        <f t="shared" ca="1" si="41"/>
        <v>0</v>
      </c>
      <c r="CL74" s="113">
        <f ca="1">SUM(CL75:CL88)</f>
        <v>0</v>
      </c>
      <c r="CM74" s="135">
        <f t="shared" ca="1" si="19"/>
        <v>0</v>
      </c>
      <c r="CN74" s="37">
        <f t="shared" ref="CN74:CT74" ca="1" si="86">SUM(CN75:CN88)</f>
        <v>0</v>
      </c>
      <c r="CO74" s="113">
        <f t="shared" ca="1" si="86"/>
        <v>0</v>
      </c>
      <c r="CP74" s="37">
        <f t="shared" ca="1" si="86"/>
        <v>0</v>
      </c>
      <c r="CQ74" s="113">
        <f t="shared" ca="1" si="86"/>
        <v>0</v>
      </c>
      <c r="CR74" s="113">
        <f t="shared" ca="1" si="86"/>
        <v>285</v>
      </c>
      <c r="CS74" s="113">
        <f t="shared" ca="1" si="86"/>
        <v>39</v>
      </c>
      <c r="CT74" s="135">
        <f t="shared" ca="1" si="86"/>
        <v>0</v>
      </c>
      <c r="CU74" s="135">
        <f t="shared" ca="1" si="42"/>
        <v>0</v>
      </c>
      <c r="CV74" s="113">
        <f ca="1">SUM(CV75:CV88)</f>
        <v>0</v>
      </c>
      <c r="CW74" s="135">
        <f t="shared" ca="1" si="22"/>
        <v>0</v>
      </c>
      <c r="CX74" s="37">
        <f t="shared" ref="CX74:DC74" ca="1" si="87">SUM(CX75:CX88)</f>
        <v>0</v>
      </c>
      <c r="CY74" s="113">
        <f t="shared" ca="1" si="87"/>
        <v>0</v>
      </c>
      <c r="CZ74" s="37">
        <f t="shared" ca="1" si="87"/>
        <v>0</v>
      </c>
      <c r="DA74" s="113">
        <f t="shared" ca="1" si="87"/>
        <v>0</v>
      </c>
      <c r="DB74" s="37">
        <f t="shared" ca="1" si="87"/>
        <v>0</v>
      </c>
      <c r="DC74" s="113">
        <f t="shared" ca="1" si="87"/>
        <v>0</v>
      </c>
    </row>
    <row r="75" spans="1:107" ht="21" customHeight="1" x14ac:dyDescent="0.3">
      <c r="A75" s="54">
        <v>1</v>
      </c>
      <c r="B75" s="55" t="s">
        <v>96</v>
      </c>
      <c r="C75" s="56">
        <f t="shared" ref="C75:C88" ca="1" si="88">D75+E75</f>
        <v>482874</v>
      </c>
      <c r="D75" s="57">
        <f ca="1">IFERROR(__xludf.DUMMYFUNCTION("IMPORTRANGE(""https://docs.google.com/spreadsheets/d/1kC41EOXpGBFOW658Fs3oD8beYlym0-zO54WY-2Qnp9I/edit?usp=sharing"",""กระบี่!L549"")"),482874)</f>
        <v>482874</v>
      </c>
      <c r="E75" s="64">
        <f ca="1">IFERROR(__xludf.DUMMYFUNCTION("IMPORTRANGE(""https://docs.google.com/spreadsheets/d/1kC41EOXpGBFOW658Fs3oD8beYlym0-zO54WY-2Qnp9I/edit?usp=sharing"",""กระบี่!L557"")"),0)</f>
        <v>0</v>
      </c>
      <c r="F75" s="64">
        <f ca="1">IFERROR(__xludf.DUMMYFUNCTION("IMPORTRANGE(""https://docs.google.com/spreadsheets/d/1kC41EOXpGBFOW658Fs3oD8beYlym0-zO54WY-2Qnp9I/edit?usp=sharing"",""กระบี่!M549"")"),482874)</f>
        <v>482874</v>
      </c>
      <c r="G75" s="64">
        <f ca="1">IFERROR(__xludf.DUMMYFUNCTION("IMPORTRANGE(""https://docs.google.com/spreadsheets/d/1kC41EOXpGBFOW658Fs3oD8beYlym0-zO54WY-2Qnp9I/edit?usp=sharing"",""กระบี่!M557"")"),0)</f>
        <v>0</v>
      </c>
      <c r="H75" s="58">
        <f t="shared" ca="1" si="36"/>
        <v>258920.34000000003</v>
      </c>
      <c r="I75" s="59">
        <f t="shared" ca="1" si="1"/>
        <v>53.620683656606076</v>
      </c>
      <c r="J75" s="60">
        <f t="shared" ref="J75:J88" ca="1" si="89">M75+N75+O75+P75+Q75</f>
        <v>258920.34000000003</v>
      </c>
      <c r="K75" s="61">
        <f t="shared" ca="1" si="44"/>
        <v>53.620683656606076</v>
      </c>
      <c r="L75" s="61">
        <f t="shared" ca="1" si="45"/>
        <v>53.620683656606076</v>
      </c>
      <c r="M75" s="64">
        <f ca="1">IFERROR(__xludf.DUMMYFUNCTION("IMPORTRANGE(""https://docs.google.com/spreadsheets/d/1kC41EOXpGBFOW658Fs3oD8beYlym0-zO54WY-2Qnp9I/edit?usp=sharing"",""กระบี่!N550"")"),0)</f>
        <v>0</v>
      </c>
      <c r="N75" s="64">
        <f ca="1">IFERROR(__xludf.DUMMYFUNCTION("IMPORTRANGE(""https://docs.google.com/spreadsheets/d/1kC41EOXpGBFOW658Fs3oD8beYlym0-zO54WY-2Qnp9I/edit?usp=sharing"",""กระบี่!N551"")"),0)</f>
        <v>0</v>
      </c>
      <c r="O75" s="64">
        <f ca="1">IFERROR(__xludf.DUMMYFUNCTION("IMPORTRANGE(""https://docs.google.com/spreadsheets/d/1kC41EOXpGBFOW658Fs3oD8beYlym0-zO54WY-2Qnp9I/edit?usp=sharing"",""กระบี่!N552"")"),51566.67)</f>
        <v>51566.67</v>
      </c>
      <c r="P75" s="64">
        <f ca="1">IFERROR(__xludf.DUMMYFUNCTION("IMPORTRANGE(""https://docs.google.com/spreadsheets/d/1kC41EOXpGBFOW658Fs3oD8beYlym0-zO54WY-2Qnp9I/edit?usp=sharing"",""กระบี่!N553"")"),207353.67)</f>
        <v>207353.67</v>
      </c>
      <c r="Q75" s="64">
        <f ca="1">IFERROR(__xludf.DUMMYFUNCTION("IMPORTRANGE(""https://docs.google.com/spreadsheets/d/1kC41EOXpGBFOW658Fs3oD8beYlym0-zO54WY-2Qnp9I/edit?usp=sharing"",""กระบี่!N554"")"),0)</f>
        <v>0</v>
      </c>
      <c r="R75" s="62">
        <f ca="1">IFERROR(__xludf.DUMMYFUNCTION("IMPORTRANGE(""https://docs.google.com/spreadsheets/d/1kC41EOXpGBFOW658Fs3oD8beYlym0-zO54WY-2Qnp9I/edit?usp=sharing"",""กระบี่!N557"")"),0)</f>
        <v>0</v>
      </c>
      <c r="S75" s="62">
        <f t="shared" ca="1" si="47"/>
        <v>0</v>
      </c>
      <c r="T75" s="57">
        <f ca="1">IFERROR(__xludf.DUMMYFUNCTION("IMPORTRANGE(""https://docs.google.com/spreadsheets/d/1kC41EOXpGBFOW658Fs3oD8beYlym0-zO54WY-2Qnp9I/edit?usp=sharing"",""กระบี่!I560"")"),60297)</f>
        <v>60297</v>
      </c>
      <c r="U75" s="57">
        <f ca="1">IFERROR(__xludf.DUMMYFUNCTION("IMPORTRANGE(""https://docs.google.com/spreadsheets/d/1kC41EOXpGBFOW658Fs3oD8beYlym0-zO54WY-2Qnp9I/edit?usp=sharing"",""กระบี่!I561"")"),5074)</f>
        <v>5074</v>
      </c>
      <c r="V75" s="63">
        <f ca="1">IFERROR(__xludf.DUMMYFUNCTION("IMPORTRANGE(""https://docs.google.com/spreadsheets/d/1kC41EOXpGBFOW658Fs3oD8beYlym0-zO54WY-2Qnp9I/edit?usp=sharing"",""กระบี่!J560"")"),60294.057)</f>
        <v>60294.057000000001</v>
      </c>
      <c r="W75" s="63">
        <f t="shared" ca="1" si="37"/>
        <v>99.99511916015723</v>
      </c>
      <c r="X75" s="57">
        <f ca="1">IFERROR(__xludf.DUMMYFUNCTION("IMPORTRANGE(""https://docs.google.com/spreadsheets/d/1kC41EOXpGBFOW658Fs3oD8beYlym0-zO54WY-2Qnp9I/edit?usp=sharing"",""กระบี่!J561"")"),5074)</f>
        <v>5074</v>
      </c>
      <c r="Y75" s="63">
        <f t="shared" ca="1" si="7"/>
        <v>100</v>
      </c>
      <c r="Z75" s="63">
        <f ca="1">IFERROR(__xludf.DUMMYFUNCTION("IMPORTRANGE(""https://docs.google.com/spreadsheets/d/1kC41EOXpGBFOW658Fs3oD8beYlym0-zO54WY-2Qnp9I/edit?usp=sharing"",""กระบี่!J562"")"),54374.939)</f>
        <v>54374.938999999998</v>
      </c>
      <c r="AA75" s="140">
        <f ca="1">IFERROR(__xludf.DUMMYFUNCTION("IMPORTRANGE(""https://docs.google.com/spreadsheets/d/1kC41EOXpGBFOW658Fs3oD8beYlym0-zO54WY-2Qnp9I/edit?usp=sharing"",""กระบี่!J563"")"),4674)</f>
        <v>4674</v>
      </c>
      <c r="AB75" s="63">
        <f ca="1">IFERROR(__xludf.DUMMYFUNCTION("IMPORTRANGE(""https://docs.google.com/spreadsheets/d/1kC41EOXpGBFOW658Fs3oD8beYlym0-zO54WY-2Qnp9I/edit?usp=sharing"",""กระบี่!J564"")"),4746.748)</f>
        <v>4746.7479999999996</v>
      </c>
      <c r="AC75" s="140">
        <f ca="1">IFERROR(__xludf.DUMMYFUNCTION("IMPORTRANGE(""https://docs.google.com/spreadsheets/d/1kC41EOXpGBFOW658Fs3oD8beYlym0-zO54WY-2Qnp9I/edit?usp=sharing"",""กระบี่!J565"")"),304)</f>
        <v>304</v>
      </c>
      <c r="AD75" s="63">
        <f ca="1">IFERROR(__xludf.DUMMYFUNCTION("IMPORTRANGE(""https://docs.google.com/spreadsheets/d/1kC41EOXpGBFOW658Fs3oD8beYlym0-zO54WY-2Qnp9I/edit?usp=sharing"",""กระบี่!J566"")"),1172.37)</f>
        <v>1172.3699999999999</v>
      </c>
      <c r="AE75" s="140">
        <f ca="1">IFERROR(__xludf.DUMMYFUNCTION("IMPORTRANGE(""https://docs.google.com/spreadsheets/d/1kC41EOXpGBFOW658Fs3oD8beYlym0-zO54WY-2Qnp9I/edit?usp=sharing"",""กระบี่!J567"")"),96)</f>
        <v>96</v>
      </c>
      <c r="AF75" s="57">
        <f ca="1">IFERROR(__xludf.DUMMYFUNCTION("IMPORTRANGE(""https://docs.google.com/spreadsheets/d/1kC41EOXpGBFOW658Fs3oD8beYlym0-zO54WY-2Qnp9I/edit?usp=sharing"",""กระบี่!I568"")"),60297)</f>
        <v>60297</v>
      </c>
      <c r="AG75" s="57">
        <f ca="1">IFERROR(__xludf.DUMMYFUNCTION("IMPORTRANGE(""https://docs.google.com/spreadsheets/d/1kC41EOXpGBFOW658Fs3oD8beYlym0-zO54WY-2Qnp9I/edit?usp=sharing"",""กระบี่!I569"")"),5074)</f>
        <v>5074</v>
      </c>
      <c r="AH75" s="63">
        <f ca="1">IFERROR(__xludf.DUMMYFUNCTION("IMPORTRANGE(""https://docs.google.com/spreadsheets/d/1kC41EOXpGBFOW658Fs3oD8beYlym0-zO54WY-2Qnp9I/edit?usp=sharing"",""กระบี่!J568"")"),60298)</f>
        <v>60298</v>
      </c>
      <c r="AI75" s="63">
        <f t="shared" ca="1" si="38"/>
        <v>100.00165845730302</v>
      </c>
      <c r="AJ75" s="57">
        <f ca="1">IFERROR(__xludf.DUMMYFUNCTION("IMPORTRANGE(""https://docs.google.com/spreadsheets/d/1kC41EOXpGBFOW658Fs3oD8beYlym0-zO54WY-2Qnp9I/edit?usp=sharing"",""กระบี่!J569"")"),5074)</f>
        <v>5074</v>
      </c>
      <c r="AK75" s="63">
        <f t="shared" ca="1" si="10"/>
        <v>100</v>
      </c>
      <c r="AL75" s="63">
        <f ca="1">IFERROR(__xludf.DUMMYFUNCTION("IMPORTRANGE(""https://docs.google.com/spreadsheets/d/1kC41EOXpGBFOW658Fs3oD8beYlym0-zO54WY-2Qnp9I/edit?usp=sharing"",""กระบี่!J570"")"),54686)</f>
        <v>54686</v>
      </c>
      <c r="AM75" s="140">
        <f ca="1">IFERROR(__xludf.DUMMYFUNCTION("IMPORTRANGE(""https://docs.google.com/spreadsheets/d/1kC41EOXpGBFOW658Fs3oD8beYlym0-zO54WY-2Qnp9I/edit?usp=sharing"",""กระบี่!J571"")"),4700)</f>
        <v>4700</v>
      </c>
      <c r="AN75" s="63">
        <f ca="1">IFERROR(__xludf.DUMMYFUNCTION("IMPORTRANGE(""https://docs.google.com/spreadsheets/d/1kC41EOXpGBFOW658Fs3oD8beYlym0-zO54WY-2Qnp9I/edit?usp=sharing"",""กระบี่!J572"")"),4461)</f>
        <v>4461</v>
      </c>
      <c r="AO75" s="140">
        <f ca="1">IFERROR(__xludf.DUMMYFUNCTION("IMPORTRANGE(""https://docs.google.com/spreadsheets/d/1kC41EOXpGBFOW658Fs3oD8beYlym0-zO54WY-2Qnp9I/edit?usp=sharing"",""กระบี่!J573"")"),277)</f>
        <v>277</v>
      </c>
      <c r="AP75" s="63">
        <f ca="1">IFERROR(__xludf.DUMMYFUNCTION("IMPORTRANGE(""https://docs.google.com/spreadsheets/d/1kC41EOXpGBFOW658Fs3oD8beYlym0-zO54WY-2Qnp9I/edit?usp=sharing"",""กระบี่!J574"")"),1151)</f>
        <v>1151</v>
      </c>
      <c r="AQ75" s="140">
        <f ca="1">IFERROR(__xludf.DUMMYFUNCTION("IMPORTRANGE(""https://docs.google.com/spreadsheets/d/1kC41EOXpGBFOW658Fs3oD8beYlym0-zO54WY-2Qnp9I/edit?usp=sharing"",""กระบี่!J575"")"),97)</f>
        <v>97</v>
      </c>
      <c r="AR75" s="57">
        <f ca="1">IFERROR(__xludf.DUMMYFUNCTION("IMPORTRANGE(""https://docs.google.com/spreadsheets/d/1kC41EOXpGBFOW658Fs3oD8beYlym0-zO54WY-2Qnp9I/edit?usp=sharing"",""กระบี่!I576"")"),60297)</f>
        <v>60297</v>
      </c>
      <c r="AS75" s="57">
        <f ca="1">IFERROR(__xludf.DUMMYFUNCTION("IMPORTRANGE(""https://docs.google.com/spreadsheets/d/1kC41EOXpGBFOW658Fs3oD8beYlym0-zO54WY-2Qnp9I/edit?usp=sharing"",""กระบี่!I577"")"),5074)</f>
        <v>5074</v>
      </c>
      <c r="AT75" s="63">
        <f ca="1">IFERROR(__xludf.DUMMYFUNCTION("IMPORTRANGE(""https://docs.google.com/spreadsheets/d/1kC41EOXpGBFOW658Fs3oD8beYlym0-zO54WY-2Qnp9I/edit?usp=sharing"",""กระบี่!J576"")"),54686)</f>
        <v>54686</v>
      </c>
      <c r="AU75" s="63">
        <f t="shared" ca="1" si="39"/>
        <v>90.694396072773102</v>
      </c>
      <c r="AV75" s="57">
        <f ca="1">IFERROR(__xludf.DUMMYFUNCTION("IMPORTRANGE(""https://docs.google.com/spreadsheets/d/1kC41EOXpGBFOW658Fs3oD8beYlym0-zO54WY-2Qnp9I/edit?usp=sharing"",""กระบี่!J577"")"),4700)</f>
        <v>4700</v>
      </c>
      <c r="AW75" s="63">
        <f t="shared" ca="1" si="13"/>
        <v>92.629089475758775</v>
      </c>
      <c r="AX75" s="63">
        <f ca="1">IFERROR(__xludf.DUMMYFUNCTION("IMPORTRANGE(""https://docs.google.com/spreadsheets/d/1kC41EOXpGBFOW658Fs3oD8beYlym0-zO54WY-2Qnp9I/edit?usp=sharing"",""กระบี่!J578"")"),54686)</f>
        <v>54686</v>
      </c>
      <c r="AY75" s="140">
        <f ca="1">IFERROR(__xludf.DUMMYFUNCTION("IMPORTRANGE(""https://docs.google.com/spreadsheets/d/1kC41EOXpGBFOW658Fs3oD8beYlym0-zO54WY-2Qnp9I/edit?usp=sharing"",""กระบี่!J579"")"),4700)</f>
        <v>4700</v>
      </c>
      <c r="AZ75" s="63">
        <f ca="1">IFERROR(__xludf.DUMMYFUNCTION("IMPORTRANGE(""https://docs.google.com/spreadsheets/d/1kC41EOXpGBFOW658Fs3oD8beYlym0-zO54WY-2Qnp9I/edit?usp=sharing"",""กระบี่!J580"")"),0)</f>
        <v>0</v>
      </c>
      <c r="BA75" s="140">
        <f ca="1">IFERROR(__xludf.DUMMYFUNCTION("IMPORTRANGE(""https://docs.google.com/spreadsheets/d/1kC41EOXpGBFOW658Fs3oD8beYlym0-zO54WY-2Qnp9I/edit?usp=sharing"",""กระบี่!J581"")"),0)</f>
        <v>0</v>
      </c>
      <c r="BB75" s="63">
        <f ca="1">IFERROR(__xludf.DUMMYFUNCTION("IMPORTRANGE(""https://docs.google.com/spreadsheets/d/1kC41EOXpGBFOW658Fs3oD8beYlym0-zO54WY-2Qnp9I/edit?usp=sharing"",""กระบี่!J582"")"),0)</f>
        <v>0</v>
      </c>
      <c r="BC75" s="140">
        <f ca="1">IFERROR(__xludf.DUMMYFUNCTION("IMPORTRANGE(""https://docs.google.com/spreadsheets/d/1kC41EOXpGBFOW658Fs3oD8beYlym0-zO54WY-2Qnp9I/edit?usp=sharing"",""กระบี่!J583"")"),0)</f>
        <v>0</v>
      </c>
      <c r="BD75" s="141">
        <f ca="1">IFERROR(__xludf.DUMMYFUNCTION("IMPORTRANGE(""https://docs.google.com/spreadsheets/d/1kC41EOXpGBFOW658Fs3oD8beYlym0-zO54WY-2Qnp9I/edit?usp=sharing"",""กระบี่!J584"")"),0)</f>
        <v>0</v>
      </c>
      <c r="BE75" s="140">
        <f ca="1">IFERROR(__xludf.DUMMYFUNCTION("IMPORTRANGE(""https://docs.google.com/spreadsheets/d/1kC41EOXpGBFOW658Fs3oD8beYlym0-zO54WY-2Qnp9I/edit?usp=sharing"",""กระบี่!J585"")"),0)</f>
        <v>0</v>
      </c>
      <c r="BF75" s="141">
        <f ca="1">IFERROR(__xludf.DUMMYFUNCTION("IMPORTRANGE(""https://docs.google.com/spreadsheets/d/1kC41EOXpGBFOW658Fs3oD8beYlym0-zO54WY-2Qnp9I/edit?usp=sharing"",""กระบี่!J586"")"),0)</f>
        <v>0</v>
      </c>
      <c r="BG75" s="140">
        <f ca="1">IFERROR(__xludf.DUMMYFUNCTION("IMPORTRANGE(""https://docs.google.com/spreadsheets/d/1kC41EOXpGBFOW658Fs3oD8beYlym0-zO54WY-2Qnp9I/edit?usp=sharing"",""กระบี่!J587"")"),0)</f>
        <v>0</v>
      </c>
      <c r="BH75" s="63">
        <f ca="1">IFERROR(__xludf.DUMMYFUNCTION("IMPORTRANGE(""https://docs.google.com/spreadsheets/d/1kC41EOXpGBFOW658Fs3oD8beYlym0-zO54WY-2Qnp9I/edit?usp=sharing"",""กระบี่!J588"")"),0)</f>
        <v>0</v>
      </c>
      <c r="BI75" s="140">
        <f ca="1">IFERROR(__xludf.DUMMYFUNCTION("IMPORTRANGE(""https://docs.google.com/spreadsheets/d/1kC41EOXpGBFOW658Fs3oD8beYlym0-zO54WY-2Qnp9I/edit?usp=sharing"",""กระบี่!J589"")"),0)</f>
        <v>0</v>
      </c>
      <c r="BJ75" s="63">
        <f ca="1">IFERROR(__xludf.DUMMYFUNCTION("IMPORTRANGE(""https://docs.google.com/spreadsheets/d/1kC41EOXpGBFOW658Fs3oD8beYlym0-zO54WY-2Qnp9I/edit?usp=sharing"",""กระบี่!J590"")"),0)</f>
        <v>0</v>
      </c>
      <c r="BK75" s="140">
        <f ca="1">IFERROR(__xludf.DUMMYFUNCTION("IMPORTRANGE(""https://docs.google.com/spreadsheets/d/1kC41EOXpGBFOW658Fs3oD8beYlym0-zO54WY-2Qnp9I/edit?usp=sharing"",""กระบี่!J591"")"),0)</f>
        <v>0</v>
      </c>
      <c r="BL75" s="57">
        <f ca="1">IFERROR(__xludf.DUMMYFUNCTION("IMPORTRANGE(""https://docs.google.com/spreadsheets/d/1kC41EOXpGBFOW658Fs3oD8beYlym0-zO54WY-2Qnp9I/edit?usp=sharing"",""กระบี่!I593"")"),3453.6)</f>
        <v>3453.6</v>
      </c>
      <c r="BM75" s="57">
        <f ca="1">IFERROR(__xludf.DUMMYFUNCTION("IMPORTRANGE(""https://docs.google.com/spreadsheets/d/1kC41EOXpGBFOW658Fs3oD8beYlym0-zO54WY-2Qnp9I/edit?usp=sharing"",""กระบี่!I594"")"),210)</f>
        <v>210</v>
      </c>
      <c r="BN75" s="63">
        <f ca="1">IFERROR(__xludf.DUMMYFUNCTION("IMPORTRANGE(""https://docs.google.com/spreadsheets/d/1kC41EOXpGBFOW658Fs3oD8beYlym0-zO54WY-2Qnp9I/edit?usp=sharing"",""กระบี่!J593"")"),0)</f>
        <v>0</v>
      </c>
      <c r="BO75" s="63">
        <f t="shared" ca="1" si="40"/>
        <v>0</v>
      </c>
      <c r="BP75" s="57">
        <f ca="1">IFERROR(__xludf.DUMMYFUNCTION("IMPORTRANGE(""https://docs.google.com/spreadsheets/d/1kC41EOXpGBFOW658Fs3oD8beYlym0-zO54WY-2Qnp9I/edit?usp=sharing"",""กระบี่!J594"")"),0)</f>
        <v>0</v>
      </c>
      <c r="BQ75" s="63">
        <f t="shared" ca="1" si="16"/>
        <v>0</v>
      </c>
      <c r="BR75" s="63">
        <f ca="1">IFERROR(__xludf.DUMMYFUNCTION("IMPORTRANGE(""https://docs.google.com/spreadsheets/d/1kC41EOXpGBFOW658Fs3oD8beYlym0-zO54WY-2Qnp9I/edit?usp=sharing"",""กระบี่!J595"")"),0)</f>
        <v>0</v>
      </c>
      <c r="BS75" s="140">
        <f ca="1">IFERROR(__xludf.DUMMYFUNCTION("IMPORTRANGE(""https://docs.google.com/spreadsheets/d/1kC41EOXpGBFOW658Fs3oD8beYlym0-zO54WY-2Qnp9I/edit?usp=sharing"",""กระบี่!J596"")"),0)</f>
        <v>0</v>
      </c>
      <c r="BT75" s="63">
        <f ca="1">IFERROR(__xludf.DUMMYFUNCTION("IMPORTRANGE(""https://docs.google.com/spreadsheets/d/1kC41EOXpGBFOW658Fs3oD8beYlym0-zO54WY-2Qnp9I/edit?usp=sharing"",""กระบี่!J597"")"),0)</f>
        <v>0</v>
      </c>
      <c r="BU75" s="140">
        <f ca="1">IFERROR(__xludf.DUMMYFUNCTION("IMPORTRANGE(""https://docs.google.com/spreadsheets/d/1kC41EOXpGBFOW658Fs3oD8beYlym0-zO54WY-2Qnp9I/edit?usp=sharing"",""กระบี่!J598"")"),0)</f>
        <v>0</v>
      </c>
      <c r="BV75" s="63">
        <f ca="1">IFERROR(__xludf.DUMMYFUNCTION("IMPORTRANGE(""https://docs.google.com/spreadsheets/d/1kC41EOXpGBFOW658Fs3oD8beYlym0-zO54WY-2Qnp9I/edit?usp=sharing"",""กระบี่!J599"")"),0)</f>
        <v>0</v>
      </c>
      <c r="BW75" s="140">
        <f ca="1">IFERROR(__xludf.DUMMYFUNCTION("IMPORTRANGE(""https://docs.google.com/spreadsheets/d/1kC41EOXpGBFOW658Fs3oD8beYlym0-zO54WY-2Qnp9I/edit?usp=sharing"",""กระบี่!J600"")"),0)</f>
        <v>0</v>
      </c>
      <c r="BX75" s="141">
        <f ca="1">IFERROR(__xludf.DUMMYFUNCTION("IMPORTRANGE(""https://docs.google.com/spreadsheets/d/1kC41EOXpGBFOW658Fs3oD8beYlym0-zO54WY-2Qnp9I/edit?usp=sharing"",""กระบี่!J601"")"),0)</f>
        <v>0</v>
      </c>
      <c r="BY75" s="140">
        <f ca="1">IFERROR(__xludf.DUMMYFUNCTION("IMPORTRANGE(""https://docs.google.com/spreadsheets/d/1kC41EOXpGBFOW658Fs3oD8beYlym0-zO54WY-2Qnp9I/edit?usp=sharing"",""กระบี่!J602"")"),0)</f>
        <v>0</v>
      </c>
      <c r="BZ75" s="63">
        <f ca="1">IFERROR(__xludf.DUMMYFUNCTION("IMPORTRANGE(""https://docs.google.com/spreadsheets/d/1kC41EOXpGBFOW658Fs3oD8beYlym0-zO54WY-2Qnp9I/edit?usp=sharing"",""กระบี่!J603"")"),0)</f>
        <v>0</v>
      </c>
      <c r="CA75" s="140">
        <f ca="1">IFERROR(__xludf.DUMMYFUNCTION("IMPORTRANGE(""https://docs.google.com/spreadsheets/d/1kC41EOXpGBFOW658Fs3oD8beYlym0-zO54WY-2Qnp9I/edit?usp=sharing"",""กระบี่!J604"")"),0)</f>
        <v>0</v>
      </c>
      <c r="CB75" s="63">
        <f ca="1">IFERROR(__xludf.DUMMYFUNCTION("IMPORTRANGE(""https://docs.google.com/spreadsheets/d/1kC41EOXpGBFOW658Fs3oD8beYlym0-zO54WY-2Qnp9I/edit?usp=sharing"",""กระบี่!J605"")"),0)</f>
        <v>0</v>
      </c>
      <c r="CC75" s="140">
        <f ca="1">IFERROR(__xludf.DUMMYFUNCTION("IMPORTRANGE(""https://docs.google.com/spreadsheets/d/1kC41EOXpGBFOW658Fs3oD8beYlym0-zO54WY-2Qnp9I/edit?usp=sharing"",""กระบี่!J606"")"),0)</f>
        <v>0</v>
      </c>
      <c r="CD75" s="63">
        <f ca="1">IFERROR(__xludf.DUMMYFUNCTION("IMPORTRANGE(""https://docs.google.com/spreadsheets/d/1kC41EOXpGBFOW658Fs3oD8beYlym0-zO54WY-2Qnp9I/edit?usp=sharing"",""กระบี่!J607"")"),0)</f>
        <v>0</v>
      </c>
      <c r="CE75" s="140">
        <f ca="1">IFERROR(__xludf.DUMMYFUNCTION("IMPORTRANGE(""https://docs.google.com/spreadsheets/d/1kC41EOXpGBFOW658Fs3oD8beYlym0-zO54WY-2Qnp9I/edit?usp=sharing"",""กระบี่!J608"")"),0)</f>
        <v>0</v>
      </c>
      <c r="CF75" s="63">
        <f ca="1">IFERROR(__xludf.DUMMYFUNCTION("IMPORTRANGE(""https://docs.google.com/spreadsheets/d/1kC41EOXpGBFOW658Fs3oD8beYlym0-zO54WY-2Qnp9I/edit?usp=sharing"",""กระบี่!J609"")"),0)</f>
        <v>0</v>
      </c>
      <c r="CG75" s="140">
        <f ca="1">IFERROR(__xludf.DUMMYFUNCTION("IMPORTRANGE(""https://docs.google.com/spreadsheets/d/1kC41EOXpGBFOW658Fs3oD8beYlym0-zO54WY-2Qnp9I/edit?usp=sharing"",""กระบี่!J610"")"),0)</f>
        <v>0</v>
      </c>
      <c r="CH75" s="140">
        <f ca="1">IFERROR(__xludf.DUMMYFUNCTION("IMPORTRANGE(""https://docs.google.com/spreadsheets/d/1kC41EOXpGBFOW658Fs3oD8beYlym0-zO54WY-2Qnp9I/edit?usp=sharing"",""กระบี่!I612"")"),0)</f>
        <v>0</v>
      </c>
      <c r="CI75" s="140">
        <f ca="1">IFERROR(__xludf.DUMMYFUNCTION("IMPORTRANGE(""https://docs.google.com/spreadsheets/d/1kC41EOXpGBFOW658Fs3oD8beYlym0-zO54WY-2Qnp9I/edit?usp=sharing"",""กระบี่!I594"")"),210)</f>
        <v>210</v>
      </c>
      <c r="CJ75" s="141">
        <f ca="1">IFERROR(__xludf.DUMMYFUNCTION("IMPORTRANGE(""https://docs.google.com/spreadsheets/d/1kC41EOXpGBFOW658Fs3oD8beYlym0-zO54WY-2Qnp9I/edit?usp=sharing"",""กระบี่!J612"")"),0)</f>
        <v>0</v>
      </c>
      <c r="CK75" s="141">
        <f t="shared" ca="1" si="41"/>
        <v>0</v>
      </c>
      <c r="CL75" s="140">
        <f ca="1">IFERROR(__xludf.DUMMYFUNCTION("IMPORTRANGE(""https://docs.google.com/spreadsheets/d/1kC41EOXpGBFOW658Fs3oD8beYlym0-zO54WY-2Qnp9I/edit?usp=sharing"",""กระบี่!J613"")"),0)</f>
        <v>0</v>
      </c>
      <c r="CM75" s="141">
        <f t="shared" ca="1" si="19"/>
        <v>0</v>
      </c>
      <c r="CN75" s="63">
        <f ca="1">IFERROR(__xludf.DUMMYFUNCTION("IMPORTRANGE(""https://docs.google.com/spreadsheets/d/1kC41EOXpGBFOW658Fs3oD8beYlym0-zO54WY-2Qnp9I/edit?usp=sharing"",""กระบี่!J614"")"),0)</f>
        <v>0</v>
      </c>
      <c r="CO75" s="140">
        <f ca="1">IFERROR(__xludf.DUMMYFUNCTION("IMPORTRANGE(""https://docs.google.com/spreadsheets/d/1kC41EOXpGBFOW658Fs3oD8beYlym0-zO54WY-2Qnp9I/edit?usp=sharing"",""กระบี่!J615"")"),0)</f>
        <v>0</v>
      </c>
      <c r="CP75" s="63">
        <f ca="1">IFERROR(__xludf.DUMMYFUNCTION("IMPORTRANGE(""https://docs.google.com/spreadsheets/d/1kC41EOXpGBFOW658Fs3oD8beYlym0-zO54WY-2Qnp9I/edit?usp=sharing"",""กระบี่!J616"")"),0)</f>
        <v>0</v>
      </c>
      <c r="CQ75" s="140">
        <f ca="1">IFERROR(__xludf.DUMMYFUNCTION("IMPORTRANGE(""https://docs.google.com/spreadsheets/d/1kC41EOXpGBFOW658Fs3oD8beYlym0-zO54WY-2Qnp9I/edit?usp=sharing"",""กระบี่!J617"")"),0)</f>
        <v>0</v>
      </c>
      <c r="CR75" s="140">
        <f ca="1">IFERROR(__xludf.DUMMYFUNCTION("IMPORTRANGE(""https://docs.google.com/spreadsheets/d/1kC41EOXpGBFOW658Fs3oD8beYlym0-zO54WY-2Qnp9I/edit?usp=sharing"",""กระบี่!I620"")"),61)</f>
        <v>61</v>
      </c>
      <c r="CS75" s="140">
        <f ca="1">IFERROR(__xludf.DUMMYFUNCTION("IMPORTRANGE(""https://docs.google.com/spreadsheets/d/1kC41EOXpGBFOW658Fs3oD8beYlym0-zO54WY-2Qnp9I/edit?usp=sharing"",""กระบี่!I621"")"),9)</f>
        <v>9</v>
      </c>
      <c r="CT75" s="141">
        <f ca="1">IFERROR(__xludf.DUMMYFUNCTION("IMPORTRANGE(""https://docs.google.com/spreadsheets/d/1kC41EOXpGBFOW658Fs3oD8beYlym0-zO54WY-2Qnp9I/edit?usp=sharing"",""กระบี่!J620"")"),0)</f>
        <v>0</v>
      </c>
      <c r="CU75" s="141">
        <f t="shared" ca="1" si="42"/>
        <v>0</v>
      </c>
      <c r="CV75" s="140">
        <f ca="1">IFERROR(__xludf.DUMMYFUNCTION("IMPORTRANGE(""https://docs.google.com/spreadsheets/d/1kC41EOXpGBFOW658Fs3oD8beYlym0-zO54WY-2Qnp9I/edit?usp=sharing"",""กระบี่!J621"")"),0)</f>
        <v>0</v>
      </c>
      <c r="CW75" s="141">
        <f t="shared" ca="1" si="22"/>
        <v>0</v>
      </c>
      <c r="CX75" s="63">
        <f ca="1">IFERROR(__xludf.DUMMYFUNCTION("IMPORTRANGE(""https://docs.google.com/spreadsheets/d/1kC41EOXpGBFOW658Fs3oD8beYlym0-zO54WY-2Qnp9I/edit?usp=sharing"",""กระบี่!J622"")"),0)</f>
        <v>0</v>
      </c>
      <c r="CY75" s="140">
        <f ca="1">IFERROR(__xludf.DUMMYFUNCTION("IMPORTRANGE(""https://docs.google.com/spreadsheets/d/1kC41EOXpGBFOW658Fs3oD8beYlym0-zO54WY-2Qnp9I/edit?usp=sharing"",""กระบี่!J623"")"),0)</f>
        <v>0</v>
      </c>
      <c r="CZ75" s="63">
        <f ca="1">IFERROR(__xludf.DUMMYFUNCTION("IMPORTRANGE(""https://docs.google.com/spreadsheets/d/1kC41EOXpGBFOW658Fs3oD8beYlym0-zO54WY-2Qnp9I/edit?usp=sharing"",""กระบี่!J624"")"),0)</f>
        <v>0</v>
      </c>
      <c r="DA75" s="140">
        <f ca="1">IFERROR(__xludf.DUMMYFUNCTION("IMPORTRANGE(""https://docs.google.com/spreadsheets/d/1kC41EOXpGBFOW658Fs3oD8beYlym0-zO54WY-2Qnp9I/edit?usp=sharing"",""กระบี่!J625"")"),0)</f>
        <v>0</v>
      </c>
      <c r="DB75" s="63">
        <f ca="1">IFERROR(__xludf.DUMMYFUNCTION("IMPORTRANGE(""https://docs.google.com/spreadsheets/d/1kC41EOXpGBFOW658Fs3oD8beYlym0-zO54WY-2Qnp9I/edit?usp=sharing"",""กระบี่!J626"")"),0)</f>
        <v>0</v>
      </c>
      <c r="DC75" s="140">
        <f ca="1">IFERROR(__xludf.DUMMYFUNCTION("IMPORTRANGE(""https://docs.google.com/spreadsheets/d/1kC41EOXpGBFOW658Fs3oD8beYlym0-zO54WY-2Qnp9I/edit?usp=sharing"",""กระบี่!J627"")"),0)</f>
        <v>0</v>
      </c>
    </row>
    <row r="76" spans="1:107" ht="21" customHeight="1" x14ac:dyDescent="0.3">
      <c r="A76" s="54">
        <v>2</v>
      </c>
      <c r="B76" s="55" t="s">
        <v>97</v>
      </c>
      <c r="C76" s="56">
        <f t="shared" ca="1" si="88"/>
        <v>759123</v>
      </c>
      <c r="D76" s="57">
        <f ca="1">IFERROR(__xludf.DUMMYFUNCTION("IMPORTRANGE(""https://docs.google.com/spreadsheets/d/1FbzMZY_f3MDiEuK7RpCQKrilJ_kpX0Wm7QBZ1L7EjIU/edit?usp=sharing"",""ชุมพร!L549"")"),759123)</f>
        <v>759123</v>
      </c>
      <c r="E76" s="64">
        <f ca="1">IFERROR(__xludf.DUMMYFUNCTION("IMPORTRANGE(""https://docs.google.com/spreadsheets/d/1FbzMZY_f3MDiEuK7RpCQKrilJ_kpX0Wm7QBZ1L7EjIU/edit?usp=sharing"",""ชุมพร!L557"")"),0)</f>
        <v>0</v>
      </c>
      <c r="F76" s="64">
        <f ca="1">IFERROR(__xludf.DUMMYFUNCTION("IMPORTRANGE(""https://docs.google.com/spreadsheets/d/1FbzMZY_f3MDiEuK7RpCQKrilJ_kpX0Wm7QBZ1L7EjIU/edit?usp=sharing"",""ชุมพร!M549"")"),759123)</f>
        <v>759123</v>
      </c>
      <c r="G76" s="64">
        <f ca="1">IFERROR(__xludf.DUMMYFUNCTION("IMPORTRANGE(""https://docs.google.com/spreadsheets/d/1FbzMZY_f3MDiEuK7RpCQKrilJ_kpX0Wm7QBZ1L7EjIU/edit?usp=sharing"",""ชุมพร!M557"")"),0)</f>
        <v>0</v>
      </c>
      <c r="H76" s="58">
        <f t="shared" ca="1" si="36"/>
        <v>228235.51</v>
      </c>
      <c r="I76" s="59">
        <f t="shared" ca="1" si="1"/>
        <v>30.065682372948785</v>
      </c>
      <c r="J76" s="60">
        <f t="shared" ca="1" si="89"/>
        <v>228235.51</v>
      </c>
      <c r="K76" s="61">
        <f t="shared" ca="1" si="44"/>
        <v>30.065682372948785</v>
      </c>
      <c r="L76" s="61">
        <f t="shared" ca="1" si="45"/>
        <v>30.065682372948785</v>
      </c>
      <c r="M76" s="64">
        <f ca="1">IFERROR(__xludf.DUMMYFUNCTION("IMPORTRANGE(""https://docs.google.com/spreadsheets/d/1FbzMZY_f3MDiEuK7RpCQKrilJ_kpX0Wm7QBZ1L7EjIU/edit?usp=sharing"",""ชุมพร!N550"")"),0)</f>
        <v>0</v>
      </c>
      <c r="N76" s="64">
        <f ca="1">IFERROR(__xludf.DUMMYFUNCTION("IMPORTRANGE(""https://docs.google.com/spreadsheets/d/1FbzMZY_f3MDiEuK7RpCQKrilJ_kpX0Wm7QBZ1L7EjIU/edit?usp=sharing"",""ชุมพร!N551"")"),0)</f>
        <v>0</v>
      </c>
      <c r="O76" s="64">
        <f ca="1">IFERROR(__xludf.DUMMYFUNCTION("IMPORTRANGE(""https://docs.google.com/spreadsheets/d/1FbzMZY_f3MDiEuK7RpCQKrilJ_kpX0Wm7QBZ1L7EjIU/edit?usp=sharing"",""ชุมพร!N552"")"),63701)</f>
        <v>63701</v>
      </c>
      <c r="P76" s="64">
        <f ca="1">IFERROR(__xludf.DUMMYFUNCTION("IMPORTRANGE(""https://docs.google.com/spreadsheets/d/1FbzMZY_f3MDiEuK7RpCQKrilJ_kpX0Wm7QBZ1L7EjIU/edit?usp=sharing"",""ชุมพร!N553"")"),164534.51)</f>
        <v>164534.51</v>
      </c>
      <c r="Q76" s="64">
        <f ca="1">IFERROR(__xludf.DUMMYFUNCTION("IMPORTRANGE(""https://docs.google.com/spreadsheets/d/1FbzMZY_f3MDiEuK7RpCQKrilJ_kpX0Wm7QBZ1L7EjIU/edit?usp=sharing"",""ชุมพร!N554"")"),0)</f>
        <v>0</v>
      </c>
      <c r="R76" s="62">
        <f ca="1">IFERROR(__xludf.DUMMYFUNCTION("IMPORTRANGE(""https://docs.google.com/spreadsheets/d/1FbzMZY_f3MDiEuK7RpCQKrilJ_kpX0Wm7QBZ1L7EjIU/edit?usp=sharing"",""ชุมพร!N557"")"),0)</f>
        <v>0</v>
      </c>
      <c r="S76" s="62">
        <f t="shared" ca="1" si="47"/>
        <v>0</v>
      </c>
      <c r="T76" s="57">
        <f ca="1">IFERROR(__xludf.DUMMYFUNCTION("IMPORTRANGE(""https://docs.google.com/spreadsheets/d/1FbzMZY_f3MDiEuK7RpCQKrilJ_kpX0Wm7QBZ1L7EjIU/edit?usp=sharing"",""ชุมพร!I560"")"),72063)</f>
        <v>72063</v>
      </c>
      <c r="U76" s="57">
        <f ca="1">IFERROR(__xludf.DUMMYFUNCTION("IMPORTRANGE(""https://docs.google.com/spreadsheets/d/1FbzMZY_f3MDiEuK7RpCQKrilJ_kpX0Wm7QBZ1L7EjIU/edit?usp=sharing"",""ชุมพร!I561"")"),5898)</f>
        <v>5898</v>
      </c>
      <c r="V76" s="63">
        <f ca="1">IFERROR(__xludf.DUMMYFUNCTION("IMPORTRANGE(""https://docs.google.com/spreadsheets/d/1FbzMZY_f3MDiEuK7RpCQKrilJ_kpX0Wm7QBZ1L7EjIU/edit?usp=sharing"",""ชุมพร!J560"")"),72063)</f>
        <v>72063</v>
      </c>
      <c r="W76" s="63">
        <f t="shared" ca="1" si="37"/>
        <v>100</v>
      </c>
      <c r="X76" s="57">
        <f ca="1">IFERROR(__xludf.DUMMYFUNCTION("IMPORTRANGE(""https://docs.google.com/spreadsheets/d/1FbzMZY_f3MDiEuK7RpCQKrilJ_kpX0Wm7QBZ1L7EjIU/edit?usp=sharing"",""ชุมพร!J561"")"),5898)</f>
        <v>5898</v>
      </c>
      <c r="Y76" s="63">
        <f t="shared" ca="1" si="7"/>
        <v>100</v>
      </c>
      <c r="Z76" s="63">
        <f ca="1">IFERROR(__xludf.DUMMYFUNCTION("IMPORTRANGE(""https://docs.google.com/spreadsheets/d/1FbzMZY_f3MDiEuK7RpCQKrilJ_kpX0Wm7QBZ1L7EjIU/edit?usp=sharing"",""ชุมพร!J562"")"),63211)</f>
        <v>63211</v>
      </c>
      <c r="AA76" s="140">
        <f ca="1">IFERROR(__xludf.DUMMYFUNCTION("IMPORTRANGE(""https://docs.google.com/spreadsheets/d/1FbzMZY_f3MDiEuK7RpCQKrilJ_kpX0Wm7QBZ1L7EjIU/edit?usp=sharing"",""ชุมพร!J563"")"),5198)</f>
        <v>5198</v>
      </c>
      <c r="AB76" s="63">
        <f ca="1">IFERROR(__xludf.DUMMYFUNCTION("IMPORTRANGE(""https://docs.google.com/spreadsheets/d/1FbzMZY_f3MDiEuK7RpCQKrilJ_kpX0Wm7QBZ1L7EjIU/edit?usp=sharing"",""ชุมพร!J564"")"),7386)</f>
        <v>7386</v>
      </c>
      <c r="AC76" s="140">
        <f ca="1">IFERROR(__xludf.DUMMYFUNCTION("IMPORTRANGE(""https://docs.google.com/spreadsheets/d/1FbzMZY_f3MDiEuK7RpCQKrilJ_kpX0Wm7QBZ1L7EjIU/edit?usp=sharing"",""ชุมพร!J565"")"),567)</f>
        <v>567</v>
      </c>
      <c r="AD76" s="63">
        <f ca="1">IFERROR(__xludf.DUMMYFUNCTION("IMPORTRANGE(""https://docs.google.com/spreadsheets/d/1FbzMZY_f3MDiEuK7RpCQKrilJ_kpX0Wm7QBZ1L7EjIU/edit?usp=sharing"",""ชุมพร!J566"")"),1466)</f>
        <v>1466</v>
      </c>
      <c r="AE76" s="140">
        <f ca="1">IFERROR(__xludf.DUMMYFUNCTION("IMPORTRANGE(""https://docs.google.com/spreadsheets/d/1FbzMZY_f3MDiEuK7RpCQKrilJ_kpX0Wm7QBZ1L7EjIU/edit?usp=sharing"",""ชุมพร!J567"")"),133)</f>
        <v>133</v>
      </c>
      <c r="AF76" s="57">
        <f ca="1">IFERROR(__xludf.DUMMYFUNCTION("IMPORTRANGE(""https://docs.google.com/spreadsheets/d/1FbzMZY_f3MDiEuK7RpCQKrilJ_kpX0Wm7QBZ1L7EjIU/edit?usp=sharing"",""ชุมพร!I568"")"),72063)</f>
        <v>72063</v>
      </c>
      <c r="AG76" s="57">
        <f ca="1">IFERROR(__xludf.DUMMYFUNCTION("IMPORTRANGE(""https://docs.google.com/spreadsheets/d/1FbzMZY_f3MDiEuK7RpCQKrilJ_kpX0Wm7QBZ1L7EjIU/edit?usp=sharing"",""ชุมพร!I569"")"),5898)</f>
        <v>5898</v>
      </c>
      <c r="AH76" s="63">
        <f ca="1">IFERROR(__xludf.DUMMYFUNCTION("IMPORTRANGE(""https://docs.google.com/spreadsheets/d/1FbzMZY_f3MDiEuK7RpCQKrilJ_kpX0Wm7QBZ1L7EjIU/edit?usp=sharing"",""ชุมพร!J568"")"),72064)</f>
        <v>72064</v>
      </c>
      <c r="AI76" s="63">
        <f t="shared" ca="1" si="38"/>
        <v>100.00138767467355</v>
      </c>
      <c r="AJ76" s="57">
        <f ca="1">IFERROR(__xludf.DUMMYFUNCTION("IMPORTRANGE(""https://docs.google.com/spreadsheets/d/1FbzMZY_f3MDiEuK7RpCQKrilJ_kpX0Wm7QBZ1L7EjIU/edit?usp=sharing"",""ชุมพร!J569"")"),5898)</f>
        <v>5898</v>
      </c>
      <c r="AK76" s="63">
        <f t="shared" ca="1" si="10"/>
        <v>100</v>
      </c>
      <c r="AL76" s="63">
        <f ca="1">IFERROR(__xludf.DUMMYFUNCTION("IMPORTRANGE(""https://docs.google.com/spreadsheets/d/1FbzMZY_f3MDiEuK7RpCQKrilJ_kpX0Wm7QBZ1L7EjIU/edit?usp=sharing"",""ชุมพร!J570"")"),63638)</f>
        <v>63638</v>
      </c>
      <c r="AM76" s="140">
        <f ca="1">IFERROR(__xludf.DUMMYFUNCTION("IMPORTRANGE(""https://docs.google.com/spreadsheets/d/1FbzMZY_f3MDiEuK7RpCQKrilJ_kpX0Wm7QBZ1L7EjIU/edit?usp=sharing"",""ชุมพร!J571"")"),5234)</f>
        <v>5234</v>
      </c>
      <c r="AN76" s="63">
        <f ca="1">IFERROR(__xludf.DUMMYFUNCTION("IMPORTRANGE(""https://docs.google.com/spreadsheets/d/1FbzMZY_f3MDiEuK7RpCQKrilJ_kpX0Wm7QBZ1L7EjIU/edit?usp=sharing"",""ชุมพร!J572"")"),6893)</f>
        <v>6893</v>
      </c>
      <c r="AO76" s="140">
        <f ca="1">IFERROR(__xludf.DUMMYFUNCTION("IMPORTRANGE(""https://docs.google.com/spreadsheets/d/1FbzMZY_f3MDiEuK7RpCQKrilJ_kpX0Wm7QBZ1L7EjIU/edit?usp=sharing"",""ชุมพร!J573"")"),529)</f>
        <v>529</v>
      </c>
      <c r="AP76" s="63">
        <f ca="1">IFERROR(__xludf.DUMMYFUNCTION("IMPORTRANGE(""https://docs.google.com/spreadsheets/d/1FbzMZY_f3MDiEuK7RpCQKrilJ_kpX0Wm7QBZ1L7EjIU/edit?usp=sharing"",""ชุมพร!J574"")"),1533)</f>
        <v>1533</v>
      </c>
      <c r="AQ76" s="140">
        <f ca="1">IFERROR(__xludf.DUMMYFUNCTION("IMPORTRANGE(""https://docs.google.com/spreadsheets/d/1FbzMZY_f3MDiEuK7RpCQKrilJ_kpX0Wm7QBZ1L7EjIU/edit?usp=sharing"",""ชุมพร!J575"")"),135)</f>
        <v>135</v>
      </c>
      <c r="AR76" s="57">
        <f ca="1">IFERROR(__xludf.DUMMYFUNCTION("IMPORTRANGE(""https://docs.google.com/spreadsheets/d/1FbzMZY_f3MDiEuK7RpCQKrilJ_kpX0Wm7QBZ1L7EjIU/edit?usp=sharing"",""ชุมพร!I576"")"),72063)</f>
        <v>72063</v>
      </c>
      <c r="AS76" s="57">
        <f ca="1">IFERROR(__xludf.DUMMYFUNCTION("IMPORTRANGE(""https://docs.google.com/spreadsheets/d/1FbzMZY_f3MDiEuK7RpCQKrilJ_kpX0Wm7QBZ1L7EjIU/edit?usp=sharing"",""ชุมพร!I577"")"),5898)</f>
        <v>5898</v>
      </c>
      <c r="AT76" s="63">
        <f ca="1">IFERROR(__xludf.DUMMYFUNCTION("IMPORTRANGE(""https://docs.google.com/spreadsheets/d/1FbzMZY_f3MDiEuK7RpCQKrilJ_kpX0Wm7QBZ1L7EjIU/edit?usp=sharing"",""ชุมพร!J576"")"),72064)</f>
        <v>72064</v>
      </c>
      <c r="AU76" s="63">
        <f t="shared" ca="1" si="39"/>
        <v>100.00138767467355</v>
      </c>
      <c r="AV76" s="57">
        <f ca="1">IFERROR(__xludf.DUMMYFUNCTION("IMPORTRANGE(""https://docs.google.com/spreadsheets/d/1FbzMZY_f3MDiEuK7RpCQKrilJ_kpX0Wm7QBZ1L7EjIU/edit?usp=sharing"",""ชุมพร!J577"")"),5898)</f>
        <v>5898</v>
      </c>
      <c r="AW76" s="63">
        <f t="shared" ca="1" si="13"/>
        <v>100</v>
      </c>
      <c r="AX76" s="63">
        <f ca="1">IFERROR(__xludf.DUMMYFUNCTION("IMPORTRANGE(""https://docs.google.com/spreadsheets/d/1FbzMZY_f3MDiEuK7RpCQKrilJ_kpX0Wm7QBZ1L7EjIU/edit?usp=sharing"",""ชุมพร!J578"")"),63638)</f>
        <v>63638</v>
      </c>
      <c r="AY76" s="140">
        <f ca="1">IFERROR(__xludf.DUMMYFUNCTION("IMPORTRANGE(""https://docs.google.com/spreadsheets/d/1FbzMZY_f3MDiEuK7RpCQKrilJ_kpX0Wm7QBZ1L7EjIU/edit?usp=sharing"",""ชุมพร!J579"")"),5234)</f>
        <v>5234</v>
      </c>
      <c r="AZ76" s="63">
        <f ca="1">IFERROR(__xludf.DUMMYFUNCTION("IMPORTRANGE(""https://docs.google.com/spreadsheets/d/1FbzMZY_f3MDiEuK7RpCQKrilJ_kpX0Wm7QBZ1L7EjIU/edit?usp=sharing"",""ชุมพร!J580"")"),6893)</f>
        <v>6893</v>
      </c>
      <c r="BA76" s="140">
        <f ca="1">IFERROR(__xludf.DUMMYFUNCTION("IMPORTRANGE(""https://docs.google.com/spreadsheets/d/1FbzMZY_f3MDiEuK7RpCQKrilJ_kpX0Wm7QBZ1L7EjIU/edit?usp=sharing"",""ชุมพร!J581"")"),529)</f>
        <v>529</v>
      </c>
      <c r="BB76" s="63">
        <f ca="1">IFERROR(__xludf.DUMMYFUNCTION("IMPORTRANGE(""https://docs.google.com/spreadsheets/d/1FbzMZY_f3MDiEuK7RpCQKrilJ_kpX0Wm7QBZ1L7EjIU/edit?usp=sharing"",""ชุมพร!J582"")"),1533)</f>
        <v>1533</v>
      </c>
      <c r="BC76" s="140">
        <f ca="1">IFERROR(__xludf.DUMMYFUNCTION("IMPORTRANGE(""https://docs.google.com/spreadsheets/d/1FbzMZY_f3MDiEuK7RpCQKrilJ_kpX0Wm7QBZ1L7EjIU/edit?usp=sharing"",""ชุมพร!J583"")"),135)</f>
        <v>135</v>
      </c>
      <c r="BD76" s="141">
        <f ca="1">IFERROR(__xludf.DUMMYFUNCTION("IMPORTRANGE(""https://docs.google.com/spreadsheets/d/1FbzMZY_f3MDiEuK7RpCQKrilJ_kpX0Wm7QBZ1L7EjIU/edit?usp=sharing"",""ชุมพร!J584"")"),1533)</f>
        <v>1533</v>
      </c>
      <c r="BE76" s="140">
        <f ca="1">IFERROR(__xludf.DUMMYFUNCTION("IMPORTRANGE(""https://docs.google.com/spreadsheets/d/1FbzMZY_f3MDiEuK7RpCQKrilJ_kpX0Wm7QBZ1L7EjIU/edit?usp=sharing"",""ชุมพร!J585"")"),135)</f>
        <v>135</v>
      </c>
      <c r="BF76" s="141">
        <f ca="1">IFERROR(__xludf.DUMMYFUNCTION("IMPORTRANGE(""https://docs.google.com/spreadsheets/d/1FbzMZY_f3MDiEuK7RpCQKrilJ_kpX0Wm7QBZ1L7EjIU/edit?usp=sharing"",""ชุมพร!J586"")"),0)</f>
        <v>0</v>
      </c>
      <c r="BG76" s="140">
        <f ca="1">IFERROR(__xludf.DUMMYFUNCTION("IMPORTRANGE(""https://docs.google.com/spreadsheets/d/1FbzMZY_f3MDiEuK7RpCQKrilJ_kpX0Wm7QBZ1L7EjIU/edit?usp=sharing"",""ชุมพร!J587"")"),0)</f>
        <v>0</v>
      </c>
      <c r="BH76" s="63">
        <f ca="1">IFERROR(__xludf.DUMMYFUNCTION("IMPORTRANGE(""https://docs.google.com/spreadsheets/d/1FbzMZY_f3MDiEuK7RpCQKrilJ_kpX0Wm7QBZ1L7EjIU/edit?usp=sharing"",""ชุมพร!J588"")"),0)</f>
        <v>0</v>
      </c>
      <c r="BI76" s="140">
        <f ca="1">IFERROR(__xludf.DUMMYFUNCTION("IMPORTRANGE(""https://docs.google.com/spreadsheets/d/1FbzMZY_f3MDiEuK7RpCQKrilJ_kpX0Wm7QBZ1L7EjIU/edit?usp=sharing"",""ชุมพร!J589"")"),0)</f>
        <v>0</v>
      </c>
      <c r="BJ76" s="63">
        <f ca="1">IFERROR(__xludf.DUMMYFUNCTION("IMPORTRANGE(""https://docs.google.com/spreadsheets/d/1FbzMZY_f3MDiEuK7RpCQKrilJ_kpX0Wm7QBZ1L7EjIU/edit?usp=sharing"",""ชุมพร!J590"")"),0)</f>
        <v>0</v>
      </c>
      <c r="BK76" s="140">
        <f ca="1">IFERROR(__xludf.DUMMYFUNCTION("IMPORTRANGE(""https://docs.google.com/spreadsheets/d/1FbzMZY_f3MDiEuK7RpCQKrilJ_kpX0Wm7QBZ1L7EjIU/edit?usp=sharing"",""ชุมพร!J591"")"),0)</f>
        <v>0</v>
      </c>
      <c r="BL76" s="57">
        <f ca="1">IFERROR(__xludf.DUMMYFUNCTION("IMPORTRANGE(""https://docs.google.com/spreadsheets/d/1FbzMZY_f3MDiEuK7RpCQKrilJ_kpX0Wm7QBZ1L7EjIU/edit?usp=sharing"",""ชุมพร!I593"")"),11583.05)</f>
        <v>11583.05</v>
      </c>
      <c r="BM76" s="57">
        <f ca="1">IFERROR(__xludf.DUMMYFUNCTION("IMPORTRANGE(""https://docs.google.com/spreadsheets/d/1FbzMZY_f3MDiEuK7RpCQKrilJ_kpX0Wm7QBZ1L7EjIU/edit?usp=sharing"",""ชุมพร!I594"")"),1156)</f>
        <v>1156</v>
      </c>
      <c r="BN76" s="63">
        <f ca="1">IFERROR(__xludf.DUMMYFUNCTION("IMPORTRANGE(""https://docs.google.com/spreadsheets/d/1FbzMZY_f3MDiEuK7RpCQKrilJ_kpX0Wm7QBZ1L7EjIU/edit?usp=sharing"",""ชุมพร!J593"")"),0)</f>
        <v>0</v>
      </c>
      <c r="BO76" s="63">
        <f t="shared" ca="1" si="40"/>
        <v>0</v>
      </c>
      <c r="BP76" s="57">
        <f ca="1">IFERROR(__xludf.DUMMYFUNCTION("IMPORTRANGE(""https://docs.google.com/spreadsheets/d/1FbzMZY_f3MDiEuK7RpCQKrilJ_kpX0Wm7QBZ1L7EjIU/edit?usp=sharing"",""ชุมพร!J594"")"),0)</f>
        <v>0</v>
      </c>
      <c r="BQ76" s="63">
        <f t="shared" ca="1" si="16"/>
        <v>0</v>
      </c>
      <c r="BR76" s="63">
        <f ca="1">IFERROR(__xludf.DUMMYFUNCTION("IMPORTRANGE(""https://docs.google.com/spreadsheets/d/1FbzMZY_f3MDiEuK7RpCQKrilJ_kpX0Wm7QBZ1L7EjIU/edit?usp=sharing"",""ชุมพร!J595"")"),0)</f>
        <v>0</v>
      </c>
      <c r="BS76" s="140">
        <f ca="1">IFERROR(__xludf.DUMMYFUNCTION("IMPORTRANGE(""https://docs.google.com/spreadsheets/d/1FbzMZY_f3MDiEuK7RpCQKrilJ_kpX0Wm7QBZ1L7EjIU/edit?usp=sharing"",""ชุมพร!J596"")"),0)</f>
        <v>0</v>
      </c>
      <c r="BT76" s="63">
        <f ca="1">IFERROR(__xludf.DUMMYFUNCTION("IMPORTRANGE(""https://docs.google.com/spreadsheets/d/1FbzMZY_f3MDiEuK7RpCQKrilJ_kpX0Wm7QBZ1L7EjIU/edit?usp=sharing"",""ชุมพร!J597"")"),0)</f>
        <v>0</v>
      </c>
      <c r="BU76" s="140">
        <f ca="1">IFERROR(__xludf.DUMMYFUNCTION("IMPORTRANGE(""https://docs.google.com/spreadsheets/d/1FbzMZY_f3MDiEuK7RpCQKrilJ_kpX0Wm7QBZ1L7EjIU/edit?usp=sharing"",""ชุมพร!J598"")"),0)</f>
        <v>0</v>
      </c>
      <c r="BV76" s="63">
        <f ca="1">IFERROR(__xludf.DUMMYFUNCTION("IMPORTRANGE(""https://docs.google.com/spreadsheets/d/1FbzMZY_f3MDiEuK7RpCQKrilJ_kpX0Wm7QBZ1L7EjIU/edit?usp=sharing"",""ชุมพร!J599"")"),0)</f>
        <v>0</v>
      </c>
      <c r="BW76" s="140">
        <f ca="1">IFERROR(__xludf.DUMMYFUNCTION("IMPORTRANGE(""https://docs.google.com/spreadsheets/d/1FbzMZY_f3MDiEuK7RpCQKrilJ_kpX0Wm7QBZ1L7EjIU/edit?usp=sharing"",""ชุมพร!J600"")"),0)</f>
        <v>0</v>
      </c>
      <c r="BX76" s="141">
        <f ca="1">IFERROR(__xludf.DUMMYFUNCTION("IMPORTRANGE(""https://docs.google.com/spreadsheets/d/1FbzMZY_f3MDiEuK7RpCQKrilJ_kpX0Wm7QBZ1L7EjIU/edit?usp=sharing"",""ชุมพร!J601"")"),0)</f>
        <v>0</v>
      </c>
      <c r="BY76" s="140">
        <f ca="1">IFERROR(__xludf.DUMMYFUNCTION("IMPORTRANGE(""https://docs.google.com/spreadsheets/d/1FbzMZY_f3MDiEuK7RpCQKrilJ_kpX0Wm7QBZ1L7EjIU/edit?usp=sharing"",""ชุมพร!J602"")"),0)</f>
        <v>0</v>
      </c>
      <c r="BZ76" s="63">
        <f ca="1">IFERROR(__xludf.DUMMYFUNCTION("IMPORTRANGE(""https://docs.google.com/spreadsheets/d/1FbzMZY_f3MDiEuK7RpCQKrilJ_kpX0Wm7QBZ1L7EjIU/edit?usp=sharing"",""ชุมพร!J603"")"),0)</f>
        <v>0</v>
      </c>
      <c r="CA76" s="140">
        <f ca="1">IFERROR(__xludf.DUMMYFUNCTION("IMPORTRANGE(""https://docs.google.com/spreadsheets/d/1FbzMZY_f3MDiEuK7RpCQKrilJ_kpX0Wm7QBZ1L7EjIU/edit?usp=sharing"",""ชุมพร!J604"")"),0)</f>
        <v>0</v>
      </c>
      <c r="CB76" s="63">
        <f ca="1">IFERROR(__xludf.DUMMYFUNCTION("IMPORTRANGE(""https://docs.google.com/spreadsheets/d/1FbzMZY_f3MDiEuK7RpCQKrilJ_kpX0Wm7QBZ1L7EjIU/edit?usp=sharing"",""ชุมพร!J605"")"),0)</f>
        <v>0</v>
      </c>
      <c r="CC76" s="140">
        <f ca="1">IFERROR(__xludf.DUMMYFUNCTION("IMPORTRANGE(""https://docs.google.com/spreadsheets/d/1FbzMZY_f3MDiEuK7RpCQKrilJ_kpX0Wm7QBZ1L7EjIU/edit?usp=sharing"",""ชุมพร!J606"")"),0)</f>
        <v>0</v>
      </c>
      <c r="CD76" s="63">
        <f ca="1">IFERROR(__xludf.DUMMYFUNCTION("IMPORTRANGE(""https://docs.google.com/spreadsheets/d/1FbzMZY_f3MDiEuK7RpCQKrilJ_kpX0Wm7QBZ1L7EjIU/edit?usp=sharing"",""ชุมพร!J607"")"),0)</f>
        <v>0</v>
      </c>
      <c r="CE76" s="140">
        <f ca="1">IFERROR(__xludf.DUMMYFUNCTION("IMPORTRANGE(""https://docs.google.com/spreadsheets/d/1FbzMZY_f3MDiEuK7RpCQKrilJ_kpX0Wm7QBZ1L7EjIU/edit?usp=sharing"",""ชุมพร!J608"")"),0)</f>
        <v>0</v>
      </c>
      <c r="CF76" s="63">
        <f ca="1">IFERROR(__xludf.DUMMYFUNCTION("IMPORTRANGE(""https://docs.google.com/spreadsheets/d/1FbzMZY_f3MDiEuK7RpCQKrilJ_kpX0Wm7QBZ1L7EjIU/edit?usp=sharing"",""ชุมพร!J609"")"),0)</f>
        <v>0</v>
      </c>
      <c r="CG76" s="140">
        <f ca="1">IFERROR(__xludf.DUMMYFUNCTION("IMPORTRANGE(""https://docs.google.com/spreadsheets/d/1FbzMZY_f3MDiEuK7RpCQKrilJ_kpX0Wm7QBZ1L7EjIU/edit?usp=sharing"",""ชุมพร!J610"")"),0)</f>
        <v>0</v>
      </c>
      <c r="CH76" s="140">
        <f ca="1">IFERROR(__xludf.DUMMYFUNCTION("IMPORTRANGE(""https://docs.google.com/spreadsheets/d/1FbzMZY_f3MDiEuK7RpCQKrilJ_kpX0Wm7QBZ1L7EjIU/edit?usp=sharing"",""ชุมพร!I612"")"),0)</f>
        <v>0</v>
      </c>
      <c r="CI76" s="140">
        <f ca="1">IFERROR(__xludf.DUMMYFUNCTION("IMPORTRANGE(""https://docs.google.com/spreadsheets/d/1FbzMZY_f3MDiEuK7RpCQKrilJ_kpX0Wm7QBZ1L7EjIU/edit?usp=sharing"",""ชุมพร!I594"")"),1156)</f>
        <v>1156</v>
      </c>
      <c r="CJ76" s="141">
        <f ca="1">IFERROR(__xludf.DUMMYFUNCTION("IMPORTRANGE(""https://docs.google.com/spreadsheets/d/1FbzMZY_f3MDiEuK7RpCQKrilJ_kpX0Wm7QBZ1L7EjIU/edit?usp=sharing"",""ชุมพร!J612"")"),0)</f>
        <v>0</v>
      </c>
      <c r="CK76" s="141">
        <f t="shared" ca="1" si="41"/>
        <v>0</v>
      </c>
      <c r="CL76" s="140">
        <f ca="1">IFERROR(__xludf.DUMMYFUNCTION("IMPORTRANGE(""https://docs.google.com/spreadsheets/d/1FbzMZY_f3MDiEuK7RpCQKrilJ_kpX0Wm7QBZ1L7EjIU/edit?usp=sharing"",""ชุมพร!J613"")"),0)</f>
        <v>0</v>
      </c>
      <c r="CM76" s="141">
        <f t="shared" ca="1" si="19"/>
        <v>0</v>
      </c>
      <c r="CN76" s="63">
        <f ca="1">IFERROR(__xludf.DUMMYFUNCTION("IMPORTRANGE(""https://docs.google.com/spreadsheets/d/1FbzMZY_f3MDiEuK7RpCQKrilJ_kpX0Wm7QBZ1L7EjIU/edit?usp=sharing"",""ชุมพร!J614"")"),0)</f>
        <v>0</v>
      </c>
      <c r="CO76" s="140">
        <f ca="1">IFERROR(__xludf.DUMMYFUNCTION("IMPORTRANGE(""https://docs.google.com/spreadsheets/d/1FbzMZY_f3MDiEuK7RpCQKrilJ_kpX0Wm7QBZ1L7EjIU/edit?usp=sharing"",""ชุมพร!J615"")"),0)</f>
        <v>0</v>
      </c>
      <c r="CP76" s="63">
        <f ca="1">IFERROR(__xludf.DUMMYFUNCTION("IMPORTRANGE(""https://docs.google.com/spreadsheets/d/1FbzMZY_f3MDiEuK7RpCQKrilJ_kpX0Wm7QBZ1L7EjIU/edit?usp=sharing"",""ชุมพร!J616"")"),0)</f>
        <v>0</v>
      </c>
      <c r="CQ76" s="140">
        <f ca="1">IFERROR(__xludf.DUMMYFUNCTION("IMPORTRANGE(""https://docs.google.com/spreadsheets/d/1FbzMZY_f3MDiEuK7RpCQKrilJ_kpX0Wm7QBZ1L7EjIU/edit?usp=sharing"",""ชุมพร!J617"")"),0)</f>
        <v>0</v>
      </c>
      <c r="CR76" s="140">
        <f ca="1">IFERROR(__xludf.DUMMYFUNCTION("IMPORTRANGE(""https://docs.google.com/spreadsheets/d/1FbzMZY_f3MDiEuK7RpCQKrilJ_kpX0Wm7QBZ1L7EjIU/edit?usp=sharing"",""ชุมพร!I620"")"),0)</f>
        <v>0</v>
      </c>
      <c r="CS76" s="140">
        <f ca="1">IFERROR(__xludf.DUMMYFUNCTION("IMPORTRANGE(""https://docs.google.com/spreadsheets/d/1FbzMZY_f3MDiEuK7RpCQKrilJ_kpX0Wm7QBZ1L7EjIU/edit?usp=sharing"",""ชุมพร!I621"")"),0)</f>
        <v>0</v>
      </c>
      <c r="CT76" s="141">
        <f ca="1">IFERROR(__xludf.DUMMYFUNCTION("IMPORTRANGE(""https://docs.google.com/spreadsheets/d/1FbzMZY_f3MDiEuK7RpCQKrilJ_kpX0Wm7QBZ1L7EjIU/edit?usp=sharing"",""ชุมพร!J620"")"),0)</f>
        <v>0</v>
      </c>
      <c r="CU76" s="141">
        <f t="shared" ca="1" si="42"/>
        <v>0</v>
      </c>
      <c r="CV76" s="140">
        <f ca="1">IFERROR(__xludf.DUMMYFUNCTION("IMPORTRANGE(""https://docs.google.com/spreadsheets/d/1FbzMZY_f3MDiEuK7RpCQKrilJ_kpX0Wm7QBZ1L7EjIU/edit?usp=sharing"",""ชุมพร!J621"")"),0)</f>
        <v>0</v>
      </c>
      <c r="CW76" s="141">
        <f t="shared" ca="1" si="22"/>
        <v>0</v>
      </c>
      <c r="CX76" s="63">
        <f ca="1">IFERROR(__xludf.DUMMYFUNCTION("IMPORTRANGE(""https://docs.google.com/spreadsheets/d/1FbzMZY_f3MDiEuK7RpCQKrilJ_kpX0Wm7QBZ1L7EjIU/edit?usp=sharing"",""ชุมพร!J622"")"),0)</f>
        <v>0</v>
      </c>
      <c r="CY76" s="140">
        <f ca="1">IFERROR(__xludf.DUMMYFUNCTION("IMPORTRANGE(""https://docs.google.com/spreadsheets/d/1FbzMZY_f3MDiEuK7RpCQKrilJ_kpX0Wm7QBZ1L7EjIU/edit?usp=sharing"",""ชุมพร!J623"")"),0)</f>
        <v>0</v>
      </c>
      <c r="CZ76" s="63">
        <f ca="1">IFERROR(__xludf.DUMMYFUNCTION("IMPORTRANGE(""https://docs.google.com/spreadsheets/d/1FbzMZY_f3MDiEuK7RpCQKrilJ_kpX0Wm7QBZ1L7EjIU/edit?usp=sharing"",""ชุมพร!J624"")"),0)</f>
        <v>0</v>
      </c>
      <c r="DA76" s="140">
        <f ca="1">IFERROR(__xludf.DUMMYFUNCTION("IMPORTRANGE(""https://docs.google.com/spreadsheets/d/1FbzMZY_f3MDiEuK7RpCQKrilJ_kpX0Wm7QBZ1L7EjIU/edit?usp=sharing"",""ชุมพร!J625"")"),0)</f>
        <v>0</v>
      </c>
      <c r="DB76" s="63">
        <f ca="1">IFERROR(__xludf.DUMMYFUNCTION("IMPORTRANGE(""https://docs.google.com/spreadsheets/d/1FbzMZY_f3MDiEuK7RpCQKrilJ_kpX0Wm7QBZ1L7EjIU/edit?usp=sharing"",""ชุมพร!J626"")"),0)</f>
        <v>0</v>
      </c>
      <c r="DC76" s="140">
        <f ca="1">IFERROR(__xludf.DUMMYFUNCTION("IMPORTRANGE(""https://docs.google.com/spreadsheets/d/1FbzMZY_f3MDiEuK7RpCQKrilJ_kpX0Wm7QBZ1L7EjIU/edit?usp=sharing"",""ชุมพร!J627"")"),0)</f>
        <v>0</v>
      </c>
    </row>
    <row r="77" spans="1:107" ht="21" customHeight="1" x14ac:dyDescent="0.3">
      <c r="A77" s="54">
        <v>3</v>
      </c>
      <c r="B77" s="55" t="s">
        <v>98</v>
      </c>
      <c r="C77" s="56">
        <f t="shared" ca="1" si="88"/>
        <v>348529</v>
      </c>
      <c r="D77" s="57">
        <f ca="1">IFERROR(__xludf.DUMMYFUNCTION("IMPORTRANGE(""https://docs.google.com/spreadsheets/d/1v5sN-00LrXuhBxw4dkh2GrG_z4l5oAqOdJRBCsUyMaM/edit?usp=sharing"",""ตรัง!L549"")"),348529)</f>
        <v>348529</v>
      </c>
      <c r="E77" s="64">
        <f ca="1">IFERROR(__xludf.DUMMYFUNCTION("IMPORTRANGE(""https://docs.google.com/spreadsheets/d/1v5sN-00LrXuhBxw4dkh2GrG_z4l5oAqOdJRBCsUyMaM/edit?usp=sharing"",""ตรัง!L557"")"),0)</f>
        <v>0</v>
      </c>
      <c r="F77" s="64">
        <f ca="1">IFERROR(__xludf.DUMMYFUNCTION("IMPORTRANGE(""https://docs.google.com/spreadsheets/d/1v5sN-00LrXuhBxw4dkh2GrG_z4l5oAqOdJRBCsUyMaM/edit?usp=sharing"",""ตรัง!M549"")"),348529)</f>
        <v>348529</v>
      </c>
      <c r="G77" s="64">
        <f ca="1">IFERROR(__xludf.DUMMYFUNCTION("IMPORTRANGE(""https://docs.google.com/spreadsheets/d/1v5sN-00LrXuhBxw4dkh2GrG_z4l5oAqOdJRBCsUyMaM/edit?usp=sharing"",""ตรัง!M557"")"),0)</f>
        <v>0</v>
      </c>
      <c r="H77" s="58">
        <f t="shared" ca="1" si="36"/>
        <v>162608.16999999998</v>
      </c>
      <c r="I77" s="59">
        <f t="shared" ca="1" si="1"/>
        <v>46.655563812480452</v>
      </c>
      <c r="J77" s="60">
        <f t="shared" ca="1" si="89"/>
        <v>162608.16999999998</v>
      </c>
      <c r="K77" s="61">
        <f t="shared" ca="1" si="44"/>
        <v>46.655563812480452</v>
      </c>
      <c r="L77" s="61">
        <f t="shared" ca="1" si="45"/>
        <v>46.655563812480452</v>
      </c>
      <c r="M77" s="64">
        <f ca="1">IFERROR(__xludf.DUMMYFUNCTION("IMPORTRANGE(""https://docs.google.com/spreadsheets/d/1v5sN-00LrXuhBxw4dkh2GrG_z4l5oAqOdJRBCsUyMaM/edit?usp=sharing"",""ตรัง!N550"")"),0)</f>
        <v>0</v>
      </c>
      <c r="N77" s="64">
        <f ca="1">IFERROR(__xludf.DUMMYFUNCTION("IMPORTRANGE(""https://docs.google.com/spreadsheets/d/1v5sN-00LrXuhBxw4dkh2GrG_z4l5oAqOdJRBCsUyMaM/edit?usp=sharing"",""ตรัง!N551"")"),0)</f>
        <v>0</v>
      </c>
      <c r="O77" s="64">
        <f ca="1">IFERROR(__xludf.DUMMYFUNCTION("IMPORTRANGE(""https://docs.google.com/spreadsheets/d/1v5sN-00LrXuhBxw4dkh2GrG_z4l5oAqOdJRBCsUyMaM/edit?usp=sharing"",""ตรัง!N552"")"),82027.75)</f>
        <v>82027.75</v>
      </c>
      <c r="P77" s="64">
        <f ca="1">IFERROR(__xludf.DUMMYFUNCTION("IMPORTRANGE(""https://docs.google.com/spreadsheets/d/1v5sN-00LrXuhBxw4dkh2GrG_z4l5oAqOdJRBCsUyMaM/edit?usp=sharing"",""ตรัง!N553"")"),80580.42)</f>
        <v>80580.42</v>
      </c>
      <c r="Q77" s="64">
        <f ca="1">IFERROR(__xludf.DUMMYFUNCTION("IMPORTRANGE(""https://docs.google.com/spreadsheets/d/1v5sN-00LrXuhBxw4dkh2GrG_z4l5oAqOdJRBCsUyMaM/edit?usp=sharing"",""ตรัง!N554"")"),0)</f>
        <v>0</v>
      </c>
      <c r="R77" s="62">
        <f ca="1">IFERROR(__xludf.DUMMYFUNCTION("IMPORTRANGE(""https://docs.google.com/spreadsheets/d/1v5sN-00LrXuhBxw4dkh2GrG_z4l5oAqOdJRBCsUyMaM/edit?usp=sharing"",""ตรัง!N557"")"),0)</f>
        <v>0</v>
      </c>
      <c r="S77" s="62">
        <f t="shared" ca="1" si="47"/>
        <v>0</v>
      </c>
      <c r="T77" s="57">
        <f ca="1">IFERROR(__xludf.DUMMYFUNCTION("IMPORTRANGE(""https://docs.google.com/spreadsheets/d/1v5sN-00LrXuhBxw4dkh2GrG_z4l5oAqOdJRBCsUyMaM/edit?usp=sharing"",""ตรัง!I560"")"),28605)</f>
        <v>28605</v>
      </c>
      <c r="U77" s="57">
        <f ca="1">IFERROR(__xludf.DUMMYFUNCTION("IMPORTRANGE(""https://docs.google.com/spreadsheets/d/1v5sN-00LrXuhBxw4dkh2GrG_z4l5oAqOdJRBCsUyMaM/edit?usp=sharing"",""ตรัง!I561"")"),3927)</f>
        <v>3927</v>
      </c>
      <c r="V77" s="63">
        <f ca="1">IFERROR(__xludf.DUMMYFUNCTION("IMPORTRANGE(""https://docs.google.com/spreadsheets/d/1v5sN-00LrXuhBxw4dkh2GrG_z4l5oAqOdJRBCsUyMaM/edit?usp=sharing"",""ตรัง!J560"")"),28605.34)</f>
        <v>28605.34</v>
      </c>
      <c r="W77" s="63">
        <f t="shared" ca="1" si="37"/>
        <v>100.00118860339101</v>
      </c>
      <c r="X77" s="57">
        <f ca="1">IFERROR(__xludf.DUMMYFUNCTION("IMPORTRANGE(""https://docs.google.com/spreadsheets/d/1v5sN-00LrXuhBxw4dkh2GrG_z4l5oAqOdJRBCsUyMaM/edit?usp=sharing"",""ตรัง!J561"")"),3927)</f>
        <v>3927</v>
      </c>
      <c r="Y77" s="63">
        <f t="shared" ca="1" si="7"/>
        <v>100</v>
      </c>
      <c r="Z77" s="63">
        <f ca="1">IFERROR(__xludf.DUMMYFUNCTION("IMPORTRANGE(""https://docs.google.com/spreadsheets/d/1v5sN-00LrXuhBxw4dkh2GrG_z4l5oAqOdJRBCsUyMaM/edit?usp=sharing"",""ตรัง!J562"")"),24700)</f>
        <v>24700</v>
      </c>
      <c r="AA77" s="140">
        <f ca="1">IFERROR(__xludf.DUMMYFUNCTION("IMPORTRANGE(""https://docs.google.com/spreadsheets/d/1v5sN-00LrXuhBxw4dkh2GrG_z4l5oAqOdJRBCsUyMaM/edit?usp=sharing"",""ตรัง!J563"")"),3423)</f>
        <v>3423</v>
      </c>
      <c r="AB77" s="63">
        <f ca="1">IFERROR(__xludf.DUMMYFUNCTION("IMPORTRANGE(""https://docs.google.com/spreadsheets/d/1v5sN-00LrXuhBxw4dkh2GrG_z4l5oAqOdJRBCsUyMaM/edit?usp=sharing"",""ตรัง!J564"")"),2580)</f>
        <v>2580</v>
      </c>
      <c r="AC77" s="140">
        <f ca="1">IFERROR(__xludf.DUMMYFUNCTION("IMPORTRANGE(""https://docs.google.com/spreadsheets/d/1v5sN-00LrXuhBxw4dkh2GrG_z4l5oAqOdJRBCsUyMaM/edit?usp=sharing"",""ตรัง!J565"")"),343)</f>
        <v>343</v>
      </c>
      <c r="AD77" s="63">
        <f ca="1">IFERROR(__xludf.DUMMYFUNCTION("IMPORTRANGE(""https://docs.google.com/spreadsheets/d/1v5sN-00LrXuhBxw4dkh2GrG_z4l5oAqOdJRBCsUyMaM/edit?usp=sharing"",""ตรัง!J566"")"),1325.34)</f>
        <v>1325.34</v>
      </c>
      <c r="AE77" s="140">
        <f ca="1">IFERROR(__xludf.DUMMYFUNCTION("IMPORTRANGE(""https://docs.google.com/spreadsheets/d/1v5sN-00LrXuhBxw4dkh2GrG_z4l5oAqOdJRBCsUyMaM/edit?usp=sharing"",""ตรัง!J567"")"),161)</f>
        <v>161</v>
      </c>
      <c r="AF77" s="57">
        <f ca="1">IFERROR(__xludf.DUMMYFUNCTION("IMPORTRANGE(""https://docs.google.com/spreadsheets/d/1v5sN-00LrXuhBxw4dkh2GrG_z4l5oAqOdJRBCsUyMaM/edit?usp=sharing"",""ตรัง!I568"")"),28605)</f>
        <v>28605</v>
      </c>
      <c r="AG77" s="57">
        <f ca="1">IFERROR(__xludf.DUMMYFUNCTION("IMPORTRANGE(""https://docs.google.com/spreadsheets/d/1v5sN-00LrXuhBxw4dkh2GrG_z4l5oAqOdJRBCsUyMaM/edit?usp=sharing"",""ตรัง!I569"")"),3927)</f>
        <v>3927</v>
      </c>
      <c r="AH77" s="63">
        <f ca="1">IFERROR(__xludf.DUMMYFUNCTION("IMPORTRANGE(""https://docs.google.com/spreadsheets/d/1v5sN-00LrXuhBxw4dkh2GrG_z4l5oAqOdJRBCsUyMaM/edit?usp=sharing"",""ตรัง!J568"")"),28605)</f>
        <v>28605</v>
      </c>
      <c r="AI77" s="63">
        <f t="shared" ca="1" si="38"/>
        <v>100</v>
      </c>
      <c r="AJ77" s="57">
        <f ca="1">IFERROR(__xludf.DUMMYFUNCTION("IMPORTRANGE(""https://docs.google.com/spreadsheets/d/1v5sN-00LrXuhBxw4dkh2GrG_z4l5oAqOdJRBCsUyMaM/edit?usp=sharing"",""ตรัง!J569"")"),3927)</f>
        <v>3927</v>
      </c>
      <c r="AK77" s="63">
        <f t="shared" ca="1" si="10"/>
        <v>100</v>
      </c>
      <c r="AL77" s="63">
        <f ca="1">IFERROR(__xludf.DUMMYFUNCTION("IMPORTRANGE(""https://docs.google.com/spreadsheets/d/1v5sN-00LrXuhBxw4dkh2GrG_z4l5oAqOdJRBCsUyMaM/edit?usp=sharing"",""ตรัง!J570"")"),24700)</f>
        <v>24700</v>
      </c>
      <c r="AM77" s="140">
        <f ca="1">IFERROR(__xludf.DUMMYFUNCTION("IMPORTRANGE(""https://docs.google.com/spreadsheets/d/1v5sN-00LrXuhBxw4dkh2GrG_z4l5oAqOdJRBCsUyMaM/edit?usp=sharing"",""ตรัง!J571"")"),3423)</f>
        <v>3423</v>
      </c>
      <c r="AN77" s="63">
        <f ca="1">IFERROR(__xludf.DUMMYFUNCTION("IMPORTRANGE(""https://docs.google.com/spreadsheets/d/1v5sN-00LrXuhBxw4dkh2GrG_z4l5oAqOdJRBCsUyMaM/edit?usp=sharing"",""ตรัง!J572"")"),2580)</f>
        <v>2580</v>
      </c>
      <c r="AO77" s="140">
        <f ca="1">IFERROR(__xludf.DUMMYFUNCTION("IMPORTRANGE(""https://docs.google.com/spreadsheets/d/1v5sN-00LrXuhBxw4dkh2GrG_z4l5oAqOdJRBCsUyMaM/edit?usp=sharing"",""ตรัง!J573"")"),343)</f>
        <v>343</v>
      </c>
      <c r="AP77" s="63">
        <f ca="1">IFERROR(__xludf.DUMMYFUNCTION("IMPORTRANGE(""https://docs.google.com/spreadsheets/d/1v5sN-00LrXuhBxw4dkh2GrG_z4l5oAqOdJRBCsUyMaM/edit?usp=sharing"",""ตรัง!J574"")"),1325)</f>
        <v>1325</v>
      </c>
      <c r="AQ77" s="140">
        <f ca="1">IFERROR(__xludf.DUMMYFUNCTION("IMPORTRANGE(""https://docs.google.com/spreadsheets/d/1v5sN-00LrXuhBxw4dkh2GrG_z4l5oAqOdJRBCsUyMaM/edit?usp=sharing"",""ตรัง!J575"")"),161)</f>
        <v>161</v>
      </c>
      <c r="AR77" s="57">
        <f ca="1">IFERROR(__xludf.DUMMYFUNCTION("IMPORTRANGE(""https://docs.google.com/spreadsheets/d/1v5sN-00LrXuhBxw4dkh2GrG_z4l5oAqOdJRBCsUyMaM/edit?usp=sharing"",""ตรัง!I576"")"),28605)</f>
        <v>28605</v>
      </c>
      <c r="AS77" s="57">
        <f ca="1">IFERROR(__xludf.DUMMYFUNCTION("IMPORTRANGE(""https://docs.google.com/spreadsheets/d/1v5sN-00LrXuhBxw4dkh2GrG_z4l5oAqOdJRBCsUyMaM/edit?usp=sharing"",""ตรัง!I577"")"),3927)</f>
        <v>3927</v>
      </c>
      <c r="AT77" s="63">
        <f ca="1">IFERROR(__xludf.DUMMYFUNCTION("IMPORTRANGE(""https://docs.google.com/spreadsheets/d/1v5sN-00LrXuhBxw4dkh2GrG_z4l5oAqOdJRBCsUyMaM/edit?usp=sharing"",""ตรัง!J576"")"),26025)</f>
        <v>26025</v>
      </c>
      <c r="AU77" s="63">
        <f t="shared" ca="1" si="39"/>
        <v>90.980597797587833</v>
      </c>
      <c r="AV77" s="57">
        <f ca="1">IFERROR(__xludf.DUMMYFUNCTION("IMPORTRANGE(""https://docs.google.com/spreadsheets/d/1v5sN-00LrXuhBxw4dkh2GrG_z4l5oAqOdJRBCsUyMaM/edit?usp=sharing"",""ตรัง!J577"")"),3584)</f>
        <v>3584</v>
      </c>
      <c r="AW77" s="63">
        <f t="shared" ca="1" si="13"/>
        <v>91.265597147950089</v>
      </c>
      <c r="AX77" s="63">
        <f ca="1">IFERROR(__xludf.DUMMYFUNCTION("IMPORTRANGE(""https://docs.google.com/spreadsheets/d/1v5sN-00LrXuhBxw4dkh2GrG_z4l5oAqOdJRBCsUyMaM/edit?usp=sharing"",""ตรัง!J578"")"),24700)</f>
        <v>24700</v>
      </c>
      <c r="AY77" s="140">
        <f ca="1">IFERROR(__xludf.DUMMYFUNCTION("IMPORTRANGE(""https://docs.google.com/spreadsheets/d/1v5sN-00LrXuhBxw4dkh2GrG_z4l5oAqOdJRBCsUyMaM/edit?usp=sharing"",""ตรัง!J579"")"),3423)</f>
        <v>3423</v>
      </c>
      <c r="AZ77" s="63">
        <f ca="1">IFERROR(__xludf.DUMMYFUNCTION("IMPORTRANGE(""https://docs.google.com/spreadsheets/d/1v5sN-00LrXuhBxw4dkh2GrG_z4l5oAqOdJRBCsUyMaM/edit?usp=sharing"",""ตรัง!J580"")"),0)</f>
        <v>0</v>
      </c>
      <c r="BA77" s="140">
        <f ca="1">IFERROR(__xludf.DUMMYFUNCTION("IMPORTRANGE(""https://docs.google.com/spreadsheets/d/1v5sN-00LrXuhBxw4dkh2GrG_z4l5oAqOdJRBCsUyMaM/edit?usp=sharing"",""ตรัง!J581"")"),0)</f>
        <v>0</v>
      </c>
      <c r="BB77" s="63">
        <f ca="1">IFERROR(__xludf.DUMMYFUNCTION("IMPORTRANGE(""https://docs.google.com/spreadsheets/d/1v5sN-00LrXuhBxw4dkh2GrG_z4l5oAqOdJRBCsUyMaM/edit?usp=sharing"",""ตรัง!J582"")"),1325)</f>
        <v>1325</v>
      </c>
      <c r="BC77" s="140">
        <f ca="1">IFERROR(__xludf.DUMMYFUNCTION("IMPORTRANGE(""https://docs.google.com/spreadsheets/d/1v5sN-00LrXuhBxw4dkh2GrG_z4l5oAqOdJRBCsUyMaM/edit?usp=sharing"",""ตรัง!J583"")"),161)</f>
        <v>161</v>
      </c>
      <c r="BD77" s="141">
        <f ca="1">IFERROR(__xludf.DUMMYFUNCTION("IMPORTRANGE(""https://docs.google.com/spreadsheets/d/1v5sN-00LrXuhBxw4dkh2GrG_z4l5oAqOdJRBCsUyMaM/edit?usp=sharing"",""ตรัง!J584"")"),1325)</f>
        <v>1325</v>
      </c>
      <c r="BE77" s="140">
        <f ca="1">IFERROR(__xludf.DUMMYFUNCTION("IMPORTRANGE(""https://docs.google.com/spreadsheets/d/1v5sN-00LrXuhBxw4dkh2GrG_z4l5oAqOdJRBCsUyMaM/edit?usp=sharing"",""ตรัง!J585"")"),161)</f>
        <v>161</v>
      </c>
      <c r="BF77" s="141">
        <f ca="1">IFERROR(__xludf.DUMMYFUNCTION("IMPORTRANGE(""https://docs.google.com/spreadsheets/d/1v5sN-00LrXuhBxw4dkh2GrG_z4l5oAqOdJRBCsUyMaM/edit?usp=sharing"",""ตรัง!J586"")"),0)</f>
        <v>0</v>
      </c>
      <c r="BG77" s="140">
        <f ca="1">IFERROR(__xludf.DUMMYFUNCTION("IMPORTRANGE(""https://docs.google.com/spreadsheets/d/1v5sN-00LrXuhBxw4dkh2GrG_z4l5oAqOdJRBCsUyMaM/edit?usp=sharing"",""ตรัง!J587"")"),0)</f>
        <v>0</v>
      </c>
      <c r="BH77" s="63">
        <f ca="1">IFERROR(__xludf.DUMMYFUNCTION("IMPORTRANGE(""https://docs.google.com/spreadsheets/d/1v5sN-00LrXuhBxw4dkh2GrG_z4l5oAqOdJRBCsUyMaM/edit?usp=sharing"",""ตรัง!J588"")"),0)</f>
        <v>0</v>
      </c>
      <c r="BI77" s="140">
        <f ca="1">IFERROR(__xludf.DUMMYFUNCTION("IMPORTRANGE(""https://docs.google.com/spreadsheets/d/1v5sN-00LrXuhBxw4dkh2GrG_z4l5oAqOdJRBCsUyMaM/edit?usp=sharing"",""ตรัง!J589"")"),0)</f>
        <v>0</v>
      </c>
      <c r="BJ77" s="63">
        <f ca="1">IFERROR(__xludf.DUMMYFUNCTION("IMPORTRANGE(""https://docs.google.com/spreadsheets/d/1v5sN-00LrXuhBxw4dkh2GrG_z4l5oAqOdJRBCsUyMaM/edit?usp=sharing"",""ตรัง!J590"")"),0)</f>
        <v>0</v>
      </c>
      <c r="BK77" s="140">
        <f ca="1">IFERROR(__xludf.DUMMYFUNCTION("IMPORTRANGE(""https://docs.google.com/spreadsheets/d/1v5sN-00LrXuhBxw4dkh2GrG_z4l5oAqOdJRBCsUyMaM/edit?usp=sharing"",""ตรัง!J591"")"),0)</f>
        <v>0</v>
      </c>
      <c r="BL77" s="57">
        <f ca="1">IFERROR(__xludf.DUMMYFUNCTION("IMPORTRANGE(""https://docs.google.com/spreadsheets/d/1v5sN-00LrXuhBxw4dkh2GrG_z4l5oAqOdJRBCsUyMaM/edit?usp=sharing"",""ตรัง!I593"")"),1717.29)</f>
        <v>1717.29</v>
      </c>
      <c r="BM77" s="57">
        <f ca="1">IFERROR(__xludf.DUMMYFUNCTION("IMPORTRANGE(""https://docs.google.com/spreadsheets/d/1v5sN-00LrXuhBxw4dkh2GrG_z4l5oAqOdJRBCsUyMaM/edit?usp=sharing"",""ตรัง!I594"")"),137)</f>
        <v>137</v>
      </c>
      <c r="BN77" s="63">
        <f ca="1">IFERROR(__xludf.DUMMYFUNCTION("IMPORTRANGE(""https://docs.google.com/spreadsheets/d/1v5sN-00LrXuhBxw4dkh2GrG_z4l5oAqOdJRBCsUyMaM/edit?usp=sharing"",""ตรัง!J593"")"),0)</f>
        <v>0</v>
      </c>
      <c r="BO77" s="63">
        <f t="shared" ca="1" si="40"/>
        <v>0</v>
      </c>
      <c r="BP77" s="57">
        <f ca="1">IFERROR(__xludf.DUMMYFUNCTION("IMPORTRANGE(""https://docs.google.com/spreadsheets/d/1v5sN-00LrXuhBxw4dkh2GrG_z4l5oAqOdJRBCsUyMaM/edit?usp=sharing"",""ตรัง!J594"")"),0)</f>
        <v>0</v>
      </c>
      <c r="BQ77" s="63">
        <f t="shared" ca="1" si="16"/>
        <v>0</v>
      </c>
      <c r="BR77" s="63">
        <f ca="1">IFERROR(__xludf.DUMMYFUNCTION("IMPORTRANGE(""https://docs.google.com/spreadsheets/d/1v5sN-00LrXuhBxw4dkh2GrG_z4l5oAqOdJRBCsUyMaM/edit?usp=sharing"",""ตรัง!J595"")"),0)</f>
        <v>0</v>
      </c>
      <c r="BS77" s="140">
        <f ca="1">IFERROR(__xludf.DUMMYFUNCTION("IMPORTRANGE(""https://docs.google.com/spreadsheets/d/1v5sN-00LrXuhBxw4dkh2GrG_z4l5oAqOdJRBCsUyMaM/edit?usp=sharing"",""ตรัง!J596"")"),0)</f>
        <v>0</v>
      </c>
      <c r="BT77" s="63">
        <f ca="1">IFERROR(__xludf.DUMMYFUNCTION("IMPORTRANGE(""https://docs.google.com/spreadsheets/d/1v5sN-00LrXuhBxw4dkh2GrG_z4l5oAqOdJRBCsUyMaM/edit?usp=sharing"",""ตรัง!J597"")"),0)</f>
        <v>0</v>
      </c>
      <c r="BU77" s="140">
        <f ca="1">IFERROR(__xludf.DUMMYFUNCTION("IMPORTRANGE(""https://docs.google.com/spreadsheets/d/1v5sN-00LrXuhBxw4dkh2GrG_z4l5oAqOdJRBCsUyMaM/edit?usp=sharing"",""ตรัง!J598"")"),0)</f>
        <v>0</v>
      </c>
      <c r="BV77" s="63">
        <f ca="1">IFERROR(__xludf.DUMMYFUNCTION("IMPORTRANGE(""https://docs.google.com/spreadsheets/d/1v5sN-00LrXuhBxw4dkh2GrG_z4l5oAqOdJRBCsUyMaM/edit?usp=sharing"",""ตรัง!J599"")"),0)</f>
        <v>0</v>
      </c>
      <c r="BW77" s="140">
        <f ca="1">IFERROR(__xludf.DUMMYFUNCTION("IMPORTRANGE(""https://docs.google.com/spreadsheets/d/1v5sN-00LrXuhBxw4dkh2GrG_z4l5oAqOdJRBCsUyMaM/edit?usp=sharing"",""ตรัง!J600"")"),0)</f>
        <v>0</v>
      </c>
      <c r="BX77" s="141">
        <f ca="1">IFERROR(__xludf.DUMMYFUNCTION("IMPORTRANGE(""https://docs.google.com/spreadsheets/d/1v5sN-00LrXuhBxw4dkh2GrG_z4l5oAqOdJRBCsUyMaM/edit?usp=sharing"",""ตรัง!J601"")"),0)</f>
        <v>0</v>
      </c>
      <c r="BY77" s="140">
        <f ca="1">IFERROR(__xludf.DUMMYFUNCTION("IMPORTRANGE(""https://docs.google.com/spreadsheets/d/1v5sN-00LrXuhBxw4dkh2GrG_z4l5oAqOdJRBCsUyMaM/edit?usp=sharing"",""ตรัง!J602"")"),0)</f>
        <v>0</v>
      </c>
      <c r="BZ77" s="63">
        <f ca="1">IFERROR(__xludf.DUMMYFUNCTION("IMPORTRANGE(""https://docs.google.com/spreadsheets/d/1v5sN-00LrXuhBxw4dkh2GrG_z4l5oAqOdJRBCsUyMaM/edit?usp=sharing"",""ตรัง!J603"")"),0)</f>
        <v>0</v>
      </c>
      <c r="CA77" s="140">
        <f ca="1">IFERROR(__xludf.DUMMYFUNCTION("IMPORTRANGE(""https://docs.google.com/spreadsheets/d/1v5sN-00LrXuhBxw4dkh2GrG_z4l5oAqOdJRBCsUyMaM/edit?usp=sharing"",""ตรัง!J604"")"),0)</f>
        <v>0</v>
      </c>
      <c r="CB77" s="63">
        <f ca="1">IFERROR(__xludf.DUMMYFUNCTION("IMPORTRANGE(""https://docs.google.com/spreadsheets/d/1v5sN-00LrXuhBxw4dkh2GrG_z4l5oAqOdJRBCsUyMaM/edit?usp=sharing"",""ตรัง!J605"")"),0)</f>
        <v>0</v>
      </c>
      <c r="CC77" s="140">
        <f ca="1">IFERROR(__xludf.DUMMYFUNCTION("IMPORTRANGE(""https://docs.google.com/spreadsheets/d/1v5sN-00LrXuhBxw4dkh2GrG_z4l5oAqOdJRBCsUyMaM/edit?usp=sharing"",""ตรัง!J606"")"),0)</f>
        <v>0</v>
      </c>
      <c r="CD77" s="63">
        <f ca="1">IFERROR(__xludf.DUMMYFUNCTION("IMPORTRANGE(""https://docs.google.com/spreadsheets/d/1v5sN-00LrXuhBxw4dkh2GrG_z4l5oAqOdJRBCsUyMaM/edit?usp=sharing"",""ตรัง!J607"")"),0)</f>
        <v>0</v>
      </c>
      <c r="CE77" s="140">
        <f ca="1">IFERROR(__xludf.DUMMYFUNCTION("IMPORTRANGE(""https://docs.google.com/spreadsheets/d/1v5sN-00LrXuhBxw4dkh2GrG_z4l5oAqOdJRBCsUyMaM/edit?usp=sharing"",""ตรัง!J608"")"),0)</f>
        <v>0</v>
      </c>
      <c r="CF77" s="63">
        <f ca="1">IFERROR(__xludf.DUMMYFUNCTION("IMPORTRANGE(""https://docs.google.com/spreadsheets/d/1v5sN-00LrXuhBxw4dkh2GrG_z4l5oAqOdJRBCsUyMaM/edit?usp=sharing"",""ตรัง!J609"")"),0)</f>
        <v>0</v>
      </c>
      <c r="CG77" s="140">
        <f ca="1">IFERROR(__xludf.DUMMYFUNCTION("IMPORTRANGE(""https://docs.google.com/spreadsheets/d/1v5sN-00LrXuhBxw4dkh2GrG_z4l5oAqOdJRBCsUyMaM/edit?usp=sharing"",""ตรัง!J610"")"),0)</f>
        <v>0</v>
      </c>
      <c r="CH77" s="140">
        <f ca="1">IFERROR(__xludf.DUMMYFUNCTION("IMPORTRANGE(""https://docs.google.com/spreadsheets/d/1v5sN-00LrXuhBxw4dkh2GrG_z4l5oAqOdJRBCsUyMaM/edit?usp=sharing"",""ตรัง!I612"")"),0)</f>
        <v>0</v>
      </c>
      <c r="CI77" s="140">
        <f ca="1">IFERROR(__xludf.DUMMYFUNCTION("IMPORTRANGE(""https://docs.google.com/spreadsheets/d/1v5sN-00LrXuhBxw4dkh2GrG_z4l5oAqOdJRBCsUyMaM/edit?usp=sharing"",""ตรัง!I594"")"),137)</f>
        <v>137</v>
      </c>
      <c r="CJ77" s="141">
        <f ca="1">IFERROR(__xludf.DUMMYFUNCTION("IMPORTRANGE(""https://docs.google.com/spreadsheets/d/1v5sN-00LrXuhBxw4dkh2GrG_z4l5oAqOdJRBCsUyMaM/edit?usp=sharing"",""ตรัง!J612"")"),0)</f>
        <v>0</v>
      </c>
      <c r="CK77" s="141">
        <f t="shared" ca="1" si="41"/>
        <v>0</v>
      </c>
      <c r="CL77" s="140">
        <f ca="1">IFERROR(__xludf.DUMMYFUNCTION("IMPORTRANGE(""https://docs.google.com/spreadsheets/d/1v5sN-00LrXuhBxw4dkh2GrG_z4l5oAqOdJRBCsUyMaM/edit?usp=sharing"",""ตรัง!J613"")"),0)</f>
        <v>0</v>
      </c>
      <c r="CM77" s="141">
        <f t="shared" ca="1" si="19"/>
        <v>0</v>
      </c>
      <c r="CN77" s="63">
        <f ca="1">IFERROR(__xludf.DUMMYFUNCTION("IMPORTRANGE(""https://docs.google.com/spreadsheets/d/1v5sN-00LrXuhBxw4dkh2GrG_z4l5oAqOdJRBCsUyMaM/edit?usp=sharing"",""ตรัง!J614"")"),0)</f>
        <v>0</v>
      </c>
      <c r="CO77" s="140">
        <f ca="1">IFERROR(__xludf.DUMMYFUNCTION("IMPORTRANGE(""https://docs.google.com/spreadsheets/d/1v5sN-00LrXuhBxw4dkh2GrG_z4l5oAqOdJRBCsUyMaM/edit?usp=sharing"",""ตรัง!J615"")"),0)</f>
        <v>0</v>
      </c>
      <c r="CP77" s="63">
        <f ca="1">IFERROR(__xludf.DUMMYFUNCTION("IMPORTRANGE(""https://docs.google.com/spreadsheets/d/1v5sN-00LrXuhBxw4dkh2GrG_z4l5oAqOdJRBCsUyMaM/edit?usp=sharing"",""ตรัง!J616"")"),0)</f>
        <v>0</v>
      </c>
      <c r="CQ77" s="140">
        <f ca="1">IFERROR(__xludf.DUMMYFUNCTION("IMPORTRANGE(""https://docs.google.com/spreadsheets/d/1v5sN-00LrXuhBxw4dkh2GrG_z4l5oAqOdJRBCsUyMaM/edit?usp=sharing"",""ตรัง!J617"")"),0)</f>
        <v>0</v>
      </c>
      <c r="CR77" s="140">
        <f ca="1">IFERROR(__xludf.DUMMYFUNCTION("IMPORTRANGE(""https://docs.google.com/spreadsheets/d/1v5sN-00LrXuhBxw4dkh2GrG_z4l5oAqOdJRBCsUyMaM/edit?usp=sharing"",""ตรัง!I620"")"),53)</f>
        <v>53</v>
      </c>
      <c r="CS77" s="140">
        <f ca="1">IFERROR(__xludf.DUMMYFUNCTION("IMPORTRANGE(""https://docs.google.com/spreadsheets/d/1v5sN-00LrXuhBxw4dkh2GrG_z4l5oAqOdJRBCsUyMaM/edit?usp=sharing"",""ตรัง!I621"")"),6)</f>
        <v>6</v>
      </c>
      <c r="CT77" s="141">
        <f ca="1">IFERROR(__xludf.DUMMYFUNCTION("IMPORTRANGE(""https://docs.google.com/spreadsheets/d/1v5sN-00LrXuhBxw4dkh2GrG_z4l5oAqOdJRBCsUyMaM/edit?usp=sharing"",""ตรัง!J620"")"),0)</f>
        <v>0</v>
      </c>
      <c r="CU77" s="141">
        <f t="shared" ca="1" si="42"/>
        <v>0</v>
      </c>
      <c r="CV77" s="140">
        <f ca="1">IFERROR(__xludf.DUMMYFUNCTION("IMPORTRANGE(""https://docs.google.com/spreadsheets/d/1v5sN-00LrXuhBxw4dkh2GrG_z4l5oAqOdJRBCsUyMaM/edit?usp=sharing"",""ตรัง!J621"")"),0)</f>
        <v>0</v>
      </c>
      <c r="CW77" s="141">
        <f t="shared" ca="1" si="22"/>
        <v>0</v>
      </c>
      <c r="CX77" s="63">
        <f ca="1">IFERROR(__xludf.DUMMYFUNCTION("IMPORTRANGE(""https://docs.google.com/spreadsheets/d/1v5sN-00LrXuhBxw4dkh2GrG_z4l5oAqOdJRBCsUyMaM/edit?usp=sharing"",""ตรัง!J622"")"),0)</f>
        <v>0</v>
      </c>
      <c r="CY77" s="140">
        <f ca="1">IFERROR(__xludf.DUMMYFUNCTION("IMPORTRANGE(""https://docs.google.com/spreadsheets/d/1v5sN-00LrXuhBxw4dkh2GrG_z4l5oAqOdJRBCsUyMaM/edit?usp=sharing"",""ตรัง!J623"")"),0)</f>
        <v>0</v>
      </c>
      <c r="CZ77" s="63">
        <f ca="1">IFERROR(__xludf.DUMMYFUNCTION("IMPORTRANGE(""https://docs.google.com/spreadsheets/d/1v5sN-00LrXuhBxw4dkh2GrG_z4l5oAqOdJRBCsUyMaM/edit?usp=sharing"",""ตรัง!J624"")"),0)</f>
        <v>0</v>
      </c>
      <c r="DA77" s="140">
        <f ca="1">IFERROR(__xludf.DUMMYFUNCTION("IMPORTRANGE(""https://docs.google.com/spreadsheets/d/1v5sN-00LrXuhBxw4dkh2GrG_z4l5oAqOdJRBCsUyMaM/edit?usp=sharing"",""ตรัง!J625"")"),0)</f>
        <v>0</v>
      </c>
      <c r="DB77" s="63">
        <f ca="1">IFERROR(__xludf.DUMMYFUNCTION("IMPORTRANGE(""https://docs.google.com/spreadsheets/d/1v5sN-00LrXuhBxw4dkh2GrG_z4l5oAqOdJRBCsUyMaM/edit?usp=sharing"",""ตรัง!J626"")"),0)</f>
        <v>0</v>
      </c>
      <c r="DC77" s="140">
        <f ca="1">IFERROR(__xludf.DUMMYFUNCTION("IMPORTRANGE(""https://docs.google.com/spreadsheets/d/1v5sN-00LrXuhBxw4dkh2GrG_z4l5oAqOdJRBCsUyMaM/edit?usp=sharing"",""ตรัง!J627"")"),0)</f>
        <v>0</v>
      </c>
    </row>
    <row r="78" spans="1:107" ht="21" customHeight="1" x14ac:dyDescent="0.3">
      <c r="A78" s="54">
        <v>4</v>
      </c>
      <c r="B78" s="55" t="s">
        <v>99</v>
      </c>
      <c r="C78" s="56">
        <f t="shared" ca="1" si="88"/>
        <v>305575</v>
      </c>
      <c r="D78" s="57">
        <f ca="1">IFERROR(__xludf.DUMMYFUNCTION("IMPORTRANGE(""https://docs.google.com/spreadsheets/d/1T5rRTzFc79aSIvqnzkZNvwPstq829QYz_xALlO1Z0s8/edit?usp=sharing"",""นครศรีธรรมราช!L549"")"),305575)</f>
        <v>305575</v>
      </c>
      <c r="E78" s="64">
        <f ca="1">IFERROR(__xludf.DUMMYFUNCTION("IMPORTRANGE(""https://docs.google.com/spreadsheets/d/1T5rRTzFc79aSIvqnzkZNvwPstq829QYz_xALlO1Z0s8/edit?usp=sharing"",""นครศรีธรรมราช!L557"")"),0)</f>
        <v>0</v>
      </c>
      <c r="F78" s="64">
        <f ca="1">IFERROR(__xludf.DUMMYFUNCTION("IMPORTRANGE(""https://docs.google.com/spreadsheets/d/1T5rRTzFc79aSIvqnzkZNvwPstq829QYz_xALlO1Z0s8/edit?usp=sharing"",""นครศรีธรรมราช!M549"")"),305575)</f>
        <v>305575</v>
      </c>
      <c r="G78" s="64">
        <f ca="1">IFERROR(__xludf.DUMMYFUNCTION("IMPORTRANGE(""https://docs.google.com/spreadsheets/d/1T5rRTzFc79aSIvqnzkZNvwPstq829QYz_xALlO1Z0s8/edit?usp=sharing"",""นครศรีธรรมราช!M557"")"),0)</f>
        <v>0</v>
      </c>
      <c r="H78" s="58">
        <f t="shared" ca="1" si="36"/>
        <v>172842.18</v>
      </c>
      <c r="I78" s="59">
        <f t="shared" ca="1" si="1"/>
        <v>56.56293217704328</v>
      </c>
      <c r="J78" s="60">
        <f t="shared" ca="1" si="89"/>
        <v>172842.18</v>
      </c>
      <c r="K78" s="61">
        <f t="shared" ca="1" si="44"/>
        <v>56.56293217704328</v>
      </c>
      <c r="L78" s="61">
        <f t="shared" ca="1" si="45"/>
        <v>56.56293217704328</v>
      </c>
      <c r="M78" s="64">
        <f ca="1">IFERROR(__xludf.DUMMYFUNCTION("IMPORTRANGE(""https://docs.google.com/spreadsheets/d/1T5rRTzFc79aSIvqnzkZNvwPstq829QYz_xALlO1Z0s8/edit?usp=sharing"",""นครศรีธรรมราช!N550"")"),25642.5)</f>
        <v>25642.5</v>
      </c>
      <c r="N78" s="64">
        <f ca="1">IFERROR(__xludf.DUMMYFUNCTION("IMPORTRANGE(""https://docs.google.com/spreadsheets/d/1T5rRTzFc79aSIvqnzkZNvwPstq829QYz_xALlO1Z0s8/edit?usp=sharing"",""นครศรีธรรมราช!N551"")"),26350)</f>
        <v>26350</v>
      </c>
      <c r="O78" s="64">
        <f ca="1">IFERROR(__xludf.DUMMYFUNCTION("IMPORTRANGE(""https://docs.google.com/spreadsheets/d/1T5rRTzFc79aSIvqnzkZNvwPstq829QYz_xALlO1Z0s8/edit?usp=sharing"",""นครศรีธรรมราช!N552"")"),63266.68)</f>
        <v>63266.68</v>
      </c>
      <c r="P78" s="64">
        <f ca="1">IFERROR(__xludf.DUMMYFUNCTION("IMPORTRANGE(""https://docs.google.com/spreadsheets/d/1T5rRTzFc79aSIvqnzkZNvwPstq829QYz_xALlO1Z0s8/edit?usp=sharing"",""นครศรีธรรมราช!N553"")"),57583)</f>
        <v>57583</v>
      </c>
      <c r="Q78" s="64">
        <f ca="1">IFERROR(__xludf.DUMMYFUNCTION("IMPORTRANGE(""https://docs.google.com/spreadsheets/d/1T5rRTzFc79aSIvqnzkZNvwPstq829QYz_xALlO1Z0s8/edit?usp=sharing"",""นครศรีธรรมราช!N554"")"),0)</f>
        <v>0</v>
      </c>
      <c r="R78" s="62">
        <f ca="1">IFERROR(__xludf.DUMMYFUNCTION("IMPORTRANGE(""https://docs.google.com/spreadsheets/d/1T5rRTzFc79aSIvqnzkZNvwPstq829QYz_xALlO1Z0s8/edit?usp=sharing"",""นครศรีธรรมราช!N557"")"),0)</f>
        <v>0</v>
      </c>
      <c r="S78" s="62">
        <f t="shared" ca="1" si="47"/>
        <v>0</v>
      </c>
      <c r="T78" s="57">
        <f ca="1">IFERROR(__xludf.DUMMYFUNCTION("IMPORTRANGE(""https://docs.google.com/spreadsheets/d/1T5rRTzFc79aSIvqnzkZNvwPstq829QYz_xALlO1Z0s8/edit?usp=sharing"",""นครศรีธรรมราช!I560"")"),29942)</f>
        <v>29942</v>
      </c>
      <c r="U78" s="57">
        <f ca="1">IFERROR(__xludf.DUMMYFUNCTION("IMPORTRANGE(""https://docs.google.com/spreadsheets/d/1T5rRTzFc79aSIvqnzkZNvwPstq829QYz_xALlO1Z0s8/edit?usp=sharing"",""นครศรีธรรมราช!I561"")"),3752)</f>
        <v>3752</v>
      </c>
      <c r="V78" s="63">
        <f ca="1">IFERROR(__xludf.DUMMYFUNCTION("IMPORTRANGE(""https://docs.google.com/spreadsheets/d/1T5rRTzFc79aSIvqnzkZNvwPstq829QYz_xALlO1Z0s8/edit?usp=sharing"",""นครศรีธรรมราช!J560"")"),29942)</f>
        <v>29942</v>
      </c>
      <c r="W78" s="63">
        <f t="shared" ca="1" si="37"/>
        <v>100</v>
      </c>
      <c r="X78" s="57">
        <f ca="1">IFERROR(__xludf.DUMMYFUNCTION("IMPORTRANGE(""https://docs.google.com/spreadsheets/d/1T5rRTzFc79aSIvqnzkZNvwPstq829QYz_xALlO1Z0s8/edit?usp=sharing"",""นครศรีธรรมราช!J561"")"),3752)</f>
        <v>3752</v>
      </c>
      <c r="Y78" s="63">
        <f t="shared" ca="1" si="7"/>
        <v>100</v>
      </c>
      <c r="Z78" s="63">
        <f ca="1">IFERROR(__xludf.DUMMYFUNCTION("IMPORTRANGE(""https://docs.google.com/spreadsheets/d/1T5rRTzFc79aSIvqnzkZNvwPstq829QYz_xALlO1Z0s8/edit?usp=sharing"",""นครศรีธรรมราช!J562"")"),25831)</f>
        <v>25831</v>
      </c>
      <c r="AA78" s="140">
        <f ca="1">IFERROR(__xludf.DUMMYFUNCTION("IMPORTRANGE(""https://docs.google.com/spreadsheets/d/1T5rRTzFc79aSIvqnzkZNvwPstq829QYz_xALlO1Z0s8/edit?usp=sharing"",""นครศรีธรรมราช!J563"")"),3325)</f>
        <v>3325</v>
      </c>
      <c r="AB78" s="63">
        <f ca="1">IFERROR(__xludf.DUMMYFUNCTION("IMPORTRANGE(""https://docs.google.com/spreadsheets/d/1T5rRTzFc79aSIvqnzkZNvwPstq829QYz_xALlO1Z0s8/edit?usp=sharing"",""นครศรีธรรมราช!J564"")"),3753)</f>
        <v>3753</v>
      </c>
      <c r="AC78" s="140">
        <f ca="1">IFERROR(__xludf.DUMMYFUNCTION("IMPORTRANGE(""https://docs.google.com/spreadsheets/d/1T5rRTzFc79aSIvqnzkZNvwPstq829QYz_xALlO1Z0s8/edit?usp=sharing"",""นครศรีธรรมราช!J565"")"),375)</f>
        <v>375</v>
      </c>
      <c r="AD78" s="63">
        <f ca="1">IFERROR(__xludf.DUMMYFUNCTION("IMPORTRANGE(""https://docs.google.com/spreadsheets/d/1T5rRTzFc79aSIvqnzkZNvwPstq829QYz_xALlO1Z0s8/edit?usp=sharing"",""นครศรีธรรมราช!J566"")"),358)</f>
        <v>358</v>
      </c>
      <c r="AE78" s="140">
        <f ca="1">IFERROR(__xludf.DUMMYFUNCTION("IMPORTRANGE(""https://docs.google.com/spreadsheets/d/1T5rRTzFc79aSIvqnzkZNvwPstq829QYz_xALlO1Z0s8/edit?usp=sharing"",""นครศรีธรรมราช!J567"")"),52)</f>
        <v>52</v>
      </c>
      <c r="AF78" s="57">
        <f ca="1">IFERROR(__xludf.DUMMYFUNCTION("IMPORTRANGE(""https://docs.google.com/spreadsheets/d/1T5rRTzFc79aSIvqnzkZNvwPstq829QYz_xALlO1Z0s8/edit?usp=sharing"",""นครศรีธรรมราช!I568"")"),29942)</f>
        <v>29942</v>
      </c>
      <c r="AG78" s="57">
        <f ca="1">IFERROR(__xludf.DUMMYFUNCTION("IMPORTRANGE(""https://docs.google.com/spreadsheets/d/1T5rRTzFc79aSIvqnzkZNvwPstq829QYz_xALlO1Z0s8/edit?usp=sharing"",""นครศรีธรรมราช!I569"")"),3752)</f>
        <v>3752</v>
      </c>
      <c r="AH78" s="63">
        <f ca="1">IFERROR(__xludf.DUMMYFUNCTION("IMPORTRANGE(""https://docs.google.com/spreadsheets/d/1T5rRTzFc79aSIvqnzkZNvwPstq829QYz_xALlO1Z0s8/edit?usp=sharing"",""นครศรีธรรมราช!J568"")"),29942)</f>
        <v>29942</v>
      </c>
      <c r="AI78" s="63">
        <f t="shared" ca="1" si="38"/>
        <v>100</v>
      </c>
      <c r="AJ78" s="57">
        <f ca="1">IFERROR(__xludf.DUMMYFUNCTION("IMPORTRANGE(""https://docs.google.com/spreadsheets/d/1T5rRTzFc79aSIvqnzkZNvwPstq829QYz_xALlO1Z0s8/edit?usp=sharing"",""นครศรีธรรมราช!J569"")"),3752)</f>
        <v>3752</v>
      </c>
      <c r="AK78" s="63">
        <f t="shared" ca="1" si="10"/>
        <v>100</v>
      </c>
      <c r="AL78" s="63">
        <f ca="1">IFERROR(__xludf.DUMMYFUNCTION("IMPORTRANGE(""https://docs.google.com/spreadsheets/d/1T5rRTzFc79aSIvqnzkZNvwPstq829QYz_xALlO1Z0s8/edit?usp=sharing"",""นครศรีธรรมราช!J570"")"),25782)</f>
        <v>25782</v>
      </c>
      <c r="AM78" s="140">
        <f ca="1">IFERROR(__xludf.DUMMYFUNCTION("IMPORTRANGE(""https://docs.google.com/spreadsheets/d/1T5rRTzFc79aSIvqnzkZNvwPstq829QYz_xALlO1Z0s8/edit?usp=sharing"",""นครศรีธรรมราช!J571"")"),3314)</f>
        <v>3314</v>
      </c>
      <c r="AN78" s="63">
        <f ca="1">IFERROR(__xludf.DUMMYFUNCTION("IMPORTRANGE(""https://docs.google.com/spreadsheets/d/1T5rRTzFc79aSIvqnzkZNvwPstq829QYz_xALlO1Z0s8/edit?usp=sharing"",""นครศรีธรรมราช!J572"")"),3802)</f>
        <v>3802</v>
      </c>
      <c r="AO78" s="140">
        <f ca="1">IFERROR(__xludf.DUMMYFUNCTION("IMPORTRANGE(""https://docs.google.com/spreadsheets/d/1T5rRTzFc79aSIvqnzkZNvwPstq829QYz_xALlO1Z0s8/edit?usp=sharing"",""นครศรีธรรมราช!J573"")"),386)</f>
        <v>386</v>
      </c>
      <c r="AP78" s="63">
        <f ca="1">IFERROR(__xludf.DUMMYFUNCTION("IMPORTRANGE(""https://docs.google.com/spreadsheets/d/1T5rRTzFc79aSIvqnzkZNvwPstq829QYz_xALlO1Z0s8/edit?usp=sharing"",""นครศรีธรรมราช!J574"")"),358)</f>
        <v>358</v>
      </c>
      <c r="AQ78" s="140">
        <f ca="1">IFERROR(__xludf.DUMMYFUNCTION("IMPORTRANGE(""https://docs.google.com/spreadsheets/d/1T5rRTzFc79aSIvqnzkZNvwPstq829QYz_xALlO1Z0s8/edit?usp=sharing"",""นครศรีธรรมราช!J575"")"),52)</f>
        <v>52</v>
      </c>
      <c r="AR78" s="57">
        <f ca="1">IFERROR(__xludf.DUMMYFUNCTION("IMPORTRANGE(""https://docs.google.com/spreadsheets/d/1T5rRTzFc79aSIvqnzkZNvwPstq829QYz_xALlO1Z0s8/edit?usp=sharing"",""นครศรีธรรมราช!I576"")"),29942)</f>
        <v>29942</v>
      </c>
      <c r="AS78" s="57">
        <f ca="1">IFERROR(__xludf.DUMMYFUNCTION("IMPORTRANGE(""https://docs.google.com/spreadsheets/d/1T5rRTzFc79aSIvqnzkZNvwPstq829QYz_xALlO1Z0s8/edit?usp=sharing"",""นครศรีธรรมราช!I577"")"),3752)</f>
        <v>3752</v>
      </c>
      <c r="AT78" s="63">
        <f ca="1">IFERROR(__xludf.DUMMYFUNCTION("IMPORTRANGE(""https://docs.google.com/spreadsheets/d/1T5rRTzFc79aSIvqnzkZNvwPstq829QYz_xALlO1Z0s8/edit?usp=sharing"",""นครศรีธรรมราช!J576"")"),0)</f>
        <v>0</v>
      </c>
      <c r="AU78" s="63">
        <f t="shared" ca="1" si="39"/>
        <v>0</v>
      </c>
      <c r="AV78" s="57">
        <f ca="1">IFERROR(__xludf.DUMMYFUNCTION("IMPORTRANGE(""https://docs.google.com/spreadsheets/d/1T5rRTzFc79aSIvqnzkZNvwPstq829QYz_xALlO1Z0s8/edit?usp=sharing"",""นครศรีธรรมราช!J577"")"),0)</f>
        <v>0</v>
      </c>
      <c r="AW78" s="63">
        <f t="shared" ca="1" si="13"/>
        <v>0</v>
      </c>
      <c r="AX78" s="63">
        <f ca="1">IFERROR(__xludf.DUMMYFUNCTION("IMPORTRANGE(""https://docs.google.com/spreadsheets/d/1T5rRTzFc79aSIvqnzkZNvwPstq829QYz_xALlO1Z0s8/edit?usp=sharing"",""นครศรีธรรมราช!J578"")"),0)</f>
        <v>0</v>
      </c>
      <c r="AY78" s="140">
        <f ca="1">IFERROR(__xludf.DUMMYFUNCTION("IMPORTRANGE(""https://docs.google.com/spreadsheets/d/1T5rRTzFc79aSIvqnzkZNvwPstq829QYz_xALlO1Z0s8/edit?usp=sharing"",""นครศรีธรรมราช!J579"")"),0)</f>
        <v>0</v>
      </c>
      <c r="AZ78" s="63">
        <f ca="1">IFERROR(__xludf.DUMMYFUNCTION("IMPORTRANGE(""https://docs.google.com/spreadsheets/d/1T5rRTzFc79aSIvqnzkZNvwPstq829QYz_xALlO1Z0s8/edit?usp=sharing"",""นครศรีธรรมราช!J580"")"),0)</f>
        <v>0</v>
      </c>
      <c r="BA78" s="140">
        <f ca="1">IFERROR(__xludf.DUMMYFUNCTION("IMPORTRANGE(""https://docs.google.com/spreadsheets/d/1T5rRTzFc79aSIvqnzkZNvwPstq829QYz_xALlO1Z0s8/edit?usp=sharing"",""นครศรีธรรมราช!J581"")"),0)</f>
        <v>0</v>
      </c>
      <c r="BB78" s="63">
        <f ca="1">IFERROR(__xludf.DUMMYFUNCTION("IMPORTRANGE(""https://docs.google.com/spreadsheets/d/1T5rRTzFc79aSIvqnzkZNvwPstq829QYz_xALlO1Z0s8/edit?usp=sharing"",""นครศรีธรรมราช!J582"")"),0)</f>
        <v>0</v>
      </c>
      <c r="BC78" s="140">
        <f ca="1">IFERROR(__xludf.DUMMYFUNCTION("IMPORTRANGE(""https://docs.google.com/spreadsheets/d/1T5rRTzFc79aSIvqnzkZNvwPstq829QYz_xALlO1Z0s8/edit?usp=sharing"",""นครศรีธรรมราช!J583"")"),0)</f>
        <v>0</v>
      </c>
      <c r="BD78" s="141">
        <f ca="1">IFERROR(__xludf.DUMMYFUNCTION("IMPORTRANGE(""https://docs.google.com/spreadsheets/d/1T5rRTzFc79aSIvqnzkZNvwPstq829QYz_xALlO1Z0s8/edit?usp=sharing"",""นครศรีธรรมราช!J584"")"),0)</f>
        <v>0</v>
      </c>
      <c r="BE78" s="140">
        <f ca="1">IFERROR(__xludf.DUMMYFUNCTION("IMPORTRANGE(""https://docs.google.com/spreadsheets/d/1T5rRTzFc79aSIvqnzkZNvwPstq829QYz_xALlO1Z0s8/edit?usp=sharing"",""นครศรีธรรมราช!J585"")"),0)</f>
        <v>0</v>
      </c>
      <c r="BF78" s="141">
        <f ca="1">IFERROR(__xludf.DUMMYFUNCTION("IMPORTRANGE(""https://docs.google.com/spreadsheets/d/1T5rRTzFc79aSIvqnzkZNvwPstq829QYz_xALlO1Z0s8/edit?usp=sharing"",""นครศรีธรรมราช!J586"")"),0)</f>
        <v>0</v>
      </c>
      <c r="BG78" s="140">
        <f ca="1">IFERROR(__xludf.DUMMYFUNCTION("IMPORTRANGE(""https://docs.google.com/spreadsheets/d/1T5rRTzFc79aSIvqnzkZNvwPstq829QYz_xALlO1Z0s8/edit?usp=sharing"",""นครศรีธรรมราช!J587"")"),0)</f>
        <v>0</v>
      </c>
      <c r="BH78" s="63">
        <f ca="1">IFERROR(__xludf.DUMMYFUNCTION("IMPORTRANGE(""https://docs.google.com/spreadsheets/d/1T5rRTzFc79aSIvqnzkZNvwPstq829QYz_xALlO1Z0s8/edit?usp=sharing"",""นครศรีธรรมราช!J588"")"),0)</f>
        <v>0</v>
      </c>
      <c r="BI78" s="140">
        <f ca="1">IFERROR(__xludf.DUMMYFUNCTION("IMPORTRANGE(""https://docs.google.com/spreadsheets/d/1T5rRTzFc79aSIvqnzkZNvwPstq829QYz_xALlO1Z0s8/edit?usp=sharing"",""นครศรีธรรมราช!J589"")"),0)</f>
        <v>0</v>
      </c>
      <c r="BJ78" s="63">
        <f ca="1">IFERROR(__xludf.DUMMYFUNCTION("IMPORTRANGE(""https://docs.google.com/spreadsheets/d/1T5rRTzFc79aSIvqnzkZNvwPstq829QYz_xALlO1Z0s8/edit?usp=sharing"",""นครศรีธรรมราช!J590"")"),0)</f>
        <v>0</v>
      </c>
      <c r="BK78" s="140">
        <f ca="1">IFERROR(__xludf.DUMMYFUNCTION("IMPORTRANGE(""https://docs.google.com/spreadsheets/d/1T5rRTzFc79aSIvqnzkZNvwPstq829QYz_xALlO1Z0s8/edit?usp=sharing"",""นครศรีธรรมราช!J591"")"),0)</f>
        <v>0</v>
      </c>
      <c r="BL78" s="57">
        <f ca="1">IFERROR(__xludf.DUMMYFUNCTION("IMPORTRANGE(""https://docs.google.com/spreadsheets/d/1T5rRTzFc79aSIvqnzkZNvwPstq829QYz_xALlO1Z0s8/edit?usp=sharing"",""นครศรีธรรมราช!I593"")"),179.63)</f>
        <v>179.63</v>
      </c>
      <c r="BM78" s="57">
        <f ca="1">IFERROR(__xludf.DUMMYFUNCTION("IMPORTRANGE(""https://docs.google.com/spreadsheets/d/1T5rRTzFc79aSIvqnzkZNvwPstq829QYz_xALlO1Z0s8/edit?usp=sharing"",""นครศรีธรรมราช!I594"")"),36)</f>
        <v>36</v>
      </c>
      <c r="BN78" s="63">
        <f ca="1">IFERROR(__xludf.DUMMYFUNCTION("IMPORTRANGE(""https://docs.google.com/spreadsheets/d/1T5rRTzFc79aSIvqnzkZNvwPstq829QYz_xALlO1Z0s8/edit?usp=sharing"",""นครศรีธรรมราช!J593"")"),0)</f>
        <v>0</v>
      </c>
      <c r="BO78" s="63">
        <f t="shared" ca="1" si="40"/>
        <v>0</v>
      </c>
      <c r="BP78" s="57">
        <f ca="1">IFERROR(__xludf.DUMMYFUNCTION("IMPORTRANGE(""https://docs.google.com/spreadsheets/d/1T5rRTzFc79aSIvqnzkZNvwPstq829QYz_xALlO1Z0s8/edit?usp=sharing"",""นครศรีธรรมราช!J594"")"),0)</f>
        <v>0</v>
      </c>
      <c r="BQ78" s="63">
        <f t="shared" ca="1" si="16"/>
        <v>0</v>
      </c>
      <c r="BR78" s="63">
        <f ca="1">IFERROR(__xludf.DUMMYFUNCTION("IMPORTRANGE(""https://docs.google.com/spreadsheets/d/1T5rRTzFc79aSIvqnzkZNvwPstq829QYz_xALlO1Z0s8/edit?usp=sharing"",""นครศรีธรรมราช!J595"")"),0)</f>
        <v>0</v>
      </c>
      <c r="BS78" s="140">
        <f ca="1">IFERROR(__xludf.DUMMYFUNCTION("IMPORTRANGE(""https://docs.google.com/spreadsheets/d/1T5rRTzFc79aSIvqnzkZNvwPstq829QYz_xALlO1Z0s8/edit?usp=sharing"",""นครศรีธรรมราช!J596"")"),0)</f>
        <v>0</v>
      </c>
      <c r="BT78" s="63">
        <f ca="1">IFERROR(__xludf.DUMMYFUNCTION("IMPORTRANGE(""https://docs.google.com/spreadsheets/d/1T5rRTzFc79aSIvqnzkZNvwPstq829QYz_xALlO1Z0s8/edit?usp=sharing"",""นครศรีธรรมราช!J597"")"),0)</f>
        <v>0</v>
      </c>
      <c r="BU78" s="140">
        <f ca="1">IFERROR(__xludf.DUMMYFUNCTION("IMPORTRANGE(""https://docs.google.com/spreadsheets/d/1T5rRTzFc79aSIvqnzkZNvwPstq829QYz_xALlO1Z0s8/edit?usp=sharing"",""นครศรีธรรมราช!J598"")"),0)</f>
        <v>0</v>
      </c>
      <c r="BV78" s="63">
        <f ca="1">IFERROR(__xludf.DUMMYFUNCTION("IMPORTRANGE(""https://docs.google.com/spreadsheets/d/1T5rRTzFc79aSIvqnzkZNvwPstq829QYz_xALlO1Z0s8/edit?usp=sharing"",""นครศรีธรรมราช!J599"")"),0)</f>
        <v>0</v>
      </c>
      <c r="BW78" s="140">
        <f ca="1">IFERROR(__xludf.DUMMYFUNCTION("IMPORTRANGE(""https://docs.google.com/spreadsheets/d/1T5rRTzFc79aSIvqnzkZNvwPstq829QYz_xALlO1Z0s8/edit?usp=sharing"",""นครศรีธรรมราช!J600"")"),0)</f>
        <v>0</v>
      </c>
      <c r="BX78" s="141">
        <f ca="1">IFERROR(__xludf.DUMMYFUNCTION("IMPORTRANGE(""https://docs.google.com/spreadsheets/d/1T5rRTzFc79aSIvqnzkZNvwPstq829QYz_xALlO1Z0s8/edit?usp=sharing"",""นครศรีธรรมราช!J601"")"),0)</f>
        <v>0</v>
      </c>
      <c r="BY78" s="140">
        <f ca="1">IFERROR(__xludf.DUMMYFUNCTION("IMPORTRANGE(""https://docs.google.com/spreadsheets/d/1T5rRTzFc79aSIvqnzkZNvwPstq829QYz_xALlO1Z0s8/edit?usp=sharing"",""นครศรีธรรมราช!J602"")"),0)</f>
        <v>0</v>
      </c>
      <c r="BZ78" s="63">
        <f ca="1">IFERROR(__xludf.DUMMYFUNCTION("IMPORTRANGE(""https://docs.google.com/spreadsheets/d/1T5rRTzFc79aSIvqnzkZNvwPstq829QYz_xALlO1Z0s8/edit?usp=sharing"",""นครศรีธรรมราช!J603"")"),0)</f>
        <v>0</v>
      </c>
      <c r="CA78" s="140">
        <f ca="1">IFERROR(__xludf.DUMMYFUNCTION("IMPORTRANGE(""https://docs.google.com/spreadsheets/d/1T5rRTzFc79aSIvqnzkZNvwPstq829QYz_xALlO1Z0s8/edit?usp=sharing"",""นครศรีธรรมราช!J604"")"),0)</f>
        <v>0</v>
      </c>
      <c r="CB78" s="63">
        <f ca="1">IFERROR(__xludf.DUMMYFUNCTION("IMPORTRANGE(""https://docs.google.com/spreadsheets/d/1T5rRTzFc79aSIvqnzkZNvwPstq829QYz_xALlO1Z0s8/edit?usp=sharing"",""นครศรีธรรมราช!J605"")"),0)</f>
        <v>0</v>
      </c>
      <c r="CC78" s="140">
        <f ca="1">IFERROR(__xludf.DUMMYFUNCTION("IMPORTRANGE(""https://docs.google.com/spreadsheets/d/1T5rRTzFc79aSIvqnzkZNvwPstq829QYz_xALlO1Z0s8/edit?usp=sharing"",""นครศรีธรรมราช!J606"")"),0)</f>
        <v>0</v>
      </c>
      <c r="CD78" s="63">
        <f ca="1">IFERROR(__xludf.DUMMYFUNCTION("IMPORTRANGE(""https://docs.google.com/spreadsheets/d/1T5rRTzFc79aSIvqnzkZNvwPstq829QYz_xALlO1Z0s8/edit?usp=sharing"",""นครศรีธรรมราช!J607"")"),0)</f>
        <v>0</v>
      </c>
      <c r="CE78" s="140">
        <f ca="1">IFERROR(__xludf.DUMMYFUNCTION("IMPORTRANGE(""https://docs.google.com/spreadsheets/d/1T5rRTzFc79aSIvqnzkZNvwPstq829QYz_xALlO1Z0s8/edit?usp=sharing"",""นครศรีธรรมราช!J608"")"),0)</f>
        <v>0</v>
      </c>
      <c r="CF78" s="63">
        <f ca="1">IFERROR(__xludf.DUMMYFUNCTION("IMPORTRANGE(""https://docs.google.com/spreadsheets/d/1T5rRTzFc79aSIvqnzkZNvwPstq829QYz_xALlO1Z0s8/edit?usp=sharing"",""นครศรีธรรมราช!J609"")"),0)</f>
        <v>0</v>
      </c>
      <c r="CG78" s="140">
        <f ca="1">IFERROR(__xludf.DUMMYFUNCTION("IMPORTRANGE(""https://docs.google.com/spreadsheets/d/1T5rRTzFc79aSIvqnzkZNvwPstq829QYz_xALlO1Z0s8/edit?usp=sharing"",""นครศรีธรรมราช!J610"")"),0)</f>
        <v>0</v>
      </c>
      <c r="CH78" s="140">
        <f ca="1">IFERROR(__xludf.DUMMYFUNCTION("IMPORTRANGE(""https://docs.google.com/spreadsheets/d/1T5rRTzFc79aSIvqnzkZNvwPstq829QYz_xALlO1Z0s8/edit?usp=sharing"",""นครศรีธรรมราช!I612"")"),0)</f>
        <v>0</v>
      </c>
      <c r="CI78" s="140">
        <f ca="1">IFERROR(__xludf.DUMMYFUNCTION("IMPORTRANGE(""https://docs.google.com/spreadsheets/d/1T5rRTzFc79aSIvqnzkZNvwPstq829QYz_xALlO1Z0s8/edit?usp=sharing"",""นครศรีธรรมราช!I594"")"),36)</f>
        <v>36</v>
      </c>
      <c r="CJ78" s="141">
        <f ca="1">IFERROR(__xludf.DUMMYFUNCTION("IMPORTRANGE(""https://docs.google.com/spreadsheets/d/1T5rRTzFc79aSIvqnzkZNvwPstq829QYz_xALlO1Z0s8/edit?usp=sharing"",""นครศรีธรรมราช!J612"")"),0)</f>
        <v>0</v>
      </c>
      <c r="CK78" s="141">
        <f t="shared" ca="1" si="41"/>
        <v>0</v>
      </c>
      <c r="CL78" s="140">
        <f ca="1">IFERROR(__xludf.DUMMYFUNCTION("IMPORTRANGE(""https://docs.google.com/spreadsheets/d/1T5rRTzFc79aSIvqnzkZNvwPstq829QYz_xALlO1Z0s8/edit?usp=sharing"",""นครศรีธรรมราช!J613"")"),0)</f>
        <v>0</v>
      </c>
      <c r="CM78" s="141">
        <f t="shared" ca="1" si="19"/>
        <v>0</v>
      </c>
      <c r="CN78" s="63">
        <f ca="1">IFERROR(__xludf.DUMMYFUNCTION("IMPORTRANGE(""https://docs.google.com/spreadsheets/d/1T5rRTzFc79aSIvqnzkZNvwPstq829QYz_xALlO1Z0s8/edit?usp=sharing"",""นครศรีธรรมราช!J614"")"),0)</f>
        <v>0</v>
      </c>
      <c r="CO78" s="140">
        <f ca="1">IFERROR(__xludf.DUMMYFUNCTION("IMPORTRANGE(""https://docs.google.com/spreadsheets/d/1T5rRTzFc79aSIvqnzkZNvwPstq829QYz_xALlO1Z0s8/edit?usp=sharing"",""นครศรีธรรมราช!J615"")"),0)</f>
        <v>0</v>
      </c>
      <c r="CP78" s="63">
        <f ca="1">IFERROR(__xludf.DUMMYFUNCTION("IMPORTRANGE(""https://docs.google.com/spreadsheets/d/1T5rRTzFc79aSIvqnzkZNvwPstq829QYz_xALlO1Z0s8/edit?usp=sharing"",""นครศรีธรรมราช!J616"")"),0)</f>
        <v>0</v>
      </c>
      <c r="CQ78" s="140">
        <f ca="1">IFERROR(__xludf.DUMMYFUNCTION("IMPORTRANGE(""https://docs.google.com/spreadsheets/d/1T5rRTzFc79aSIvqnzkZNvwPstq829QYz_xALlO1Z0s8/edit?usp=sharing"",""นครศรีธรรมราช!J617"")"),0)</f>
        <v>0</v>
      </c>
      <c r="CR78" s="140">
        <f ca="1">IFERROR(__xludf.DUMMYFUNCTION("IMPORTRANGE(""https://docs.google.com/spreadsheets/d/1T5rRTzFc79aSIvqnzkZNvwPstq829QYz_xALlO1Z0s8/edit?usp=sharing"",""นครศรีธรรมราช!I620"")"),8)</f>
        <v>8</v>
      </c>
      <c r="CS78" s="140">
        <f ca="1">IFERROR(__xludf.DUMMYFUNCTION("IMPORTRANGE(""https://docs.google.com/spreadsheets/d/1T5rRTzFc79aSIvqnzkZNvwPstq829QYz_xALlO1Z0s8/edit?usp=sharing"",""นครศรีธรรมราช!I621"")"),2)</f>
        <v>2</v>
      </c>
      <c r="CT78" s="141">
        <f ca="1">IFERROR(__xludf.DUMMYFUNCTION("IMPORTRANGE(""https://docs.google.com/spreadsheets/d/1T5rRTzFc79aSIvqnzkZNvwPstq829QYz_xALlO1Z0s8/edit?usp=sharing"",""นครศรีธรรมราช!J620"")"),0)</f>
        <v>0</v>
      </c>
      <c r="CU78" s="141">
        <f t="shared" ca="1" si="42"/>
        <v>0</v>
      </c>
      <c r="CV78" s="140">
        <f ca="1">IFERROR(__xludf.DUMMYFUNCTION("IMPORTRANGE(""https://docs.google.com/spreadsheets/d/1T5rRTzFc79aSIvqnzkZNvwPstq829QYz_xALlO1Z0s8/edit?usp=sharing"",""นครศรีธรรมราช!J621"")"),0)</f>
        <v>0</v>
      </c>
      <c r="CW78" s="141">
        <f t="shared" ca="1" si="22"/>
        <v>0</v>
      </c>
      <c r="CX78" s="63">
        <f ca="1">IFERROR(__xludf.DUMMYFUNCTION("IMPORTRANGE(""https://docs.google.com/spreadsheets/d/1T5rRTzFc79aSIvqnzkZNvwPstq829QYz_xALlO1Z0s8/edit?usp=sharing"",""นครศรีธรรมราช!J622"")"),0)</f>
        <v>0</v>
      </c>
      <c r="CY78" s="140">
        <f ca="1">IFERROR(__xludf.DUMMYFUNCTION("IMPORTRANGE(""https://docs.google.com/spreadsheets/d/1T5rRTzFc79aSIvqnzkZNvwPstq829QYz_xALlO1Z0s8/edit?usp=sharing"",""นครศรีธรรมราช!J623"")"),0)</f>
        <v>0</v>
      </c>
      <c r="CZ78" s="63">
        <f ca="1">IFERROR(__xludf.DUMMYFUNCTION("IMPORTRANGE(""https://docs.google.com/spreadsheets/d/1T5rRTzFc79aSIvqnzkZNvwPstq829QYz_xALlO1Z0s8/edit?usp=sharing"",""นครศรีธรรมราช!J624"")"),0)</f>
        <v>0</v>
      </c>
      <c r="DA78" s="140">
        <f ca="1">IFERROR(__xludf.DUMMYFUNCTION("IMPORTRANGE(""https://docs.google.com/spreadsheets/d/1T5rRTzFc79aSIvqnzkZNvwPstq829QYz_xALlO1Z0s8/edit?usp=sharing"",""นครศรีธรรมราช!J625"")"),0)</f>
        <v>0</v>
      </c>
      <c r="DB78" s="63">
        <f ca="1">IFERROR(__xludf.DUMMYFUNCTION("IMPORTRANGE(""https://docs.google.com/spreadsheets/d/1T5rRTzFc79aSIvqnzkZNvwPstq829QYz_xALlO1Z0s8/edit?usp=sharing"",""นครศรีธรรมราช!J626"")"),0)</f>
        <v>0</v>
      </c>
      <c r="DC78" s="140">
        <f ca="1">IFERROR(__xludf.DUMMYFUNCTION("IMPORTRANGE(""https://docs.google.com/spreadsheets/d/1T5rRTzFc79aSIvqnzkZNvwPstq829QYz_xALlO1Z0s8/edit?usp=sharing"",""นครศรีธรรมราช!J627"")"),0)</f>
        <v>0</v>
      </c>
    </row>
    <row r="79" spans="1:107" ht="21" customHeight="1" x14ac:dyDescent="0.3">
      <c r="A79" s="54">
        <v>5</v>
      </c>
      <c r="B79" s="55" t="s">
        <v>100</v>
      </c>
      <c r="C79" s="56">
        <f t="shared" ca="1" si="88"/>
        <v>308096</v>
      </c>
      <c r="D79" s="57">
        <f ca="1">IFERROR(__xludf.DUMMYFUNCTION("IMPORTRANGE(""https://docs.google.com/spreadsheets/d/1BeghqumK0IvCmRd2QOy6_afsZq7ZtAGrSnVJy2u7WmY/edit?usp=sharing"",""นราธิวาส!L549"")"),308096)</f>
        <v>308096</v>
      </c>
      <c r="E79" s="64">
        <f ca="1">IFERROR(__xludf.DUMMYFUNCTION("IMPORTRANGE(""https://docs.google.com/spreadsheets/d/1BeghqumK0IvCmRd2QOy6_afsZq7ZtAGrSnVJy2u7WmY/edit?usp=sharing"",""นราธิวาส!L557"")"),0)</f>
        <v>0</v>
      </c>
      <c r="F79" s="64">
        <f ca="1">IFERROR(__xludf.DUMMYFUNCTION("IMPORTRANGE(""https://docs.google.com/spreadsheets/d/1BeghqumK0IvCmRd2QOy6_afsZq7ZtAGrSnVJy2u7WmY/edit?usp=sharing"",""นราธิวาส!M549"")"),308096)</f>
        <v>308096</v>
      </c>
      <c r="G79" s="64">
        <f ca="1">IFERROR(__xludf.DUMMYFUNCTION("IMPORTRANGE(""https://docs.google.com/spreadsheets/d/1BeghqumK0IvCmRd2QOy6_afsZq7ZtAGrSnVJy2u7WmY/edit?usp=sharing"",""นราธิวาส!M557"")"),0)</f>
        <v>0</v>
      </c>
      <c r="H79" s="58">
        <f t="shared" ca="1" si="36"/>
        <v>170695</v>
      </c>
      <c r="I79" s="59">
        <f t="shared" ca="1" si="1"/>
        <v>55.403186019941835</v>
      </c>
      <c r="J79" s="60">
        <f t="shared" ca="1" si="89"/>
        <v>170695</v>
      </c>
      <c r="K79" s="61">
        <f t="shared" ca="1" si="44"/>
        <v>55.403186019941835</v>
      </c>
      <c r="L79" s="61">
        <f t="shared" ca="1" si="45"/>
        <v>55.403186019941835</v>
      </c>
      <c r="M79" s="64">
        <f ca="1">IFERROR(__xludf.DUMMYFUNCTION("IMPORTRANGE(""https://docs.google.com/spreadsheets/d/1BeghqumK0IvCmRd2QOy6_afsZq7ZtAGrSnVJy2u7WmY/edit?usp=sharing"",""นราธิวาส!N550"")"),0)</f>
        <v>0</v>
      </c>
      <c r="N79" s="64">
        <f ca="1">IFERROR(__xludf.DUMMYFUNCTION("IMPORTRANGE(""https://docs.google.com/spreadsheets/d/1BeghqumK0IvCmRd2QOy6_afsZq7ZtAGrSnVJy2u7WmY/edit?usp=sharing"",""นราธิวาส!N551"")"),0)</f>
        <v>0</v>
      </c>
      <c r="O79" s="64">
        <f ca="1">IFERROR(__xludf.DUMMYFUNCTION("IMPORTRANGE(""https://docs.google.com/spreadsheets/d/1BeghqumK0IvCmRd2QOy6_afsZq7ZtAGrSnVJy2u7WmY/edit?usp=sharing"",""นราธิวาส!N552"")"),64134)</f>
        <v>64134</v>
      </c>
      <c r="P79" s="64">
        <f ca="1">IFERROR(__xludf.DUMMYFUNCTION("IMPORTRANGE(""https://docs.google.com/spreadsheets/d/1BeghqumK0IvCmRd2QOy6_afsZq7ZtAGrSnVJy2u7WmY/edit?usp=sharing"",""นราธิวาส!N553"")"),106561)</f>
        <v>106561</v>
      </c>
      <c r="Q79" s="64">
        <f ca="1">IFERROR(__xludf.DUMMYFUNCTION("IMPORTRANGE(""https://docs.google.com/spreadsheets/d/1BeghqumK0IvCmRd2QOy6_afsZq7ZtAGrSnVJy2u7WmY/edit?usp=sharing"",""นราธิวาส!N554"")"),0)</f>
        <v>0</v>
      </c>
      <c r="R79" s="62">
        <f ca="1">IFERROR(__xludf.DUMMYFUNCTION("IMPORTRANGE(""https://docs.google.com/spreadsheets/d/1BeghqumK0IvCmRd2QOy6_afsZq7ZtAGrSnVJy2u7WmY/edit?usp=sharing"",""นราธิวาส!N557"")"),0)</f>
        <v>0</v>
      </c>
      <c r="S79" s="62">
        <f t="shared" ca="1" si="47"/>
        <v>0</v>
      </c>
      <c r="T79" s="57">
        <f ca="1">IFERROR(__xludf.DUMMYFUNCTION("IMPORTRANGE(""https://docs.google.com/spreadsheets/d/1BeghqumK0IvCmRd2QOy6_afsZq7ZtAGrSnVJy2u7WmY/edit?usp=sharing"",""นราธิวาส!I560"")"),5970)</f>
        <v>5970</v>
      </c>
      <c r="U79" s="57">
        <f ca="1">IFERROR(__xludf.DUMMYFUNCTION("IMPORTRANGE(""https://docs.google.com/spreadsheets/d/1BeghqumK0IvCmRd2QOy6_afsZq7ZtAGrSnVJy2u7WmY/edit?usp=sharing"",""นราธิวาส!I561"")"),965)</f>
        <v>965</v>
      </c>
      <c r="V79" s="63">
        <f ca="1">IFERROR(__xludf.DUMMYFUNCTION("IMPORTRANGE(""https://docs.google.com/spreadsheets/d/1BeghqumK0IvCmRd2QOy6_afsZq7ZtAGrSnVJy2u7WmY/edit?usp=sharing"",""นราธิวาส!J560"")"),5970)</f>
        <v>5970</v>
      </c>
      <c r="W79" s="63">
        <f t="shared" ca="1" si="37"/>
        <v>100</v>
      </c>
      <c r="X79" s="57">
        <f ca="1">IFERROR(__xludf.DUMMYFUNCTION("IMPORTRANGE(""https://docs.google.com/spreadsheets/d/1BeghqumK0IvCmRd2QOy6_afsZq7ZtAGrSnVJy2u7WmY/edit?usp=sharing"",""นราธิวาส!J561"")"),965)</f>
        <v>965</v>
      </c>
      <c r="Y79" s="63">
        <f t="shared" ca="1" si="7"/>
        <v>100</v>
      </c>
      <c r="Z79" s="63">
        <f ca="1">IFERROR(__xludf.DUMMYFUNCTION("IMPORTRANGE(""https://docs.google.com/spreadsheets/d/1BeghqumK0IvCmRd2QOy6_afsZq7ZtAGrSnVJy2u7WmY/edit?usp=sharing"",""นราธิวาส!J562"")"),5498)</f>
        <v>5498</v>
      </c>
      <c r="AA79" s="140">
        <f ca="1">IFERROR(__xludf.DUMMYFUNCTION("IMPORTRANGE(""https://docs.google.com/spreadsheets/d/1BeghqumK0IvCmRd2QOy6_afsZq7ZtAGrSnVJy2u7WmY/edit?usp=sharing"",""นราธิวาส!J563"")"),888)</f>
        <v>888</v>
      </c>
      <c r="AB79" s="63">
        <f ca="1">IFERROR(__xludf.DUMMYFUNCTION("IMPORTRANGE(""https://docs.google.com/spreadsheets/d/1BeghqumK0IvCmRd2QOy6_afsZq7ZtAGrSnVJy2u7WmY/edit?usp=sharing"",""นราธิวาส!J564"")"),0)</f>
        <v>0</v>
      </c>
      <c r="AC79" s="140">
        <f ca="1">IFERROR(__xludf.DUMMYFUNCTION("IMPORTRANGE(""https://docs.google.com/spreadsheets/d/1BeghqumK0IvCmRd2QOy6_afsZq7ZtAGrSnVJy2u7WmY/edit?usp=sharing"",""นราธิวาส!J565"")"),0)</f>
        <v>0</v>
      </c>
      <c r="AD79" s="63">
        <f ca="1">IFERROR(__xludf.DUMMYFUNCTION("IMPORTRANGE(""https://docs.google.com/spreadsheets/d/1BeghqumK0IvCmRd2QOy6_afsZq7ZtAGrSnVJy2u7WmY/edit?usp=sharing"",""นราธิวาส!J566"")"),472)</f>
        <v>472</v>
      </c>
      <c r="AE79" s="140">
        <f ca="1">IFERROR(__xludf.DUMMYFUNCTION("IMPORTRANGE(""https://docs.google.com/spreadsheets/d/1BeghqumK0IvCmRd2QOy6_afsZq7ZtAGrSnVJy2u7WmY/edit?usp=sharing"",""นราธิวาส!J567"")"),77)</f>
        <v>77</v>
      </c>
      <c r="AF79" s="57">
        <f ca="1">IFERROR(__xludf.DUMMYFUNCTION("IMPORTRANGE(""https://docs.google.com/spreadsheets/d/1BeghqumK0IvCmRd2QOy6_afsZq7ZtAGrSnVJy2u7WmY/edit?usp=sharing"",""นราธิวาส!I568"")"),5970)</f>
        <v>5970</v>
      </c>
      <c r="AG79" s="57">
        <f ca="1">IFERROR(__xludf.DUMMYFUNCTION("IMPORTRANGE(""https://docs.google.com/spreadsheets/d/1BeghqumK0IvCmRd2QOy6_afsZq7ZtAGrSnVJy2u7WmY/edit?usp=sharing"",""นราธิวาส!I569"")"),965)</f>
        <v>965</v>
      </c>
      <c r="AH79" s="63">
        <f ca="1">IFERROR(__xludf.DUMMYFUNCTION("IMPORTRANGE(""https://docs.google.com/spreadsheets/d/1BeghqumK0IvCmRd2QOy6_afsZq7ZtAGrSnVJy2u7WmY/edit?usp=sharing"",""นราธิวาส!J568"")"),5970)</f>
        <v>5970</v>
      </c>
      <c r="AI79" s="63">
        <f t="shared" ca="1" si="38"/>
        <v>100</v>
      </c>
      <c r="AJ79" s="57">
        <f ca="1">IFERROR(__xludf.DUMMYFUNCTION("IMPORTRANGE(""https://docs.google.com/spreadsheets/d/1BeghqumK0IvCmRd2QOy6_afsZq7ZtAGrSnVJy2u7WmY/edit?usp=sharing"",""นราธิวาส!J569"")"),965)</f>
        <v>965</v>
      </c>
      <c r="AK79" s="63">
        <f t="shared" ca="1" si="10"/>
        <v>100</v>
      </c>
      <c r="AL79" s="63">
        <f ca="1">IFERROR(__xludf.DUMMYFUNCTION("IMPORTRANGE(""https://docs.google.com/spreadsheets/d/1BeghqumK0IvCmRd2QOy6_afsZq7ZtAGrSnVJy2u7WmY/edit?usp=sharing"",""นราธิวาส!J570"")"),5498)</f>
        <v>5498</v>
      </c>
      <c r="AM79" s="140">
        <f ca="1">IFERROR(__xludf.DUMMYFUNCTION("IMPORTRANGE(""https://docs.google.com/spreadsheets/d/1BeghqumK0IvCmRd2QOy6_afsZq7ZtAGrSnVJy2u7WmY/edit?usp=sharing"",""นราธิวาส!J571"")"),888)</f>
        <v>888</v>
      </c>
      <c r="AN79" s="63">
        <f ca="1">IFERROR(__xludf.DUMMYFUNCTION("IMPORTRANGE(""https://docs.google.com/spreadsheets/d/1BeghqumK0IvCmRd2QOy6_afsZq7ZtAGrSnVJy2u7WmY/edit?usp=sharing"",""นราธิวาส!J572"")"),0)</f>
        <v>0</v>
      </c>
      <c r="AO79" s="140">
        <f ca="1">IFERROR(__xludf.DUMMYFUNCTION("IMPORTRANGE(""https://docs.google.com/spreadsheets/d/1BeghqumK0IvCmRd2QOy6_afsZq7ZtAGrSnVJy2u7WmY/edit?usp=sharing"",""นราธิวาส!J573"")"),0)</f>
        <v>0</v>
      </c>
      <c r="AP79" s="63">
        <f ca="1">IFERROR(__xludf.DUMMYFUNCTION("IMPORTRANGE(""https://docs.google.com/spreadsheets/d/1BeghqumK0IvCmRd2QOy6_afsZq7ZtAGrSnVJy2u7WmY/edit?usp=sharing"",""นราธิวาส!J574"")"),472)</f>
        <v>472</v>
      </c>
      <c r="AQ79" s="140">
        <f ca="1">IFERROR(__xludf.DUMMYFUNCTION("IMPORTRANGE(""https://docs.google.com/spreadsheets/d/1BeghqumK0IvCmRd2QOy6_afsZq7ZtAGrSnVJy2u7WmY/edit?usp=sharing"",""นราธิวาส!J575"")"),77)</f>
        <v>77</v>
      </c>
      <c r="AR79" s="57">
        <f ca="1">IFERROR(__xludf.DUMMYFUNCTION("IMPORTRANGE(""https://docs.google.com/spreadsheets/d/1BeghqumK0IvCmRd2QOy6_afsZq7ZtAGrSnVJy2u7WmY/edit?usp=sharing"",""นราธิวาส!I576"")"),5970)</f>
        <v>5970</v>
      </c>
      <c r="AS79" s="57">
        <f ca="1">IFERROR(__xludf.DUMMYFUNCTION("IMPORTRANGE(""https://docs.google.com/spreadsheets/d/1BeghqumK0IvCmRd2QOy6_afsZq7ZtAGrSnVJy2u7WmY/edit?usp=sharing"",""นราธิวาส!I577"")"),965)</f>
        <v>965</v>
      </c>
      <c r="AT79" s="63">
        <f ca="1">IFERROR(__xludf.DUMMYFUNCTION("IMPORTRANGE(""https://docs.google.com/spreadsheets/d/1BeghqumK0IvCmRd2QOy6_afsZq7ZtAGrSnVJy2u7WmY/edit?usp=sharing"",""นราธิวาส!J576"")"),5970)</f>
        <v>5970</v>
      </c>
      <c r="AU79" s="63">
        <f t="shared" ca="1" si="39"/>
        <v>100</v>
      </c>
      <c r="AV79" s="57">
        <f ca="1">IFERROR(__xludf.DUMMYFUNCTION("IMPORTRANGE(""https://docs.google.com/spreadsheets/d/1BeghqumK0IvCmRd2QOy6_afsZq7ZtAGrSnVJy2u7WmY/edit?usp=sharing"",""นราธิวาส!J577"")"),965)</f>
        <v>965</v>
      </c>
      <c r="AW79" s="63">
        <f t="shared" ca="1" si="13"/>
        <v>100</v>
      </c>
      <c r="AX79" s="63">
        <f ca="1">IFERROR(__xludf.DUMMYFUNCTION("IMPORTRANGE(""https://docs.google.com/spreadsheets/d/1BeghqumK0IvCmRd2QOy6_afsZq7ZtAGrSnVJy2u7WmY/edit?usp=sharing"",""นราธิวาส!J578"")"),5498)</f>
        <v>5498</v>
      </c>
      <c r="AY79" s="140">
        <f ca="1">IFERROR(__xludf.DUMMYFUNCTION("IMPORTRANGE(""https://docs.google.com/spreadsheets/d/1BeghqumK0IvCmRd2QOy6_afsZq7ZtAGrSnVJy2u7WmY/edit?usp=sharing"",""นราธิวาส!J579"")"),888)</f>
        <v>888</v>
      </c>
      <c r="AZ79" s="63">
        <f ca="1">IFERROR(__xludf.DUMMYFUNCTION("IMPORTRANGE(""https://docs.google.com/spreadsheets/d/1BeghqumK0IvCmRd2QOy6_afsZq7ZtAGrSnVJy2u7WmY/edit?usp=sharing"",""นราธิวาส!J580"")"),0)</f>
        <v>0</v>
      </c>
      <c r="BA79" s="140">
        <f ca="1">IFERROR(__xludf.DUMMYFUNCTION("IMPORTRANGE(""https://docs.google.com/spreadsheets/d/1BeghqumK0IvCmRd2QOy6_afsZq7ZtAGrSnVJy2u7WmY/edit?usp=sharing"",""นราธิวาส!J581"")"),0)</f>
        <v>0</v>
      </c>
      <c r="BB79" s="63">
        <f ca="1">IFERROR(__xludf.DUMMYFUNCTION("IMPORTRANGE(""https://docs.google.com/spreadsheets/d/1BeghqumK0IvCmRd2QOy6_afsZq7ZtAGrSnVJy2u7WmY/edit?usp=sharing"",""นราธิวาส!J582"")"),472)</f>
        <v>472</v>
      </c>
      <c r="BC79" s="140">
        <f ca="1">IFERROR(__xludf.DUMMYFUNCTION("IMPORTRANGE(""https://docs.google.com/spreadsheets/d/1BeghqumK0IvCmRd2QOy6_afsZq7ZtAGrSnVJy2u7WmY/edit?usp=sharing"",""นราธิวาส!J583"")"),77)</f>
        <v>77</v>
      </c>
      <c r="BD79" s="141">
        <f ca="1">IFERROR(__xludf.DUMMYFUNCTION("IMPORTRANGE(""https://docs.google.com/spreadsheets/d/1BeghqumK0IvCmRd2QOy6_afsZq7ZtAGrSnVJy2u7WmY/edit?usp=sharing"",""นราธิวาส!J584"")"),472)</f>
        <v>472</v>
      </c>
      <c r="BE79" s="140">
        <f ca="1">IFERROR(__xludf.DUMMYFUNCTION("IMPORTRANGE(""https://docs.google.com/spreadsheets/d/1BeghqumK0IvCmRd2QOy6_afsZq7ZtAGrSnVJy2u7WmY/edit?usp=sharing"",""นราธิวาส!J585"")"),77)</f>
        <v>77</v>
      </c>
      <c r="BF79" s="141">
        <f ca="1">IFERROR(__xludf.DUMMYFUNCTION("IMPORTRANGE(""https://docs.google.com/spreadsheets/d/1BeghqumK0IvCmRd2QOy6_afsZq7ZtAGrSnVJy2u7WmY/edit?usp=sharing"",""นราธิวาส!J586"")"),0)</f>
        <v>0</v>
      </c>
      <c r="BG79" s="140">
        <f ca="1">IFERROR(__xludf.DUMMYFUNCTION("IMPORTRANGE(""https://docs.google.com/spreadsheets/d/1BeghqumK0IvCmRd2QOy6_afsZq7ZtAGrSnVJy2u7WmY/edit?usp=sharing"",""นราธิวาส!J587"")"),0)</f>
        <v>0</v>
      </c>
      <c r="BH79" s="63">
        <f ca="1">IFERROR(__xludf.DUMMYFUNCTION("IMPORTRANGE(""https://docs.google.com/spreadsheets/d/1BeghqumK0IvCmRd2QOy6_afsZq7ZtAGrSnVJy2u7WmY/edit?usp=sharing"",""นราธิวาส!J588"")"),0)</f>
        <v>0</v>
      </c>
      <c r="BI79" s="140">
        <f ca="1">IFERROR(__xludf.DUMMYFUNCTION("IMPORTRANGE(""https://docs.google.com/spreadsheets/d/1BeghqumK0IvCmRd2QOy6_afsZq7ZtAGrSnVJy2u7WmY/edit?usp=sharing"",""นราธิวาส!J589"")"),0)</f>
        <v>0</v>
      </c>
      <c r="BJ79" s="63">
        <f ca="1">IFERROR(__xludf.DUMMYFUNCTION("IMPORTRANGE(""https://docs.google.com/spreadsheets/d/1BeghqumK0IvCmRd2QOy6_afsZq7ZtAGrSnVJy2u7WmY/edit?usp=sharing"",""นราธิวาส!J590"")"),0)</f>
        <v>0</v>
      </c>
      <c r="BK79" s="140">
        <f ca="1">IFERROR(__xludf.DUMMYFUNCTION("IMPORTRANGE(""https://docs.google.com/spreadsheets/d/1BeghqumK0IvCmRd2QOy6_afsZq7ZtAGrSnVJy2u7WmY/edit?usp=sharing"",""นราธิวาส!J591"")"),0)</f>
        <v>0</v>
      </c>
      <c r="BL79" s="57">
        <f ca="1">IFERROR(__xludf.DUMMYFUNCTION("IMPORTRANGE(""https://docs.google.com/spreadsheets/d/1BeghqumK0IvCmRd2QOy6_afsZq7ZtAGrSnVJy2u7WmY/edit?usp=sharing"",""นราธิวาส!I593"")"),1078.8)</f>
        <v>1078.8</v>
      </c>
      <c r="BM79" s="57">
        <f ca="1">IFERROR(__xludf.DUMMYFUNCTION("IMPORTRANGE(""https://docs.google.com/spreadsheets/d/1BeghqumK0IvCmRd2QOy6_afsZq7ZtAGrSnVJy2u7WmY/edit?usp=sharing"",""นราธิวาส!I594"")"),225)</f>
        <v>225</v>
      </c>
      <c r="BN79" s="63">
        <f ca="1">IFERROR(__xludf.DUMMYFUNCTION("IMPORTRANGE(""https://docs.google.com/spreadsheets/d/1BeghqumK0IvCmRd2QOy6_afsZq7ZtAGrSnVJy2u7WmY/edit?usp=sharing"",""นราธิวาส!J593"")"),0)</f>
        <v>0</v>
      </c>
      <c r="BO79" s="63">
        <f t="shared" ca="1" si="40"/>
        <v>0</v>
      </c>
      <c r="BP79" s="57">
        <f ca="1">IFERROR(__xludf.DUMMYFUNCTION("IMPORTRANGE(""https://docs.google.com/spreadsheets/d/1BeghqumK0IvCmRd2QOy6_afsZq7ZtAGrSnVJy2u7WmY/edit?usp=sharing"",""นราธิวาส!J594"")"),0)</f>
        <v>0</v>
      </c>
      <c r="BQ79" s="63">
        <f t="shared" ca="1" si="16"/>
        <v>0</v>
      </c>
      <c r="BR79" s="63">
        <f ca="1">IFERROR(__xludf.DUMMYFUNCTION("IMPORTRANGE(""https://docs.google.com/spreadsheets/d/1BeghqumK0IvCmRd2QOy6_afsZq7ZtAGrSnVJy2u7WmY/edit?usp=sharing"",""นราธิวาส!J595"")"),0)</f>
        <v>0</v>
      </c>
      <c r="BS79" s="140">
        <f ca="1">IFERROR(__xludf.DUMMYFUNCTION("IMPORTRANGE(""https://docs.google.com/spreadsheets/d/1BeghqumK0IvCmRd2QOy6_afsZq7ZtAGrSnVJy2u7WmY/edit?usp=sharing"",""นราธิวาส!J596"")"),0)</f>
        <v>0</v>
      </c>
      <c r="BT79" s="63">
        <f ca="1">IFERROR(__xludf.DUMMYFUNCTION("IMPORTRANGE(""https://docs.google.com/spreadsheets/d/1BeghqumK0IvCmRd2QOy6_afsZq7ZtAGrSnVJy2u7WmY/edit?usp=sharing"",""นราธิวาส!J597"")"),0)</f>
        <v>0</v>
      </c>
      <c r="BU79" s="140">
        <f ca="1">IFERROR(__xludf.DUMMYFUNCTION("IMPORTRANGE(""https://docs.google.com/spreadsheets/d/1BeghqumK0IvCmRd2QOy6_afsZq7ZtAGrSnVJy2u7WmY/edit?usp=sharing"",""นราธิวาส!J598"")"),0)</f>
        <v>0</v>
      </c>
      <c r="BV79" s="63">
        <f ca="1">IFERROR(__xludf.DUMMYFUNCTION("IMPORTRANGE(""https://docs.google.com/spreadsheets/d/1BeghqumK0IvCmRd2QOy6_afsZq7ZtAGrSnVJy2u7WmY/edit?usp=sharing"",""นราธิวาส!J599"")"),0)</f>
        <v>0</v>
      </c>
      <c r="BW79" s="140">
        <f ca="1">IFERROR(__xludf.DUMMYFUNCTION("IMPORTRANGE(""https://docs.google.com/spreadsheets/d/1BeghqumK0IvCmRd2QOy6_afsZq7ZtAGrSnVJy2u7WmY/edit?usp=sharing"",""นราธิวาส!J600"")"),0)</f>
        <v>0</v>
      </c>
      <c r="BX79" s="141">
        <f ca="1">IFERROR(__xludf.DUMMYFUNCTION("IMPORTRANGE(""https://docs.google.com/spreadsheets/d/1BeghqumK0IvCmRd2QOy6_afsZq7ZtAGrSnVJy2u7WmY/edit?usp=sharing"",""นราธิวาส!J601"")"),0)</f>
        <v>0</v>
      </c>
      <c r="BY79" s="140">
        <f ca="1">IFERROR(__xludf.DUMMYFUNCTION("IMPORTRANGE(""https://docs.google.com/spreadsheets/d/1BeghqumK0IvCmRd2QOy6_afsZq7ZtAGrSnVJy2u7WmY/edit?usp=sharing"",""นราธิวาส!J602"")"),0)</f>
        <v>0</v>
      </c>
      <c r="BZ79" s="63">
        <f ca="1">IFERROR(__xludf.DUMMYFUNCTION("IMPORTRANGE(""https://docs.google.com/spreadsheets/d/1BeghqumK0IvCmRd2QOy6_afsZq7ZtAGrSnVJy2u7WmY/edit?usp=sharing"",""นราธิวาส!J603"")"),0)</f>
        <v>0</v>
      </c>
      <c r="CA79" s="140">
        <f ca="1">IFERROR(__xludf.DUMMYFUNCTION("IMPORTRANGE(""https://docs.google.com/spreadsheets/d/1BeghqumK0IvCmRd2QOy6_afsZq7ZtAGrSnVJy2u7WmY/edit?usp=sharing"",""นราธิวาส!J604"")"),0)</f>
        <v>0</v>
      </c>
      <c r="CB79" s="63">
        <f ca="1">IFERROR(__xludf.DUMMYFUNCTION("IMPORTRANGE(""https://docs.google.com/spreadsheets/d/1BeghqumK0IvCmRd2QOy6_afsZq7ZtAGrSnVJy2u7WmY/edit?usp=sharing"",""นราธิวาส!J605"")"),0)</f>
        <v>0</v>
      </c>
      <c r="CC79" s="140">
        <f ca="1">IFERROR(__xludf.DUMMYFUNCTION("IMPORTRANGE(""https://docs.google.com/spreadsheets/d/1BeghqumK0IvCmRd2QOy6_afsZq7ZtAGrSnVJy2u7WmY/edit?usp=sharing"",""นราธิวาส!J606"")"),0)</f>
        <v>0</v>
      </c>
      <c r="CD79" s="63">
        <f ca="1">IFERROR(__xludf.DUMMYFUNCTION("IMPORTRANGE(""https://docs.google.com/spreadsheets/d/1BeghqumK0IvCmRd2QOy6_afsZq7ZtAGrSnVJy2u7WmY/edit?usp=sharing"",""นราธิวาส!J607"")"),0)</f>
        <v>0</v>
      </c>
      <c r="CE79" s="140">
        <f ca="1">IFERROR(__xludf.DUMMYFUNCTION("IMPORTRANGE(""https://docs.google.com/spreadsheets/d/1BeghqumK0IvCmRd2QOy6_afsZq7ZtAGrSnVJy2u7WmY/edit?usp=sharing"",""นราธิวาส!J608"")"),0)</f>
        <v>0</v>
      </c>
      <c r="CF79" s="63">
        <f ca="1">IFERROR(__xludf.DUMMYFUNCTION("IMPORTRANGE(""https://docs.google.com/spreadsheets/d/1BeghqumK0IvCmRd2QOy6_afsZq7ZtAGrSnVJy2u7WmY/edit?usp=sharing"",""นราธิวาส!J609"")"),0)</f>
        <v>0</v>
      </c>
      <c r="CG79" s="140">
        <f ca="1">IFERROR(__xludf.DUMMYFUNCTION("IMPORTRANGE(""https://docs.google.com/spreadsheets/d/1BeghqumK0IvCmRd2QOy6_afsZq7ZtAGrSnVJy2u7WmY/edit?usp=sharing"",""นราธิวาส!J610"")"),0)</f>
        <v>0</v>
      </c>
      <c r="CH79" s="140">
        <f ca="1">IFERROR(__xludf.DUMMYFUNCTION("IMPORTRANGE(""https://docs.google.com/spreadsheets/d/1BeghqumK0IvCmRd2QOy6_afsZq7ZtAGrSnVJy2u7WmY/edit?usp=sharing"",""นราธิวาส!I612"")"),0)</f>
        <v>0</v>
      </c>
      <c r="CI79" s="140">
        <f ca="1">IFERROR(__xludf.DUMMYFUNCTION("IMPORTRANGE(""https://docs.google.com/spreadsheets/d/1BeghqumK0IvCmRd2QOy6_afsZq7ZtAGrSnVJy2u7WmY/edit?usp=sharing"",""นราธิวาส!I594"")"),225)</f>
        <v>225</v>
      </c>
      <c r="CJ79" s="141">
        <f ca="1">IFERROR(__xludf.DUMMYFUNCTION("IMPORTRANGE(""https://docs.google.com/spreadsheets/d/1BeghqumK0IvCmRd2QOy6_afsZq7ZtAGrSnVJy2u7WmY/edit?usp=sharing"",""นราธิวาส!J612"")"),0)</f>
        <v>0</v>
      </c>
      <c r="CK79" s="141">
        <f t="shared" ca="1" si="41"/>
        <v>0</v>
      </c>
      <c r="CL79" s="140">
        <f ca="1">IFERROR(__xludf.DUMMYFUNCTION("IMPORTRANGE(""https://docs.google.com/spreadsheets/d/1BeghqumK0IvCmRd2QOy6_afsZq7ZtAGrSnVJy2u7WmY/edit?usp=sharing"",""นราธิวาส!J613"")"),0)</f>
        <v>0</v>
      </c>
      <c r="CM79" s="141">
        <f t="shared" ca="1" si="19"/>
        <v>0</v>
      </c>
      <c r="CN79" s="63">
        <f ca="1">IFERROR(__xludf.DUMMYFUNCTION("IMPORTRANGE(""https://docs.google.com/spreadsheets/d/1BeghqumK0IvCmRd2QOy6_afsZq7ZtAGrSnVJy2u7WmY/edit?usp=sharing"",""นราธิวาส!J614"")"),0)</f>
        <v>0</v>
      </c>
      <c r="CO79" s="140">
        <f ca="1">IFERROR(__xludf.DUMMYFUNCTION("IMPORTRANGE(""https://docs.google.com/spreadsheets/d/1BeghqumK0IvCmRd2QOy6_afsZq7ZtAGrSnVJy2u7WmY/edit?usp=sharing"",""นราธิวาส!J615"")"),0)</f>
        <v>0</v>
      </c>
      <c r="CP79" s="63">
        <f ca="1">IFERROR(__xludf.DUMMYFUNCTION("IMPORTRANGE(""https://docs.google.com/spreadsheets/d/1BeghqumK0IvCmRd2QOy6_afsZq7ZtAGrSnVJy2u7WmY/edit?usp=sharing"",""นราธิวาส!J616"")"),0)</f>
        <v>0</v>
      </c>
      <c r="CQ79" s="140">
        <f ca="1">IFERROR(__xludf.DUMMYFUNCTION("IMPORTRANGE(""https://docs.google.com/spreadsheets/d/1BeghqumK0IvCmRd2QOy6_afsZq7ZtAGrSnVJy2u7WmY/edit?usp=sharing"",""นราธิวาส!J617"")"),0)</f>
        <v>0</v>
      </c>
      <c r="CR79" s="140">
        <f ca="1">IFERROR(__xludf.DUMMYFUNCTION("IMPORTRANGE(""https://docs.google.com/spreadsheets/d/1BeghqumK0IvCmRd2QOy6_afsZq7ZtAGrSnVJy2u7WmY/edit?usp=sharing"",""นราธิวาส!I620"")"),0)</f>
        <v>0</v>
      </c>
      <c r="CS79" s="140">
        <f ca="1">IFERROR(__xludf.DUMMYFUNCTION("IMPORTRANGE(""https://docs.google.com/spreadsheets/d/1BeghqumK0IvCmRd2QOy6_afsZq7ZtAGrSnVJy2u7WmY/edit?usp=sharing"",""นราธิวาส!I621"")"),0)</f>
        <v>0</v>
      </c>
      <c r="CT79" s="141">
        <f ca="1">IFERROR(__xludf.DUMMYFUNCTION("IMPORTRANGE(""https://docs.google.com/spreadsheets/d/1BeghqumK0IvCmRd2QOy6_afsZq7ZtAGrSnVJy2u7WmY/edit?usp=sharing"",""นราธิวาส!J620"")"),0)</f>
        <v>0</v>
      </c>
      <c r="CU79" s="141">
        <f t="shared" ca="1" si="42"/>
        <v>0</v>
      </c>
      <c r="CV79" s="140">
        <f ca="1">IFERROR(__xludf.DUMMYFUNCTION("IMPORTRANGE(""https://docs.google.com/spreadsheets/d/1BeghqumK0IvCmRd2QOy6_afsZq7ZtAGrSnVJy2u7WmY/edit?usp=sharing"",""นราธิวาส!J621"")"),0)</f>
        <v>0</v>
      </c>
      <c r="CW79" s="141">
        <f t="shared" ca="1" si="22"/>
        <v>0</v>
      </c>
      <c r="CX79" s="63">
        <f ca="1">IFERROR(__xludf.DUMMYFUNCTION("IMPORTRANGE(""https://docs.google.com/spreadsheets/d/1BeghqumK0IvCmRd2QOy6_afsZq7ZtAGrSnVJy2u7WmY/edit?usp=sharing"",""นราธิวาส!J622"")"),0)</f>
        <v>0</v>
      </c>
      <c r="CY79" s="140">
        <f ca="1">IFERROR(__xludf.DUMMYFUNCTION("IMPORTRANGE(""https://docs.google.com/spreadsheets/d/1BeghqumK0IvCmRd2QOy6_afsZq7ZtAGrSnVJy2u7WmY/edit?usp=sharing"",""นราธิวาส!J623"")"),0)</f>
        <v>0</v>
      </c>
      <c r="CZ79" s="63">
        <f ca="1">IFERROR(__xludf.DUMMYFUNCTION("IMPORTRANGE(""https://docs.google.com/spreadsheets/d/1BeghqumK0IvCmRd2QOy6_afsZq7ZtAGrSnVJy2u7WmY/edit?usp=sharing"",""นราธิวาส!J624"")"),0)</f>
        <v>0</v>
      </c>
      <c r="DA79" s="140">
        <f ca="1">IFERROR(__xludf.DUMMYFUNCTION("IMPORTRANGE(""https://docs.google.com/spreadsheets/d/1BeghqumK0IvCmRd2QOy6_afsZq7ZtAGrSnVJy2u7WmY/edit?usp=sharing"",""นราธิวาส!J625"")"),0)</f>
        <v>0</v>
      </c>
      <c r="DB79" s="63">
        <f ca="1">IFERROR(__xludf.DUMMYFUNCTION("IMPORTRANGE(""https://docs.google.com/spreadsheets/d/1BeghqumK0IvCmRd2QOy6_afsZq7ZtAGrSnVJy2u7WmY/edit?usp=sharing"",""นราธิวาส!J626"")"),0)</f>
        <v>0</v>
      </c>
      <c r="DC79" s="140">
        <f ca="1">IFERROR(__xludf.DUMMYFUNCTION("IMPORTRANGE(""https://docs.google.com/spreadsheets/d/1BeghqumK0IvCmRd2QOy6_afsZq7ZtAGrSnVJy2u7WmY/edit?usp=sharing"",""นราธิวาส!J627"")"),0)</f>
        <v>0</v>
      </c>
    </row>
    <row r="80" spans="1:107" ht="21" customHeight="1" x14ac:dyDescent="0.3">
      <c r="A80" s="54">
        <v>6</v>
      </c>
      <c r="B80" s="55" t="s">
        <v>101</v>
      </c>
      <c r="C80" s="56">
        <f t="shared" ca="1" si="88"/>
        <v>299718</v>
      </c>
      <c r="D80" s="57">
        <f ca="1">IFERROR(__xludf.DUMMYFUNCTION("IMPORTRANGE(""https://docs.google.com/spreadsheets/d/1IwnW3-jjRf74MCLW-6PiFwMUffRQXZwZA7YM609NmRc/edit?usp=sharing"",""ปัตตานี!L549"")"),299718)</f>
        <v>299718</v>
      </c>
      <c r="E80" s="64">
        <f ca="1">IFERROR(__xludf.DUMMYFUNCTION("IMPORTRANGE(""https://docs.google.com/spreadsheets/d/1IwnW3-jjRf74MCLW-6PiFwMUffRQXZwZA7YM609NmRc/edit?usp=sharing"",""ปัตตานี!L557"")"),0)</f>
        <v>0</v>
      </c>
      <c r="F80" s="64">
        <f ca="1">IFERROR(__xludf.DUMMYFUNCTION("IMPORTRANGE(""https://docs.google.com/spreadsheets/d/1IwnW3-jjRf74MCLW-6PiFwMUffRQXZwZA7YM609NmRc/edit?usp=sharing"",""ปัตตานี!M549"")"),299718)</f>
        <v>299718</v>
      </c>
      <c r="G80" s="64">
        <f ca="1">IFERROR(__xludf.DUMMYFUNCTION("IMPORTRANGE(""https://docs.google.com/spreadsheets/d/1IwnW3-jjRf74MCLW-6PiFwMUffRQXZwZA7YM609NmRc/edit?usp=sharing"",""ปัตตานี!M557"")"),0)</f>
        <v>0</v>
      </c>
      <c r="H80" s="58">
        <f t="shared" ca="1" si="36"/>
        <v>110357</v>
      </c>
      <c r="I80" s="59">
        <f t="shared" ca="1" si="1"/>
        <v>36.820277727730733</v>
      </c>
      <c r="J80" s="60">
        <f t="shared" ca="1" si="89"/>
        <v>110357</v>
      </c>
      <c r="K80" s="61">
        <f t="shared" ca="1" si="44"/>
        <v>36.820277727730733</v>
      </c>
      <c r="L80" s="61">
        <f t="shared" ca="1" si="45"/>
        <v>36.820277727730733</v>
      </c>
      <c r="M80" s="64">
        <f ca="1">IFERROR(__xludf.DUMMYFUNCTION("IMPORTRANGE(""https://docs.google.com/spreadsheets/d/1IwnW3-jjRf74MCLW-6PiFwMUffRQXZwZA7YM609NmRc/edit?usp=sharing"",""ปัตตานี!N550"")"),0)</f>
        <v>0</v>
      </c>
      <c r="N80" s="64">
        <f ca="1">IFERROR(__xludf.DUMMYFUNCTION("IMPORTRANGE(""https://docs.google.com/spreadsheets/d/1IwnW3-jjRf74MCLW-6PiFwMUffRQXZwZA7YM609NmRc/edit?usp=sharing"",""ปัตตานี!N551"")"),0)</f>
        <v>0</v>
      </c>
      <c r="O80" s="64">
        <f ca="1">IFERROR(__xludf.DUMMYFUNCTION("IMPORTRANGE(""https://docs.google.com/spreadsheets/d/1IwnW3-jjRf74MCLW-6PiFwMUffRQXZwZA7YM609NmRc/edit?usp=sharing"",""ปัตตานี!N552"")"),65000)</f>
        <v>65000</v>
      </c>
      <c r="P80" s="64">
        <f ca="1">IFERROR(__xludf.DUMMYFUNCTION("IMPORTRANGE(""https://docs.google.com/spreadsheets/d/1IwnW3-jjRf74MCLW-6PiFwMUffRQXZwZA7YM609NmRc/edit?usp=sharing"",""ปัตตานี!N553"")"),45357)</f>
        <v>45357</v>
      </c>
      <c r="Q80" s="64">
        <f ca="1">IFERROR(__xludf.DUMMYFUNCTION("IMPORTRANGE(""https://docs.google.com/spreadsheets/d/1IwnW3-jjRf74MCLW-6PiFwMUffRQXZwZA7YM609NmRc/edit?usp=sharing"",""ปัตตานี!N554"")"),0)</f>
        <v>0</v>
      </c>
      <c r="R80" s="62">
        <f ca="1">IFERROR(__xludf.DUMMYFUNCTION("IMPORTRANGE(""https://docs.google.com/spreadsheets/d/1IwnW3-jjRf74MCLW-6PiFwMUffRQXZwZA7YM609NmRc/edit?usp=sharing"",""ปัตตานี!N557"")"),0)</f>
        <v>0</v>
      </c>
      <c r="S80" s="62">
        <f t="shared" ca="1" si="47"/>
        <v>0</v>
      </c>
      <c r="T80" s="57">
        <f ca="1">IFERROR(__xludf.DUMMYFUNCTION("IMPORTRANGE(""https://docs.google.com/spreadsheets/d/1IwnW3-jjRf74MCLW-6PiFwMUffRQXZwZA7YM609NmRc/edit?usp=sharing"",""ปัตตานี!I560"")"),6591)</f>
        <v>6591</v>
      </c>
      <c r="U80" s="57">
        <f ca="1">IFERROR(__xludf.DUMMYFUNCTION("IMPORTRANGE(""https://docs.google.com/spreadsheets/d/1IwnW3-jjRf74MCLW-6PiFwMUffRQXZwZA7YM609NmRc/edit?usp=sharing"",""ปัตตานี!I561"")"),1075)</f>
        <v>1075</v>
      </c>
      <c r="V80" s="63">
        <f ca="1">IFERROR(__xludf.DUMMYFUNCTION("IMPORTRANGE(""https://docs.google.com/spreadsheets/d/1IwnW3-jjRf74MCLW-6PiFwMUffRQXZwZA7YM609NmRc/edit?usp=sharing"",""ปัตตานี!J560"")"),5600.01999999999)</f>
        <v>5600.0199999999904</v>
      </c>
      <c r="W80" s="63">
        <f t="shared" ca="1" si="37"/>
        <v>84.964648763465192</v>
      </c>
      <c r="X80" s="57">
        <f ca="1">IFERROR(__xludf.DUMMYFUNCTION("IMPORTRANGE(""https://docs.google.com/spreadsheets/d/1IwnW3-jjRf74MCLW-6PiFwMUffRQXZwZA7YM609NmRc/edit?usp=sharing"",""ปัตตานี!J561"")"),940)</f>
        <v>940</v>
      </c>
      <c r="Y80" s="63">
        <f t="shared" ca="1" si="7"/>
        <v>87.441860465116278</v>
      </c>
      <c r="Z80" s="63">
        <f ca="1">IFERROR(__xludf.DUMMYFUNCTION("IMPORTRANGE(""https://docs.google.com/spreadsheets/d/1IwnW3-jjRf74MCLW-6PiFwMUffRQXZwZA7YM609NmRc/edit?usp=sharing"",""ปัตตานี!J562"")"),4203.7)</f>
        <v>4203.7</v>
      </c>
      <c r="AA80" s="140">
        <f ca="1">IFERROR(__xludf.DUMMYFUNCTION("IMPORTRANGE(""https://docs.google.com/spreadsheets/d/1IwnW3-jjRf74MCLW-6PiFwMUffRQXZwZA7YM609NmRc/edit?usp=sharing"",""ปัตตานี!J563"")"),723)</f>
        <v>723</v>
      </c>
      <c r="AB80" s="63">
        <f ca="1">IFERROR(__xludf.DUMMYFUNCTION("IMPORTRANGE(""https://docs.google.com/spreadsheets/d/1IwnW3-jjRf74MCLW-6PiFwMUffRQXZwZA7YM609NmRc/edit?usp=sharing"",""ปัตตานี!J564"")"),1029.35)</f>
        <v>1029.3499999999999</v>
      </c>
      <c r="AC80" s="140">
        <f ca="1">IFERROR(__xludf.DUMMYFUNCTION("IMPORTRANGE(""https://docs.google.com/spreadsheets/d/1IwnW3-jjRf74MCLW-6PiFwMUffRQXZwZA7YM609NmRc/edit?usp=sharing"",""ปัตตานี!J565"")"),154)</f>
        <v>154</v>
      </c>
      <c r="AD80" s="63">
        <f ca="1">IFERROR(__xludf.DUMMYFUNCTION("IMPORTRANGE(""https://docs.google.com/spreadsheets/d/1IwnW3-jjRf74MCLW-6PiFwMUffRQXZwZA7YM609NmRc/edit?usp=sharing"",""ปัตตานี!J566"")"),366.97)</f>
        <v>366.97</v>
      </c>
      <c r="AE80" s="140">
        <f ca="1">IFERROR(__xludf.DUMMYFUNCTION("IMPORTRANGE(""https://docs.google.com/spreadsheets/d/1IwnW3-jjRf74MCLW-6PiFwMUffRQXZwZA7YM609NmRc/edit?usp=sharing"",""ปัตตานี!J567"")"),63)</f>
        <v>63</v>
      </c>
      <c r="AF80" s="57">
        <f ca="1">IFERROR(__xludf.DUMMYFUNCTION("IMPORTRANGE(""https://docs.google.com/spreadsheets/d/1IwnW3-jjRf74MCLW-6PiFwMUffRQXZwZA7YM609NmRc/edit?usp=sharing"",""ปัตตานี!I568"")"),6591)</f>
        <v>6591</v>
      </c>
      <c r="AG80" s="57">
        <f ca="1">IFERROR(__xludf.DUMMYFUNCTION("IMPORTRANGE(""https://docs.google.com/spreadsheets/d/1IwnW3-jjRf74MCLW-6PiFwMUffRQXZwZA7YM609NmRc/edit?usp=sharing"",""ปัตตานี!I569"")"),1075)</f>
        <v>1075</v>
      </c>
      <c r="AH80" s="63">
        <f ca="1">IFERROR(__xludf.DUMMYFUNCTION("IMPORTRANGE(""https://docs.google.com/spreadsheets/d/1IwnW3-jjRf74MCLW-6PiFwMUffRQXZwZA7YM609NmRc/edit?usp=sharing"",""ปัตตานี!J568"")"),0)</f>
        <v>0</v>
      </c>
      <c r="AI80" s="63">
        <f t="shared" ca="1" si="38"/>
        <v>0</v>
      </c>
      <c r="AJ80" s="57">
        <f ca="1">IFERROR(__xludf.DUMMYFUNCTION("IMPORTRANGE(""https://docs.google.com/spreadsheets/d/1IwnW3-jjRf74MCLW-6PiFwMUffRQXZwZA7YM609NmRc/edit?usp=sharing"",""ปัตตานี!J569"")"),0)</f>
        <v>0</v>
      </c>
      <c r="AK80" s="63">
        <f t="shared" ca="1" si="10"/>
        <v>0</v>
      </c>
      <c r="AL80" s="63">
        <f ca="1">IFERROR(__xludf.DUMMYFUNCTION("IMPORTRANGE(""https://docs.google.com/spreadsheets/d/1IwnW3-jjRf74MCLW-6PiFwMUffRQXZwZA7YM609NmRc/edit?usp=sharing"",""ปัตตานี!J570"")"),0)</f>
        <v>0</v>
      </c>
      <c r="AM80" s="140">
        <f ca="1">IFERROR(__xludf.DUMMYFUNCTION("IMPORTRANGE(""https://docs.google.com/spreadsheets/d/1IwnW3-jjRf74MCLW-6PiFwMUffRQXZwZA7YM609NmRc/edit?usp=sharing"",""ปัตตานี!J571"")"),0)</f>
        <v>0</v>
      </c>
      <c r="AN80" s="63">
        <f ca="1">IFERROR(__xludf.DUMMYFUNCTION("IMPORTRANGE(""https://docs.google.com/spreadsheets/d/1IwnW3-jjRf74MCLW-6PiFwMUffRQXZwZA7YM609NmRc/edit?usp=sharing"",""ปัตตานี!J572"")"),0)</f>
        <v>0</v>
      </c>
      <c r="AO80" s="140">
        <f ca="1">IFERROR(__xludf.DUMMYFUNCTION("IMPORTRANGE(""https://docs.google.com/spreadsheets/d/1IwnW3-jjRf74MCLW-6PiFwMUffRQXZwZA7YM609NmRc/edit?usp=sharing"",""ปัตตานี!J573"")"),0)</f>
        <v>0</v>
      </c>
      <c r="AP80" s="63">
        <f ca="1">IFERROR(__xludf.DUMMYFUNCTION("IMPORTRANGE(""https://docs.google.com/spreadsheets/d/1IwnW3-jjRf74MCLW-6PiFwMUffRQXZwZA7YM609NmRc/edit?usp=sharing"",""ปัตตานี!J574"")"),0)</f>
        <v>0</v>
      </c>
      <c r="AQ80" s="140">
        <f ca="1">IFERROR(__xludf.DUMMYFUNCTION("IMPORTRANGE(""https://docs.google.com/spreadsheets/d/1IwnW3-jjRf74MCLW-6PiFwMUffRQXZwZA7YM609NmRc/edit?usp=sharing"",""ปัตตานี!J575"")"),0)</f>
        <v>0</v>
      </c>
      <c r="AR80" s="57">
        <f ca="1">IFERROR(__xludf.DUMMYFUNCTION("IMPORTRANGE(""https://docs.google.com/spreadsheets/d/1IwnW3-jjRf74MCLW-6PiFwMUffRQXZwZA7YM609NmRc/edit?usp=sharing"",""ปัตตานี!I576"")"),6591)</f>
        <v>6591</v>
      </c>
      <c r="AS80" s="57">
        <f ca="1">IFERROR(__xludf.DUMMYFUNCTION("IMPORTRANGE(""https://docs.google.com/spreadsheets/d/1IwnW3-jjRf74MCLW-6PiFwMUffRQXZwZA7YM609NmRc/edit?usp=sharing"",""ปัตตานี!I577"")"),1075)</f>
        <v>1075</v>
      </c>
      <c r="AT80" s="63">
        <f ca="1">IFERROR(__xludf.DUMMYFUNCTION("IMPORTRANGE(""https://docs.google.com/spreadsheets/d/1IwnW3-jjRf74MCLW-6PiFwMUffRQXZwZA7YM609NmRc/edit?usp=sharing"",""ปัตตานี!J576"")"),0)</f>
        <v>0</v>
      </c>
      <c r="AU80" s="63">
        <f t="shared" ca="1" si="39"/>
        <v>0</v>
      </c>
      <c r="AV80" s="57">
        <f ca="1">IFERROR(__xludf.DUMMYFUNCTION("IMPORTRANGE(""https://docs.google.com/spreadsheets/d/1IwnW3-jjRf74MCLW-6PiFwMUffRQXZwZA7YM609NmRc/edit?usp=sharing"",""ปัตตานี!J577"")"),0)</f>
        <v>0</v>
      </c>
      <c r="AW80" s="63">
        <f t="shared" ca="1" si="13"/>
        <v>0</v>
      </c>
      <c r="AX80" s="63">
        <f ca="1">IFERROR(__xludf.DUMMYFUNCTION("IMPORTRANGE(""https://docs.google.com/spreadsheets/d/1IwnW3-jjRf74MCLW-6PiFwMUffRQXZwZA7YM609NmRc/edit?usp=sharing"",""ปัตตานี!J578"")"),0)</f>
        <v>0</v>
      </c>
      <c r="AY80" s="140">
        <f ca="1">IFERROR(__xludf.DUMMYFUNCTION("IMPORTRANGE(""https://docs.google.com/spreadsheets/d/1IwnW3-jjRf74MCLW-6PiFwMUffRQXZwZA7YM609NmRc/edit?usp=sharing"",""ปัตตานี!J579"")"),0)</f>
        <v>0</v>
      </c>
      <c r="AZ80" s="63">
        <f ca="1">IFERROR(__xludf.DUMMYFUNCTION("IMPORTRANGE(""https://docs.google.com/spreadsheets/d/1IwnW3-jjRf74MCLW-6PiFwMUffRQXZwZA7YM609NmRc/edit?usp=sharing"",""ปัตตานี!J580"")"),0)</f>
        <v>0</v>
      </c>
      <c r="BA80" s="140">
        <f ca="1">IFERROR(__xludf.DUMMYFUNCTION("IMPORTRANGE(""https://docs.google.com/spreadsheets/d/1IwnW3-jjRf74MCLW-6PiFwMUffRQXZwZA7YM609NmRc/edit?usp=sharing"",""ปัตตานี!J581"")"),0)</f>
        <v>0</v>
      </c>
      <c r="BB80" s="63">
        <f ca="1">IFERROR(__xludf.DUMMYFUNCTION("IMPORTRANGE(""https://docs.google.com/spreadsheets/d/1IwnW3-jjRf74MCLW-6PiFwMUffRQXZwZA7YM609NmRc/edit?usp=sharing"",""ปัตตานี!J582"")"),0)</f>
        <v>0</v>
      </c>
      <c r="BC80" s="140">
        <f ca="1">IFERROR(__xludf.DUMMYFUNCTION("IMPORTRANGE(""https://docs.google.com/spreadsheets/d/1IwnW3-jjRf74MCLW-6PiFwMUffRQXZwZA7YM609NmRc/edit?usp=sharing"",""ปัตตานี!J583"")"),0)</f>
        <v>0</v>
      </c>
      <c r="BD80" s="141">
        <f ca="1">IFERROR(__xludf.DUMMYFUNCTION("IMPORTRANGE(""https://docs.google.com/spreadsheets/d/1IwnW3-jjRf74MCLW-6PiFwMUffRQXZwZA7YM609NmRc/edit?usp=sharing"",""ปัตตานี!J584"")"),0)</f>
        <v>0</v>
      </c>
      <c r="BE80" s="140">
        <f ca="1">IFERROR(__xludf.DUMMYFUNCTION("IMPORTRANGE(""https://docs.google.com/spreadsheets/d/1IwnW3-jjRf74MCLW-6PiFwMUffRQXZwZA7YM609NmRc/edit?usp=sharing"",""ปัตตานี!J585"")"),0)</f>
        <v>0</v>
      </c>
      <c r="BF80" s="141">
        <f ca="1">IFERROR(__xludf.DUMMYFUNCTION("IMPORTRANGE(""https://docs.google.com/spreadsheets/d/1IwnW3-jjRf74MCLW-6PiFwMUffRQXZwZA7YM609NmRc/edit?usp=sharing"",""ปัตตานี!J586"")"),0)</f>
        <v>0</v>
      </c>
      <c r="BG80" s="140">
        <f ca="1">IFERROR(__xludf.DUMMYFUNCTION("IMPORTRANGE(""https://docs.google.com/spreadsheets/d/1IwnW3-jjRf74MCLW-6PiFwMUffRQXZwZA7YM609NmRc/edit?usp=sharing"",""ปัตตานี!J587"")"),0)</f>
        <v>0</v>
      </c>
      <c r="BH80" s="63">
        <f ca="1">IFERROR(__xludf.DUMMYFUNCTION("IMPORTRANGE(""https://docs.google.com/spreadsheets/d/1IwnW3-jjRf74MCLW-6PiFwMUffRQXZwZA7YM609NmRc/edit?usp=sharing"",""ปัตตานี!J588"")"),0)</f>
        <v>0</v>
      </c>
      <c r="BI80" s="140">
        <f ca="1">IFERROR(__xludf.DUMMYFUNCTION("IMPORTRANGE(""https://docs.google.com/spreadsheets/d/1IwnW3-jjRf74MCLW-6PiFwMUffRQXZwZA7YM609NmRc/edit?usp=sharing"",""ปัตตานี!J589"")"),0)</f>
        <v>0</v>
      </c>
      <c r="BJ80" s="63">
        <f ca="1">IFERROR(__xludf.DUMMYFUNCTION("IMPORTRANGE(""https://docs.google.com/spreadsheets/d/1IwnW3-jjRf74MCLW-6PiFwMUffRQXZwZA7YM609NmRc/edit?usp=sharing"",""ปัตตานี!J590"")"),0)</f>
        <v>0</v>
      </c>
      <c r="BK80" s="140">
        <f ca="1">IFERROR(__xludf.DUMMYFUNCTION("IMPORTRANGE(""https://docs.google.com/spreadsheets/d/1IwnW3-jjRf74MCLW-6PiFwMUffRQXZwZA7YM609NmRc/edit?usp=sharing"",""ปัตตานี!J591"")"),0)</f>
        <v>0</v>
      </c>
      <c r="BL80" s="57">
        <f ca="1">IFERROR(__xludf.DUMMYFUNCTION("IMPORTRANGE(""https://docs.google.com/spreadsheets/d/1IwnW3-jjRf74MCLW-6PiFwMUffRQXZwZA7YM609NmRc/edit?usp=sharing"",""ปัตตานี!I593"")"),1539.76)</f>
        <v>1539.76</v>
      </c>
      <c r="BM80" s="57">
        <f ca="1">IFERROR(__xludf.DUMMYFUNCTION("IMPORTRANGE(""https://docs.google.com/spreadsheets/d/1IwnW3-jjRf74MCLW-6PiFwMUffRQXZwZA7YM609NmRc/edit?usp=sharing"",""ปัตตานี!I594"")"),224)</f>
        <v>224</v>
      </c>
      <c r="BN80" s="63">
        <f ca="1">IFERROR(__xludf.DUMMYFUNCTION("IMPORTRANGE(""https://docs.google.com/spreadsheets/d/1IwnW3-jjRf74MCLW-6PiFwMUffRQXZwZA7YM609NmRc/edit?usp=sharing"",""ปัตตานี!J593"")"),0)</f>
        <v>0</v>
      </c>
      <c r="BO80" s="63">
        <f t="shared" ca="1" si="40"/>
        <v>0</v>
      </c>
      <c r="BP80" s="57">
        <f ca="1">IFERROR(__xludf.DUMMYFUNCTION("IMPORTRANGE(""https://docs.google.com/spreadsheets/d/1IwnW3-jjRf74MCLW-6PiFwMUffRQXZwZA7YM609NmRc/edit?usp=sharing"",""ปัตตานี!J594"")"),0)</f>
        <v>0</v>
      </c>
      <c r="BQ80" s="63">
        <f t="shared" ca="1" si="16"/>
        <v>0</v>
      </c>
      <c r="BR80" s="63">
        <f ca="1">IFERROR(__xludf.DUMMYFUNCTION("IMPORTRANGE(""https://docs.google.com/spreadsheets/d/1IwnW3-jjRf74MCLW-6PiFwMUffRQXZwZA7YM609NmRc/edit?usp=sharing"",""ปัตตานี!J595"")"),0)</f>
        <v>0</v>
      </c>
      <c r="BS80" s="140">
        <f ca="1">IFERROR(__xludf.DUMMYFUNCTION("IMPORTRANGE(""https://docs.google.com/spreadsheets/d/1IwnW3-jjRf74MCLW-6PiFwMUffRQXZwZA7YM609NmRc/edit?usp=sharing"",""ปัตตานี!J596"")"),0)</f>
        <v>0</v>
      </c>
      <c r="BT80" s="63">
        <f ca="1">IFERROR(__xludf.DUMMYFUNCTION("IMPORTRANGE(""https://docs.google.com/spreadsheets/d/1IwnW3-jjRf74MCLW-6PiFwMUffRQXZwZA7YM609NmRc/edit?usp=sharing"",""ปัตตานี!J597"")"),0)</f>
        <v>0</v>
      </c>
      <c r="BU80" s="140">
        <f ca="1">IFERROR(__xludf.DUMMYFUNCTION("IMPORTRANGE(""https://docs.google.com/spreadsheets/d/1IwnW3-jjRf74MCLW-6PiFwMUffRQXZwZA7YM609NmRc/edit?usp=sharing"",""ปัตตานี!J598"")"),0)</f>
        <v>0</v>
      </c>
      <c r="BV80" s="63">
        <f ca="1">IFERROR(__xludf.DUMMYFUNCTION("IMPORTRANGE(""https://docs.google.com/spreadsheets/d/1IwnW3-jjRf74MCLW-6PiFwMUffRQXZwZA7YM609NmRc/edit?usp=sharing"",""ปัตตานี!J599"")"),0)</f>
        <v>0</v>
      </c>
      <c r="BW80" s="140">
        <f ca="1">IFERROR(__xludf.DUMMYFUNCTION("IMPORTRANGE(""https://docs.google.com/spreadsheets/d/1IwnW3-jjRf74MCLW-6PiFwMUffRQXZwZA7YM609NmRc/edit?usp=sharing"",""ปัตตานี!J600"")"),0)</f>
        <v>0</v>
      </c>
      <c r="BX80" s="141">
        <f ca="1">IFERROR(__xludf.DUMMYFUNCTION("IMPORTRANGE(""https://docs.google.com/spreadsheets/d/1IwnW3-jjRf74MCLW-6PiFwMUffRQXZwZA7YM609NmRc/edit?usp=sharing"",""ปัตตานี!J601"")"),0)</f>
        <v>0</v>
      </c>
      <c r="BY80" s="140">
        <f ca="1">IFERROR(__xludf.DUMMYFUNCTION("IMPORTRANGE(""https://docs.google.com/spreadsheets/d/1IwnW3-jjRf74MCLW-6PiFwMUffRQXZwZA7YM609NmRc/edit?usp=sharing"",""ปัตตานี!J602"")"),0)</f>
        <v>0</v>
      </c>
      <c r="BZ80" s="63">
        <f ca="1">IFERROR(__xludf.DUMMYFUNCTION("IMPORTRANGE(""https://docs.google.com/spreadsheets/d/1IwnW3-jjRf74MCLW-6PiFwMUffRQXZwZA7YM609NmRc/edit?usp=sharing"",""ปัตตานี!J603"")"),0)</f>
        <v>0</v>
      </c>
      <c r="CA80" s="140">
        <f ca="1">IFERROR(__xludf.DUMMYFUNCTION("IMPORTRANGE(""https://docs.google.com/spreadsheets/d/1IwnW3-jjRf74MCLW-6PiFwMUffRQXZwZA7YM609NmRc/edit?usp=sharing"",""ปัตตานี!J604"")"),0)</f>
        <v>0</v>
      </c>
      <c r="CB80" s="63">
        <f ca="1">IFERROR(__xludf.DUMMYFUNCTION("IMPORTRANGE(""https://docs.google.com/spreadsheets/d/1IwnW3-jjRf74MCLW-6PiFwMUffRQXZwZA7YM609NmRc/edit?usp=sharing"",""ปัตตานี!J605"")"),0)</f>
        <v>0</v>
      </c>
      <c r="CC80" s="140">
        <f ca="1">IFERROR(__xludf.DUMMYFUNCTION("IMPORTRANGE(""https://docs.google.com/spreadsheets/d/1IwnW3-jjRf74MCLW-6PiFwMUffRQXZwZA7YM609NmRc/edit?usp=sharing"",""ปัตตานี!J606"")"),0)</f>
        <v>0</v>
      </c>
      <c r="CD80" s="63">
        <f ca="1">IFERROR(__xludf.DUMMYFUNCTION("IMPORTRANGE(""https://docs.google.com/spreadsheets/d/1IwnW3-jjRf74MCLW-6PiFwMUffRQXZwZA7YM609NmRc/edit?usp=sharing"",""ปัตตานี!J607"")"),0)</f>
        <v>0</v>
      </c>
      <c r="CE80" s="140">
        <f ca="1">IFERROR(__xludf.DUMMYFUNCTION("IMPORTRANGE(""https://docs.google.com/spreadsheets/d/1IwnW3-jjRf74MCLW-6PiFwMUffRQXZwZA7YM609NmRc/edit?usp=sharing"",""ปัตตานี!J608"")"),0)</f>
        <v>0</v>
      </c>
      <c r="CF80" s="63">
        <f ca="1">IFERROR(__xludf.DUMMYFUNCTION("IMPORTRANGE(""https://docs.google.com/spreadsheets/d/1IwnW3-jjRf74MCLW-6PiFwMUffRQXZwZA7YM609NmRc/edit?usp=sharing"",""ปัตตานี!J609"")"),0)</f>
        <v>0</v>
      </c>
      <c r="CG80" s="140">
        <f ca="1">IFERROR(__xludf.DUMMYFUNCTION("IMPORTRANGE(""https://docs.google.com/spreadsheets/d/1IwnW3-jjRf74MCLW-6PiFwMUffRQXZwZA7YM609NmRc/edit?usp=sharing"",""ปัตตานี!J610"")"),0)</f>
        <v>0</v>
      </c>
      <c r="CH80" s="140">
        <f ca="1">IFERROR(__xludf.DUMMYFUNCTION("IMPORTRANGE(""https://docs.google.com/spreadsheets/d/1IwnW3-jjRf74MCLW-6PiFwMUffRQXZwZA7YM609NmRc/edit?usp=sharing"",""ปัตตานี!I612"")"),0)</f>
        <v>0</v>
      </c>
      <c r="CI80" s="140">
        <f ca="1">IFERROR(__xludf.DUMMYFUNCTION("IMPORTRANGE(""https://docs.google.com/spreadsheets/d/1IwnW3-jjRf74MCLW-6PiFwMUffRQXZwZA7YM609NmRc/edit?usp=sharing"",""ปัตตานี!I594"")"),224)</f>
        <v>224</v>
      </c>
      <c r="CJ80" s="141">
        <f ca="1">IFERROR(__xludf.DUMMYFUNCTION("IMPORTRANGE(""https://docs.google.com/spreadsheets/d/1IwnW3-jjRf74MCLW-6PiFwMUffRQXZwZA7YM609NmRc/edit?usp=sharing"",""ปัตตานี!J612"")"),0)</f>
        <v>0</v>
      </c>
      <c r="CK80" s="141">
        <f t="shared" ca="1" si="41"/>
        <v>0</v>
      </c>
      <c r="CL80" s="140">
        <f ca="1">IFERROR(__xludf.DUMMYFUNCTION("IMPORTRANGE(""https://docs.google.com/spreadsheets/d/1IwnW3-jjRf74MCLW-6PiFwMUffRQXZwZA7YM609NmRc/edit?usp=sharing"",""ปัตตานี!J613"")"),0)</f>
        <v>0</v>
      </c>
      <c r="CM80" s="141">
        <f t="shared" ca="1" si="19"/>
        <v>0</v>
      </c>
      <c r="CN80" s="63">
        <f ca="1">IFERROR(__xludf.DUMMYFUNCTION("IMPORTRANGE(""https://docs.google.com/spreadsheets/d/1IwnW3-jjRf74MCLW-6PiFwMUffRQXZwZA7YM609NmRc/edit?usp=share_link"",""ปัตตานี!J614"")"),0)</f>
        <v>0</v>
      </c>
      <c r="CO80" s="140">
        <f ca="1">IFERROR(__xludf.DUMMYFUNCTION("IMPORTRANGE(""https://docs.google.com/spreadsheets/d/1IwnW3-jjRf74MCLW-6PiFwMUffRQXZwZA7YM609NmRc/edit?usp=sharing"",""ปัตตานี!J615"")"),0)</f>
        <v>0</v>
      </c>
      <c r="CP80" s="63">
        <f ca="1">IFERROR(__xludf.DUMMYFUNCTION("IMPORTRANGE(""https://docs.google.com/spreadsheets/d/1IwnW3-jjRf74MCLW-6PiFwMUffRQXZwZA7YM609NmRc/edit?usp=share_link"",""ปัตตานี!J616"")"),0)</f>
        <v>0</v>
      </c>
      <c r="CQ80" s="140">
        <f ca="1">IFERROR(__xludf.DUMMYFUNCTION("IMPORTRANGE(""https://docs.google.com/spreadsheets/d/1IwnW3-jjRf74MCLW-6PiFwMUffRQXZwZA7YM609NmRc/edit?usp=sharing"",""ปัตตานี!J617"")"),0)</f>
        <v>0</v>
      </c>
      <c r="CR80" s="140">
        <f ca="1">IFERROR(__xludf.DUMMYFUNCTION("IMPORTRANGE(""https://docs.google.com/spreadsheets/d/1IwnW3-jjRf74MCLW-6PiFwMUffRQXZwZA7YM609NmRc/edit?usp=sharing"",""ปัตตานี!I620"")"),0)</f>
        <v>0</v>
      </c>
      <c r="CS80" s="140">
        <f ca="1">IFERROR(__xludf.DUMMYFUNCTION("IMPORTRANGE(""https://docs.google.com/spreadsheets/d/1IwnW3-jjRf74MCLW-6PiFwMUffRQXZwZA7YM609NmRc/edit?usp=sharing"",""ปัตตานี!I621"")"),0)</f>
        <v>0</v>
      </c>
      <c r="CT80" s="141">
        <f ca="1">IFERROR(__xludf.DUMMYFUNCTION("IMPORTRANGE(""https://docs.google.com/spreadsheets/d/1IwnW3-jjRf74MCLW-6PiFwMUffRQXZwZA7YM609NmRc/edit?usp=sharing"",""ปัตตานี!J620"")"),0)</f>
        <v>0</v>
      </c>
      <c r="CU80" s="141">
        <f t="shared" ca="1" si="42"/>
        <v>0</v>
      </c>
      <c r="CV80" s="140">
        <f ca="1">IFERROR(__xludf.DUMMYFUNCTION("IMPORTRANGE(""https://docs.google.com/spreadsheets/d/1IwnW3-jjRf74MCLW-6PiFwMUffRQXZwZA7YM609NmRc/edit?usp=sharing"",""ปัตตานี!J621"")"),0)</f>
        <v>0</v>
      </c>
      <c r="CW80" s="141">
        <f t="shared" ca="1" si="22"/>
        <v>0</v>
      </c>
      <c r="CX80" s="63">
        <f ca="1">IFERROR(__xludf.DUMMYFUNCTION("IMPORTRANGE(""https://docs.google.com/spreadsheets/d/1IwnW3-jjRf74MCLW-6PiFwMUffRQXZwZA7YM609NmRc/edit?usp=share_link"",""ปัตตานี!J622"")"),0)</f>
        <v>0</v>
      </c>
      <c r="CY80" s="140">
        <f ca="1">IFERROR(__xludf.DUMMYFUNCTION("IMPORTRANGE(""https://docs.google.com/spreadsheets/d/1IwnW3-jjRf74MCLW-6PiFwMUffRQXZwZA7YM609NmRc/edit?usp=sharing"",""ปัตตานี!J623"")"),0)</f>
        <v>0</v>
      </c>
      <c r="CZ80" s="63">
        <f ca="1">IFERROR(__xludf.DUMMYFUNCTION("IMPORTRANGE(""https://docs.google.com/spreadsheets/d/1IwnW3-jjRf74MCLW-6PiFwMUffRQXZwZA7YM609NmRc/edit?usp=share_link"",""ปัตตานี!J624"")"),0)</f>
        <v>0</v>
      </c>
      <c r="DA80" s="140">
        <f ca="1">IFERROR(__xludf.DUMMYFUNCTION("IMPORTRANGE(""https://docs.google.com/spreadsheets/d/1IwnW3-jjRf74MCLW-6PiFwMUffRQXZwZA7YM609NmRc/edit?usp=sharing"",""ปัตตานี!J625"")"),0)</f>
        <v>0</v>
      </c>
      <c r="DB80" s="63">
        <f ca="1">IFERROR(__xludf.DUMMYFUNCTION("IMPORTRANGE(""https://docs.google.com/spreadsheets/d/1IwnW3-jjRf74MCLW-6PiFwMUffRQXZwZA7YM609NmRc/edit?usp=share_link"",""ปัตตานี!J626"")"),0)</f>
        <v>0</v>
      </c>
      <c r="DC80" s="140">
        <f ca="1">IFERROR(__xludf.DUMMYFUNCTION("IMPORTRANGE(""https://docs.google.com/spreadsheets/d/1IwnW3-jjRf74MCLW-6PiFwMUffRQXZwZA7YM609NmRc/edit?usp=sharing"",""ปัตตานี!J627"")"),0)</f>
        <v>0</v>
      </c>
    </row>
    <row r="81" spans="1:107" ht="21" customHeight="1" x14ac:dyDescent="0.3">
      <c r="A81" s="54">
        <v>7</v>
      </c>
      <c r="B81" s="55" t="s">
        <v>102</v>
      </c>
      <c r="C81" s="56">
        <f t="shared" ca="1" si="88"/>
        <v>236443</v>
      </c>
      <c r="D81" s="57">
        <f ca="1">IFERROR(__xludf.DUMMYFUNCTION("IMPORTRANGE(""https://docs.google.com/spreadsheets/d/1vl4QWbWdFruual5o_wdo6ZSqXZ_it806oja4CctTLKs/edit?usp=sharing"",""พังงา!L549"")"),236443)</f>
        <v>236443</v>
      </c>
      <c r="E81" s="64">
        <f ca="1">IFERROR(__xludf.DUMMYFUNCTION("IMPORTRANGE(""https://docs.google.com/spreadsheets/d/1vl4QWbWdFruual5o_wdo6ZSqXZ_it806oja4CctTLKs/edit?usp=sharing"",""พังงา!L557"")"),0)</f>
        <v>0</v>
      </c>
      <c r="F81" s="64">
        <f ca="1">IFERROR(__xludf.DUMMYFUNCTION("IMPORTRANGE(""https://docs.google.com/spreadsheets/d/1vl4QWbWdFruual5o_wdo6ZSqXZ_it806oja4CctTLKs/edit?usp=sharing"",""พังงา!M549"")"),236443)</f>
        <v>236443</v>
      </c>
      <c r="G81" s="64">
        <f ca="1">IFERROR(__xludf.DUMMYFUNCTION("IMPORTRANGE(""https://docs.google.com/spreadsheets/d/1vl4QWbWdFruual5o_wdo6ZSqXZ_it806oja4CctTLKs/edit?usp=sharing"",""พังงา!M557"")"),0)</f>
        <v>0</v>
      </c>
      <c r="H81" s="58">
        <f t="shared" ca="1" si="36"/>
        <v>108436</v>
      </c>
      <c r="I81" s="59">
        <f t="shared" ca="1" si="1"/>
        <v>45.861370393710111</v>
      </c>
      <c r="J81" s="60">
        <f t="shared" ca="1" si="89"/>
        <v>108436</v>
      </c>
      <c r="K81" s="61">
        <f t="shared" ca="1" si="44"/>
        <v>45.861370393710111</v>
      </c>
      <c r="L81" s="61">
        <f t="shared" ca="1" si="45"/>
        <v>45.861370393710111</v>
      </c>
      <c r="M81" s="64">
        <f ca="1">IFERROR(__xludf.DUMMYFUNCTION("IMPORTRANGE(""https://docs.google.com/spreadsheets/d/1vl4QWbWdFruual5o_wdo6ZSqXZ_it806oja4CctTLKs/edit?usp=sharing"",""พังงา!N550"")"),0)</f>
        <v>0</v>
      </c>
      <c r="N81" s="64">
        <f ca="1">IFERROR(__xludf.DUMMYFUNCTION("IMPORTRANGE(""https://docs.google.com/spreadsheets/d/1vl4QWbWdFruual5o_wdo6ZSqXZ_it806oja4CctTLKs/edit?usp=sharing"",""พังงา!N551"")"),0)</f>
        <v>0</v>
      </c>
      <c r="O81" s="64">
        <f ca="1">IFERROR(__xludf.DUMMYFUNCTION("IMPORTRANGE(""https://docs.google.com/spreadsheets/d/1vl4QWbWdFruual5o_wdo6ZSqXZ_it806oja4CctTLKs/edit?usp=sharing"",""พังงา!N552"")"),63268)</f>
        <v>63268</v>
      </c>
      <c r="P81" s="64">
        <f ca="1">IFERROR(__xludf.DUMMYFUNCTION("IMPORTRANGE(""https://docs.google.com/spreadsheets/d/1vl4QWbWdFruual5o_wdo6ZSqXZ_it806oja4CctTLKs/edit?usp=sharing"",""พังงา!N553"")"),45168)</f>
        <v>45168</v>
      </c>
      <c r="Q81" s="64">
        <f ca="1">IFERROR(__xludf.DUMMYFUNCTION("IMPORTRANGE(""https://docs.google.com/spreadsheets/d/1vl4QWbWdFruual5o_wdo6ZSqXZ_it806oja4CctTLKs/edit?usp=sharing"",""พังงา!N554"")"),0)</f>
        <v>0</v>
      </c>
      <c r="R81" s="62">
        <f ca="1">IFERROR(__xludf.DUMMYFUNCTION("IMPORTRANGE(""https://docs.google.com/spreadsheets/d/1vl4QWbWdFruual5o_wdo6ZSqXZ_it806oja4CctTLKs/edit?usp=sharing"",""พังงา!N557"")"),0)</f>
        <v>0</v>
      </c>
      <c r="S81" s="62">
        <f t="shared" ca="1" si="47"/>
        <v>0</v>
      </c>
      <c r="T81" s="57">
        <f ca="1">IFERROR(__xludf.DUMMYFUNCTION("IMPORTRANGE(""https://docs.google.com/spreadsheets/d/1vl4QWbWdFruual5o_wdo6ZSqXZ_it806oja4CctTLKs/edit?usp=sharing"",""พังงา!I560"")"),2360)</f>
        <v>2360</v>
      </c>
      <c r="U81" s="57">
        <f ca="1">IFERROR(__xludf.DUMMYFUNCTION("IMPORTRANGE(""https://docs.google.com/spreadsheets/d/1vl4QWbWdFruual5o_wdo6ZSqXZ_it806oja4CctTLKs/edit?usp=sharing"",""พังงา!I561"")"),339)</f>
        <v>339</v>
      </c>
      <c r="V81" s="63">
        <f ca="1">IFERROR(__xludf.DUMMYFUNCTION("IMPORTRANGE(""https://docs.google.com/spreadsheets/d/1vl4QWbWdFruual5o_wdo6ZSqXZ_it806oja4CctTLKs/edit?usp=sharing"",""พังงา!J560"")"),2360)</f>
        <v>2360</v>
      </c>
      <c r="W81" s="63">
        <f t="shared" ca="1" si="37"/>
        <v>100</v>
      </c>
      <c r="X81" s="57">
        <f ca="1">IFERROR(__xludf.DUMMYFUNCTION("IMPORTRANGE(""https://docs.google.com/spreadsheets/d/1vl4QWbWdFruual5o_wdo6ZSqXZ_it806oja4CctTLKs/edit?usp=sharing"",""พังงา!J561"")"),339)</f>
        <v>339</v>
      </c>
      <c r="Y81" s="63">
        <f t="shared" ca="1" si="7"/>
        <v>100</v>
      </c>
      <c r="Z81" s="63">
        <f ca="1">IFERROR(__xludf.DUMMYFUNCTION("IMPORTRANGE(""https://docs.google.com/spreadsheets/d/1vl4QWbWdFruual5o_wdo6ZSqXZ_it806oja4CctTLKs/edit?usp=sharing"",""พังงา!J562"")"),2089)</f>
        <v>2089</v>
      </c>
      <c r="AA81" s="140">
        <f ca="1">IFERROR(__xludf.DUMMYFUNCTION("IMPORTRANGE(""https://docs.google.com/spreadsheets/d/1vl4QWbWdFruual5o_wdo6ZSqXZ_it806oja4CctTLKs/edit?usp=sharing"",""พังงา!J563"")"),276)</f>
        <v>276</v>
      </c>
      <c r="AB81" s="63">
        <f ca="1">IFERROR(__xludf.DUMMYFUNCTION("IMPORTRANGE(""https://docs.google.com/spreadsheets/d/1vl4QWbWdFruual5o_wdo6ZSqXZ_it806oja4CctTLKs/edit?usp=sharing"",""พังงา!J564"")"),199)</f>
        <v>199</v>
      </c>
      <c r="AC81" s="140">
        <f ca="1">IFERROR(__xludf.DUMMYFUNCTION("IMPORTRANGE(""https://docs.google.com/spreadsheets/d/1vl4QWbWdFruual5o_wdo6ZSqXZ_it806oja4CctTLKs/edit?usp=sharing"",""พังงา!J565"")"),53)</f>
        <v>53</v>
      </c>
      <c r="AD81" s="63">
        <f ca="1">IFERROR(__xludf.DUMMYFUNCTION("IMPORTRANGE(""https://docs.google.com/spreadsheets/d/1vl4QWbWdFruual5o_wdo6ZSqXZ_it806oja4CctTLKs/edit?usp=sharing"",""พังงา!J566"")"),72)</f>
        <v>72</v>
      </c>
      <c r="AE81" s="140">
        <f ca="1">IFERROR(__xludf.DUMMYFUNCTION("IMPORTRANGE(""https://docs.google.com/spreadsheets/d/1vl4QWbWdFruual5o_wdo6ZSqXZ_it806oja4CctTLKs/edit?usp=sharing"",""พังงา!J567"")"),10)</f>
        <v>10</v>
      </c>
      <c r="AF81" s="57">
        <f ca="1">IFERROR(__xludf.DUMMYFUNCTION("IMPORTRANGE(""https://docs.google.com/spreadsheets/d/1vl4QWbWdFruual5o_wdo6ZSqXZ_it806oja4CctTLKs/edit?usp=sharing"",""พังงา!I568"")"),2360)</f>
        <v>2360</v>
      </c>
      <c r="AG81" s="57">
        <f ca="1">IFERROR(__xludf.DUMMYFUNCTION("IMPORTRANGE(""https://docs.google.com/spreadsheets/d/1vl4QWbWdFruual5o_wdo6ZSqXZ_it806oja4CctTLKs/edit?usp=sharing"",""พังงา!I569"")"),339)</f>
        <v>339</v>
      </c>
      <c r="AH81" s="63">
        <f ca="1">IFERROR(__xludf.DUMMYFUNCTION("IMPORTRANGE(""https://docs.google.com/spreadsheets/d/1vl4QWbWdFruual5o_wdo6ZSqXZ_it806oja4CctTLKs/edit?usp=sharing"",""พังงา!J568"")"),2360)</f>
        <v>2360</v>
      </c>
      <c r="AI81" s="63">
        <f t="shared" ca="1" si="38"/>
        <v>100</v>
      </c>
      <c r="AJ81" s="57">
        <f ca="1">IFERROR(__xludf.DUMMYFUNCTION("IMPORTRANGE(""https://docs.google.com/spreadsheets/d/1vl4QWbWdFruual5o_wdo6ZSqXZ_it806oja4CctTLKs/edit?usp=sharing"",""พังงา!J569"")"),339)</f>
        <v>339</v>
      </c>
      <c r="AK81" s="63">
        <f t="shared" ca="1" si="10"/>
        <v>100</v>
      </c>
      <c r="AL81" s="63">
        <f ca="1">IFERROR(__xludf.DUMMYFUNCTION("IMPORTRANGE(""https://docs.google.com/spreadsheets/d/1vl4QWbWdFruual5o_wdo6ZSqXZ_it806oja4CctTLKs/edit?usp=sharing"",""พังงา!J570"")"),2103)</f>
        <v>2103</v>
      </c>
      <c r="AM81" s="140">
        <f ca="1">IFERROR(__xludf.DUMMYFUNCTION("IMPORTRANGE(""https://docs.google.com/spreadsheets/d/1vl4QWbWdFruual5o_wdo6ZSqXZ_it806oja4CctTLKs/edit?usp=sharing"",""พังงา!J571"")"),278)</f>
        <v>278</v>
      </c>
      <c r="AN81" s="63">
        <f ca="1">IFERROR(__xludf.DUMMYFUNCTION("IMPORTRANGE(""https://docs.google.com/spreadsheets/d/1vl4QWbWdFruual5o_wdo6ZSqXZ_it806oja4CctTLKs/edit?usp=sharing"",""พังงา!J572"")"),185)</f>
        <v>185</v>
      </c>
      <c r="AO81" s="140">
        <f ca="1">IFERROR(__xludf.DUMMYFUNCTION("IMPORTRANGE(""https://docs.google.com/spreadsheets/d/1vl4QWbWdFruual5o_wdo6ZSqXZ_it806oja4CctTLKs/edit?usp=sharing"",""พังงา!J573"")"),51)</f>
        <v>51</v>
      </c>
      <c r="AP81" s="63">
        <f ca="1">IFERROR(__xludf.DUMMYFUNCTION("IMPORTRANGE(""https://docs.google.com/spreadsheets/d/1vl4QWbWdFruual5o_wdo6ZSqXZ_it806oja4CctTLKs/edit?usp=sharing"",""พังงา!J574"")"),72)</f>
        <v>72</v>
      </c>
      <c r="AQ81" s="140">
        <f ca="1">IFERROR(__xludf.DUMMYFUNCTION("IMPORTRANGE(""https://docs.google.com/spreadsheets/d/1vl4QWbWdFruual5o_wdo6ZSqXZ_it806oja4CctTLKs/edit?usp=sharing"",""พังงา!J575"")"),10)</f>
        <v>10</v>
      </c>
      <c r="AR81" s="57">
        <f ca="1">IFERROR(__xludf.DUMMYFUNCTION("IMPORTRANGE(""https://docs.google.com/spreadsheets/d/1vl4QWbWdFruual5o_wdo6ZSqXZ_it806oja4CctTLKs/edit?usp=sharing"",""พังงา!I576"")"),2360)</f>
        <v>2360</v>
      </c>
      <c r="AS81" s="57">
        <f ca="1">IFERROR(__xludf.DUMMYFUNCTION("IMPORTRANGE(""https://docs.google.com/spreadsheets/d/1vl4QWbWdFruual5o_wdo6ZSqXZ_it806oja4CctTLKs/edit?usp=sharing"",""พังงา!I577"")"),339)</f>
        <v>339</v>
      </c>
      <c r="AT81" s="63">
        <f ca="1">IFERROR(__xludf.DUMMYFUNCTION("IMPORTRANGE(""https://docs.google.com/spreadsheets/d/1vl4QWbWdFruual5o_wdo6ZSqXZ_it806oja4CctTLKs/edit?usp=sharing"",""พังงา!J576"")"),2360)</f>
        <v>2360</v>
      </c>
      <c r="AU81" s="63">
        <f t="shared" ca="1" si="39"/>
        <v>100</v>
      </c>
      <c r="AV81" s="57">
        <f ca="1">IFERROR(__xludf.DUMMYFUNCTION("IMPORTRANGE(""https://docs.google.com/spreadsheets/d/1vl4QWbWdFruual5o_wdo6ZSqXZ_it806oja4CctTLKs/edit?usp=sharing"",""พังงา!J577"")"),339)</f>
        <v>339</v>
      </c>
      <c r="AW81" s="63">
        <f t="shared" ca="1" si="13"/>
        <v>100</v>
      </c>
      <c r="AX81" s="63">
        <f ca="1">IFERROR(__xludf.DUMMYFUNCTION("IMPORTRANGE(""https://docs.google.com/spreadsheets/d/1vl4QWbWdFruual5o_wdo6ZSqXZ_it806oja4CctTLKs/edit?usp=sharing"",""พังงา!J578"")"),2096)</f>
        <v>2096</v>
      </c>
      <c r="AY81" s="140">
        <f ca="1">IFERROR(__xludf.DUMMYFUNCTION("IMPORTRANGE(""https://docs.google.com/spreadsheets/d/1vl4QWbWdFruual5o_wdo6ZSqXZ_it806oja4CctTLKs/edit?usp=sharing"",""พังงา!J579"")"),278)</f>
        <v>278</v>
      </c>
      <c r="AZ81" s="63">
        <f ca="1">IFERROR(__xludf.DUMMYFUNCTION("IMPORTRANGE(""https://docs.google.com/spreadsheets/d/1vl4QWbWdFruual5o_wdo6ZSqXZ_it806oja4CctTLKs/edit?usp=sharing"",""พังงา!J580"")"),191)</f>
        <v>191</v>
      </c>
      <c r="BA81" s="140">
        <f ca="1">IFERROR(__xludf.DUMMYFUNCTION("IMPORTRANGE(""https://docs.google.com/spreadsheets/d/1vl4QWbWdFruual5o_wdo6ZSqXZ_it806oja4CctTLKs/edit?usp=sharing"",""พังงา!J581"")"),51)</f>
        <v>51</v>
      </c>
      <c r="BB81" s="63">
        <f ca="1">IFERROR(__xludf.DUMMYFUNCTION("IMPORTRANGE(""https://docs.google.com/spreadsheets/d/1vl4QWbWdFruual5o_wdo6ZSqXZ_it806oja4CctTLKs/edit?usp=sharing"",""พังงา!J582"")"),73)</f>
        <v>73</v>
      </c>
      <c r="BC81" s="140">
        <f ca="1">IFERROR(__xludf.DUMMYFUNCTION("IMPORTRANGE(""https://docs.google.com/spreadsheets/d/1vl4QWbWdFruual5o_wdo6ZSqXZ_it806oja4CctTLKs/edit?usp=sharing"",""พังงา!J583"")"),10)</f>
        <v>10</v>
      </c>
      <c r="BD81" s="141">
        <f ca="1">IFERROR(__xludf.DUMMYFUNCTION("IMPORTRANGE(""https://docs.google.com/spreadsheets/d/1vl4QWbWdFruual5o_wdo6ZSqXZ_it806oja4CctTLKs/edit?usp=sharing"",""พังงา!J584"")"),73)</f>
        <v>73</v>
      </c>
      <c r="BE81" s="140">
        <f ca="1">IFERROR(__xludf.DUMMYFUNCTION("IMPORTRANGE(""https://docs.google.com/spreadsheets/d/1vl4QWbWdFruual5o_wdo6ZSqXZ_it806oja4CctTLKs/edit?usp=sharing"",""พังงา!J585"")"),10)</f>
        <v>10</v>
      </c>
      <c r="BF81" s="141">
        <f ca="1">IFERROR(__xludf.DUMMYFUNCTION("IMPORTRANGE(""https://docs.google.com/spreadsheets/d/1vl4QWbWdFruual5o_wdo6ZSqXZ_it806oja4CctTLKs/edit?usp=sharing"",""พังงา!J586"")"),0)</f>
        <v>0</v>
      </c>
      <c r="BG81" s="140">
        <f ca="1">IFERROR(__xludf.DUMMYFUNCTION("IMPORTRANGE(""https://docs.google.com/spreadsheets/d/1vl4QWbWdFruual5o_wdo6ZSqXZ_it806oja4CctTLKs/edit?usp=sharing"",""พังงา!J587"")"),0)</f>
        <v>0</v>
      </c>
      <c r="BH81" s="63">
        <f ca="1">IFERROR(__xludf.DUMMYFUNCTION("IMPORTRANGE(""https://docs.google.com/spreadsheets/d/1vl4QWbWdFruual5o_wdo6ZSqXZ_it806oja4CctTLKs/edit?usp=sharing"",""พังงา!J588"")"),0)</f>
        <v>0</v>
      </c>
      <c r="BI81" s="140">
        <f ca="1">IFERROR(__xludf.DUMMYFUNCTION("IMPORTRANGE(""https://docs.google.com/spreadsheets/d/1vl4QWbWdFruual5o_wdo6ZSqXZ_it806oja4CctTLKs/edit?usp=sharing"",""พังงา!J589"")"),0)</f>
        <v>0</v>
      </c>
      <c r="BJ81" s="63">
        <f ca="1">IFERROR(__xludf.DUMMYFUNCTION("IMPORTRANGE(""https://docs.google.com/spreadsheets/d/1vl4QWbWdFruual5o_wdo6ZSqXZ_it806oja4CctTLKs/edit?usp=sharing"",""พังงา!J590"")"),0)</f>
        <v>0</v>
      </c>
      <c r="BK81" s="140">
        <f ca="1">IFERROR(__xludf.DUMMYFUNCTION("IMPORTRANGE(""https://docs.google.com/spreadsheets/d/1vl4QWbWdFruual5o_wdo6ZSqXZ_it806oja4CctTLKs/edit?usp=sharing"",""พังงา!J591"")"),0)</f>
        <v>0</v>
      </c>
      <c r="BL81" s="57">
        <f ca="1">IFERROR(__xludf.DUMMYFUNCTION("IMPORTRANGE(""https://docs.google.com/spreadsheets/d/1vl4QWbWdFruual5o_wdo6ZSqXZ_it806oja4CctTLKs/edit?usp=sharing"",""พังงา!I593"")"),217.49)</f>
        <v>217.49</v>
      </c>
      <c r="BM81" s="57">
        <f ca="1">IFERROR(__xludf.DUMMYFUNCTION("IMPORTRANGE(""https://docs.google.com/spreadsheets/d/1vl4QWbWdFruual5o_wdo6ZSqXZ_it806oja4CctTLKs/edit?usp=sharing"",""พังงา!I594"")"),29)</f>
        <v>29</v>
      </c>
      <c r="BN81" s="63">
        <f ca="1">IFERROR(__xludf.DUMMYFUNCTION("IMPORTRANGE(""https://docs.google.com/spreadsheets/d/1vl4QWbWdFruual5o_wdo6ZSqXZ_it806oja4CctTLKs/edit?usp=sharing"",""พังงา!J593"")"),0)</f>
        <v>0</v>
      </c>
      <c r="BO81" s="63">
        <f t="shared" ca="1" si="40"/>
        <v>0</v>
      </c>
      <c r="BP81" s="57">
        <f ca="1">IFERROR(__xludf.DUMMYFUNCTION("IMPORTRANGE(""https://docs.google.com/spreadsheets/d/1vl4QWbWdFruual5o_wdo6ZSqXZ_it806oja4CctTLKs/edit?usp=sharing"",""พังงา!J594"")"),0)</f>
        <v>0</v>
      </c>
      <c r="BQ81" s="63">
        <f t="shared" ca="1" si="16"/>
        <v>0</v>
      </c>
      <c r="BR81" s="63">
        <f ca="1">IFERROR(__xludf.DUMMYFUNCTION("IMPORTRANGE(""https://docs.google.com/spreadsheets/d/1vl4QWbWdFruual5o_wdo6ZSqXZ_it806oja4CctTLKs/edit?usp=sharing"",""พังงา!J595"")"),0)</f>
        <v>0</v>
      </c>
      <c r="BS81" s="140">
        <f ca="1">IFERROR(__xludf.DUMMYFUNCTION("IMPORTRANGE(""https://docs.google.com/spreadsheets/d/1vl4QWbWdFruual5o_wdo6ZSqXZ_it806oja4CctTLKs/edit?usp=sharing"",""พังงา!J596"")"),0)</f>
        <v>0</v>
      </c>
      <c r="BT81" s="63">
        <f ca="1">IFERROR(__xludf.DUMMYFUNCTION("IMPORTRANGE(""https://docs.google.com/spreadsheets/d/1vl4QWbWdFruual5o_wdo6ZSqXZ_it806oja4CctTLKs/edit?usp=sharing"",""พังงา!J597"")"),0)</f>
        <v>0</v>
      </c>
      <c r="BU81" s="140">
        <f ca="1">IFERROR(__xludf.DUMMYFUNCTION("IMPORTRANGE(""https://docs.google.com/spreadsheets/d/1vl4QWbWdFruual5o_wdo6ZSqXZ_it806oja4CctTLKs/edit?usp=sharing"",""พังงา!J598"")"),0)</f>
        <v>0</v>
      </c>
      <c r="BV81" s="63">
        <f ca="1">IFERROR(__xludf.DUMMYFUNCTION("IMPORTRANGE(""https://docs.google.com/spreadsheets/d/1vl4QWbWdFruual5o_wdo6ZSqXZ_it806oja4CctTLKs/edit?usp=sharing"",""พังงา!J599"")"),0)</f>
        <v>0</v>
      </c>
      <c r="BW81" s="140">
        <f ca="1">IFERROR(__xludf.DUMMYFUNCTION("IMPORTRANGE(""https://docs.google.com/spreadsheets/d/1vl4QWbWdFruual5o_wdo6ZSqXZ_it806oja4CctTLKs/edit?usp=sharing"",""พังงา!J600"")"),0)</f>
        <v>0</v>
      </c>
      <c r="BX81" s="141">
        <f ca="1">IFERROR(__xludf.DUMMYFUNCTION("IMPORTRANGE(""https://docs.google.com/spreadsheets/d/1vl4QWbWdFruual5o_wdo6ZSqXZ_it806oja4CctTLKs/edit?usp=sharing"",""พังงา!J601"")"),0)</f>
        <v>0</v>
      </c>
      <c r="BY81" s="140">
        <f ca="1">IFERROR(__xludf.DUMMYFUNCTION("IMPORTRANGE(""https://docs.google.com/spreadsheets/d/1vl4QWbWdFruual5o_wdo6ZSqXZ_it806oja4CctTLKs/edit?usp=sharing"",""พังงา!J602"")"),0)</f>
        <v>0</v>
      </c>
      <c r="BZ81" s="63">
        <f ca="1">IFERROR(__xludf.DUMMYFUNCTION("IMPORTRANGE(""https://docs.google.com/spreadsheets/d/1vl4QWbWdFruual5o_wdo6ZSqXZ_it806oja4CctTLKs/edit?usp=sharing"",""พังงา!J603"")"),0)</f>
        <v>0</v>
      </c>
      <c r="CA81" s="140">
        <f ca="1">IFERROR(__xludf.DUMMYFUNCTION("IMPORTRANGE(""https://docs.google.com/spreadsheets/d/1vl4QWbWdFruual5o_wdo6ZSqXZ_it806oja4CctTLKs/edit?usp=sharing"",""พังงา!J604"")"),0)</f>
        <v>0</v>
      </c>
      <c r="CB81" s="63">
        <f ca="1">IFERROR(__xludf.DUMMYFUNCTION("IMPORTRANGE(""https://docs.google.com/spreadsheets/d/1vl4QWbWdFruual5o_wdo6ZSqXZ_it806oja4CctTLKs/edit?usp=sharing"",""พังงา!J605"")"),0)</f>
        <v>0</v>
      </c>
      <c r="CC81" s="140">
        <f ca="1">IFERROR(__xludf.DUMMYFUNCTION("IMPORTRANGE(""https://docs.google.com/spreadsheets/d/1vl4QWbWdFruual5o_wdo6ZSqXZ_it806oja4CctTLKs/edit?usp=sharing"",""พังงา!J606"")"),0)</f>
        <v>0</v>
      </c>
      <c r="CD81" s="63">
        <f ca="1">IFERROR(__xludf.DUMMYFUNCTION("IMPORTRANGE(""https://docs.google.com/spreadsheets/d/1vl4QWbWdFruual5o_wdo6ZSqXZ_it806oja4CctTLKs/edit?usp=sharing"",""พังงา!J607"")"),0)</f>
        <v>0</v>
      </c>
      <c r="CE81" s="140">
        <f ca="1">IFERROR(__xludf.DUMMYFUNCTION("IMPORTRANGE(""https://docs.google.com/spreadsheets/d/1vl4QWbWdFruual5o_wdo6ZSqXZ_it806oja4CctTLKs/edit?usp=sharing"",""พังงา!J608"")"),0)</f>
        <v>0</v>
      </c>
      <c r="CF81" s="63">
        <f ca="1">IFERROR(__xludf.DUMMYFUNCTION("IMPORTRANGE(""https://docs.google.com/spreadsheets/d/1vl4QWbWdFruual5o_wdo6ZSqXZ_it806oja4CctTLKs/edit?usp=sharing"",""พังงา!J609"")"),0)</f>
        <v>0</v>
      </c>
      <c r="CG81" s="140">
        <f ca="1">IFERROR(__xludf.DUMMYFUNCTION("IMPORTRANGE(""https://docs.google.com/spreadsheets/d/1vl4QWbWdFruual5o_wdo6ZSqXZ_it806oja4CctTLKs/edit?usp=sharing"",""พังงา!J610"")"),0)</f>
        <v>0</v>
      </c>
      <c r="CH81" s="140">
        <f ca="1">IFERROR(__xludf.DUMMYFUNCTION("IMPORTRANGE(""https://docs.google.com/spreadsheets/d/1vl4QWbWdFruual5o_wdo6ZSqXZ_it806oja4CctTLKs/edit?usp=sharing"",""พังงา!I612"")"),0)</f>
        <v>0</v>
      </c>
      <c r="CI81" s="140">
        <f ca="1">IFERROR(__xludf.DUMMYFUNCTION("IMPORTRANGE(""https://docs.google.com/spreadsheets/d/1vl4QWbWdFruual5o_wdo6ZSqXZ_it806oja4CctTLKs/edit?usp=sharing"",""พังงา!I594"")"),29)</f>
        <v>29</v>
      </c>
      <c r="CJ81" s="141">
        <f ca="1">IFERROR(__xludf.DUMMYFUNCTION("IMPORTRANGE(""https://docs.google.com/spreadsheets/d/1vl4QWbWdFruual5o_wdo6ZSqXZ_it806oja4CctTLKs/edit?usp=sharing"",""พังงา!J612"")"),0)</f>
        <v>0</v>
      </c>
      <c r="CK81" s="141">
        <f t="shared" ca="1" si="41"/>
        <v>0</v>
      </c>
      <c r="CL81" s="140">
        <f ca="1">IFERROR(__xludf.DUMMYFUNCTION("IMPORTRANGE(""https://docs.google.com/spreadsheets/d/1vl4QWbWdFruual5o_wdo6ZSqXZ_it806oja4CctTLKs/edit?usp=sharing"",""พังงา!J613"")"),0)</f>
        <v>0</v>
      </c>
      <c r="CM81" s="141">
        <f t="shared" ca="1" si="19"/>
        <v>0</v>
      </c>
      <c r="CN81" s="63">
        <f ca="1">IFERROR(__xludf.DUMMYFUNCTION("IMPORTRANGE(""https://docs.google.com/spreadsheets/d/1vl4QWbWdFruual5o_wdo6ZSqXZ_it806oja4CctTLKs/edit?usp=sharing"",""พังงา!J614"")"),0)</f>
        <v>0</v>
      </c>
      <c r="CO81" s="140">
        <f ca="1">IFERROR(__xludf.DUMMYFUNCTION("IMPORTRANGE(""https://docs.google.com/spreadsheets/d/1vl4QWbWdFruual5o_wdo6ZSqXZ_it806oja4CctTLKs/edit?usp=sharing"",""พังงา!J615"")"),0)</f>
        <v>0</v>
      </c>
      <c r="CP81" s="63">
        <f ca="1">IFERROR(__xludf.DUMMYFUNCTION("IMPORTRANGE(""https://docs.google.com/spreadsheets/d/1vl4QWbWdFruual5o_wdo6ZSqXZ_it806oja4CctTLKs/edit?usp=sharing"",""พังงา!J616"")"),0)</f>
        <v>0</v>
      </c>
      <c r="CQ81" s="140">
        <f ca="1">IFERROR(__xludf.DUMMYFUNCTION("IMPORTRANGE(""https://docs.google.com/spreadsheets/d/1vl4QWbWdFruual5o_wdo6ZSqXZ_it806oja4CctTLKs/edit?usp=sharing"",""พังงา!J617"")"),0)</f>
        <v>0</v>
      </c>
      <c r="CR81" s="140">
        <f ca="1">IFERROR(__xludf.DUMMYFUNCTION("IMPORTRANGE(""https://docs.google.com/spreadsheets/d/1vl4QWbWdFruual5o_wdo6ZSqXZ_it806oja4CctTLKs/edit?usp=sharing"",""พังงา!I620"")"),10)</f>
        <v>10</v>
      </c>
      <c r="CS81" s="140">
        <f ca="1">IFERROR(__xludf.DUMMYFUNCTION("IMPORTRANGE(""https://docs.google.com/spreadsheets/d/1vl4QWbWdFruual5o_wdo6ZSqXZ_it806oja4CctTLKs/edit?usp=sharing"",""พังงา!I621"")"),1)</f>
        <v>1</v>
      </c>
      <c r="CT81" s="141">
        <f ca="1">IFERROR(__xludf.DUMMYFUNCTION("IMPORTRANGE(""https://docs.google.com/spreadsheets/d/1vl4QWbWdFruual5o_wdo6ZSqXZ_it806oja4CctTLKs/edit?usp=sharing"",""พังงา!J620"")"),0)</f>
        <v>0</v>
      </c>
      <c r="CU81" s="141">
        <f t="shared" ca="1" si="42"/>
        <v>0</v>
      </c>
      <c r="CV81" s="140">
        <f ca="1">IFERROR(__xludf.DUMMYFUNCTION("IMPORTRANGE(""https://docs.google.com/spreadsheets/d/1vl4QWbWdFruual5o_wdo6ZSqXZ_it806oja4CctTLKs/edit?usp=sharing"",""พังงา!J621"")"),0)</f>
        <v>0</v>
      </c>
      <c r="CW81" s="141">
        <f t="shared" ca="1" si="22"/>
        <v>0</v>
      </c>
      <c r="CX81" s="63">
        <f ca="1">IFERROR(__xludf.DUMMYFUNCTION("IMPORTRANGE(""https://docs.google.com/spreadsheets/d/1vl4QWbWdFruual5o_wdo6ZSqXZ_it806oja4CctTLKs/edit?usp=sharing"",""พังงา!J622"")"),0)</f>
        <v>0</v>
      </c>
      <c r="CY81" s="140">
        <f ca="1">IFERROR(__xludf.DUMMYFUNCTION("IMPORTRANGE(""https://docs.google.com/spreadsheets/d/1vl4QWbWdFruual5o_wdo6ZSqXZ_it806oja4CctTLKs/edit?usp=sharing"",""พังงา!J623"")"),0)</f>
        <v>0</v>
      </c>
      <c r="CZ81" s="63">
        <f ca="1">IFERROR(__xludf.DUMMYFUNCTION("IMPORTRANGE(""https://docs.google.com/spreadsheets/d/1vl4QWbWdFruual5o_wdo6ZSqXZ_it806oja4CctTLKs/edit?usp=sharing"",""พังงา!J624"")"),0)</f>
        <v>0</v>
      </c>
      <c r="DA81" s="140">
        <f ca="1">IFERROR(__xludf.DUMMYFUNCTION("IMPORTRANGE(""https://docs.google.com/spreadsheets/d/1vl4QWbWdFruual5o_wdo6ZSqXZ_it806oja4CctTLKs/edit?usp=sharing"",""พังงา!J625"")"),0)</f>
        <v>0</v>
      </c>
      <c r="DB81" s="63">
        <f ca="1">IFERROR(__xludf.DUMMYFUNCTION("IMPORTRANGE(""https://docs.google.com/spreadsheets/d/1vl4QWbWdFruual5o_wdo6ZSqXZ_it806oja4CctTLKs/edit?usp=sharing"",""พังงา!J626"")"),0)</f>
        <v>0</v>
      </c>
      <c r="DC81" s="140">
        <f ca="1">IFERROR(__xludf.DUMMYFUNCTION("IMPORTRANGE(""https://docs.google.com/spreadsheets/d/1vl4QWbWdFruual5o_wdo6ZSqXZ_it806oja4CctTLKs/edit?usp=sharing"",""พังงา!J627"")"),0)</f>
        <v>0</v>
      </c>
    </row>
    <row r="82" spans="1:107" ht="21" customHeight="1" x14ac:dyDescent="0.3">
      <c r="A82" s="54">
        <v>8</v>
      </c>
      <c r="B82" s="55" t="s">
        <v>103</v>
      </c>
      <c r="C82" s="56">
        <f t="shared" ca="1" si="88"/>
        <v>537675</v>
      </c>
      <c r="D82" s="57">
        <f ca="1">IFERROR(__xludf.DUMMYFUNCTION("IMPORTRANGE(""https://docs.google.com/spreadsheets/d/1b6QssHQp2FoAPSMKHOy273KNzAomaIKhtdlvuZ_zDNE/edit?usp=sharing"",""พัทลุง!L549"")"),537675)</f>
        <v>537675</v>
      </c>
      <c r="E82" s="64">
        <f ca="1">IFERROR(__xludf.DUMMYFUNCTION("IMPORTRANGE(""https://docs.google.com/spreadsheets/d/1b6QssHQp2FoAPSMKHOy273KNzAomaIKhtdlvuZ_zDNE/edit?usp=sharing"",""พัทลุง!L557"")"),0)</f>
        <v>0</v>
      </c>
      <c r="F82" s="64">
        <f ca="1">IFERROR(__xludf.DUMMYFUNCTION("IMPORTRANGE(""https://docs.google.com/spreadsheets/d/1b6QssHQp2FoAPSMKHOy273KNzAomaIKhtdlvuZ_zDNE/edit?usp=sharing"",""พัทลุง!M549"")"),537675)</f>
        <v>537675</v>
      </c>
      <c r="G82" s="64">
        <f ca="1">IFERROR(__xludf.DUMMYFUNCTION("IMPORTRANGE(""https://docs.google.com/spreadsheets/d/1b6QssHQp2FoAPSMKHOy273KNzAomaIKhtdlvuZ_zDNE/edit?usp=sharing"",""พัทลุง!M557"")"),0)</f>
        <v>0</v>
      </c>
      <c r="H82" s="58">
        <f t="shared" ca="1" si="36"/>
        <v>168157.88</v>
      </c>
      <c r="I82" s="59">
        <f t="shared" ca="1" si="1"/>
        <v>31.275004417166503</v>
      </c>
      <c r="J82" s="60">
        <f t="shared" ca="1" si="89"/>
        <v>168157.88</v>
      </c>
      <c r="K82" s="61">
        <f t="shared" ca="1" si="44"/>
        <v>31.275004417166503</v>
      </c>
      <c r="L82" s="61">
        <f t="shared" ca="1" si="45"/>
        <v>31.275004417166503</v>
      </c>
      <c r="M82" s="64">
        <f ca="1">IFERROR(__xludf.DUMMYFUNCTION("IMPORTRANGE(""https://docs.google.com/spreadsheets/d/1b6QssHQp2FoAPSMKHOy273KNzAomaIKhtdlvuZ_zDNE/edit?usp=sharing"",""พัทลุง!N550"")"),0)</f>
        <v>0</v>
      </c>
      <c r="N82" s="64">
        <f ca="1">IFERROR(__xludf.DUMMYFUNCTION("IMPORTRANGE(""https://docs.google.com/spreadsheets/d/1b6QssHQp2FoAPSMKHOy273KNzAomaIKhtdlvuZ_zDNE/edit?usp=sharing"",""พัทลุง!N551"")"),0)</f>
        <v>0</v>
      </c>
      <c r="O82" s="64">
        <f ca="1">IFERROR(__xludf.DUMMYFUNCTION("IMPORTRANGE(""https://docs.google.com/spreadsheets/d/1b6QssHQp2FoAPSMKHOy273KNzAomaIKhtdlvuZ_zDNE/edit?usp=sharing"",""พัทลุง!N552"")"),64147.07)</f>
        <v>64147.07</v>
      </c>
      <c r="P82" s="64">
        <f ca="1">IFERROR(__xludf.DUMMYFUNCTION("IMPORTRANGE(""https://docs.google.com/spreadsheets/d/1b6QssHQp2FoAPSMKHOy273KNzAomaIKhtdlvuZ_zDNE/edit?usp=sharing"",""พัทลุง!N553"")"),104010.81)</f>
        <v>104010.81</v>
      </c>
      <c r="Q82" s="64">
        <f ca="1">IFERROR(__xludf.DUMMYFUNCTION("IMPORTRANGE(""https://docs.google.com/spreadsheets/d/1b6QssHQp2FoAPSMKHOy273KNzAomaIKhtdlvuZ_zDNE/edit?usp=sharing"",""พัทลุง!N554"")"),0)</f>
        <v>0</v>
      </c>
      <c r="R82" s="62">
        <f ca="1">IFERROR(__xludf.DUMMYFUNCTION("IMPORTRANGE(""https://docs.google.com/spreadsheets/d/1b6QssHQp2FoAPSMKHOy273KNzAomaIKhtdlvuZ_zDNE/edit?usp=sharing"",""พัทลุง!N557"")"),0)</f>
        <v>0</v>
      </c>
      <c r="S82" s="62">
        <f t="shared" ca="1" si="47"/>
        <v>0</v>
      </c>
      <c r="T82" s="57">
        <f ca="1">IFERROR(__xludf.DUMMYFUNCTION("IMPORTRANGE(""https://docs.google.com/spreadsheets/d/1b6QssHQp2FoAPSMKHOy273KNzAomaIKhtdlvuZ_zDNE/edit?usp=sharing"",""พัทลุง!I560"")"),36514)</f>
        <v>36514</v>
      </c>
      <c r="U82" s="57">
        <f ca="1">IFERROR(__xludf.DUMMYFUNCTION("IMPORTRANGE(""https://docs.google.com/spreadsheets/d/1b6QssHQp2FoAPSMKHOy273KNzAomaIKhtdlvuZ_zDNE/edit?usp=sharing"",""พัทลุง!I561"")"),7422)</f>
        <v>7422</v>
      </c>
      <c r="V82" s="63">
        <f ca="1">IFERROR(__xludf.DUMMYFUNCTION("IMPORTRANGE(""https://docs.google.com/spreadsheets/d/1b6QssHQp2FoAPSMKHOy273KNzAomaIKhtdlvuZ_zDNE/edit?usp=sharing"",""พัทลุง!J560"")"),36514.2325)</f>
        <v>36514.232499999998</v>
      </c>
      <c r="W82" s="63">
        <f t="shared" ca="1" si="37"/>
        <v>100.00063674207153</v>
      </c>
      <c r="X82" s="57">
        <f ca="1">IFERROR(__xludf.DUMMYFUNCTION("IMPORTRANGE(""https://docs.google.com/spreadsheets/d/1b6QssHQp2FoAPSMKHOy273KNzAomaIKhtdlvuZ_zDNE/edit?usp=sharing"",""พัทลุง!J561"")"),7422)</f>
        <v>7422</v>
      </c>
      <c r="Y82" s="63">
        <f t="shared" ca="1" si="7"/>
        <v>100</v>
      </c>
      <c r="Z82" s="63">
        <f ca="1">IFERROR(__xludf.DUMMYFUNCTION("IMPORTRANGE(""https://docs.google.com/spreadsheets/d/1b6QssHQp2FoAPSMKHOy273KNzAomaIKhtdlvuZ_zDNE/edit?usp=sharing"",""พัทลุง!J562"")"),31338.235)</f>
        <v>31338.235000000001</v>
      </c>
      <c r="AA82" s="140">
        <f ca="1">IFERROR(__xludf.DUMMYFUNCTION("IMPORTRANGE(""https://docs.google.com/spreadsheets/d/1b6QssHQp2FoAPSMKHOy273KNzAomaIKhtdlvuZ_zDNE/edit?usp=sharing"",""พัทลุง!J563"")"),6525)</f>
        <v>6525</v>
      </c>
      <c r="AB82" s="63">
        <f ca="1">IFERROR(__xludf.DUMMYFUNCTION("IMPORTRANGE(""https://docs.google.com/spreadsheets/d/1b6QssHQp2FoAPSMKHOy273KNzAomaIKhtdlvuZ_zDNE/edit?usp=sharing"",""พัทลุง!J564"")"),4457.84)</f>
        <v>4457.84</v>
      </c>
      <c r="AC82" s="140">
        <f ca="1">IFERROR(__xludf.DUMMYFUNCTION("IMPORTRANGE(""https://docs.google.com/spreadsheets/d/1b6QssHQp2FoAPSMKHOy273KNzAomaIKhtdlvuZ_zDNE/edit?usp=sharing"",""พัทลุง!J565"")"),773)</f>
        <v>773</v>
      </c>
      <c r="AD82" s="63">
        <f ca="1">IFERROR(__xludf.DUMMYFUNCTION("IMPORTRANGE(""https://docs.google.com/spreadsheets/d/1b6QssHQp2FoAPSMKHOy273KNzAomaIKhtdlvuZ_zDNE/edit?usp=sharing"",""พัทลุง!J566"")"),718.1575)</f>
        <v>718.15750000000003</v>
      </c>
      <c r="AE82" s="140">
        <f ca="1">IFERROR(__xludf.DUMMYFUNCTION("IMPORTRANGE(""https://docs.google.com/spreadsheets/d/1b6QssHQp2FoAPSMKHOy273KNzAomaIKhtdlvuZ_zDNE/edit?usp=sharing"",""พัทลุง!J567"")"),124)</f>
        <v>124</v>
      </c>
      <c r="AF82" s="57">
        <f ca="1">IFERROR(__xludf.DUMMYFUNCTION("IMPORTRANGE(""https://docs.google.com/spreadsheets/d/1b6QssHQp2FoAPSMKHOy273KNzAomaIKhtdlvuZ_zDNE/edit?usp=sharing"",""พัทลุง!I568"")"),36514)</f>
        <v>36514</v>
      </c>
      <c r="AG82" s="57">
        <f ca="1">IFERROR(__xludf.DUMMYFUNCTION("IMPORTRANGE(""https://docs.google.com/spreadsheets/d/1b6QssHQp2FoAPSMKHOy273KNzAomaIKhtdlvuZ_zDNE/edit?usp=sharing"",""พัทลุง!I569"")"),7422)</f>
        <v>7422</v>
      </c>
      <c r="AH82" s="63">
        <f ca="1">IFERROR(__xludf.DUMMYFUNCTION("IMPORTRANGE(""https://docs.google.com/spreadsheets/d/1b6QssHQp2FoAPSMKHOy273KNzAomaIKhtdlvuZ_zDNE/edit?usp=sharing"",""พัทลุง!J568"")"),36514.7775)</f>
        <v>36514.777499999997</v>
      </c>
      <c r="AI82" s="63">
        <f t="shared" ca="1" si="38"/>
        <v>100.00212932026071</v>
      </c>
      <c r="AJ82" s="57">
        <f ca="1">IFERROR(__xludf.DUMMYFUNCTION("IMPORTRANGE(""https://docs.google.com/spreadsheets/d/1b6QssHQp2FoAPSMKHOy273KNzAomaIKhtdlvuZ_zDNE/edit?usp=sharing"",""พัทลุง!J569"")"),7422)</f>
        <v>7422</v>
      </c>
      <c r="AK82" s="63">
        <f t="shared" ca="1" si="10"/>
        <v>100</v>
      </c>
      <c r="AL82" s="63">
        <f ca="1">IFERROR(__xludf.DUMMYFUNCTION("IMPORTRANGE(""https://docs.google.com/spreadsheets/d/1b6QssHQp2FoAPSMKHOy273KNzAomaIKhtdlvuZ_zDNE/edit?usp=sharing"",""พัทลุง!J570"")"),33777)</f>
        <v>33777</v>
      </c>
      <c r="AM82" s="140">
        <f ca="1">IFERROR(__xludf.DUMMYFUNCTION("IMPORTRANGE(""https://docs.google.com/spreadsheets/d/1b6QssHQp2FoAPSMKHOy273KNzAomaIKhtdlvuZ_zDNE/edit?usp=sharing"",""พัทลุง!J571"")"),6929)</f>
        <v>6929</v>
      </c>
      <c r="AN82" s="63">
        <f ca="1">IFERROR(__xludf.DUMMYFUNCTION("IMPORTRANGE(""https://docs.google.com/spreadsheets/d/1b6QssHQp2FoAPSMKHOy273KNzAomaIKhtdlvuZ_zDNE/edit?usp=sharing"",""พัทลุง!J572"")"),2062)</f>
        <v>2062</v>
      </c>
      <c r="AO82" s="140">
        <f ca="1">IFERROR(__xludf.DUMMYFUNCTION("IMPORTRANGE(""https://docs.google.com/spreadsheets/d/1b6QssHQp2FoAPSMKHOy273KNzAomaIKhtdlvuZ_zDNE/edit?usp=sharing"",""พัทลุง!J573"")"),374)</f>
        <v>374</v>
      </c>
      <c r="AP82" s="63">
        <f ca="1">IFERROR(__xludf.DUMMYFUNCTION("IMPORTRANGE(""https://docs.google.com/spreadsheets/d/1b6QssHQp2FoAPSMKHOy273KNzAomaIKhtdlvuZ_zDNE/edit?usp=sharing"",""พัทลุง!J574"")"),675.7775)</f>
        <v>675.77750000000003</v>
      </c>
      <c r="AQ82" s="140">
        <f ca="1">IFERROR(__xludf.DUMMYFUNCTION("IMPORTRANGE(""https://docs.google.com/spreadsheets/d/1b6QssHQp2FoAPSMKHOy273KNzAomaIKhtdlvuZ_zDNE/edit?usp=sharing"",""พัทลุง!J575"")"),119)</f>
        <v>119</v>
      </c>
      <c r="AR82" s="57">
        <f ca="1">IFERROR(__xludf.DUMMYFUNCTION("IMPORTRANGE(""https://docs.google.com/spreadsheets/d/1b6QssHQp2FoAPSMKHOy273KNzAomaIKhtdlvuZ_zDNE/edit?usp=sharing"",""พัทลุง!I576"")"),36514)</f>
        <v>36514</v>
      </c>
      <c r="AS82" s="57">
        <f ca="1">IFERROR(__xludf.DUMMYFUNCTION("IMPORTRANGE(""https://docs.google.com/spreadsheets/d/1b6QssHQp2FoAPSMKHOy273KNzAomaIKhtdlvuZ_zDNE/edit?usp=sharing"",""พัทลุง!I577"")"),7422)</f>
        <v>7422</v>
      </c>
      <c r="AT82" s="63">
        <f ca="1">IFERROR(__xludf.DUMMYFUNCTION("IMPORTRANGE(""https://docs.google.com/spreadsheets/d/1b6QssHQp2FoAPSMKHOy273KNzAomaIKhtdlvuZ_zDNE/edit?usp=sharing"",""พัทลุง!J576"")"),36514.195)</f>
        <v>36514.195</v>
      </c>
      <c r="AU82" s="63">
        <f t="shared" ca="1" si="39"/>
        <v>100.00053404173741</v>
      </c>
      <c r="AV82" s="57">
        <f ca="1">IFERROR(__xludf.DUMMYFUNCTION("IMPORTRANGE(""https://docs.google.com/spreadsheets/d/1b6QssHQp2FoAPSMKHOy273KNzAomaIKhtdlvuZ_zDNE/edit?usp=sharing"",""พัทลุง!J577"")"),7422)</f>
        <v>7422</v>
      </c>
      <c r="AW82" s="63">
        <f t="shared" ca="1" si="13"/>
        <v>100</v>
      </c>
      <c r="AX82" s="63">
        <f ca="1">IFERROR(__xludf.DUMMYFUNCTION("IMPORTRANGE(""https://docs.google.com/spreadsheets/d/1b6QssHQp2FoAPSMKHOy273KNzAomaIKhtdlvuZ_zDNE/edit?usp=sharing"",""พัทลุง!J578"")"),33776.6025)</f>
        <v>33776.602500000001</v>
      </c>
      <c r="AY82" s="140">
        <f ca="1">IFERROR(__xludf.DUMMYFUNCTION("IMPORTRANGE(""https://docs.google.com/spreadsheets/d/1b6QssHQp2FoAPSMKHOy273KNzAomaIKhtdlvuZ_zDNE/edit?usp=sharing"",""พัทลุง!J579"")"),6929)</f>
        <v>6929</v>
      </c>
      <c r="AZ82" s="63">
        <f ca="1">IFERROR(__xludf.DUMMYFUNCTION("IMPORTRANGE(""https://docs.google.com/spreadsheets/d/1b6QssHQp2FoAPSMKHOy273KNzAomaIKhtdlvuZ_zDNE/edit?usp=sharing"",""พัทลุง!J580"")"),2061.815)</f>
        <v>2061.8150000000001</v>
      </c>
      <c r="BA82" s="140">
        <f ca="1">IFERROR(__xludf.DUMMYFUNCTION("IMPORTRANGE(""https://docs.google.com/spreadsheets/d/1b6QssHQp2FoAPSMKHOy273KNzAomaIKhtdlvuZ_zDNE/edit?usp=sharing"",""พัทลุง!J581"")"),374)</f>
        <v>374</v>
      </c>
      <c r="BB82" s="63">
        <f ca="1">IFERROR(__xludf.DUMMYFUNCTION("IMPORTRANGE(""https://docs.google.com/spreadsheets/d/1b6QssHQp2FoAPSMKHOy273KNzAomaIKhtdlvuZ_zDNE/edit?usp=sharing"",""พัทลุง!J582"")"),675.7775)</f>
        <v>675.77750000000003</v>
      </c>
      <c r="BC82" s="140">
        <f ca="1">IFERROR(__xludf.DUMMYFUNCTION("IMPORTRANGE(""https://docs.google.com/spreadsheets/d/1b6QssHQp2FoAPSMKHOy273KNzAomaIKhtdlvuZ_zDNE/edit?usp=sharing"",""พัทลุง!J583"")"),119)</f>
        <v>119</v>
      </c>
      <c r="BD82" s="141">
        <f ca="1">IFERROR(__xludf.DUMMYFUNCTION("IMPORTRANGE(""https://docs.google.com/spreadsheets/d/1b6QssHQp2FoAPSMKHOy273KNzAomaIKhtdlvuZ_zDNE/edit?usp=sharing"",""พัทลุง!J584"")"),675.7775)</f>
        <v>675.77750000000003</v>
      </c>
      <c r="BE82" s="140">
        <f ca="1">IFERROR(__xludf.DUMMYFUNCTION("IMPORTRANGE(""https://docs.google.com/spreadsheets/d/1b6QssHQp2FoAPSMKHOy273KNzAomaIKhtdlvuZ_zDNE/edit?usp=sharing"",""พัทลุง!J585"")"),119)</f>
        <v>119</v>
      </c>
      <c r="BF82" s="141">
        <f ca="1">IFERROR(__xludf.DUMMYFUNCTION("IMPORTRANGE(""https://docs.google.com/spreadsheets/d/1b6QssHQp2FoAPSMKHOy273KNzAomaIKhtdlvuZ_zDNE/edit?usp=sharing"",""พัทลุง!J586"")"),0)</f>
        <v>0</v>
      </c>
      <c r="BG82" s="140">
        <f ca="1">IFERROR(__xludf.DUMMYFUNCTION("IMPORTRANGE(""https://docs.google.com/spreadsheets/d/1b6QssHQp2FoAPSMKHOy273KNzAomaIKhtdlvuZ_zDNE/edit?usp=sharing"",""พัทลุง!J587"")"),0)</f>
        <v>0</v>
      </c>
      <c r="BH82" s="63">
        <f ca="1">IFERROR(__xludf.DUMMYFUNCTION("IMPORTRANGE(""https://docs.google.com/spreadsheets/d/1b6QssHQp2FoAPSMKHOy273KNzAomaIKhtdlvuZ_zDNE/edit?usp=sharing"",""พัทลุง!J588"")"),0)</f>
        <v>0</v>
      </c>
      <c r="BI82" s="140">
        <f ca="1">IFERROR(__xludf.DUMMYFUNCTION("IMPORTRANGE(""https://docs.google.com/spreadsheets/d/1b6QssHQp2FoAPSMKHOy273KNzAomaIKhtdlvuZ_zDNE/edit?usp=sharing"",""พัทลุง!J589"")"),0)</f>
        <v>0</v>
      </c>
      <c r="BJ82" s="63">
        <f ca="1">IFERROR(__xludf.DUMMYFUNCTION("IMPORTRANGE(""https://docs.google.com/spreadsheets/d/1b6QssHQp2FoAPSMKHOy273KNzAomaIKhtdlvuZ_zDNE/edit?usp=sharing"",""พัทลุง!J590"")"),0)</f>
        <v>0</v>
      </c>
      <c r="BK82" s="140">
        <f ca="1">IFERROR(__xludf.DUMMYFUNCTION("IMPORTRANGE(""https://docs.google.com/spreadsheets/d/1b6QssHQp2FoAPSMKHOy273KNzAomaIKhtdlvuZ_zDNE/edit?usp=sharing"",""พัทลุง!J591"")"),0)</f>
        <v>0</v>
      </c>
      <c r="BL82" s="57">
        <f ca="1">IFERROR(__xludf.DUMMYFUNCTION("IMPORTRANGE(""https://docs.google.com/spreadsheets/d/1b6QssHQp2FoAPSMKHOy273KNzAomaIKhtdlvuZ_zDNE/edit?usp=sharing"",""พัทลุง!I593"")"),2370.63)</f>
        <v>2370.63</v>
      </c>
      <c r="BM82" s="57">
        <f ca="1">IFERROR(__xludf.DUMMYFUNCTION("IMPORTRANGE(""https://docs.google.com/spreadsheets/d/1b6QssHQp2FoAPSMKHOy273KNzAomaIKhtdlvuZ_zDNE/edit?usp=sharing"",""พัทลุง!I594"")"),404)</f>
        <v>404</v>
      </c>
      <c r="BN82" s="63">
        <f ca="1">IFERROR(__xludf.DUMMYFUNCTION("IMPORTRANGE(""https://docs.google.com/spreadsheets/d/1b6QssHQp2FoAPSMKHOy273KNzAomaIKhtdlvuZ_zDNE/edit?usp=sharing"",""พัทลุง!J593"")"),0)</f>
        <v>0</v>
      </c>
      <c r="BO82" s="63">
        <f t="shared" ca="1" si="40"/>
        <v>0</v>
      </c>
      <c r="BP82" s="57">
        <f ca="1">IFERROR(__xludf.DUMMYFUNCTION("IMPORTRANGE(""https://docs.google.com/spreadsheets/d/1b6QssHQp2FoAPSMKHOy273KNzAomaIKhtdlvuZ_zDNE/edit?usp=sharing"",""พัทลุง!J594"")"),0)</f>
        <v>0</v>
      </c>
      <c r="BQ82" s="63">
        <f t="shared" ca="1" si="16"/>
        <v>0</v>
      </c>
      <c r="BR82" s="63">
        <f ca="1">IFERROR(__xludf.DUMMYFUNCTION("IMPORTRANGE(""https://docs.google.com/spreadsheets/d/1b6QssHQp2FoAPSMKHOy273KNzAomaIKhtdlvuZ_zDNE/edit?usp=sharing"",""พัทลุง!J595"")"),0)</f>
        <v>0</v>
      </c>
      <c r="BS82" s="140">
        <f ca="1">IFERROR(__xludf.DUMMYFUNCTION("IMPORTRANGE(""https://docs.google.com/spreadsheets/d/1b6QssHQp2FoAPSMKHOy273KNzAomaIKhtdlvuZ_zDNE/edit?usp=sharing"",""พัทลุง!J596"")"),0)</f>
        <v>0</v>
      </c>
      <c r="BT82" s="63">
        <f ca="1">IFERROR(__xludf.DUMMYFUNCTION("IMPORTRANGE(""https://docs.google.com/spreadsheets/d/1b6QssHQp2FoAPSMKHOy273KNzAomaIKhtdlvuZ_zDNE/edit?usp=sharing"",""พัทลุง!J597"")"),0)</f>
        <v>0</v>
      </c>
      <c r="BU82" s="140">
        <f ca="1">IFERROR(__xludf.DUMMYFUNCTION("IMPORTRANGE(""https://docs.google.com/spreadsheets/d/1b6QssHQp2FoAPSMKHOy273KNzAomaIKhtdlvuZ_zDNE/edit?usp=sharing"",""พัทลุง!J598"")"),0)</f>
        <v>0</v>
      </c>
      <c r="BV82" s="63">
        <f ca="1">IFERROR(__xludf.DUMMYFUNCTION("IMPORTRANGE(""https://docs.google.com/spreadsheets/d/1b6QssHQp2FoAPSMKHOy273KNzAomaIKhtdlvuZ_zDNE/edit?usp=sharing"",""พัทลุง!J599"")"),0)</f>
        <v>0</v>
      </c>
      <c r="BW82" s="140">
        <f ca="1">IFERROR(__xludf.DUMMYFUNCTION("IMPORTRANGE(""https://docs.google.com/spreadsheets/d/1b6QssHQp2FoAPSMKHOy273KNzAomaIKhtdlvuZ_zDNE/edit?usp=sharing"",""พัทลุง!J600"")"),0)</f>
        <v>0</v>
      </c>
      <c r="BX82" s="141">
        <f ca="1">IFERROR(__xludf.DUMMYFUNCTION("IMPORTRANGE(""https://docs.google.com/spreadsheets/d/1b6QssHQp2FoAPSMKHOy273KNzAomaIKhtdlvuZ_zDNE/edit?usp=sharing"",""พัทลุง!J601"")"),0)</f>
        <v>0</v>
      </c>
      <c r="BY82" s="140">
        <f ca="1">IFERROR(__xludf.DUMMYFUNCTION("IMPORTRANGE(""https://docs.google.com/spreadsheets/d/1b6QssHQp2FoAPSMKHOy273KNzAomaIKhtdlvuZ_zDNE/edit?usp=sharing"",""พัทลุง!J602"")"),0)</f>
        <v>0</v>
      </c>
      <c r="BZ82" s="63">
        <f ca="1">IFERROR(__xludf.DUMMYFUNCTION("IMPORTRANGE(""https://docs.google.com/spreadsheets/d/1b6QssHQp2FoAPSMKHOy273KNzAomaIKhtdlvuZ_zDNE/edit?usp=sharing"",""พัทลุง!J603"")"),0)</f>
        <v>0</v>
      </c>
      <c r="CA82" s="140">
        <f ca="1">IFERROR(__xludf.DUMMYFUNCTION("IMPORTRANGE(""https://docs.google.com/spreadsheets/d/1b6QssHQp2FoAPSMKHOy273KNzAomaIKhtdlvuZ_zDNE/edit?usp=sharing"",""พัทลุง!J604"")"),0)</f>
        <v>0</v>
      </c>
      <c r="CB82" s="63">
        <f ca="1">IFERROR(__xludf.DUMMYFUNCTION("IMPORTRANGE(""https://docs.google.com/spreadsheets/d/1b6QssHQp2FoAPSMKHOy273KNzAomaIKhtdlvuZ_zDNE/edit?usp=sharing"",""พัทลุง!J605"")"),0)</f>
        <v>0</v>
      </c>
      <c r="CC82" s="140">
        <f ca="1">IFERROR(__xludf.DUMMYFUNCTION("IMPORTRANGE(""https://docs.google.com/spreadsheets/d/1b6QssHQp2FoAPSMKHOy273KNzAomaIKhtdlvuZ_zDNE/edit?usp=sharing"",""พัทลุง!J606"")"),0)</f>
        <v>0</v>
      </c>
      <c r="CD82" s="63">
        <f ca="1">IFERROR(__xludf.DUMMYFUNCTION("IMPORTRANGE(""https://docs.google.com/spreadsheets/d/1b6QssHQp2FoAPSMKHOy273KNzAomaIKhtdlvuZ_zDNE/edit?usp=sharing"",""พัทลุง!J607"")"),0)</f>
        <v>0</v>
      </c>
      <c r="CE82" s="140">
        <f ca="1">IFERROR(__xludf.DUMMYFUNCTION("IMPORTRANGE(""https://docs.google.com/spreadsheets/d/1b6QssHQp2FoAPSMKHOy273KNzAomaIKhtdlvuZ_zDNE/edit?usp=sharing"",""พัทลุง!J608"")"),0)</f>
        <v>0</v>
      </c>
      <c r="CF82" s="63">
        <f ca="1">IFERROR(__xludf.DUMMYFUNCTION("IMPORTRANGE(""https://docs.google.com/spreadsheets/d/1b6QssHQp2FoAPSMKHOy273KNzAomaIKhtdlvuZ_zDNE/edit?usp=sharing"",""พัทลุง!J609"")"),0)</f>
        <v>0</v>
      </c>
      <c r="CG82" s="140">
        <f ca="1">IFERROR(__xludf.DUMMYFUNCTION("IMPORTRANGE(""https://docs.google.com/spreadsheets/d/1b6QssHQp2FoAPSMKHOy273KNzAomaIKhtdlvuZ_zDNE/edit?usp=sharing"",""พัทลุง!J610"")"),0)</f>
        <v>0</v>
      </c>
      <c r="CH82" s="140">
        <f ca="1">IFERROR(__xludf.DUMMYFUNCTION("IMPORTRANGE(""https://docs.google.com/spreadsheets/d/1b6QssHQp2FoAPSMKHOy273KNzAomaIKhtdlvuZ_zDNE/edit?usp=sharing"",""พัทลุง!I612"")"),0)</f>
        <v>0</v>
      </c>
      <c r="CI82" s="140">
        <f ca="1">IFERROR(__xludf.DUMMYFUNCTION("IMPORTRANGE(""https://docs.google.com/spreadsheets/d/1b6QssHQp2FoAPSMKHOy273KNzAomaIKhtdlvuZ_zDNE/edit?usp=sharing"",""พัทลุง!I594"")"),404)</f>
        <v>404</v>
      </c>
      <c r="CJ82" s="141">
        <f ca="1">IFERROR(__xludf.DUMMYFUNCTION("IMPORTRANGE(""https://docs.google.com/spreadsheets/d/1b6QssHQp2FoAPSMKHOy273KNzAomaIKhtdlvuZ_zDNE/edit?usp=sharing"",""พัทลุง!J612"")"),0)</f>
        <v>0</v>
      </c>
      <c r="CK82" s="141">
        <f t="shared" ca="1" si="41"/>
        <v>0</v>
      </c>
      <c r="CL82" s="140">
        <f ca="1">IFERROR(__xludf.DUMMYFUNCTION("IMPORTRANGE(""https://docs.google.com/spreadsheets/d/1b6QssHQp2FoAPSMKHOy273KNzAomaIKhtdlvuZ_zDNE/edit?usp=sharing"",""พัทลุง!J613"")"),0)</f>
        <v>0</v>
      </c>
      <c r="CM82" s="141">
        <f t="shared" ca="1" si="19"/>
        <v>0</v>
      </c>
      <c r="CN82" s="63">
        <f ca="1">IFERROR(__xludf.DUMMYFUNCTION("IMPORTRANGE(""https://docs.google.com/spreadsheets/d/1b6QssHQp2FoAPSMKHOy273KNzAomaIKhtdlvuZ_zDNE/edit?usp=sharing"",""พัทลุง!J614"")"),0)</f>
        <v>0</v>
      </c>
      <c r="CO82" s="140">
        <f ca="1">IFERROR(__xludf.DUMMYFUNCTION("IMPORTRANGE(""https://docs.google.com/spreadsheets/d/1b6QssHQp2FoAPSMKHOy273KNzAomaIKhtdlvuZ_zDNE/edit?usp=sharing"",""พัทลุง!J615"")"),0)</f>
        <v>0</v>
      </c>
      <c r="CP82" s="63">
        <f ca="1">IFERROR(__xludf.DUMMYFUNCTION("IMPORTRANGE(""https://docs.google.com/spreadsheets/d/1b6QssHQp2FoAPSMKHOy273KNzAomaIKhtdlvuZ_zDNE/edit?usp=sharing"",""พัทลุง!J616"")"),0)</f>
        <v>0</v>
      </c>
      <c r="CQ82" s="140">
        <f ca="1">IFERROR(__xludf.DUMMYFUNCTION("IMPORTRANGE(""https://docs.google.com/spreadsheets/d/1b6QssHQp2FoAPSMKHOy273KNzAomaIKhtdlvuZ_zDNE/edit?usp=sharing"",""พัทลุง!J617"")"),0)</f>
        <v>0</v>
      </c>
      <c r="CR82" s="140">
        <f ca="1">IFERROR(__xludf.DUMMYFUNCTION("IMPORTRANGE(""https://docs.google.com/spreadsheets/d/1b6QssHQp2FoAPSMKHOy273KNzAomaIKhtdlvuZ_zDNE/edit?usp=sharing"",""พัทลุง!I620"")"),13)</f>
        <v>13</v>
      </c>
      <c r="CS82" s="140">
        <f ca="1">IFERROR(__xludf.DUMMYFUNCTION("IMPORTRANGE(""https://docs.google.com/spreadsheets/d/1b6QssHQp2FoAPSMKHOy273KNzAomaIKhtdlvuZ_zDNE/edit?usp=sharing"",""พัทลุง!I621"")"),4)</f>
        <v>4</v>
      </c>
      <c r="CT82" s="141">
        <f ca="1">IFERROR(__xludf.DUMMYFUNCTION("IMPORTRANGE(""https://docs.google.com/spreadsheets/d/1b6QssHQp2FoAPSMKHOy273KNzAomaIKhtdlvuZ_zDNE/edit?usp=sharing"",""พัทลุง!J620"")"),0)</f>
        <v>0</v>
      </c>
      <c r="CU82" s="141">
        <f t="shared" ca="1" si="42"/>
        <v>0</v>
      </c>
      <c r="CV82" s="140">
        <f ca="1">IFERROR(__xludf.DUMMYFUNCTION("IMPORTRANGE(""https://docs.google.com/spreadsheets/d/1b6QssHQp2FoAPSMKHOy273KNzAomaIKhtdlvuZ_zDNE/edit?usp=sharing"",""พัทลุง!J621"")"),0)</f>
        <v>0</v>
      </c>
      <c r="CW82" s="141">
        <f t="shared" ca="1" si="22"/>
        <v>0</v>
      </c>
      <c r="CX82" s="63">
        <f ca="1">IFERROR(__xludf.DUMMYFUNCTION("IMPORTRANGE(""https://docs.google.com/spreadsheets/d/1b6QssHQp2FoAPSMKHOy273KNzAomaIKhtdlvuZ_zDNE/edit?usp=sharing"",""พัทลุง!J622"")"),0)</f>
        <v>0</v>
      </c>
      <c r="CY82" s="140">
        <f ca="1">IFERROR(__xludf.DUMMYFUNCTION("IMPORTRANGE(""https://docs.google.com/spreadsheets/d/1b6QssHQp2FoAPSMKHOy273KNzAomaIKhtdlvuZ_zDNE/edit?usp=sharing"",""พัทลุง!J623"")"),0)</f>
        <v>0</v>
      </c>
      <c r="CZ82" s="63">
        <f ca="1">IFERROR(__xludf.DUMMYFUNCTION("IMPORTRANGE(""https://docs.google.com/spreadsheets/d/1b6QssHQp2FoAPSMKHOy273KNzAomaIKhtdlvuZ_zDNE/edit?usp=sharing"",""พัทลุง!J624"")"),0)</f>
        <v>0</v>
      </c>
      <c r="DA82" s="140">
        <f ca="1">IFERROR(__xludf.DUMMYFUNCTION("IMPORTRANGE(""https://docs.google.com/spreadsheets/d/1b6QssHQp2FoAPSMKHOy273KNzAomaIKhtdlvuZ_zDNE/edit?usp=sharing"",""พัทลุง!J625"")"),0)</f>
        <v>0</v>
      </c>
      <c r="DB82" s="63">
        <f ca="1">IFERROR(__xludf.DUMMYFUNCTION("IMPORTRANGE(""https://docs.google.com/spreadsheets/d/1b6QssHQp2FoAPSMKHOy273KNzAomaIKhtdlvuZ_zDNE/edit?usp=sharing"",""พัทลุง!J626"")"),0)</f>
        <v>0</v>
      </c>
      <c r="DC82" s="140">
        <f ca="1">IFERROR(__xludf.DUMMYFUNCTION("IMPORTRANGE(""https://docs.google.com/spreadsheets/d/1b6QssHQp2FoAPSMKHOy273KNzAomaIKhtdlvuZ_zDNE/edit?usp=sharing"",""พัทลุง!J627"")"),0)</f>
        <v>0</v>
      </c>
    </row>
    <row r="83" spans="1:107" ht="21" customHeight="1" x14ac:dyDescent="0.3">
      <c r="A83" s="54">
        <v>9</v>
      </c>
      <c r="B83" s="55" t="s">
        <v>104</v>
      </c>
      <c r="C83" s="56">
        <f t="shared" ca="1" si="88"/>
        <v>75300</v>
      </c>
      <c r="D83" s="57">
        <f ca="1">IFERROR(__xludf.DUMMYFUNCTION("IMPORTRANGE(""https://docs.google.com/spreadsheets/d/1o7UZe4_OqlqtLDHrj01Z2YFRSZDf1DMy1n3XViHaxRc/edit?usp=sharing"",""ภูเก็ต!L549"")"),75300)</f>
        <v>75300</v>
      </c>
      <c r="E83" s="64">
        <f ca="1">IFERROR(__xludf.DUMMYFUNCTION("IMPORTRANGE(""https://docs.google.com/spreadsheets/d/1o7UZe4_OqlqtLDHrj01Z2YFRSZDf1DMy1n3XViHaxRc/edit?usp=sharing"",""ภูเก็ต!L557"")"),0)</f>
        <v>0</v>
      </c>
      <c r="F83" s="64">
        <f ca="1">IFERROR(__xludf.DUMMYFUNCTION("IMPORTRANGE(""https://docs.google.com/spreadsheets/d/1o7UZe4_OqlqtLDHrj01Z2YFRSZDf1DMy1n3XViHaxRc/edit?usp=sharing"",""ภูเก็ต!M549"")"),75300)</f>
        <v>75300</v>
      </c>
      <c r="G83" s="64">
        <f ca="1">IFERROR(__xludf.DUMMYFUNCTION("IMPORTRANGE(""https://docs.google.com/spreadsheets/d/1o7UZe4_OqlqtLDHrj01Z2YFRSZDf1DMy1n3XViHaxRc/edit?usp=sharing"",""ภูเก็ต!M557"")"),0)</f>
        <v>0</v>
      </c>
      <c r="H83" s="58">
        <f t="shared" ca="1" si="36"/>
        <v>7856.5</v>
      </c>
      <c r="I83" s="59">
        <f t="shared" ca="1" si="1"/>
        <v>10.433598937583001</v>
      </c>
      <c r="J83" s="60">
        <f t="shared" ca="1" si="89"/>
        <v>7856.5</v>
      </c>
      <c r="K83" s="61">
        <f t="shared" ca="1" si="44"/>
        <v>10.433598937583001</v>
      </c>
      <c r="L83" s="61">
        <f t="shared" ca="1" si="45"/>
        <v>10.433598937583001</v>
      </c>
      <c r="M83" s="64">
        <f ca="1">IFERROR(__xludf.DUMMYFUNCTION("IMPORTRANGE(""https://docs.google.com/spreadsheets/d/1o7UZe4_OqlqtLDHrj01Z2YFRSZDf1DMy1n3XViHaxRc/edit?usp=sharing"",""ภูเก็ต!N550"")"),0)</f>
        <v>0</v>
      </c>
      <c r="N83" s="64">
        <f ca="1">IFERROR(__xludf.DUMMYFUNCTION("IMPORTRANGE(""https://docs.google.com/spreadsheets/d/1o7UZe4_OqlqtLDHrj01Z2YFRSZDf1DMy1n3XViHaxRc/edit?usp=sharing"",""ภูเก็ต!N551"")"),0)</f>
        <v>0</v>
      </c>
      <c r="O83" s="64">
        <f ca="1">IFERROR(__xludf.DUMMYFUNCTION("IMPORTRANGE(""https://docs.google.com/spreadsheets/d/1o7UZe4_OqlqtLDHrj01Z2YFRSZDf1DMy1n3XViHaxRc/edit?usp=sharing"",""ภูเก็ต!N552"")"),0)</f>
        <v>0</v>
      </c>
      <c r="P83" s="64">
        <f ca="1">IFERROR(__xludf.DUMMYFUNCTION("IMPORTRANGE(""https://docs.google.com/spreadsheets/d/1o7UZe4_OqlqtLDHrj01Z2YFRSZDf1DMy1n3XViHaxRc/edit?usp=sharing"",""ภูเก็ต!N553"")"),7856.5)</f>
        <v>7856.5</v>
      </c>
      <c r="Q83" s="64">
        <f ca="1">IFERROR(__xludf.DUMMYFUNCTION("IMPORTRANGE(""https://docs.google.com/spreadsheets/d/1o7UZe4_OqlqtLDHrj01Z2YFRSZDf1DMy1n3XViHaxRc/edit?usp=sharing"",""ภูเก็ต!N554"")"),0)</f>
        <v>0</v>
      </c>
      <c r="R83" s="62">
        <f ca="1">IFERROR(__xludf.DUMMYFUNCTION("IMPORTRANGE(""https://docs.google.com/spreadsheets/d/1o7UZe4_OqlqtLDHrj01Z2YFRSZDf1DMy1n3XViHaxRc/edit?usp=sharing"",""ภูเก็ต!N557"")"),0)</f>
        <v>0</v>
      </c>
      <c r="S83" s="62">
        <f t="shared" ca="1" si="47"/>
        <v>0</v>
      </c>
      <c r="T83" s="57">
        <f ca="1">IFERROR(__xludf.DUMMYFUNCTION("IMPORTRANGE(""https://docs.google.com/spreadsheets/d/1o7UZe4_OqlqtLDHrj01Z2YFRSZDf1DMy1n3XViHaxRc/edit?usp=sharing"",""ภูเก็ต!I560"")"),0)</f>
        <v>0</v>
      </c>
      <c r="U83" s="57">
        <f ca="1">IFERROR(__xludf.DUMMYFUNCTION("IMPORTRANGE(""https://docs.google.com/spreadsheets/d/1o7UZe4_OqlqtLDHrj01Z2YFRSZDf1DMy1n3XViHaxRc/edit?usp=sharing"",""ภูเก็ต!I561"")"),0)</f>
        <v>0</v>
      </c>
      <c r="V83" s="63">
        <f ca="1">IFERROR(__xludf.DUMMYFUNCTION("IMPORTRANGE(""https://docs.google.com/spreadsheets/d/1o7UZe4_OqlqtLDHrj01Z2YFRSZDf1DMy1n3XViHaxRc/edit?usp=sharing"",""ภูเก็ต!J560"")"),0)</f>
        <v>0</v>
      </c>
      <c r="W83" s="63">
        <f t="shared" ca="1" si="37"/>
        <v>0</v>
      </c>
      <c r="X83" s="57">
        <f ca="1">IFERROR(__xludf.DUMMYFUNCTION("IMPORTRANGE(""https://docs.google.com/spreadsheets/d/1o7UZe4_OqlqtLDHrj01Z2YFRSZDf1DMy1n3XViHaxRc/edit?usp=sharing"",""ภูเก็ต!J561"")"),0)</f>
        <v>0</v>
      </c>
      <c r="Y83" s="63">
        <f t="shared" ca="1" si="7"/>
        <v>0</v>
      </c>
      <c r="Z83" s="63">
        <f ca="1">IFERROR(__xludf.DUMMYFUNCTION("IMPORTRANGE(""https://docs.google.com/spreadsheets/d/1o7UZe4_OqlqtLDHrj01Z2YFRSZDf1DMy1n3XViHaxRc/edit?usp=sharing"",""ภูเก็ต!J562"")"),0)</f>
        <v>0</v>
      </c>
      <c r="AA83" s="140">
        <f ca="1">IFERROR(__xludf.DUMMYFUNCTION("IMPORTRANGE(""https://docs.google.com/spreadsheets/d/1o7UZe4_OqlqtLDHrj01Z2YFRSZDf1DMy1n3XViHaxRc/edit?usp=sharing"",""ภูเก็ต!J563"")"),0)</f>
        <v>0</v>
      </c>
      <c r="AB83" s="63">
        <f ca="1">IFERROR(__xludf.DUMMYFUNCTION("IMPORTRANGE(""https://docs.google.com/spreadsheets/d/1o7UZe4_OqlqtLDHrj01Z2YFRSZDf1DMy1n3XViHaxRc/edit?usp=sharing"",""ภูเก็ต!J564"")"),0)</f>
        <v>0</v>
      </c>
      <c r="AC83" s="140">
        <f ca="1">IFERROR(__xludf.DUMMYFUNCTION("IMPORTRANGE(""https://docs.google.com/spreadsheets/d/1o7UZe4_OqlqtLDHrj01Z2YFRSZDf1DMy1n3XViHaxRc/edit?usp=sharing"",""ภูเก็ต!J565"")"),0)</f>
        <v>0</v>
      </c>
      <c r="AD83" s="63">
        <f ca="1">IFERROR(__xludf.DUMMYFUNCTION("IMPORTRANGE(""https://docs.google.com/spreadsheets/d/1o7UZe4_OqlqtLDHrj01Z2YFRSZDf1DMy1n3XViHaxRc/edit?usp=sharing"",""ภูเก็ต!J566"")"),0)</f>
        <v>0</v>
      </c>
      <c r="AE83" s="140">
        <f ca="1">IFERROR(__xludf.DUMMYFUNCTION("IMPORTRANGE(""https://docs.google.com/spreadsheets/d/1o7UZe4_OqlqtLDHrj01Z2YFRSZDf1DMy1n3XViHaxRc/edit?usp=sharing"",""ภูเก็ต!J567"")"),0)</f>
        <v>0</v>
      </c>
      <c r="AF83" s="57">
        <f ca="1">IFERROR(__xludf.DUMMYFUNCTION("IMPORTRANGE(""https://docs.google.com/spreadsheets/d/1o7UZe4_OqlqtLDHrj01Z2YFRSZDf1DMy1n3XViHaxRc/edit?usp=sharing"",""ภูเก็ต!I568"")"),0)</f>
        <v>0</v>
      </c>
      <c r="AG83" s="57">
        <f ca="1">IFERROR(__xludf.DUMMYFUNCTION("IMPORTRANGE(""https://docs.google.com/spreadsheets/d/1o7UZe4_OqlqtLDHrj01Z2YFRSZDf1DMy1n3XViHaxRc/edit?usp=sharing"",""ภูเก็ต!I569"")"),0)</f>
        <v>0</v>
      </c>
      <c r="AH83" s="63">
        <f ca="1">IFERROR(__xludf.DUMMYFUNCTION("IMPORTRANGE(""https://docs.google.com/spreadsheets/d/1o7UZe4_OqlqtLDHrj01Z2YFRSZDf1DMy1n3XViHaxRc/edit?usp=sharing"",""ภูเก็ต!J568"")"),0)</f>
        <v>0</v>
      </c>
      <c r="AI83" s="63">
        <f t="shared" ca="1" si="38"/>
        <v>0</v>
      </c>
      <c r="AJ83" s="57">
        <f ca="1">IFERROR(__xludf.DUMMYFUNCTION("IMPORTRANGE(""https://docs.google.com/spreadsheets/d/1o7UZe4_OqlqtLDHrj01Z2YFRSZDf1DMy1n3XViHaxRc/edit?usp=sharing"",""ภูเก็ต!J569"")"),0)</f>
        <v>0</v>
      </c>
      <c r="AK83" s="63">
        <f t="shared" ca="1" si="10"/>
        <v>0</v>
      </c>
      <c r="AL83" s="63">
        <f ca="1">IFERROR(__xludf.DUMMYFUNCTION("IMPORTRANGE(""https://docs.google.com/spreadsheets/d/1o7UZe4_OqlqtLDHrj01Z2YFRSZDf1DMy1n3XViHaxRc/edit?usp=sharing"",""ภูเก็ต!J570"")"),0)</f>
        <v>0</v>
      </c>
      <c r="AM83" s="140">
        <f ca="1">IFERROR(__xludf.DUMMYFUNCTION("IMPORTRANGE(""https://docs.google.com/spreadsheets/d/1o7UZe4_OqlqtLDHrj01Z2YFRSZDf1DMy1n3XViHaxRc/edit?usp=sharing"",""ภูเก็ต!J571"")"),0)</f>
        <v>0</v>
      </c>
      <c r="AN83" s="63">
        <f ca="1">IFERROR(__xludf.DUMMYFUNCTION("IMPORTRANGE(""https://docs.google.com/spreadsheets/d/1o7UZe4_OqlqtLDHrj01Z2YFRSZDf1DMy1n3XViHaxRc/edit?usp=sharing"",""ภูเก็ต!J572"")"),0)</f>
        <v>0</v>
      </c>
      <c r="AO83" s="140">
        <f ca="1">IFERROR(__xludf.DUMMYFUNCTION("IMPORTRANGE(""https://docs.google.com/spreadsheets/d/1o7UZe4_OqlqtLDHrj01Z2YFRSZDf1DMy1n3XViHaxRc/edit?usp=sharing"",""ภูเก็ต!J573"")"),0)</f>
        <v>0</v>
      </c>
      <c r="AP83" s="63">
        <f ca="1">IFERROR(__xludf.DUMMYFUNCTION("IMPORTRANGE(""https://docs.google.com/spreadsheets/d/1o7UZe4_OqlqtLDHrj01Z2YFRSZDf1DMy1n3XViHaxRc/edit?usp=sharing"",""ภูเก็ต!J574"")"),0)</f>
        <v>0</v>
      </c>
      <c r="AQ83" s="140">
        <f ca="1">IFERROR(__xludf.DUMMYFUNCTION("IMPORTRANGE(""https://docs.google.com/spreadsheets/d/1o7UZe4_OqlqtLDHrj01Z2YFRSZDf1DMy1n3XViHaxRc/edit?usp=sharing"",""ภูเก็ต!J575"")"),0)</f>
        <v>0</v>
      </c>
      <c r="AR83" s="57">
        <f ca="1">IFERROR(__xludf.DUMMYFUNCTION("IMPORTRANGE(""https://docs.google.com/spreadsheets/d/1o7UZe4_OqlqtLDHrj01Z2YFRSZDf1DMy1n3XViHaxRc/edit?usp=sharing"",""ภูเก็ต!I576"")"),0)</f>
        <v>0</v>
      </c>
      <c r="AS83" s="57">
        <f ca="1">IFERROR(__xludf.DUMMYFUNCTION("IMPORTRANGE(""https://docs.google.com/spreadsheets/d/1o7UZe4_OqlqtLDHrj01Z2YFRSZDf1DMy1n3XViHaxRc/edit?usp=sharing"",""ภูเก็ต!I577"")"),0)</f>
        <v>0</v>
      </c>
      <c r="AT83" s="63">
        <f ca="1">IFERROR(__xludf.DUMMYFUNCTION("IMPORTRANGE(""https://docs.google.com/spreadsheets/d/1o7UZe4_OqlqtLDHrj01Z2YFRSZDf1DMy1n3XViHaxRc/edit?usp=sharing"",""ภูเก็ต!J576"")"),0)</f>
        <v>0</v>
      </c>
      <c r="AU83" s="63">
        <f t="shared" ca="1" si="39"/>
        <v>0</v>
      </c>
      <c r="AV83" s="57">
        <f ca="1">IFERROR(__xludf.DUMMYFUNCTION("IMPORTRANGE(""https://docs.google.com/spreadsheets/d/1o7UZe4_OqlqtLDHrj01Z2YFRSZDf1DMy1n3XViHaxRc/edit?usp=sharing"",""ภูเก็ต!J577"")"),0)</f>
        <v>0</v>
      </c>
      <c r="AW83" s="63">
        <f t="shared" ca="1" si="13"/>
        <v>0</v>
      </c>
      <c r="AX83" s="63">
        <f ca="1">IFERROR(__xludf.DUMMYFUNCTION("IMPORTRANGE(""https://docs.google.com/spreadsheets/d/1o7UZe4_OqlqtLDHrj01Z2YFRSZDf1DMy1n3XViHaxRc/edit?usp=sharing"",""ภูเก็ต!J578"")"),0)</f>
        <v>0</v>
      </c>
      <c r="AY83" s="140">
        <f ca="1">IFERROR(__xludf.DUMMYFUNCTION("IMPORTRANGE(""https://docs.google.com/spreadsheets/d/1o7UZe4_OqlqtLDHrj01Z2YFRSZDf1DMy1n3XViHaxRc/edit?usp=sharing"",""ภูเก็ต!J579"")"),0)</f>
        <v>0</v>
      </c>
      <c r="AZ83" s="63">
        <f ca="1">IFERROR(__xludf.DUMMYFUNCTION("IMPORTRANGE(""https://docs.google.com/spreadsheets/d/1o7UZe4_OqlqtLDHrj01Z2YFRSZDf1DMy1n3XViHaxRc/edit?usp=sharing"",""ภูเก็ต!J580"")"),0)</f>
        <v>0</v>
      </c>
      <c r="BA83" s="140">
        <f ca="1">IFERROR(__xludf.DUMMYFUNCTION("IMPORTRANGE(""https://docs.google.com/spreadsheets/d/1o7UZe4_OqlqtLDHrj01Z2YFRSZDf1DMy1n3XViHaxRc/edit?usp=sharing"",""ภูเก็ต!J581"")"),0)</f>
        <v>0</v>
      </c>
      <c r="BB83" s="63">
        <f ca="1">IFERROR(__xludf.DUMMYFUNCTION("IMPORTRANGE(""https://docs.google.com/spreadsheets/d/1o7UZe4_OqlqtLDHrj01Z2YFRSZDf1DMy1n3XViHaxRc/edit?usp=sharing"",""ภูเก็ต!J582"")"),0)</f>
        <v>0</v>
      </c>
      <c r="BC83" s="140">
        <f ca="1">IFERROR(__xludf.DUMMYFUNCTION("IMPORTRANGE(""https://docs.google.com/spreadsheets/d/1o7UZe4_OqlqtLDHrj01Z2YFRSZDf1DMy1n3XViHaxRc/edit?usp=sharing"",""ภูเก็ต!J583"")"),0)</f>
        <v>0</v>
      </c>
      <c r="BD83" s="141">
        <f ca="1">IFERROR(__xludf.DUMMYFUNCTION("IMPORTRANGE(""https://docs.google.com/spreadsheets/d/1o7UZe4_OqlqtLDHrj01Z2YFRSZDf1DMy1n3XViHaxRc/edit?usp=sharing"",""ภูเก็ต!J584"")"),0)</f>
        <v>0</v>
      </c>
      <c r="BE83" s="140">
        <f ca="1">IFERROR(__xludf.DUMMYFUNCTION("IMPORTRANGE(""https://docs.google.com/spreadsheets/d/1o7UZe4_OqlqtLDHrj01Z2YFRSZDf1DMy1n3XViHaxRc/edit?usp=sharing"",""ภูเก็ต!J585"")"),0)</f>
        <v>0</v>
      </c>
      <c r="BF83" s="141">
        <f ca="1">IFERROR(__xludf.DUMMYFUNCTION("IMPORTRANGE(""https://docs.google.com/spreadsheets/d/1o7UZe4_OqlqtLDHrj01Z2YFRSZDf1DMy1n3XViHaxRc/edit?usp=sharing"",""ภูเก็ต!J586"")"),0)</f>
        <v>0</v>
      </c>
      <c r="BG83" s="140">
        <f ca="1">IFERROR(__xludf.DUMMYFUNCTION("IMPORTRANGE(""https://docs.google.com/spreadsheets/d/1o7UZe4_OqlqtLDHrj01Z2YFRSZDf1DMy1n3XViHaxRc/edit?usp=sharing"",""ภูเก็ต!J587"")"),0)</f>
        <v>0</v>
      </c>
      <c r="BH83" s="63">
        <f ca="1">IFERROR(__xludf.DUMMYFUNCTION("IMPORTRANGE(""https://docs.google.com/spreadsheets/d/1o7UZe4_OqlqtLDHrj01Z2YFRSZDf1DMy1n3XViHaxRc/edit?usp=sharing"",""ภูเก็ต!J588"")"),0)</f>
        <v>0</v>
      </c>
      <c r="BI83" s="140">
        <f ca="1">IFERROR(__xludf.DUMMYFUNCTION("IMPORTRANGE(""https://docs.google.com/spreadsheets/d/1o7UZe4_OqlqtLDHrj01Z2YFRSZDf1DMy1n3XViHaxRc/edit?usp=sharing"",""ภูเก็ต!J589"")"),0)</f>
        <v>0</v>
      </c>
      <c r="BJ83" s="63">
        <f ca="1">IFERROR(__xludf.DUMMYFUNCTION("IMPORTRANGE(""https://docs.google.com/spreadsheets/d/1o7UZe4_OqlqtLDHrj01Z2YFRSZDf1DMy1n3XViHaxRc/edit?usp=sharing"",""ภูเก็ต!J590"")"),0)</f>
        <v>0</v>
      </c>
      <c r="BK83" s="140">
        <f ca="1">IFERROR(__xludf.DUMMYFUNCTION("IMPORTRANGE(""https://docs.google.com/spreadsheets/d/1o7UZe4_OqlqtLDHrj01Z2YFRSZDf1DMy1n3XViHaxRc/edit?usp=sharing"",""ภูเก็ต!J591"")"),0)</f>
        <v>0</v>
      </c>
      <c r="BL83" s="57">
        <f ca="1">IFERROR(__xludf.DUMMYFUNCTION("IMPORTRANGE(""https://docs.google.com/spreadsheets/d/1o7UZe4_OqlqtLDHrj01Z2YFRSZDf1DMy1n3XViHaxRc/edit?usp=sharing"",""ภูเก็ต!I593"")"),428.41)</f>
        <v>428.41</v>
      </c>
      <c r="BM83" s="57">
        <f ca="1">IFERROR(__xludf.DUMMYFUNCTION("IMPORTRANGE(""https://docs.google.com/spreadsheets/d/1o7UZe4_OqlqtLDHrj01Z2YFRSZDf1DMy1n3XViHaxRc/edit?usp=sharing"",""ภูเก็ต!I594"")"),31)</f>
        <v>31</v>
      </c>
      <c r="BN83" s="63">
        <f ca="1">IFERROR(__xludf.DUMMYFUNCTION("IMPORTRANGE(""https://docs.google.com/spreadsheets/d/1o7UZe4_OqlqtLDHrj01Z2YFRSZDf1DMy1n3XViHaxRc/edit?usp=sharing"",""ภูเก็ต!J593"")"),0)</f>
        <v>0</v>
      </c>
      <c r="BO83" s="63">
        <f t="shared" ca="1" si="40"/>
        <v>0</v>
      </c>
      <c r="BP83" s="57">
        <f ca="1">IFERROR(__xludf.DUMMYFUNCTION("IMPORTRANGE(""https://docs.google.com/spreadsheets/d/1o7UZe4_OqlqtLDHrj01Z2YFRSZDf1DMy1n3XViHaxRc/edit?usp=sharing"",""ภูเก็ต!J594"")"),0)</f>
        <v>0</v>
      </c>
      <c r="BQ83" s="63">
        <f t="shared" ca="1" si="16"/>
        <v>0</v>
      </c>
      <c r="BR83" s="63">
        <f ca="1">IFERROR(__xludf.DUMMYFUNCTION("IMPORTRANGE(""https://docs.google.com/spreadsheets/d/1o7UZe4_OqlqtLDHrj01Z2YFRSZDf1DMy1n3XViHaxRc/edit?usp=sharing"",""ภูเก็ต!J595"")"),0)</f>
        <v>0</v>
      </c>
      <c r="BS83" s="140">
        <f ca="1">IFERROR(__xludf.DUMMYFUNCTION("IMPORTRANGE(""https://docs.google.com/spreadsheets/d/1o7UZe4_OqlqtLDHrj01Z2YFRSZDf1DMy1n3XViHaxRc/edit?usp=sharing"",""ภูเก็ต!J596"")"),0)</f>
        <v>0</v>
      </c>
      <c r="BT83" s="63">
        <f ca="1">IFERROR(__xludf.DUMMYFUNCTION("IMPORTRANGE(""https://docs.google.com/spreadsheets/d/1o7UZe4_OqlqtLDHrj01Z2YFRSZDf1DMy1n3XViHaxRc/edit?usp=sharing"",""ภูเก็ต!J597"")"),0)</f>
        <v>0</v>
      </c>
      <c r="BU83" s="140">
        <f ca="1">IFERROR(__xludf.DUMMYFUNCTION("IMPORTRANGE(""https://docs.google.com/spreadsheets/d/1o7UZe4_OqlqtLDHrj01Z2YFRSZDf1DMy1n3XViHaxRc/edit?usp=sharing"",""ภูเก็ต!J598"")"),0)</f>
        <v>0</v>
      </c>
      <c r="BV83" s="63">
        <f ca="1">IFERROR(__xludf.DUMMYFUNCTION("IMPORTRANGE(""https://docs.google.com/spreadsheets/d/1o7UZe4_OqlqtLDHrj01Z2YFRSZDf1DMy1n3XViHaxRc/edit?usp=sharing"",""ภูเก็ต!J599"")"),0)</f>
        <v>0</v>
      </c>
      <c r="BW83" s="140">
        <f ca="1">IFERROR(__xludf.DUMMYFUNCTION("IMPORTRANGE(""https://docs.google.com/spreadsheets/d/1o7UZe4_OqlqtLDHrj01Z2YFRSZDf1DMy1n3XViHaxRc/edit?usp=sharing"",""ภูเก็ต!J600"")"),0)</f>
        <v>0</v>
      </c>
      <c r="BX83" s="141">
        <f ca="1">IFERROR(__xludf.DUMMYFUNCTION("IMPORTRANGE(""https://docs.google.com/spreadsheets/d/1o7UZe4_OqlqtLDHrj01Z2YFRSZDf1DMy1n3XViHaxRc/edit?usp=sharing"",""ภูเก็ต!J601"")"),0)</f>
        <v>0</v>
      </c>
      <c r="BY83" s="140">
        <f ca="1">IFERROR(__xludf.DUMMYFUNCTION("IMPORTRANGE(""https://docs.google.com/spreadsheets/d/1o7UZe4_OqlqtLDHrj01Z2YFRSZDf1DMy1n3XViHaxRc/edit?usp=sharing"",""ภูเก็ต!J602"")"),0)</f>
        <v>0</v>
      </c>
      <c r="BZ83" s="63">
        <f ca="1">IFERROR(__xludf.DUMMYFUNCTION("IMPORTRANGE(""https://docs.google.com/spreadsheets/d/1o7UZe4_OqlqtLDHrj01Z2YFRSZDf1DMy1n3XViHaxRc/edit?usp=sharing"",""ภูเก็ต!J603"")"),0)</f>
        <v>0</v>
      </c>
      <c r="CA83" s="140">
        <f ca="1">IFERROR(__xludf.DUMMYFUNCTION("IMPORTRANGE(""https://docs.google.com/spreadsheets/d/1o7UZe4_OqlqtLDHrj01Z2YFRSZDf1DMy1n3XViHaxRc/edit?usp=sharing"",""ภูเก็ต!J604"")"),0)</f>
        <v>0</v>
      </c>
      <c r="CB83" s="63">
        <f ca="1">IFERROR(__xludf.DUMMYFUNCTION("IMPORTRANGE(""https://docs.google.com/spreadsheets/d/1o7UZe4_OqlqtLDHrj01Z2YFRSZDf1DMy1n3XViHaxRc/edit?usp=sharing"",""ภูเก็ต!J605"")"),0)</f>
        <v>0</v>
      </c>
      <c r="CC83" s="140">
        <f ca="1">IFERROR(__xludf.DUMMYFUNCTION("IMPORTRANGE(""https://docs.google.com/spreadsheets/d/1o7UZe4_OqlqtLDHrj01Z2YFRSZDf1DMy1n3XViHaxRc/edit?usp=sharing"",""ภูเก็ต!J606"")"),0)</f>
        <v>0</v>
      </c>
      <c r="CD83" s="63">
        <f ca="1">IFERROR(__xludf.DUMMYFUNCTION("IMPORTRANGE(""https://docs.google.com/spreadsheets/d/1o7UZe4_OqlqtLDHrj01Z2YFRSZDf1DMy1n3XViHaxRc/edit?usp=sharing"",""ภูเก็ต!J607"")"),0)</f>
        <v>0</v>
      </c>
      <c r="CE83" s="140">
        <f ca="1">IFERROR(__xludf.DUMMYFUNCTION("IMPORTRANGE(""https://docs.google.com/spreadsheets/d/1o7UZe4_OqlqtLDHrj01Z2YFRSZDf1DMy1n3XViHaxRc/edit?usp=sharing"",""ภูเก็ต!J608"")"),0)</f>
        <v>0</v>
      </c>
      <c r="CF83" s="63">
        <f ca="1">IFERROR(__xludf.DUMMYFUNCTION("IMPORTRANGE(""https://docs.google.com/spreadsheets/d/1o7UZe4_OqlqtLDHrj01Z2YFRSZDf1DMy1n3XViHaxRc/edit?usp=sharing"",""ภูเก็ต!J609"")"),0)</f>
        <v>0</v>
      </c>
      <c r="CG83" s="140">
        <f ca="1">IFERROR(__xludf.DUMMYFUNCTION("IMPORTRANGE(""https://docs.google.com/spreadsheets/d/1o7UZe4_OqlqtLDHrj01Z2YFRSZDf1DMy1n3XViHaxRc/edit?usp=sharing"",""ภูเก็ต!J610"")"),0)</f>
        <v>0</v>
      </c>
      <c r="CH83" s="140">
        <f ca="1">IFERROR(__xludf.DUMMYFUNCTION("IMPORTRANGE(""https://docs.google.com/spreadsheets/d/1o7UZe4_OqlqtLDHrj01Z2YFRSZDf1DMy1n3XViHaxRc/edit?usp=sharing"",""ภูเก็ต!I612"")"),0)</f>
        <v>0</v>
      </c>
      <c r="CI83" s="140">
        <f ca="1">IFERROR(__xludf.DUMMYFUNCTION("IMPORTRANGE(""https://docs.google.com/spreadsheets/d/1o7UZe4_OqlqtLDHrj01Z2YFRSZDf1DMy1n3XViHaxRc/edit?usp=sharing"",""ภูเก็ต!I594"")"),31)</f>
        <v>31</v>
      </c>
      <c r="CJ83" s="141">
        <f ca="1">IFERROR(__xludf.DUMMYFUNCTION("IMPORTRANGE(""https://docs.google.com/spreadsheets/d/1o7UZe4_OqlqtLDHrj01Z2YFRSZDf1DMy1n3XViHaxRc/edit?usp=sharing"",""ภูเก็ต!J612"")"),0)</f>
        <v>0</v>
      </c>
      <c r="CK83" s="141">
        <f t="shared" ca="1" si="41"/>
        <v>0</v>
      </c>
      <c r="CL83" s="140">
        <f ca="1">IFERROR(__xludf.DUMMYFUNCTION("IMPORTRANGE(""https://docs.google.com/spreadsheets/d/1o7UZe4_OqlqtLDHrj01Z2YFRSZDf1DMy1n3XViHaxRc/edit?usp=sharing"",""ภูเก็ต!J613"")"),0)</f>
        <v>0</v>
      </c>
      <c r="CM83" s="141">
        <f t="shared" ca="1" si="19"/>
        <v>0</v>
      </c>
      <c r="CN83" s="63">
        <f ca="1">IFERROR(__xludf.DUMMYFUNCTION("IMPORTRANGE(""https://docs.google.com/spreadsheets/d/1o7UZe4_OqlqtLDHrj01Z2YFRSZDf1DMy1n3XViHaxRc/edit?usp=sharing"",""ภูเก็ต!J614"")"),0)</f>
        <v>0</v>
      </c>
      <c r="CO83" s="140">
        <f ca="1">IFERROR(__xludf.DUMMYFUNCTION("IMPORTRANGE(""https://docs.google.com/spreadsheets/d/1o7UZe4_OqlqtLDHrj01Z2YFRSZDf1DMy1n3XViHaxRc/edit?usp=sharing"",""ภูเก็ต!J615"")"),0)</f>
        <v>0</v>
      </c>
      <c r="CP83" s="63">
        <f ca="1">IFERROR(__xludf.DUMMYFUNCTION("IMPORTRANGE(""https://docs.google.com/spreadsheets/d/1o7UZe4_OqlqtLDHrj01Z2YFRSZDf1DMy1n3XViHaxRc/edit?usp=sharing"",""ภูเก็ต!J616"")"),0)</f>
        <v>0</v>
      </c>
      <c r="CQ83" s="140">
        <f ca="1">IFERROR(__xludf.DUMMYFUNCTION("IMPORTRANGE(""https://docs.google.com/spreadsheets/d/1o7UZe4_OqlqtLDHrj01Z2YFRSZDf1DMy1n3XViHaxRc/edit?usp=sharing"",""ภูเก็ต!J617"")"),0)</f>
        <v>0</v>
      </c>
      <c r="CR83" s="140">
        <f ca="1">IFERROR(__xludf.DUMMYFUNCTION("IMPORTRANGE(""https://docs.google.com/spreadsheets/d/1o7UZe4_OqlqtLDHrj01Z2YFRSZDf1DMy1n3XViHaxRc/edit?usp=sharing"",""ภูเก็ต!I620"")"),0)</f>
        <v>0</v>
      </c>
      <c r="CS83" s="140">
        <f ca="1">IFERROR(__xludf.DUMMYFUNCTION("IMPORTRANGE(""https://docs.google.com/spreadsheets/d/1o7UZe4_OqlqtLDHrj01Z2YFRSZDf1DMy1n3XViHaxRc/edit?usp=sharing"",""ภูเก็ต!I621"")"),0)</f>
        <v>0</v>
      </c>
      <c r="CT83" s="141">
        <f ca="1">IFERROR(__xludf.DUMMYFUNCTION("IMPORTRANGE(""https://docs.google.com/spreadsheets/d/1o7UZe4_OqlqtLDHrj01Z2YFRSZDf1DMy1n3XViHaxRc/edit?usp=sharing"",""ภูเก็ต!J620"")"),0)</f>
        <v>0</v>
      </c>
      <c r="CU83" s="141">
        <f t="shared" ca="1" si="42"/>
        <v>0</v>
      </c>
      <c r="CV83" s="140">
        <f ca="1">IFERROR(__xludf.DUMMYFUNCTION("IMPORTRANGE(""https://docs.google.com/spreadsheets/d/1o7UZe4_OqlqtLDHrj01Z2YFRSZDf1DMy1n3XViHaxRc/edit?usp=sharing"",""ภูเก็ต!J621"")"),0)</f>
        <v>0</v>
      </c>
      <c r="CW83" s="141">
        <f t="shared" ca="1" si="22"/>
        <v>0</v>
      </c>
      <c r="CX83" s="63">
        <f ca="1">IFERROR(__xludf.DUMMYFUNCTION("IMPORTRANGE(""https://docs.google.com/spreadsheets/d/1o7UZe4_OqlqtLDHrj01Z2YFRSZDf1DMy1n3XViHaxRc/edit?usp=sharing"",""ภูเก็ต!J622"")"),0)</f>
        <v>0</v>
      </c>
      <c r="CY83" s="140">
        <f ca="1">IFERROR(__xludf.DUMMYFUNCTION("IMPORTRANGE(""https://docs.google.com/spreadsheets/d/1o7UZe4_OqlqtLDHrj01Z2YFRSZDf1DMy1n3XViHaxRc/edit?usp=sharing"",""ภูเก็ต!J623"")"),0)</f>
        <v>0</v>
      </c>
      <c r="CZ83" s="63">
        <f ca="1">IFERROR(__xludf.DUMMYFUNCTION("IMPORTRANGE(""https://docs.google.com/spreadsheets/d/1o7UZe4_OqlqtLDHrj01Z2YFRSZDf1DMy1n3XViHaxRc/edit?usp=sharing"",""ภูเก็ต!J624"")"),0)</f>
        <v>0</v>
      </c>
      <c r="DA83" s="140">
        <f ca="1">IFERROR(__xludf.DUMMYFUNCTION("IMPORTRANGE(""https://docs.google.com/spreadsheets/d/1o7UZe4_OqlqtLDHrj01Z2YFRSZDf1DMy1n3XViHaxRc/edit?usp=sharing"",""ภูเก็ต!J625"")"),0)</f>
        <v>0</v>
      </c>
      <c r="DB83" s="63">
        <f ca="1">IFERROR(__xludf.DUMMYFUNCTION("IMPORTRANGE(""https://docs.google.com/spreadsheets/d/1o7UZe4_OqlqtLDHrj01Z2YFRSZDf1DMy1n3XViHaxRc/edit?usp=sharing"",""ภูเก็ต!J626"")"),0)</f>
        <v>0</v>
      </c>
      <c r="DC83" s="140">
        <f ca="1">IFERROR(__xludf.DUMMYFUNCTION("IMPORTRANGE(""https://docs.google.com/spreadsheets/d/1o7UZe4_OqlqtLDHrj01Z2YFRSZDf1DMy1n3XViHaxRc/edit?usp=sharing"",""ภูเก็ต!J627"")"),0)</f>
        <v>0</v>
      </c>
    </row>
    <row r="84" spans="1:107" ht="21" customHeight="1" x14ac:dyDescent="0.3">
      <c r="A84" s="54">
        <v>10</v>
      </c>
      <c r="B84" s="55" t="s">
        <v>105</v>
      </c>
      <c r="C84" s="56">
        <f t="shared" ca="1" si="88"/>
        <v>231097</v>
      </c>
      <c r="D84" s="57">
        <f ca="1">IFERROR(__xludf.DUMMYFUNCTION("IMPORTRANGE(""https://docs.google.com/spreadsheets/d/1ctPm1vUzcUCPuOj9-eoHUD85PqINFqUB0TjdSWmR5-c/edit?usp=sharing"",""ยะลา!L549"")"),231097)</f>
        <v>231097</v>
      </c>
      <c r="E84" s="64">
        <f ca="1">IFERROR(__xludf.DUMMYFUNCTION("IMPORTRANGE(""https://docs.google.com/spreadsheets/d/1ctPm1vUzcUCPuOj9-eoHUD85PqINFqUB0TjdSWmR5-c/edit?usp=sharing"",""ยะลา!L557"")"),0)</f>
        <v>0</v>
      </c>
      <c r="F84" s="64">
        <f ca="1">IFERROR(__xludf.DUMMYFUNCTION("IMPORTRANGE(""https://docs.google.com/spreadsheets/d/1ctPm1vUzcUCPuOj9-eoHUD85PqINFqUB0TjdSWmR5-c/edit?usp=sharing"",""ยะลา!M549"")"),231097)</f>
        <v>231097</v>
      </c>
      <c r="G84" s="64">
        <f ca="1">IFERROR(__xludf.DUMMYFUNCTION("IMPORTRANGE(""https://docs.google.com/spreadsheets/d/1ctPm1vUzcUCPuOj9-eoHUD85PqINFqUB0TjdSWmR5-c/edit?usp=sharing"",""ยะลา!M557"")"),0)</f>
        <v>0</v>
      </c>
      <c r="H84" s="58">
        <f t="shared" ca="1" si="36"/>
        <v>150376</v>
      </c>
      <c r="I84" s="59">
        <f t="shared" ca="1" si="1"/>
        <v>65.070511516808963</v>
      </c>
      <c r="J84" s="60">
        <f t="shared" ca="1" si="89"/>
        <v>150376</v>
      </c>
      <c r="K84" s="61">
        <f t="shared" ca="1" si="44"/>
        <v>65.070511516808963</v>
      </c>
      <c r="L84" s="61">
        <f t="shared" ca="1" si="45"/>
        <v>65.070511516808963</v>
      </c>
      <c r="M84" s="64">
        <f ca="1">IFERROR(__xludf.DUMMYFUNCTION("IMPORTRANGE(""https://docs.google.com/spreadsheets/d/1ctPm1vUzcUCPuOj9-eoHUD85PqINFqUB0TjdSWmR5-c/edit?usp=sharing"",""ยะลา!N550"")"),0)</f>
        <v>0</v>
      </c>
      <c r="N84" s="64">
        <f ca="1">IFERROR(__xludf.DUMMYFUNCTION("IMPORTRANGE(""https://docs.google.com/spreadsheets/d/1ctPm1vUzcUCPuOj9-eoHUD85PqINFqUB0TjdSWmR5-c/edit?usp=sharing"",""ยะลา!N551"")"),0)</f>
        <v>0</v>
      </c>
      <c r="O84" s="64">
        <f ca="1">IFERROR(__xludf.DUMMYFUNCTION("IMPORTRANGE(""https://docs.google.com/spreadsheets/d/1ctPm1vUzcUCPuOj9-eoHUD85PqINFqUB0TjdSWmR5-c/edit?usp=sharing"",""ยะลา!N552"")"),65000)</f>
        <v>65000</v>
      </c>
      <c r="P84" s="64">
        <f ca="1">IFERROR(__xludf.DUMMYFUNCTION("IMPORTRANGE(""https://docs.google.com/spreadsheets/d/1ctPm1vUzcUCPuOj9-eoHUD85PqINFqUB0TjdSWmR5-c/edit?usp=sharing"",""ยะลา!N553"")"),85376)</f>
        <v>85376</v>
      </c>
      <c r="Q84" s="64">
        <f ca="1">IFERROR(__xludf.DUMMYFUNCTION("IMPORTRANGE(""https://docs.google.com/spreadsheets/d/1ctPm1vUzcUCPuOj9-eoHUD85PqINFqUB0TjdSWmR5-c/edit?usp=sharing"",""ยะลา!N554"")"),0)</f>
        <v>0</v>
      </c>
      <c r="R84" s="62">
        <f ca="1">IFERROR(__xludf.DUMMYFUNCTION("IMPORTRANGE(""https://docs.google.com/spreadsheets/d/1ctPm1vUzcUCPuOj9-eoHUD85PqINFqUB0TjdSWmR5-c/edit?usp=sharing"",""ยะลา!N557"")"),0)</f>
        <v>0</v>
      </c>
      <c r="S84" s="62">
        <f t="shared" ca="1" si="47"/>
        <v>0</v>
      </c>
      <c r="T84" s="57">
        <f ca="1">IFERROR(__xludf.DUMMYFUNCTION("IMPORTRANGE(""https://docs.google.com/spreadsheets/d/1ctPm1vUzcUCPuOj9-eoHUD85PqINFqUB0TjdSWmR5-c/edit?usp=sharing"",""ยะลา!I560"")"),6007)</f>
        <v>6007</v>
      </c>
      <c r="U84" s="57">
        <f ca="1">IFERROR(__xludf.DUMMYFUNCTION("IMPORTRANGE(""https://docs.google.com/spreadsheets/d/1ctPm1vUzcUCPuOj9-eoHUD85PqINFqUB0TjdSWmR5-c/edit?usp=sharing"",""ยะลา!I561"")"),823)</f>
        <v>823</v>
      </c>
      <c r="V84" s="63">
        <f ca="1">IFERROR(__xludf.DUMMYFUNCTION("IMPORTRANGE(""https://docs.google.com/spreadsheets/d/1ctPm1vUzcUCPuOj9-eoHUD85PqINFqUB0TjdSWmR5-c/edit?usp=sharing"",""ยะลา!J560"")"),6007)</f>
        <v>6007</v>
      </c>
      <c r="W84" s="63">
        <f t="shared" ca="1" si="37"/>
        <v>100</v>
      </c>
      <c r="X84" s="57">
        <f ca="1">IFERROR(__xludf.DUMMYFUNCTION("IMPORTRANGE(""https://docs.google.com/spreadsheets/d/1ctPm1vUzcUCPuOj9-eoHUD85PqINFqUB0TjdSWmR5-c/edit?usp=sharing"",""ยะลา!J561"")"),823)</f>
        <v>823</v>
      </c>
      <c r="Y84" s="63">
        <f t="shared" ca="1" si="7"/>
        <v>100</v>
      </c>
      <c r="Z84" s="63">
        <f ca="1">IFERROR(__xludf.DUMMYFUNCTION("IMPORTRANGE(""https://docs.google.com/spreadsheets/d/1ctPm1vUzcUCPuOj9-eoHUD85PqINFqUB0TjdSWmR5-c/edit?usp=sharing"",""ยะลา!J562"")"),5493)</f>
        <v>5493</v>
      </c>
      <c r="AA84" s="140">
        <f ca="1">IFERROR(__xludf.DUMMYFUNCTION("IMPORTRANGE(""https://docs.google.com/spreadsheets/d/1ctPm1vUzcUCPuOj9-eoHUD85PqINFqUB0TjdSWmR5-c/edit?usp=sharing"",""ยะลา!J563"")"),756)</f>
        <v>756</v>
      </c>
      <c r="AB84" s="63">
        <f ca="1">IFERROR(__xludf.DUMMYFUNCTION("IMPORTRANGE(""https://docs.google.com/spreadsheets/d/1ctPm1vUzcUCPuOj9-eoHUD85PqINFqUB0TjdSWmR5-c/edit?usp=sharing"",""ยะลา!J564"")"),442)</f>
        <v>442</v>
      </c>
      <c r="AC84" s="140">
        <f ca="1">IFERROR(__xludf.DUMMYFUNCTION("IMPORTRANGE(""https://docs.google.com/spreadsheets/d/1ctPm1vUzcUCPuOj9-eoHUD85PqINFqUB0TjdSWmR5-c/edit?usp=sharing"",""ยะลา!J565"")"),57)</f>
        <v>57</v>
      </c>
      <c r="AD84" s="63">
        <f ca="1">IFERROR(__xludf.DUMMYFUNCTION("IMPORTRANGE(""https://docs.google.com/spreadsheets/d/1ctPm1vUzcUCPuOj9-eoHUD85PqINFqUB0TjdSWmR5-c/edit?usp=sharing"",""ยะลา!J566"")"),72)</f>
        <v>72</v>
      </c>
      <c r="AE84" s="140">
        <f ca="1">IFERROR(__xludf.DUMMYFUNCTION("IMPORTRANGE(""https://docs.google.com/spreadsheets/d/1ctPm1vUzcUCPuOj9-eoHUD85PqINFqUB0TjdSWmR5-c/edit?usp=sharing"",""ยะลา!J567"")"),10)</f>
        <v>10</v>
      </c>
      <c r="AF84" s="57">
        <f ca="1">IFERROR(__xludf.DUMMYFUNCTION("IMPORTRANGE(""https://docs.google.com/spreadsheets/d/1ctPm1vUzcUCPuOj9-eoHUD85PqINFqUB0TjdSWmR5-c/edit?usp=sharing"",""ยะลา!I568"")"),6007)</f>
        <v>6007</v>
      </c>
      <c r="AG84" s="57">
        <f ca="1">IFERROR(__xludf.DUMMYFUNCTION("IMPORTRANGE(""https://docs.google.com/spreadsheets/d/1ctPm1vUzcUCPuOj9-eoHUD85PqINFqUB0TjdSWmR5-c/edit?usp=sharing"",""ยะลา!I569"")"),823)</f>
        <v>823</v>
      </c>
      <c r="AH84" s="63">
        <f ca="1">IFERROR(__xludf.DUMMYFUNCTION("IMPORTRANGE(""https://docs.google.com/spreadsheets/d/1ctPm1vUzcUCPuOj9-eoHUD85PqINFqUB0TjdSWmR5-c/edit?usp=sharing"",""ยะลา!J568"")"),6007)</f>
        <v>6007</v>
      </c>
      <c r="AI84" s="63">
        <f t="shared" ca="1" si="38"/>
        <v>100</v>
      </c>
      <c r="AJ84" s="57">
        <f ca="1">IFERROR(__xludf.DUMMYFUNCTION("IMPORTRANGE(""https://docs.google.com/spreadsheets/d/1ctPm1vUzcUCPuOj9-eoHUD85PqINFqUB0TjdSWmR5-c/edit?usp=sharing"",""ยะลา!J569"")"),823)</f>
        <v>823</v>
      </c>
      <c r="AK84" s="63">
        <f t="shared" ca="1" si="10"/>
        <v>100</v>
      </c>
      <c r="AL84" s="63">
        <f ca="1">IFERROR(__xludf.DUMMYFUNCTION("IMPORTRANGE(""https://docs.google.com/spreadsheets/d/1ctPm1vUzcUCPuOj9-eoHUD85PqINFqUB0TjdSWmR5-c/edit?usp=sharing"",""ยะลา!J570"")"),5493)</f>
        <v>5493</v>
      </c>
      <c r="AM84" s="140">
        <f ca="1">IFERROR(__xludf.DUMMYFUNCTION("IMPORTRANGE(""https://docs.google.com/spreadsheets/d/1ctPm1vUzcUCPuOj9-eoHUD85PqINFqUB0TjdSWmR5-c/edit?usp=sharing"",""ยะลา!J571"")"),756)</f>
        <v>756</v>
      </c>
      <c r="AN84" s="63">
        <f ca="1">IFERROR(__xludf.DUMMYFUNCTION("IMPORTRANGE(""https://docs.google.com/spreadsheets/d/1ctPm1vUzcUCPuOj9-eoHUD85PqINFqUB0TjdSWmR5-c/edit?usp=sharing"",""ยะลา!J572"")"),442)</f>
        <v>442</v>
      </c>
      <c r="AO84" s="140">
        <f ca="1">IFERROR(__xludf.DUMMYFUNCTION("IMPORTRANGE(""https://docs.google.com/spreadsheets/d/1ctPm1vUzcUCPuOj9-eoHUD85PqINFqUB0TjdSWmR5-c/edit?usp=sharing"",""ยะลา!J573"")"),57)</f>
        <v>57</v>
      </c>
      <c r="AP84" s="63">
        <f ca="1">IFERROR(__xludf.DUMMYFUNCTION("IMPORTRANGE(""https://docs.google.com/spreadsheets/d/1ctPm1vUzcUCPuOj9-eoHUD85PqINFqUB0TjdSWmR5-c/edit?usp=sharing"",""ยะลา!J574"")"),72)</f>
        <v>72</v>
      </c>
      <c r="AQ84" s="140">
        <f ca="1">IFERROR(__xludf.DUMMYFUNCTION("IMPORTRANGE(""https://docs.google.com/spreadsheets/d/1ctPm1vUzcUCPuOj9-eoHUD85PqINFqUB0TjdSWmR5-c/edit?usp=sharing"",""ยะลา!J575"")"),10)</f>
        <v>10</v>
      </c>
      <c r="AR84" s="57">
        <f ca="1">IFERROR(__xludf.DUMMYFUNCTION("IMPORTRANGE(""https://docs.google.com/spreadsheets/d/1ctPm1vUzcUCPuOj9-eoHUD85PqINFqUB0TjdSWmR5-c/edit?usp=sharing"",""ยะลา!I576"")"),6007)</f>
        <v>6007</v>
      </c>
      <c r="AS84" s="57">
        <f ca="1">IFERROR(__xludf.DUMMYFUNCTION("IMPORTRANGE(""https://docs.google.com/spreadsheets/d/1ctPm1vUzcUCPuOj9-eoHUD85PqINFqUB0TjdSWmR5-c/edit?usp=sharing"",""ยะลา!I577"")"),823)</f>
        <v>823</v>
      </c>
      <c r="AT84" s="63">
        <f ca="1">IFERROR(__xludf.DUMMYFUNCTION("IMPORTRANGE(""https://docs.google.com/spreadsheets/d/1ctPm1vUzcUCPuOj9-eoHUD85PqINFqUB0TjdSWmR5-c/edit?usp=sharing"",""ยะลา!J576"")"),0)</f>
        <v>0</v>
      </c>
      <c r="AU84" s="63">
        <f t="shared" ca="1" si="39"/>
        <v>0</v>
      </c>
      <c r="AV84" s="57">
        <f ca="1">IFERROR(__xludf.DUMMYFUNCTION("IMPORTRANGE(""https://docs.google.com/spreadsheets/d/1ctPm1vUzcUCPuOj9-eoHUD85PqINFqUB0TjdSWmR5-c/edit?usp=sharing"",""ยะลา!J577"")"),0)</f>
        <v>0</v>
      </c>
      <c r="AW84" s="63">
        <f t="shared" ca="1" si="13"/>
        <v>0</v>
      </c>
      <c r="AX84" s="63">
        <f ca="1">IFERROR(__xludf.DUMMYFUNCTION("IMPORTRANGE(""https://docs.google.com/spreadsheets/d/1ctPm1vUzcUCPuOj9-eoHUD85PqINFqUB0TjdSWmR5-c/edit?usp=sharing"",""ยะลา!J578"")"),0)</f>
        <v>0</v>
      </c>
      <c r="AY84" s="140">
        <f ca="1">IFERROR(__xludf.DUMMYFUNCTION("IMPORTRANGE(""https://docs.google.com/spreadsheets/d/1ctPm1vUzcUCPuOj9-eoHUD85PqINFqUB0TjdSWmR5-c/edit?usp=sharing"",""ยะลา!J579"")"),0)</f>
        <v>0</v>
      </c>
      <c r="AZ84" s="63">
        <f ca="1">IFERROR(__xludf.DUMMYFUNCTION("IMPORTRANGE(""https://docs.google.com/spreadsheets/d/1ctPm1vUzcUCPuOj9-eoHUD85PqINFqUB0TjdSWmR5-c/edit?usp=sharing"",""ยะลา!J580"")"),0)</f>
        <v>0</v>
      </c>
      <c r="BA84" s="140">
        <f ca="1">IFERROR(__xludf.DUMMYFUNCTION("IMPORTRANGE(""https://docs.google.com/spreadsheets/d/1ctPm1vUzcUCPuOj9-eoHUD85PqINFqUB0TjdSWmR5-c/edit?usp=sharing"",""ยะลา!J581"")"),0)</f>
        <v>0</v>
      </c>
      <c r="BB84" s="63">
        <f ca="1">IFERROR(__xludf.DUMMYFUNCTION("IMPORTRANGE(""https://docs.google.com/spreadsheets/d/1ctPm1vUzcUCPuOj9-eoHUD85PqINFqUB0TjdSWmR5-c/edit?usp=sharing"",""ยะลา!J582"")"),0)</f>
        <v>0</v>
      </c>
      <c r="BC84" s="140">
        <f ca="1">IFERROR(__xludf.DUMMYFUNCTION("IMPORTRANGE(""https://docs.google.com/spreadsheets/d/1ctPm1vUzcUCPuOj9-eoHUD85PqINFqUB0TjdSWmR5-c/edit?usp=sharing"",""ยะลา!J583"")"),0)</f>
        <v>0</v>
      </c>
      <c r="BD84" s="141">
        <f ca="1">IFERROR(__xludf.DUMMYFUNCTION("IMPORTRANGE(""https://docs.google.com/spreadsheets/d/1ctPm1vUzcUCPuOj9-eoHUD85PqINFqUB0TjdSWmR5-c/edit?usp=sharing"",""ยะลา!J584"")"),0)</f>
        <v>0</v>
      </c>
      <c r="BE84" s="140">
        <f ca="1">IFERROR(__xludf.DUMMYFUNCTION("IMPORTRANGE(""https://docs.google.com/spreadsheets/d/1ctPm1vUzcUCPuOj9-eoHUD85PqINFqUB0TjdSWmR5-c/edit?usp=sharing"",""ยะลา!J585"")"),0)</f>
        <v>0</v>
      </c>
      <c r="BF84" s="141">
        <f ca="1">IFERROR(__xludf.DUMMYFUNCTION("IMPORTRANGE(""https://docs.google.com/spreadsheets/d/1ctPm1vUzcUCPuOj9-eoHUD85PqINFqUB0TjdSWmR5-c/edit?usp=sharing"",""ยะลา!J586"")"),0)</f>
        <v>0</v>
      </c>
      <c r="BG84" s="140">
        <f ca="1">IFERROR(__xludf.DUMMYFUNCTION("IMPORTRANGE(""https://docs.google.com/spreadsheets/d/1ctPm1vUzcUCPuOj9-eoHUD85PqINFqUB0TjdSWmR5-c/edit?usp=sharing"",""ยะลา!J587"")"),0)</f>
        <v>0</v>
      </c>
      <c r="BH84" s="63">
        <f ca="1">IFERROR(__xludf.DUMMYFUNCTION("IMPORTRANGE(""https://docs.google.com/spreadsheets/d/1ctPm1vUzcUCPuOj9-eoHUD85PqINFqUB0TjdSWmR5-c/edit?usp=sharing"",""ยะลา!J588"")"),0)</f>
        <v>0</v>
      </c>
      <c r="BI84" s="140">
        <f ca="1">IFERROR(__xludf.DUMMYFUNCTION("IMPORTRANGE(""https://docs.google.com/spreadsheets/d/1ctPm1vUzcUCPuOj9-eoHUD85PqINFqUB0TjdSWmR5-c/edit?usp=sharing"",""ยะลา!J589"")"),0)</f>
        <v>0</v>
      </c>
      <c r="BJ84" s="63">
        <f ca="1">IFERROR(__xludf.DUMMYFUNCTION("IMPORTRANGE(""https://docs.google.com/spreadsheets/d/1ctPm1vUzcUCPuOj9-eoHUD85PqINFqUB0TjdSWmR5-c/edit?usp=sharing"",""ยะลา!J590"")"),0)</f>
        <v>0</v>
      </c>
      <c r="BK84" s="140">
        <f ca="1">IFERROR(__xludf.DUMMYFUNCTION("IMPORTRANGE(""https://docs.google.com/spreadsheets/d/1ctPm1vUzcUCPuOj9-eoHUD85PqINFqUB0TjdSWmR5-c/edit?usp=sharing"",""ยะลา!J591"")"),0)</f>
        <v>0</v>
      </c>
      <c r="BL84" s="57">
        <f ca="1">IFERROR(__xludf.DUMMYFUNCTION("IMPORTRANGE(""https://docs.google.com/spreadsheets/d/1ctPm1vUzcUCPuOj9-eoHUD85PqINFqUB0TjdSWmR5-c/edit?usp=sharing"",""ยะลา!I593"")"),50.42)</f>
        <v>50.42</v>
      </c>
      <c r="BM84" s="57">
        <f ca="1">IFERROR(__xludf.DUMMYFUNCTION("IMPORTRANGE(""https://docs.google.com/spreadsheets/d/1ctPm1vUzcUCPuOj9-eoHUD85PqINFqUB0TjdSWmR5-c/edit?usp=sharing"",""ยะลา!I594"")"),8)</f>
        <v>8</v>
      </c>
      <c r="BN84" s="63">
        <f ca="1">IFERROR(__xludf.DUMMYFUNCTION("IMPORTRANGE(""https://docs.google.com/spreadsheets/d/1ctPm1vUzcUCPuOj9-eoHUD85PqINFqUB0TjdSWmR5-c/edit?usp=sharing"",""ยะลา!J593"")"),50)</f>
        <v>50</v>
      </c>
      <c r="BO84" s="63">
        <f t="shared" ca="1" si="40"/>
        <v>99.166997223324074</v>
      </c>
      <c r="BP84" s="57">
        <f ca="1">IFERROR(__xludf.DUMMYFUNCTION("IMPORTRANGE(""https://docs.google.com/spreadsheets/d/1ctPm1vUzcUCPuOj9-eoHUD85PqINFqUB0TjdSWmR5-c/edit?usp=sharing"",""ยะลา!J594"")"),8)</f>
        <v>8</v>
      </c>
      <c r="BQ84" s="63">
        <f t="shared" ca="1" si="16"/>
        <v>100</v>
      </c>
      <c r="BR84" s="63">
        <f ca="1">IFERROR(__xludf.DUMMYFUNCTION("IMPORTRANGE(""https://docs.google.com/spreadsheets/d/1ctPm1vUzcUCPuOj9-eoHUD85PqINFqUB0TjdSWmR5-c/edit?usp=sharing"",""ยะลา!J595"")"),50)</f>
        <v>50</v>
      </c>
      <c r="BS84" s="140">
        <f ca="1">IFERROR(__xludf.DUMMYFUNCTION("IMPORTRANGE(""https://docs.google.com/spreadsheets/d/1ctPm1vUzcUCPuOj9-eoHUD85PqINFqUB0TjdSWmR5-c/edit?usp=sharing"",""ยะลา!J596"")"),8)</f>
        <v>8</v>
      </c>
      <c r="BT84" s="63">
        <f ca="1">IFERROR(__xludf.DUMMYFUNCTION("IMPORTRANGE(""https://docs.google.com/spreadsheets/d/1ctPm1vUzcUCPuOj9-eoHUD85PqINFqUB0TjdSWmR5-c/edit?usp=sharing"",""ยะลา!J597"")"),50)</f>
        <v>50</v>
      </c>
      <c r="BU84" s="140">
        <f ca="1">IFERROR(__xludf.DUMMYFUNCTION("IMPORTRANGE(""https://docs.google.com/spreadsheets/d/1ctPm1vUzcUCPuOj9-eoHUD85PqINFqUB0TjdSWmR5-c/edit?usp=sharing"",""ยะลา!J598"")"),8)</f>
        <v>8</v>
      </c>
      <c r="BV84" s="63">
        <f ca="1">IFERROR(__xludf.DUMMYFUNCTION("IMPORTRANGE(""https://docs.google.com/spreadsheets/d/1ctPm1vUzcUCPuOj9-eoHUD85PqINFqUB0TjdSWmR5-c/edit?usp=sharing"",""ยะลา!J599"")"),0)</f>
        <v>0</v>
      </c>
      <c r="BW84" s="140">
        <f ca="1">IFERROR(__xludf.DUMMYFUNCTION("IMPORTRANGE(""https://docs.google.com/spreadsheets/d/1ctPm1vUzcUCPuOj9-eoHUD85PqINFqUB0TjdSWmR5-c/edit?usp=sharing"",""ยะลา!J600"")"),0)</f>
        <v>0</v>
      </c>
      <c r="BX84" s="141">
        <f ca="1">IFERROR(__xludf.DUMMYFUNCTION("IMPORTRANGE(""https://docs.google.com/spreadsheets/d/1ctPm1vUzcUCPuOj9-eoHUD85PqINFqUB0TjdSWmR5-c/edit?usp=sharing"",""ยะลา!J601"")"),0)</f>
        <v>0</v>
      </c>
      <c r="BY84" s="140">
        <f ca="1">IFERROR(__xludf.DUMMYFUNCTION("IMPORTRANGE(""https://docs.google.com/spreadsheets/d/1ctPm1vUzcUCPuOj9-eoHUD85PqINFqUB0TjdSWmR5-c/edit?usp=sharing"",""ยะลา!J602"")"),0)</f>
        <v>0</v>
      </c>
      <c r="BZ84" s="63">
        <f ca="1">IFERROR(__xludf.DUMMYFUNCTION("IMPORTRANGE(""https://docs.google.com/spreadsheets/d/1ctPm1vUzcUCPuOj9-eoHUD85PqINFqUB0TjdSWmR5-c/edit?usp=sharing"",""ยะลา!J603"")"),0)</f>
        <v>0</v>
      </c>
      <c r="CA84" s="140">
        <f ca="1">IFERROR(__xludf.DUMMYFUNCTION("IMPORTRANGE(""https://docs.google.com/spreadsheets/d/1ctPm1vUzcUCPuOj9-eoHUD85PqINFqUB0TjdSWmR5-c/edit?usp=sharing"",""ยะลา!J604"")"),0)</f>
        <v>0</v>
      </c>
      <c r="CB84" s="63">
        <f ca="1">IFERROR(__xludf.DUMMYFUNCTION("IMPORTRANGE(""https://docs.google.com/spreadsheets/d/1ctPm1vUzcUCPuOj9-eoHUD85PqINFqUB0TjdSWmR5-c/edit?usp=sharing"",""ยะลา!J605"")"),0)</f>
        <v>0</v>
      </c>
      <c r="CC84" s="140">
        <f ca="1">IFERROR(__xludf.DUMMYFUNCTION("IMPORTRANGE(""https://docs.google.com/spreadsheets/d/1ctPm1vUzcUCPuOj9-eoHUD85PqINFqUB0TjdSWmR5-c/edit?usp=sharing"",""ยะลา!J606"")"),0)</f>
        <v>0</v>
      </c>
      <c r="CD84" s="63">
        <f ca="1">IFERROR(__xludf.DUMMYFUNCTION("IMPORTRANGE(""https://docs.google.com/spreadsheets/d/1ctPm1vUzcUCPuOj9-eoHUD85PqINFqUB0TjdSWmR5-c/edit?usp=sharing"",""ยะลา!J607"")"),0)</f>
        <v>0</v>
      </c>
      <c r="CE84" s="140">
        <f ca="1">IFERROR(__xludf.DUMMYFUNCTION("IMPORTRANGE(""https://docs.google.com/spreadsheets/d/1ctPm1vUzcUCPuOj9-eoHUD85PqINFqUB0TjdSWmR5-c/edit?usp=sharing"",""ยะลา!J608"")"),0)</f>
        <v>0</v>
      </c>
      <c r="CF84" s="63">
        <f ca="1">IFERROR(__xludf.DUMMYFUNCTION("IMPORTRANGE(""https://docs.google.com/spreadsheets/d/1ctPm1vUzcUCPuOj9-eoHUD85PqINFqUB0TjdSWmR5-c/edit?usp=sharing"",""ยะลา!J609"")"),0)</f>
        <v>0</v>
      </c>
      <c r="CG84" s="140">
        <f ca="1">IFERROR(__xludf.DUMMYFUNCTION("IMPORTRANGE(""https://docs.google.com/spreadsheets/d/1ctPm1vUzcUCPuOj9-eoHUD85PqINFqUB0TjdSWmR5-c/edit?usp=sharing"",""ยะลา!J610"")"),0)</f>
        <v>0</v>
      </c>
      <c r="CH84" s="140">
        <f ca="1">IFERROR(__xludf.DUMMYFUNCTION("IMPORTRANGE(""https://docs.google.com/spreadsheets/d/1ctPm1vUzcUCPuOj9-eoHUD85PqINFqUB0TjdSWmR5-c/edit?usp=sharing"",""ยะลา!I612"")"),0)</f>
        <v>0</v>
      </c>
      <c r="CI84" s="140">
        <f ca="1">IFERROR(__xludf.DUMMYFUNCTION("IMPORTRANGE(""https://docs.google.com/spreadsheets/d/1ctPm1vUzcUCPuOj9-eoHUD85PqINFqUB0TjdSWmR5-c/edit?usp=sharing"",""ยะลา!I594"")"),8)</f>
        <v>8</v>
      </c>
      <c r="CJ84" s="141">
        <f ca="1">IFERROR(__xludf.DUMMYFUNCTION("IMPORTRANGE(""https://docs.google.com/spreadsheets/d/1ctPm1vUzcUCPuOj9-eoHUD85PqINFqUB0TjdSWmR5-c/edit?usp=sharing"",""ยะลา!J612"")"),0)</f>
        <v>0</v>
      </c>
      <c r="CK84" s="141">
        <f t="shared" ca="1" si="41"/>
        <v>0</v>
      </c>
      <c r="CL84" s="140">
        <f ca="1">IFERROR(__xludf.DUMMYFUNCTION("IMPORTRANGE(""https://docs.google.com/spreadsheets/d/1ctPm1vUzcUCPuOj9-eoHUD85PqINFqUB0TjdSWmR5-c/edit?usp=sharing"",""ยะลา!J613"")"),0)</f>
        <v>0</v>
      </c>
      <c r="CM84" s="141">
        <f t="shared" ca="1" si="19"/>
        <v>0</v>
      </c>
      <c r="CN84" s="63">
        <f ca="1">IFERROR(__xludf.DUMMYFUNCTION("IMPORTRANGE(""https://docs.google.com/spreadsheets/d/1ctPm1vUzcUCPuOj9-eoHUD85PqINFqUB0TjdSWmR5-c/edit?usp=sharing"",""ยะลา!J614"")"),0)</f>
        <v>0</v>
      </c>
      <c r="CO84" s="140">
        <f ca="1">IFERROR(__xludf.DUMMYFUNCTION("IMPORTRANGE(""https://docs.google.com/spreadsheets/d/1ctPm1vUzcUCPuOj9-eoHUD85PqINFqUB0TjdSWmR5-c/edit?usp=sharing"",""ยะลา!J615"")"),0)</f>
        <v>0</v>
      </c>
      <c r="CP84" s="63">
        <f ca="1">IFERROR(__xludf.DUMMYFUNCTION("IMPORTRANGE(""https://docs.google.com/spreadsheets/d/1ctPm1vUzcUCPuOj9-eoHUD85PqINFqUB0TjdSWmR5-c/edit?usp=sharing"",""ยะลา!J616"")"),0)</f>
        <v>0</v>
      </c>
      <c r="CQ84" s="140">
        <f ca="1">IFERROR(__xludf.DUMMYFUNCTION("IMPORTRANGE(""https://docs.google.com/spreadsheets/d/1ctPm1vUzcUCPuOj9-eoHUD85PqINFqUB0TjdSWmR5-c/edit?usp=sharing"",""ยะลา!J617"")"),0)</f>
        <v>0</v>
      </c>
      <c r="CR84" s="140">
        <f ca="1">IFERROR(__xludf.DUMMYFUNCTION("IMPORTRANGE(""https://docs.google.com/spreadsheets/d/1ctPm1vUzcUCPuOj9-eoHUD85PqINFqUB0TjdSWmR5-c/edit?usp=sharing"",""ยะลา!I620"")"),0)</f>
        <v>0</v>
      </c>
      <c r="CS84" s="140">
        <f ca="1">IFERROR(__xludf.DUMMYFUNCTION("IMPORTRANGE(""https://docs.google.com/spreadsheets/d/1ctPm1vUzcUCPuOj9-eoHUD85PqINFqUB0TjdSWmR5-c/edit?usp=sharing"",""ยะลา!I621"")"),0)</f>
        <v>0</v>
      </c>
      <c r="CT84" s="141">
        <f ca="1">IFERROR(__xludf.DUMMYFUNCTION("IMPORTRANGE(""https://docs.google.com/spreadsheets/d/1ctPm1vUzcUCPuOj9-eoHUD85PqINFqUB0TjdSWmR5-c/edit?usp=sharing"",""ยะลา!J620"")"),0)</f>
        <v>0</v>
      </c>
      <c r="CU84" s="141">
        <f t="shared" ca="1" si="42"/>
        <v>0</v>
      </c>
      <c r="CV84" s="140">
        <f ca="1">IFERROR(__xludf.DUMMYFUNCTION("IMPORTRANGE(""https://docs.google.com/spreadsheets/d/1ctPm1vUzcUCPuOj9-eoHUD85PqINFqUB0TjdSWmR5-c/edit?usp=sharing"",""ยะลา!J621"")"),0)</f>
        <v>0</v>
      </c>
      <c r="CW84" s="141">
        <f t="shared" ca="1" si="22"/>
        <v>0</v>
      </c>
      <c r="CX84" s="63">
        <f ca="1">IFERROR(__xludf.DUMMYFUNCTION("IMPORTRANGE(""https://docs.google.com/spreadsheets/d/1ctPm1vUzcUCPuOj9-eoHUD85PqINFqUB0TjdSWmR5-c/edit?usp=sharing"",""ยะลา!J622"")"),0)</f>
        <v>0</v>
      </c>
      <c r="CY84" s="140">
        <f ca="1">IFERROR(__xludf.DUMMYFUNCTION("IMPORTRANGE(""https://docs.google.com/spreadsheets/d/1ctPm1vUzcUCPuOj9-eoHUD85PqINFqUB0TjdSWmR5-c/edit?usp=sharing"",""ยะลา!J623"")"),0)</f>
        <v>0</v>
      </c>
      <c r="CZ84" s="63">
        <f ca="1">IFERROR(__xludf.DUMMYFUNCTION("IMPORTRANGE(""https://docs.google.com/spreadsheets/d/1ctPm1vUzcUCPuOj9-eoHUD85PqINFqUB0TjdSWmR5-c/edit?usp=sharing"",""ยะลา!J624"")"),0)</f>
        <v>0</v>
      </c>
      <c r="DA84" s="140">
        <f ca="1">IFERROR(__xludf.DUMMYFUNCTION("IMPORTRANGE(""https://docs.google.com/spreadsheets/d/1ctPm1vUzcUCPuOj9-eoHUD85PqINFqUB0TjdSWmR5-c/edit?usp=sharing"",""ยะลา!J625"")"),0)</f>
        <v>0</v>
      </c>
      <c r="DB84" s="63">
        <f ca="1">IFERROR(__xludf.DUMMYFUNCTION("IMPORTRANGE(""https://docs.google.com/spreadsheets/d/1ctPm1vUzcUCPuOj9-eoHUD85PqINFqUB0TjdSWmR5-c/edit?usp=sharing"",""ยะลา!J626"")"),0)</f>
        <v>0</v>
      </c>
      <c r="DC84" s="140">
        <f ca="1">IFERROR(__xludf.DUMMYFUNCTION("IMPORTRANGE(""https://docs.google.com/spreadsheets/d/1ctPm1vUzcUCPuOj9-eoHUD85PqINFqUB0TjdSWmR5-c/edit?usp=sharing"",""ยะลา!J627"")"),0)</f>
        <v>0</v>
      </c>
    </row>
    <row r="85" spans="1:107" ht="21" customHeight="1" x14ac:dyDescent="0.3">
      <c r="A85" s="54">
        <v>11</v>
      </c>
      <c r="B85" s="55" t="s">
        <v>106</v>
      </c>
      <c r="C85" s="56">
        <f t="shared" ca="1" si="88"/>
        <v>218100</v>
      </c>
      <c r="D85" s="57">
        <f ca="1">IFERROR(__xludf.DUMMYFUNCTION("IMPORTRANGE(""https://docs.google.com/spreadsheets/d/1YiDIE7Klmt8osgdapRqYWNr7iPGFSsiJqq46S7PYRE0/edit?usp=sharing"",""ระนอง!L549"")"),218100)</f>
        <v>218100</v>
      </c>
      <c r="E85" s="64">
        <f ca="1">IFERROR(__xludf.DUMMYFUNCTION("IMPORTRANGE(""https://docs.google.com/spreadsheets/d/1YiDIE7Klmt8osgdapRqYWNr7iPGFSsiJqq46S7PYRE0/edit?usp=sharing"",""ระนอง!L557"")"),0)</f>
        <v>0</v>
      </c>
      <c r="F85" s="64">
        <f ca="1">IFERROR(__xludf.DUMMYFUNCTION("IMPORTRANGE(""https://docs.google.com/spreadsheets/d/1YiDIE7Klmt8osgdapRqYWNr7iPGFSsiJqq46S7PYRE0/edit?usp=sharing"",""ระนอง!M549"")"),218100)</f>
        <v>218100</v>
      </c>
      <c r="G85" s="64">
        <f ca="1">IFERROR(__xludf.DUMMYFUNCTION("IMPORTRANGE(""https://docs.google.com/spreadsheets/d/1YiDIE7Klmt8osgdapRqYWNr7iPGFSsiJqq46S7PYRE0/edit?usp=sharing"",""ระนอง!M557"")"),0)</f>
        <v>0</v>
      </c>
      <c r="H85" s="58">
        <f t="shared" ca="1" si="36"/>
        <v>26687</v>
      </c>
      <c r="I85" s="59">
        <f t="shared" ca="1" si="1"/>
        <v>12.236130215497479</v>
      </c>
      <c r="J85" s="60">
        <f t="shared" ca="1" si="89"/>
        <v>26687</v>
      </c>
      <c r="K85" s="61">
        <f t="shared" ca="1" si="44"/>
        <v>12.236130215497479</v>
      </c>
      <c r="L85" s="61">
        <f t="shared" ca="1" si="45"/>
        <v>12.236130215497479</v>
      </c>
      <c r="M85" s="64">
        <f ca="1">IFERROR(__xludf.DUMMYFUNCTION("IMPORTRANGE(""https://docs.google.com/spreadsheets/d/1YiDIE7Klmt8osgdapRqYWNr7iPGFSsiJqq46S7PYRE0/edit?usp=sharing"",""ระนอง!N550"")"),0)</f>
        <v>0</v>
      </c>
      <c r="N85" s="64">
        <f ca="1">IFERROR(__xludf.DUMMYFUNCTION("IMPORTRANGE(""https://docs.google.com/spreadsheets/d/1YiDIE7Klmt8osgdapRqYWNr7iPGFSsiJqq46S7PYRE0/edit?usp=sharing"",""ระนอง!N551"")"),0)</f>
        <v>0</v>
      </c>
      <c r="O85" s="64">
        <f ca="1">IFERROR(__xludf.DUMMYFUNCTION("IMPORTRANGE(""https://docs.google.com/spreadsheets/d/1YiDIE7Klmt8osgdapRqYWNr7iPGFSsiJqq46S7PYRE0/edit?usp=sharing"",""ระนอง!N552"")"),0)</f>
        <v>0</v>
      </c>
      <c r="P85" s="64">
        <f ca="1">IFERROR(__xludf.DUMMYFUNCTION("IMPORTRANGE(""https://docs.google.com/spreadsheets/d/1YiDIE7Klmt8osgdapRqYWNr7iPGFSsiJqq46S7PYRE0/edit?usp=sharing"",""ระนอง!N553"")"),17187)</f>
        <v>17187</v>
      </c>
      <c r="Q85" s="64">
        <f ca="1">IFERROR(__xludf.DUMMYFUNCTION("IMPORTRANGE(""https://docs.google.com/spreadsheets/d/1YiDIE7Klmt8osgdapRqYWNr7iPGFSsiJqq46S7PYRE0/edit?usp=sharing"",""ระนอง!N554"")"),9500)</f>
        <v>9500</v>
      </c>
      <c r="R85" s="62">
        <f ca="1">IFERROR(__xludf.DUMMYFUNCTION("IMPORTRANGE(""https://docs.google.com/spreadsheets/d/1YiDIE7Klmt8osgdapRqYWNr7iPGFSsiJqq46S7PYRE0/edit?usp=sharing"",""ระนอง!N557"")"),0)</f>
        <v>0</v>
      </c>
      <c r="S85" s="62">
        <f t="shared" ca="1" si="47"/>
        <v>0</v>
      </c>
      <c r="T85" s="57">
        <f ca="1">IFERROR(__xludf.DUMMYFUNCTION("IMPORTRANGE(""https://docs.google.com/spreadsheets/d/1YiDIE7Klmt8osgdapRqYWNr7iPGFSsiJqq46S7PYRE0/edit?usp=sharing"",""ระนอง!I560"")"),0)</f>
        <v>0</v>
      </c>
      <c r="U85" s="57">
        <f ca="1">IFERROR(__xludf.DUMMYFUNCTION("IMPORTRANGE(""https://docs.google.com/spreadsheets/d/1YiDIE7Klmt8osgdapRqYWNr7iPGFSsiJqq46S7PYRE0/edit?usp=sharing"",""ระนอง!I561"")"),0)</f>
        <v>0</v>
      </c>
      <c r="V85" s="63">
        <f ca="1">IFERROR(__xludf.DUMMYFUNCTION("IMPORTRANGE(""https://docs.google.com/spreadsheets/d/1YiDIE7Klmt8osgdapRqYWNr7iPGFSsiJqq46S7PYRE0/edit?usp=sharing"",""ระนอง!J560"")"),0)</f>
        <v>0</v>
      </c>
      <c r="W85" s="63">
        <f t="shared" ca="1" si="37"/>
        <v>0</v>
      </c>
      <c r="X85" s="57">
        <f ca="1">IFERROR(__xludf.DUMMYFUNCTION("IMPORTRANGE(""https://docs.google.com/spreadsheets/d/1YiDIE7Klmt8osgdapRqYWNr7iPGFSsiJqq46S7PYRE0/edit?usp=sharing"",""ระนอง!J561"")"),0)</f>
        <v>0</v>
      </c>
      <c r="Y85" s="63">
        <f t="shared" ca="1" si="7"/>
        <v>0</v>
      </c>
      <c r="Z85" s="63">
        <f ca="1">IFERROR(__xludf.DUMMYFUNCTION("IMPORTRANGE(""https://docs.google.com/spreadsheets/d/1YiDIE7Klmt8osgdapRqYWNr7iPGFSsiJqq46S7PYRE0/edit?usp=sharing"",""ระนอง!J562"")"),0)</f>
        <v>0</v>
      </c>
      <c r="AA85" s="140">
        <f ca="1">IFERROR(__xludf.DUMMYFUNCTION("IMPORTRANGE(""https://docs.google.com/spreadsheets/d/1YiDIE7Klmt8osgdapRqYWNr7iPGFSsiJqq46S7PYRE0/edit?usp=sharing"",""ระนอง!J563"")"),0)</f>
        <v>0</v>
      </c>
      <c r="AB85" s="63">
        <f ca="1">IFERROR(__xludf.DUMMYFUNCTION("IMPORTRANGE(""https://docs.google.com/spreadsheets/d/1YiDIE7Klmt8osgdapRqYWNr7iPGFSsiJqq46S7PYRE0/edit?usp=sharing"",""ระนอง!J564"")"),0)</f>
        <v>0</v>
      </c>
      <c r="AC85" s="140">
        <f ca="1">IFERROR(__xludf.DUMMYFUNCTION("IMPORTRANGE(""https://docs.google.com/spreadsheets/d/1YiDIE7Klmt8osgdapRqYWNr7iPGFSsiJqq46S7PYRE0/edit?usp=sharing"",""ระนอง!J565"")"),0)</f>
        <v>0</v>
      </c>
      <c r="AD85" s="63">
        <f ca="1">IFERROR(__xludf.DUMMYFUNCTION("IMPORTRANGE(""https://docs.google.com/spreadsheets/d/1YiDIE7Klmt8osgdapRqYWNr7iPGFSsiJqq46S7PYRE0/edit?usp=sharing"",""ระนอง!J566"")"),0)</f>
        <v>0</v>
      </c>
      <c r="AE85" s="140">
        <f ca="1">IFERROR(__xludf.DUMMYFUNCTION("IMPORTRANGE(""https://docs.google.com/spreadsheets/d/1YiDIE7Klmt8osgdapRqYWNr7iPGFSsiJqq46S7PYRE0/edit?usp=sharing"",""ระนอง!J567"")"),0)</f>
        <v>0</v>
      </c>
      <c r="AF85" s="57">
        <f ca="1">IFERROR(__xludf.DUMMYFUNCTION("IMPORTRANGE(""https://docs.google.com/spreadsheets/d/1YiDIE7Klmt8osgdapRqYWNr7iPGFSsiJqq46S7PYRE0/edit?usp=sharing"",""ระนอง!I568"")"),0)</f>
        <v>0</v>
      </c>
      <c r="AG85" s="57">
        <f ca="1">IFERROR(__xludf.DUMMYFUNCTION("IMPORTRANGE(""https://docs.google.com/spreadsheets/d/1YiDIE7Klmt8osgdapRqYWNr7iPGFSsiJqq46S7PYRE0/edit?usp=sharing"",""ระนอง!I569"")"),0)</f>
        <v>0</v>
      </c>
      <c r="AH85" s="63">
        <f ca="1">IFERROR(__xludf.DUMMYFUNCTION("IMPORTRANGE(""https://docs.google.com/spreadsheets/d/1YiDIE7Klmt8osgdapRqYWNr7iPGFSsiJqq46S7PYRE0/edit?usp=sharing"",""ระนอง!J568"")"),0)</f>
        <v>0</v>
      </c>
      <c r="AI85" s="63">
        <f t="shared" ca="1" si="38"/>
        <v>0</v>
      </c>
      <c r="AJ85" s="57">
        <f ca="1">IFERROR(__xludf.DUMMYFUNCTION("IMPORTRANGE(""https://docs.google.com/spreadsheets/d/1YiDIE7Klmt8osgdapRqYWNr7iPGFSsiJqq46S7PYRE0/edit?usp=sharing"",""ระนอง!J569"")"),0)</f>
        <v>0</v>
      </c>
      <c r="AK85" s="63">
        <f t="shared" ca="1" si="10"/>
        <v>0</v>
      </c>
      <c r="AL85" s="63">
        <f ca="1">IFERROR(__xludf.DUMMYFUNCTION("IMPORTRANGE(""https://docs.google.com/spreadsheets/d/1YiDIE7Klmt8osgdapRqYWNr7iPGFSsiJqq46S7PYRE0/edit?usp=sharing"",""ระนอง!J570"")"),0)</f>
        <v>0</v>
      </c>
      <c r="AM85" s="140">
        <f ca="1">IFERROR(__xludf.DUMMYFUNCTION("IMPORTRANGE(""https://docs.google.com/spreadsheets/d/1YiDIE7Klmt8osgdapRqYWNr7iPGFSsiJqq46S7PYRE0/edit?usp=sharing"",""ระนอง!J571"")"),0)</f>
        <v>0</v>
      </c>
      <c r="AN85" s="63">
        <f ca="1">IFERROR(__xludf.DUMMYFUNCTION("IMPORTRANGE(""https://docs.google.com/spreadsheets/d/1YiDIE7Klmt8osgdapRqYWNr7iPGFSsiJqq46S7PYRE0/edit?usp=sharing"",""ระนอง!J572"")"),0)</f>
        <v>0</v>
      </c>
      <c r="AO85" s="140">
        <f ca="1">IFERROR(__xludf.DUMMYFUNCTION("IMPORTRANGE(""https://docs.google.com/spreadsheets/d/1YiDIE7Klmt8osgdapRqYWNr7iPGFSsiJqq46S7PYRE0/edit?usp=sharing"",""ระนอง!J573"")"),0)</f>
        <v>0</v>
      </c>
      <c r="AP85" s="63">
        <f ca="1">IFERROR(__xludf.DUMMYFUNCTION("IMPORTRANGE(""https://docs.google.com/spreadsheets/d/1YiDIE7Klmt8osgdapRqYWNr7iPGFSsiJqq46S7PYRE0/edit?usp=sharing"",""ระนอง!J574"")"),0)</f>
        <v>0</v>
      </c>
      <c r="AQ85" s="140">
        <f ca="1">IFERROR(__xludf.DUMMYFUNCTION("IMPORTRANGE(""https://docs.google.com/spreadsheets/d/1YiDIE7Klmt8osgdapRqYWNr7iPGFSsiJqq46S7PYRE0/edit?usp=sharing"",""ระนอง!J575"")"),0)</f>
        <v>0</v>
      </c>
      <c r="AR85" s="57">
        <f ca="1">IFERROR(__xludf.DUMMYFUNCTION("IMPORTRANGE(""https://docs.google.com/spreadsheets/d/1YiDIE7Klmt8osgdapRqYWNr7iPGFSsiJqq46S7PYRE0/edit?usp=sharing"",""ระนอง!I576"")"),0)</f>
        <v>0</v>
      </c>
      <c r="AS85" s="57">
        <f ca="1">IFERROR(__xludf.DUMMYFUNCTION("IMPORTRANGE(""https://docs.google.com/spreadsheets/d/1YiDIE7Klmt8osgdapRqYWNr7iPGFSsiJqq46S7PYRE0/edit?usp=sharing"",""ระนอง!I577"")"),0)</f>
        <v>0</v>
      </c>
      <c r="AT85" s="63">
        <f ca="1">IFERROR(__xludf.DUMMYFUNCTION("IMPORTRANGE(""https://docs.google.com/spreadsheets/d/1YiDIE7Klmt8osgdapRqYWNr7iPGFSsiJqq46S7PYRE0/edit?usp=sharing"",""ระนอง!J576"")"),0)</f>
        <v>0</v>
      </c>
      <c r="AU85" s="63">
        <f t="shared" ca="1" si="39"/>
        <v>0</v>
      </c>
      <c r="AV85" s="57">
        <f ca="1">IFERROR(__xludf.DUMMYFUNCTION("IMPORTRANGE(""https://docs.google.com/spreadsheets/d/1YiDIE7Klmt8osgdapRqYWNr7iPGFSsiJqq46S7PYRE0/edit?usp=sharing"",""ระนอง!J577"")"),0)</f>
        <v>0</v>
      </c>
      <c r="AW85" s="63">
        <f t="shared" ca="1" si="13"/>
        <v>0</v>
      </c>
      <c r="AX85" s="63">
        <f ca="1">IFERROR(__xludf.DUMMYFUNCTION("IMPORTRANGE(""https://docs.google.com/spreadsheets/d/1YiDIE7Klmt8osgdapRqYWNr7iPGFSsiJqq46S7PYRE0/edit?usp=sharing"",""ระนอง!J578"")"),0)</f>
        <v>0</v>
      </c>
      <c r="AY85" s="140">
        <f ca="1">IFERROR(__xludf.DUMMYFUNCTION("IMPORTRANGE(""https://docs.google.com/spreadsheets/d/1YiDIE7Klmt8osgdapRqYWNr7iPGFSsiJqq46S7PYRE0/edit?usp=sharing"",""ระนอง!J579"")"),0)</f>
        <v>0</v>
      </c>
      <c r="AZ85" s="63">
        <f ca="1">IFERROR(__xludf.DUMMYFUNCTION("IMPORTRANGE(""https://docs.google.com/spreadsheets/d/1YiDIE7Klmt8osgdapRqYWNr7iPGFSsiJqq46S7PYRE0/edit?usp=sharing"",""ระนอง!J580"")"),0)</f>
        <v>0</v>
      </c>
      <c r="BA85" s="140">
        <f ca="1">IFERROR(__xludf.DUMMYFUNCTION("IMPORTRANGE(""https://docs.google.com/spreadsheets/d/1YiDIE7Klmt8osgdapRqYWNr7iPGFSsiJqq46S7PYRE0/edit?usp=sharing"",""ระนอง!J581"")"),0)</f>
        <v>0</v>
      </c>
      <c r="BB85" s="63">
        <f ca="1">IFERROR(__xludf.DUMMYFUNCTION("IMPORTRANGE(""https://docs.google.com/spreadsheets/d/1YiDIE7Klmt8osgdapRqYWNr7iPGFSsiJqq46S7PYRE0/edit?usp=sharing"",""ระนอง!J582"")"),0)</f>
        <v>0</v>
      </c>
      <c r="BC85" s="140">
        <f ca="1">IFERROR(__xludf.DUMMYFUNCTION("IMPORTRANGE(""https://docs.google.com/spreadsheets/d/1YiDIE7Klmt8osgdapRqYWNr7iPGFSsiJqq46S7PYRE0/edit?usp=sharing"",""ระนอง!J583"")"),0)</f>
        <v>0</v>
      </c>
      <c r="BD85" s="141">
        <f ca="1">IFERROR(__xludf.DUMMYFUNCTION("IMPORTRANGE(""https://docs.google.com/spreadsheets/d/1YiDIE7Klmt8osgdapRqYWNr7iPGFSsiJqq46S7PYRE0/edit?usp=sharing"",""ระนอง!J584"")"),0)</f>
        <v>0</v>
      </c>
      <c r="BE85" s="140">
        <f ca="1">IFERROR(__xludf.DUMMYFUNCTION("IMPORTRANGE(""https://docs.google.com/spreadsheets/d/1YiDIE7Klmt8osgdapRqYWNr7iPGFSsiJqq46S7PYRE0/edit?usp=sharing"",""ระนอง!J585"")"),0)</f>
        <v>0</v>
      </c>
      <c r="BF85" s="141">
        <f ca="1">IFERROR(__xludf.DUMMYFUNCTION("IMPORTRANGE(""https://docs.google.com/spreadsheets/d/1YiDIE7Klmt8osgdapRqYWNr7iPGFSsiJqq46S7PYRE0/edit?usp=sharing"",""ระนอง!J586"")"),0)</f>
        <v>0</v>
      </c>
      <c r="BG85" s="140">
        <f ca="1">IFERROR(__xludf.DUMMYFUNCTION("IMPORTRANGE(""https://docs.google.com/spreadsheets/d/1YiDIE7Klmt8osgdapRqYWNr7iPGFSsiJqq46S7PYRE0/edit?usp=sharing"",""ระนอง!J587"")"),0)</f>
        <v>0</v>
      </c>
      <c r="BH85" s="63">
        <f ca="1">IFERROR(__xludf.DUMMYFUNCTION("IMPORTRANGE(""https://docs.google.com/spreadsheets/d/1YiDIE7Klmt8osgdapRqYWNr7iPGFSsiJqq46S7PYRE0/edit?usp=sharing"",""ระนอง!J588"")"),0)</f>
        <v>0</v>
      </c>
      <c r="BI85" s="140">
        <f ca="1">IFERROR(__xludf.DUMMYFUNCTION("IMPORTRANGE(""https://docs.google.com/spreadsheets/d/1YiDIE7Klmt8osgdapRqYWNr7iPGFSsiJqq46S7PYRE0/edit?usp=sharing"",""ระนอง!J589"")"),0)</f>
        <v>0</v>
      </c>
      <c r="BJ85" s="63">
        <f ca="1">IFERROR(__xludf.DUMMYFUNCTION("IMPORTRANGE(""https://docs.google.com/spreadsheets/d/1YiDIE7Klmt8osgdapRqYWNr7iPGFSsiJqq46S7PYRE0/edit?usp=sharing"",""ระนอง!J590"")"),0)</f>
        <v>0</v>
      </c>
      <c r="BK85" s="140">
        <f ca="1">IFERROR(__xludf.DUMMYFUNCTION("IMPORTRANGE(""https://docs.google.com/spreadsheets/d/1YiDIE7Klmt8osgdapRqYWNr7iPGFSsiJqq46S7PYRE0/edit?usp=sharing"",""ระนอง!J591"")"),0)</f>
        <v>0</v>
      </c>
      <c r="BL85" s="57">
        <f ca="1">IFERROR(__xludf.DUMMYFUNCTION("IMPORTRANGE(""https://docs.google.com/spreadsheets/d/1YiDIE7Klmt8osgdapRqYWNr7iPGFSsiJqq46S7PYRE0/edit?usp=sharing"",""ระนอง!I593"")"),5413.65)</f>
        <v>5413.65</v>
      </c>
      <c r="BM85" s="57">
        <f ca="1">IFERROR(__xludf.DUMMYFUNCTION("IMPORTRANGE(""https://docs.google.com/spreadsheets/d/1YiDIE7Klmt8osgdapRqYWNr7iPGFSsiJqq46S7PYRE0/edit?usp=sharing"",""ระนอง!I594"")"),507)</f>
        <v>507</v>
      </c>
      <c r="BN85" s="63">
        <f ca="1">IFERROR(__xludf.DUMMYFUNCTION("IMPORTRANGE(""https://docs.google.com/spreadsheets/d/1YiDIE7Klmt8osgdapRqYWNr7iPGFSsiJqq46S7PYRE0/edit?usp=sharing"",""ระนอง!J593"")"),0)</f>
        <v>0</v>
      </c>
      <c r="BO85" s="63">
        <f t="shared" ca="1" si="40"/>
        <v>0</v>
      </c>
      <c r="BP85" s="57">
        <f ca="1">IFERROR(__xludf.DUMMYFUNCTION("IMPORTRANGE(""https://docs.google.com/spreadsheets/d/1YiDIE7Klmt8osgdapRqYWNr7iPGFSsiJqq46S7PYRE0/edit?usp=sharing"",""ระนอง!J594"")"),0)</f>
        <v>0</v>
      </c>
      <c r="BQ85" s="63">
        <f t="shared" ca="1" si="16"/>
        <v>0</v>
      </c>
      <c r="BR85" s="63">
        <f ca="1">IFERROR(__xludf.DUMMYFUNCTION("IMPORTRANGE(""https://docs.google.com/spreadsheets/d/1YiDIE7Klmt8osgdapRqYWNr7iPGFSsiJqq46S7PYRE0/edit?usp=sharing"",""ระนอง!J595"")"),0)</f>
        <v>0</v>
      </c>
      <c r="BS85" s="140">
        <f ca="1">IFERROR(__xludf.DUMMYFUNCTION("IMPORTRANGE(""https://docs.google.com/spreadsheets/d/1YiDIE7Klmt8osgdapRqYWNr7iPGFSsiJqq46S7PYRE0/edit?usp=sharing"",""ระนอง!J596"")"),0)</f>
        <v>0</v>
      </c>
      <c r="BT85" s="63">
        <f ca="1">IFERROR(__xludf.DUMMYFUNCTION("IMPORTRANGE(""https://docs.google.com/spreadsheets/d/1YiDIE7Klmt8osgdapRqYWNr7iPGFSsiJqq46S7PYRE0/edit?usp=sharing"",""ระนอง!J597"")"),0)</f>
        <v>0</v>
      </c>
      <c r="BU85" s="140">
        <f ca="1">IFERROR(__xludf.DUMMYFUNCTION("IMPORTRANGE(""https://docs.google.com/spreadsheets/d/1YiDIE7Klmt8osgdapRqYWNr7iPGFSsiJqq46S7PYRE0/edit?usp=sharing"",""ระนอง!J598"")"),0)</f>
        <v>0</v>
      </c>
      <c r="BV85" s="63">
        <f ca="1">IFERROR(__xludf.DUMMYFUNCTION("IMPORTRANGE(""https://docs.google.com/spreadsheets/d/1YiDIE7Klmt8osgdapRqYWNr7iPGFSsiJqq46S7PYRE0/edit?usp=sharing"",""ระนอง!J599"")"),0)</f>
        <v>0</v>
      </c>
      <c r="BW85" s="140">
        <f ca="1">IFERROR(__xludf.DUMMYFUNCTION("IMPORTRANGE(""https://docs.google.com/spreadsheets/d/1YiDIE7Klmt8osgdapRqYWNr7iPGFSsiJqq46S7PYRE0/edit?usp=sharing"",""ระนอง!J600"")"),0)</f>
        <v>0</v>
      </c>
      <c r="BX85" s="141">
        <f ca="1">IFERROR(__xludf.DUMMYFUNCTION("IMPORTRANGE(""https://docs.google.com/spreadsheets/d/1YiDIE7Klmt8osgdapRqYWNr7iPGFSsiJqq46S7PYRE0/edit?usp=sharing"",""ระนอง!J601"")"),0)</f>
        <v>0</v>
      </c>
      <c r="BY85" s="140">
        <f ca="1">IFERROR(__xludf.DUMMYFUNCTION("IMPORTRANGE(""https://docs.google.com/spreadsheets/d/1YiDIE7Klmt8osgdapRqYWNr7iPGFSsiJqq46S7PYRE0/edit?usp=sharing"",""ระนอง!J602"")"),0)</f>
        <v>0</v>
      </c>
      <c r="BZ85" s="63">
        <f ca="1">IFERROR(__xludf.DUMMYFUNCTION("IMPORTRANGE(""https://docs.google.com/spreadsheets/d/1YiDIE7Klmt8osgdapRqYWNr7iPGFSsiJqq46S7PYRE0/edit?usp=sharing"",""ระนอง!J603"")"),0)</f>
        <v>0</v>
      </c>
      <c r="CA85" s="140">
        <f ca="1">IFERROR(__xludf.DUMMYFUNCTION("IMPORTRANGE(""https://docs.google.com/spreadsheets/d/1YiDIE7Klmt8osgdapRqYWNr7iPGFSsiJqq46S7PYRE0/edit?usp=sharing"",""ระนอง!J604"")"),0)</f>
        <v>0</v>
      </c>
      <c r="CB85" s="63">
        <f ca="1">IFERROR(__xludf.DUMMYFUNCTION("IMPORTRANGE(""https://docs.google.com/spreadsheets/d/1YiDIE7Klmt8osgdapRqYWNr7iPGFSsiJqq46S7PYRE0/edit?usp=sharing"",""ระนอง!J605"")"),0)</f>
        <v>0</v>
      </c>
      <c r="CC85" s="140">
        <f ca="1">IFERROR(__xludf.DUMMYFUNCTION("IMPORTRANGE(""https://docs.google.com/spreadsheets/d/1YiDIE7Klmt8osgdapRqYWNr7iPGFSsiJqq46S7PYRE0/edit?usp=sharing"",""ระนอง!J606"")"),0)</f>
        <v>0</v>
      </c>
      <c r="CD85" s="63">
        <f ca="1">IFERROR(__xludf.DUMMYFUNCTION("IMPORTRANGE(""https://docs.google.com/spreadsheets/d/1YiDIE7Klmt8osgdapRqYWNr7iPGFSsiJqq46S7PYRE0/edit?usp=sharing"",""ระนอง!J607"")"),0)</f>
        <v>0</v>
      </c>
      <c r="CE85" s="140">
        <f ca="1">IFERROR(__xludf.DUMMYFUNCTION("IMPORTRANGE(""https://docs.google.com/spreadsheets/d/1YiDIE7Klmt8osgdapRqYWNr7iPGFSsiJqq46S7PYRE0/edit?usp=sharing"",""ระนอง!J608"")"),0)</f>
        <v>0</v>
      </c>
      <c r="CF85" s="63">
        <f ca="1">IFERROR(__xludf.DUMMYFUNCTION("IMPORTRANGE(""https://docs.google.com/spreadsheets/d/1YiDIE7Klmt8osgdapRqYWNr7iPGFSsiJqq46S7PYRE0/edit?usp=sharing"",""ระนอง!J609"")"),0)</f>
        <v>0</v>
      </c>
      <c r="CG85" s="140">
        <f ca="1">IFERROR(__xludf.DUMMYFUNCTION("IMPORTRANGE(""https://docs.google.com/spreadsheets/d/1YiDIE7Klmt8osgdapRqYWNr7iPGFSsiJqq46S7PYRE0/edit?usp=sharing"",""ระนอง!J610"")"),0)</f>
        <v>0</v>
      </c>
      <c r="CH85" s="140">
        <f ca="1">IFERROR(__xludf.DUMMYFUNCTION("IMPORTRANGE(""https://docs.google.com/spreadsheets/d/1YiDIE7Klmt8osgdapRqYWNr7iPGFSsiJqq46S7PYRE0/edit?usp=sharing"",""ระนอง!I612"")"),0)</f>
        <v>0</v>
      </c>
      <c r="CI85" s="140">
        <f ca="1">IFERROR(__xludf.DUMMYFUNCTION("IMPORTRANGE(""https://docs.google.com/spreadsheets/d/1YiDIE7Klmt8osgdapRqYWNr7iPGFSsiJqq46S7PYRE0/edit?usp=sharing"",""ระนอง!I594"")"),507)</f>
        <v>507</v>
      </c>
      <c r="CJ85" s="141">
        <f ca="1">IFERROR(__xludf.DUMMYFUNCTION("IMPORTRANGE(""https://docs.google.com/spreadsheets/d/1YiDIE7Klmt8osgdapRqYWNr7iPGFSsiJqq46S7PYRE0/edit?usp=sharing"",""ระนอง!J612"")"),0)</f>
        <v>0</v>
      </c>
      <c r="CK85" s="141">
        <f t="shared" ca="1" si="41"/>
        <v>0</v>
      </c>
      <c r="CL85" s="140">
        <f ca="1">IFERROR(__xludf.DUMMYFUNCTION("IMPORTRANGE(""https://docs.google.com/spreadsheets/d/1YiDIE7Klmt8osgdapRqYWNr7iPGFSsiJqq46S7PYRE0/edit?usp=sharing"",""ระนอง!J613"")"),0)</f>
        <v>0</v>
      </c>
      <c r="CM85" s="141">
        <f t="shared" ca="1" si="19"/>
        <v>0</v>
      </c>
      <c r="CN85" s="63">
        <f ca="1">IFERROR(__xludf.DUMMYFUNCTION("IMPORTRANGE(""https://docs.google.com/spreadsheets/d/1YiDIE7Klmt8osgdapRqYWNr7iPGFSsiJqq46S7PYRE0/edit?usp=sharing"",""ระนอง!J614"")"),0)</f>
        <v>0</v>
      </c>
      <c r="CO85" s="140">
        <f ca="1">IFERROR(__xludf.DUMMYFUNCTION("IMPORTRANGE(""https://docs.google.com/spreadsheets/d/1YiDIE7Klmt8osgdapRqYWNr7iPGFSsiJqq46S7PYRE0/edit?usp=sharing"",""ระนอง!J615"")"),0)</f>
        <v>0</v>
      </c>
      <c r="CP85" s="63">
        <f ca="1">IFERROR(__xludf.DUMMYFUNCTION("IMPORTRANGE(""https://docs.google.com/spreadsheets/d/1YiDIE7Klmt8osgdapRqYWNr7iPGFSsiJqq46S7PYRE0/edit?usp=sharing"",""ระนอง!J616"")"),0)</f>
        <v>0</v>
      </c>
      <c r="CQ85" s="140">
        <f ca="1">IFERROR(__xludf.DUMMYFUNCTION("IMPORTRANGE(""https://docs.google.com/spreadsheets/d/1YiDIE7Klmt8osgdapRqYWNr7iPGFSsiJqq46S7PYRE0/edit?usp=sharing"",""ระนอง!J617"")"),0)</f>
        <v>0</v>
      </c>
      <c r="CR85" s="140">
        <f ca="1">IFERROR(__xludf.DUMMYFUNCTION("IMPORTRANGE(""https://docs.google.com/spreadsheets/d/1YiDIE7Klmt8osgdapRqYWNr7iPGFSsiJqq46S7PYRE0/edit?usp=sharing"",""ระนอง!I620"")"),0)</f>
        <v>0</v>
      </c>
      <c r="CS85" s="140">
        <f ca="1">IFERROR(__xludf.DUMMYFUNCTION("IMPORTRANGE(""https://docs.google.com/spreadsheets/d/1YiDIE7Klmt8osgdapRqYWNr7iPGFSsiJqq46S7PYRE0/edit?usp=sharing"",""ระนอง!I621"")"),0)</f>
        <v>0</v>
      </c>
      <c r="CT85" s="141">
        <f ca="1">IFERROR(__xludf.DUMMYFUNCTION("IMPORTRANGE(""https://docs.google.com/spreadsheets/d/1YiDIE7Klmt8osgdapRqYWNr7iPGFSsiJqq46S7PYRE0/edit?usp=sharing"",""ระนอง!J620"")"),0)</f>
        <v>0</v>
      </c>
      <c r="CU85" s="141">
        <f t="shared" ca="1" si="42"/>
        <v>0</v>
      </c>
      <c r="CV85" s="140">
        <f ca="1">IFERROR(__xludf.DUMMYFUNCTION("IMPORTRANGE(""https://docs.google.com/spreadsheets/d/1YiDIE7Klmt8osgdapRqYWNr7iPGFSsiJqq46S7PYRE0/edit?usp=sharing"",""ระนอง!J621"")"),0)</f>
        <v>0</v>
      </c>
      <c r="CW85" s="141">
        <f t="shared" ca="1" si="22"/>
        <v>0</v>
      </c>
      <c r="CX85" s="63">
        <f ca="1">IFERROR(__xludf.DUMMYFUNCTION("IMPORTRANGE(""https://docs.google.com/spreadsheets/d/1YiDIE7Klmt8osgdapRqYWNr7iPGFSsiJqq46S7PYRE0/edit?usp=sharing"",""ระนอง!J622"")"),0)</f>
        <v>0</v>
      </c>
      <c r="CY85" s="140">
        <f ca="1">IFERROR(__xludf.DUMMYFUNCTION("IMPORTRANGE(""https://docs.google.com/spreadsheets/d/1YiDIE7Klmt8osgdapRqYWNr7iPGFSsiJqq46S7PYRE0/edit?usp=sharing"",""ระนอง!J623"")"),0)</f>
        <v>0</v>
      </c>
      <c r="CZ85" s="63">
        <f ca="1">IFERROR(__xludf.DUMMYFUNCTION("IMPORTRANGE(""https://docs.google.com/spreadsheets/d/1YiDIE7Klmt8osgdapRqYWNr7iPGFSsiJqq46S7PYRE0/edit?usp=sharing"",""ระนอง!J624"")"),0)</f>
        <v>0</v>
      </c>
      <c r="DA85" s="140">
        <f ca="1">IFERROR(__xludf.DUMMYFUNCTION("IMPORTRANGE(""https://docs.google.com/spreadsheets/d/1YiDIE7Klmt8osgdapRqYWNr7iPGFSsiJqq46S7PYRE0/edit?usp=sharing"",""ระนอง!J625"")"),0)</f>
        <v>0</v>
      </c>
      <c r="DB85" s="63">
        <f ca="1">IFERROR(__xludf.DUMMYFUNCTION("IMPORTRANGE(""https://docs.google.com/spreadsheets/d/1YiDIE7Klmt8osgdapRqYWNr7iPGFSsiJqq46S7PYRE0/edit?usp=sharing"",""ระนอง!J626"")"),0)</f>
        <v>0</v>
      </c>
      <c r="DC85" s="140">
        <f ca="1">IFERROR(__xludf.DUMMYFUNCTION("IMPORTRANGE(""https://docs.google.com/spreadsheets/d/1YiDIE7Klmt8osgdapRqYWNr7iPGFSsiJqq46S7PYRE0/edit?usp=sharing"",""ระนอง!J627"")"),0)</f>
        <v>0</v>
      </c>
    </row>
    <row r="86" spans="1:107" ht="24" customHeight="1" x14ac:dyDescent="0.3">
      <c r="A86" s="54">
        <v>12</v>
      </c>
      <c r="B86" s="55" t="s">
        <v>107</v>
      </c>
      <c r="C86" s="56">
        <f t="shared" ca="1" si="88"/>
        <v>388395</v>
      </c>
      <c r="D86" s="57">
        <f ca="1">IFERROR(__xludf.DUMMYFUNCTION("IMPORTRANGE(""https://docs.google.com/spreadsheets/d/16o_4B-V7AWw_6E93bSpXj_XxVv1oVQctk-B6z1dNEWU/edit?usp=sharing"",""สงขลา!L549"")"),388395)</f>
        <v>388395</v>
      </c>
      <c r="E86" s="64">
        <f ca="1">IFERROR(__xludf.DUMMYFUNCTION("IMPORTRANGE(""https://docs.google.com/spreadsheets/d/16o_4B-V7AWw_6E93bSpXj_XxVv1oVQctk-B6z1dNEWU/edit?usp=sharing"",""สงขลา!L557"")"),0)</f>
        <v>0</v>
      </c>
      <c r="F86" s="64">
        <f ca="1">IFERROR(__xludf.DUMMYFUNCTION("IMPORTRANGE(""https://docs.google.com/spreadsheets/d/16o_4B-V7AWw_6E93bSpXj_XxVv1oVQctk-B6z1dNEWU/edit?usp=sharing"",""สงขลา!M549"")"),388395)</f>
        <v>388395</v>
      </c>
      <c r="G86" s="64">
        <f ca="1">IFERROR(__xludf.DUMMYFUNCTION("IMPORTRANGE(""https://docs.google.com/spreadsheets/d/16o_4B-V7AWw_6E93bSpXj_XxVv1oVQctk-B6z1dNEWU/edit?usp=sharing"",""สงขลา!M557"")"),0)</f>
        <v>0</v>
      </c>
      <c r="H86" s="58">
        <f t="shared" ca="1" si="36"/>
        <v>256612</v>
      </c>
      <c r="I86" s="59">
        <f t="shared" ca="1" si="1"/>
        <v>66.069851568635031</v>
      </c>
      <c r="J86" s="60">
        <f t="shared" ca="1" si="89"/>
        <v>256612</v>
      </c>
      <c r="K86" s="61">
        <f t="shared" ca="1" si="44"/>
        <v>66.069851568635031</v>
      </c>
      <c r="L86" s="61">
        <f t="shared" ca="1" si="45"/>
        <v>66.069851568635031</v>
      </c>
      <c r="M86" s="64">
        <f ca="1">IFERROR(__xludf.DUMMYFUNCTION("IMPORTRANGE(""https://docs.google.com/spreadsheets/d/16o_4B-V7AWw_6E93bSpXj_XxVv1oVQctk-B6z1dNEWU/edit?usp=sharing"",""สงขลา!N550"")"),0)</f>
        <v>0</v>
      </c>
      <c r="N86" s="64">
        <f ca="1">IFERROR(__xludf.DUMMYFUNCTION("IMPORTRANGE(""https://docs.google.com/spreadsheets/d/16o_4B-V7AWw_6E93bSpXj_XxVv1oVQctk-B6z1dNEWU/edit?usp=sharing"",""สงขลา!N551"")"),0)</f>
        <v>0</v>
      </c>
      <c r="O86" s="64">
        <f ca="1">IFERROR(__xludf.DUMMYFUNCTION("IMPORTRANGE(""https://docs.google.com/spreadsheets/d/16o_4B-V7AWw_6E93bSpXj_XxVv1oVQctk-B6z1dNEWU/edit?usp=sharing"",""สงขลา!N552"")"),78000)</f>
        <v>78000</v>
      </c>
      <c r="P86" s="64">
        <f ca="1">IFERROR(__xludf.DUMMYFUNCTION("IMPORTRANGE(""https://docs.google.com/spreadsheets/d/16o_4B-V7AWw_6E93bSpXj_XxVv1oVQctk-B6z1dNEWU/edit?usp=sharing"",""สงขลา!N553"")"),143612)</f>
        <v>143612</v>
      </c>
      <c r="Q86" s="64">
        <f ca="1">IFERROR(__xludf.DUMMYFUNCTION("IMPORTRANGE(""https://docs.google.com/spreadsheets/d/16o_4B-V7AWw_6E93bSpXj_XxVv1oVQctk-B6z1dNEWU/edit?usp=sharing"",""สงขลา!N554"")"),35000)</f>
        <v>35000</v>
      </c>
      <c r="R86" s="62">
        <f ca="1">IFERROR(__xludf.DUMMYFUNCTION("IMPORTRANGE(""https://docs.google.com/spreadsheets/d/16o_4B-V7AWw_6E93bSpXj_XxVv1oVQctk-B6z1dNEWU/edit?usp=sharing"",""สงขลา!N557"")"),0)</f>
        <v>0</v>
      </c>
      <c r="S86" s="62">
        <f t="shared" ca="1" si="47"/>
        <v>0</v>
      </c>
      <c r="T86" s="57">
        <f ca="1">IFERROR(__xludf.DUMMYFUNCTION("IMPORTRANGE(""https://docs.google.com/spreadsheets/d/16o_4B-V7AWw_6E93bSpXj_XxVv1oVQctk-B6z1dNEWU/edit?usp=sharing"",""สงขลา!I560"")"),32464)</f>
        <v>32464</v>
      </c>
      <c r="U86" s="57">
        <f ca="1">IFERROR(__xludf.DUMMYFUNCTION("IMPORTRANGE(""https://docs.google.com/spreadsheets/d/16o_4B-V7AWw_6E93bSpXj_XxVv1oVQctk-B6z1dNEWU/edit?usp=sharing"",""สงขลา!I561"")"),4075)</f>
        <v>4075</v>
      </c>
      <c r="V86" s="63">
        <f ca="1">IFERROR(__xludf.DUMMYFUNCTION("IMPORTRANGE(""https://docs.google.com/spreadsheets/d/16o_4B-V7AWw_6E93bSpXj_XxVv1oVQctk-B6z1dNEWU/edit?usp=sharing"",""สงขลา!J560"")"),32464.06)</f>
        <v>32464.06</v>
      </c>
      <c r="W86" s="63">
        <f t="shared" ca="1" si="37"/>
        <v>100.00018482010843</v>
      </c>
      <c r="X86" s="57">
        <f ca="1">IFERROR(__xludf.DUMMYFUNCTION("IMPORTRANGE(""https://docs.google.com/spreadsheets/d/16o_4B-V7AWw_6E93bSpXj_XxVv1oVQctk-B6z1dNEWU/edit?usp=sharing"",""สงขลา!J561"")"),4075)</f>
        <v>4075</v>
      </c>
      <c r="Y86" s="63">
        <f t="shared" ca="1" si="7"/>
        <v>100</v>
      </c>
      <c r="Z86" s="63">
        <f ca="1">IFERROR(__xludf.DUMMYFUNCTION("IMPORTRANGE(""https://docs.google.com/spreadsheets/d/16o_4B-V7AWw_6E93bSpXj_XxVv1oVQctk-B6z1dNEWU/edit?usp=sharing"",""สงขลา!J562"")"),29538.06)</f>
        <v>29538.06</v>
      </c>
      <c r="AA86" s="140">
        <f ca="1">IFERROR(__xludf.DUMMYFUNCTION("IMPORTRANGE(""https://docs.google.com/spreadsheets/d/16o_4B-V7AWw_6E93bSpXj_XxVv1oVQctk-B6z1dNEWU/edit?usp=sharing"",""สงขลา!J563"")"),3715)</f>
        <v>3715</v>
      </c>
      <c r="AB86" s="63">
        <f ca="1">IFERROR(__xludf.DUMMYFUNCTION("IMPORTRANGE(""https://docs.google.com/spreadsheets/d/16o_4B-V7AWw_6E93bSpXj_XxVv1oVQctk-B6z1dNEWU/edit?usp=sharing"",""สงขลา!J564"")"),2117)</f>
        <v>2117</v>
      </c>
      <c r="AC86" s="140">
        <f ca="1">IFERROR(__xludf.DUMMYFUNCTION("IMPORTRANGE(""https://docs.google.com/spreadsheets/d/16o_4B-V7AWw_6E93bSpXj_XxVv1oVQctk-B6z1dNEWU/edit?usp=sharing"",""สงขลา!J565"")"),255)</f>
        <v>255</v>
      </c>
      <c r="AD86" s="63">
        <f ca="1">IFERROR(__xludf.DUMMYFUNCTION("IMPORTRANGE(""https://docs.google.com/spreadsheets/d/16o_4B-V7AWw_6E93bSpXj_XxVv1oVQctk-B6z1dNEWU/edit?usp=sharing"",""สงขลา!J566"")"),809)</f>
        <v>809</v>
      </c>
      <c r="AE86" s="140">
        <f ca="1">IFERROR(__xludf.DUMMYFUNCTION("IMPORTRANGE(""https://docs.google.com/spreadsheets/d/16o_4B-V7AWw_6E93bSpXj_XxVv1oVQctk-B6z1dNEWU/edit?usp=sharing"",""สงขลา!J567"")"),105)</f>
        <v>105</v>
      </c>
      <c r="AF86" s="57">
        <f ca="1">IFERROR(__xludf.DUMMYFUNCTION("IMPORTRANGE(""https://docs.google.com/spreadsheets/d/16o_4B-V7AWw_6E93bSpXj_XxVv1oVQctk-B6z1dNEWU/edit?usp=sharing"",""สงขลา!I568"")"),32464)</f>
        <v>32464</v>
      </c>
      <c r="AG86" s="57">
        <f ca="1">IFERROR(__xludf.DUMMYFUNCTION("IMPORTRANGE(""https://docs.google.com/spreadsheets/d/16o_4B-V7AWw_6E93bSpXj_XxVv1oVQctk-B6z1dNEWU/edit?usp=sharing"",""สงขลา!I569"")"),4075)</f>
        <v>4075</v>
      </c>
      <c r="AH86" s="63">
        <f ca="1">IFERROR(__xludf.DUMMYFUNCTION("IMPORTRANGE(""https://docs.google.com/spreadsheets/d/16o_4B-V7AWw_6E93bSpXj_XxVv1oVQctk-B6z1dNEWU/edit?usp=sharing"",""สงขลา!J568"")"),32464)</f>
        <v>32464</v>
      </c>
      <c r="AI86" s="63">
        <f t="shared" ca="1" si="38"/>
        <v>100</v>
      </c>
      <c r="AJ86" s="57">
        <f ca="1">IFERROR(__xludf.DUMMYFUNCTION("IMPORTRANGE(""https://docs.google.com/spreadsheets/d/16o_4B-V7AWw_6E93bSpXj_XxVv1oVQctk-B6z1dNEWU/edit?usp=sharing"",""สงขลา!J569"")"),4075)</f>
        <v>4075</v>
      </c>
      <c r="AK86" s="63">
        <f t="shared" ca="1" si="10"/>
        <v>100</v>
      </c>
      <c r="AL86" s="63">
        <f ca="1">IFERROR(__xludf.DUMMYFUNCTION("IMPORTRANGE(""https://docs.google.com/spreadsheets/d/16o_4B-V7AWw_6E93bSpXj_XxVv1oVQctk-B6z1dNEWU/edit?usp=sharing"",""สงขลา!J570"")"),29664)</f>
        <v>29664</v>
      </c>
      <c r="AM86" s="140">
        <f ca="1">IFERROR(__xludf.DUMMYFUNCTION("IMPORTRANGE(""https://docs.google.com/spreadsheets/d/16o_4B-V7AWw_6E93bSpXj_XxVv1oVQctk-B6z1dNEWU/edit?usp=sharing"",""สงขลา!J571"")"),3730)</f>
        <v>3730</v>
      </c>
      <c r="AN86" s="63">
        <f ca="1">IFERROR(__xludf.DUMMYFUNCTION("IMPORTRANGE(""https://docs.google.com/spreadsheets/d/16o_4B-V7AWw_6E93bSpXj_XxVv1oVQctk-B6z1dNEWU/edit?usp=sharing"",""สงขลา!J572"")"),1977)</f>
        <v>1977</v>
      </c>
      <c r="AO86" s="140">
        <f ca="1">IFERROR(__xludf.DUMMYFUNCTION("IMPORTRANGE(""https://docs.google.com/spreadsheets/d/16o_4B-V7AWw_6E93bSpXj_XxVv1oVQctk-B6z1dNEWU/edit?usp=sharing"",""สงขลา!J573"")"),240)</f>
        <v>240</v>
      </c>
      <c r="AP86" s="63">
        <f ca="1">IFERROR(__xludf.DUMMYFUNCTION("IMPORTRANGE(""https://docs.google.com/spreadsheets/d/16o_4B-V7AWw_6E93bSpXj_XxVv1oVQctk-B6z1dNEWU/edit?usp=sharing"",""สงขลา!J574"")"),823)</f>
        <v>823</v>
      </c>
      <c r="AQ86" s="140">
        <f ca="1">IFERROR(__xludf.DUMMYFUNCTION("IMPORTRANGE(""https://docs.google.com/spreadsheets/d/16o_4B-V7AWw_6E93bSpXj_XxVv1oVQctk-B6z1dNEWU/edit?usp=sharing"",""สงขลา!J575"")"),105)</f>
        <v>105</v>
      </c>
      <c r="AR86" s="57">
        <f ca="1">IFERROR(__xludf.DUMMYFUNCTION("IMPORTRANGE(""https://docs.google.com/spreadsheets/d/16o_4B-V7AWw_6E93bSpXj_XxVv1oVQctk-B6z1dNEWU/edit?usp=sharing"",""สงขลา!I576"")"),32464)</f>
        <v>32464</v>
      </c>
      <c r="AS86" s="57">
        <f ca="1">IFERROR(__xludf.DUMMYFUNCTION("IMPORTRANGE(""https://docs.google.com/spreadsheets/d/16o_4B-V7AWw_6E93bSpXj_XxVv1oVQctk-B6z1dNEWU/edit?usp=sharing"",""สงขลา!I577"")"),4075)</f>
        <v>4075</v>
      </c>
      <c r="AT86" s="63">
        <f ca="1">IFERROR(__xludf.DUMMYFUNCTION("IMPORTRANGE(""https://docs.google.com/spreadsheets/d/16o_4B-V7AWw_6E93bSpXj_XxVv1oVQctk-B6z1dNEWU/edit?usp=sharing"",""สงขลา!J576"")"),0)</f>
        <v>0</v>
      </c>
      <c r="AU86" s="63">
        <f t="shared" ca="1" si="39"/>
        <v>0</v>
      </c>
      <c r="AV86" s="57">
        <f ca="1">IFERROR(__xludf.DUMMYFUNCTION("IMPORTRANGE(""https://docs.google.com/spreadsheets/d/16o_4B-V7AWw_6E93bSpXj_XxVv1oVQctk-B6z1dNEWU/edit?usp=sharing"",""สงขลา!J577"")"),0)</f>
        <v>0</v>
      </c>
      <c r="AW86" s="63">
        <f t="shared" ca="1" si="13"/>
        <v>0</v>
      </c>
      <c r="AX86" s="63">
        <f ca="1">IFERROR(__xludf.DUMMYFUNCTION("IMPORTRANGE(""https://docs.google.com/spreadsheets/d/16o_4B-V7AWw_6E93bSpXj_XxVv1oVQctk-B6z1dNEWU/edit?usp=sharing"",""สงขลา!J578"")"),0)</f>
        <v>0</v>
      </c>
      <c r="AY86" s="140">
        <f ca="1">IFERROR(__xludf.DUMMYFUNCTION("IMPORTRANGE(""https://docs.google.com/spreadsheets/d/16o_4B-V7AWw_6E93bSpXj_XxVv1oVQctk-B6z1dNEWU/edit?usp=sharing"",""สงขลา!J579"")"),0)</f>
        <v>0</v>
      </c>
      <c r="AZ86" s="63">
        <f ca="1">IFERROR(__xludf.DUMMYFUNCTION("IMPORTRANGE(""https://docs.google.com/spreadsheets/d/16o_4B-V7AWw_6E93bSpXj_XxVv1oVQctk-B6z1dNEWU/edit?usp=sharing"",""สงขลา!J580"")"),0)</f>
        <v>0</v>
      </c>
      <c r="BA86" s="140">
        <f ca="1">IFERROR(__xludf.DUMMYFUNCTION("IMPORTRANGE(""https://docs.google.com/spreadsheets/d/16o_4B-V7AWw_6E93bSpXj_XxVv1oVQctk-B6z1dNEWU/edit?usp=sharing"",""สงขลา!J581"")"),0)</f>
        <v>0</v>
      </c>
      <c r="BB86" s="63">
        <f ca="1">IFERROR(__xludf.DUMMYFUNCTION("IMPORTRANGE(""https://docs.google.com/spreadsheets/d/16o_4B-V7AWw_6E93bSpXj_XxVv1oVQctk-B6z1dNEWU/edit?usp=sharing"",""สงขลา!J582"")"),0)</f>
        <v>0</v>
      </c>
      <c r="BC86" s="140">
        <f ca="1">IFERROR(__xludf.DUMMYFUNCTION("IMPORTRANGE(""https://docs.google.com/spreadsheets/d/16o_4B-V7AWw_6E93bSpXj_XxVv1oVQctk-B6z1dNEWU/edit?usp=sharing"",""สงขลา!J583"")"),0)</f>
        <v>0</v>
      </c>
      <c r="BD86" s="141">
        <f ca="1">IFERROR(__xludf.DUMMYFUNCTION("IMPORTRANGE(""https://docs.google.com/spreadsheets/d/16o_4B-V7AWw_6E93bSpXj_XxVv1oVQctk-B6z1dNEWU/edit?usp=sharing"",""สงขลา!J584"")"),0)</f>
        <v>0</v>
      </c>
      <c r="BE86" s="140">
        <f ca="1">IFERROR(__xludf.DUMMYFUNCTION("IMPORTRANGE(""https://docs.google.com/spreadsheets/d/16o_4B-V7AWw_6E93bSpXj_XxVv1oVQctk-B6z1dNEWU/edit?usp=sharing"",""สงขลา!J585"")"),0)</f>
        <v>0</v>
      </c>
      <c r="BF86" s="141">
        <f ca="1">IFERROR(__xludf.DUMMYFUNCTION("IMPORTRANGE(""https://docs.google.com/spreadsheets/d/16o_4B-V7AWw_6E93bSpXj_XxVv1oVQctk-B6z1dNEWU/edit?usp=sharing"",""สงขลา!J586"")"),0)</f>
        <v>0</v>
      </c>
      <c r="BG86" s="140">
        <f ca="1">IFERROR(__xludf.DUMMYFUNCTION("IMPORTRANGE(""https://docs.google.com/spreadsheets/d/16o_4B-V7AWw_6E93bSpXj_XxVv1oVQctk-B6z1dNEWU/edit?usp=sharing"",""สงขลา!J587"")"),0)</f>
        <v>0</v>
      </c>
      <c r="BH86" s="63">
        <f ca="1">IFERROR(__xludf.DUMMYFUNCTION("IMPORTRANGE(""https://docs.google.com/spreadsheets/d/16o_4B-V7AWw_6E93bSpXj_XxVv1oVQctk-B6z1dNEWU/edit?usp=sharing"",""สงขลา!J588"")"),0)</f>
        <v>0</v>
      </c>
      <c r="BI86" s="140">
        <f ca="1">IFERROR(__xludf.DUMMYFUNCTION("IMPORTRANGE(""https://docs.google.com/spreadsheets/d/16o_4B-V7AWw_6E93bSpXj_XxVv1oVQctk-B6z1dNEWU/edit?usp=sharing"",""สงขลา!J589"")"),0)</f>
        <v>0</v>
      </c>
      <c r="BJ86" s="63">
        <f ca="1">IFERROR(__xludf.DUMMYFUNCTION("IMPORTRANGE(""https://docs.google.com/spreadsheets/d/16o_4B-V7AWw_6E93bSpXj_XxVv1oVQctk-B6z1dNEWU/edit?usp=sharing"",""สงขลา!J590"")"),0)</f>
        <v>0</v>
      </c>
      <c r="BK86" s="140">
        <f ca="1">IFERROR(__xludf.DUMMYFUNCTION("IMPORTRANGE(""https://docs.google.com/spreadsheets/d/16o_4B-V7AWw_6E93bSpXj_XxVv1oVQctk-B6z1dNEWU/edit?usp=sharing"",""สงขลา!J591"")"),0)</f>
        <v>0</v>
      </c>
      <c r="BL86" s="57">
        <f ca="1">IFERROR(__xludf.DUMMYFUNCTION("IMPORTRANGE(""https://docs.google.com/spreadsheets/d/16o_4B-V7AWw_6E93bSpXj_XxVv1oVQctk-B6z1dNEWU/edit?usp=sharing"",""สงขลา!I593"")"),414.26)</f>
        <v>414.26</v>
      </c>
      <c r="BM86" s="57">
        <f ca="1">IFERROR(__xludf.DUMMYFUNCTION("IMPORTRANGE(""https://docs.google.com/spreadsheets/d/16o_4B-V7AWw_6E93bSpXj_XxVv1oVQctk-B6z1dNEWU/edit?usp=sharing"",""สงขลา!I594"")"),47)</f>
        <v>47</v>
      </c>
      <c r="BN86" s="63">
        <f ca="1">IFERROR(__xludf.DUMMYFUNCTION("IMPORTRANGE(""https://docs.google.com/spreadsheets/d/16o_4B-V7AWw_6E93bSpXj_XxVv1oVQctk-B6z1dNEWU/edit?usp=sharing"",""สงขลา!J593"")"),348)</f>
        <v>348</v>
      </c>
      <c r="BO86" s="63">
        <f t="shared" ca="1" si="40"/>
        <v>84.005214116738287</v>
      </c>
      <c r="BP86" s="57">
        <f ca="1">IFERROR(__xludf.DUMMYFUNCTION("IMPORTRANGE(""https://docs.google.com/spreadsheets/d/16o_4B-V7AWw_6E93bSpXj_XxVv1oVQctk-B6z1dNEWU/edit?usp=sharing"",""สงขลา!J594"")"),36)</f>
        <v>36</v>
      </c>
      <c r="BQ86" s="63">
        <f t="shared" ca="1" si="16"/>
        <v>76.59574468085107</v>
      </c>
      <c r="BR86" s="63">
        <f ca="1">IFERROR(__xludf.DUMMYFUNCTION("IMPORTRANGE(""https://docs.google.com/spreadsheets/d/16o_4B-V7AWw_6E93bSpXj_XxVv1oVQctk-B6z1dNEWU/edit?usp=sharing"",""สงขลา!J595"")"),348)</f>
        <v>348</v>
      </c>
      <c r="BS86" s="140">
        <f ca="1">IFERROR(__xludf.DUMMYFUNCTION("IMPORTRANGE(""https://docs.google.com/spreadsheets/d/16o_4B-V7AWw_6E93bSpXj_XxVv1oVQctk-B6z1dNEWU/edit?usp=sharing"",""สงขลา!J596"")"),36)</f>
        <v>36</v>
      </c>
      <c r="BT86" s="63">
        <f ca="1">IFERROR(__xludf.DUMMYFUNCTION("IMPORTRANGE(""https://docs.google.com/spreadsheets/d/16o_4B-V7AWw_6E93bSpXj_XxVv1oVQctk-B6z1dNEWU/edit?usp=sharing"",""สงขลา!J597"")"),348)</f>
        <v>348</v>
      </c>
      <c r="BU86" s="140">
        <f ca="1">IFERROR(__xludf.DUMMYFUNCTION("IMPORTRANGE(""https://docs.google.com/spreadsheets/d/16o_4B-V7AWw_6E93bSpXj_XxVv1oVQctk-B6z1dNEWU/edit?usp=sharing"",""สงขลา!J598"")"),36)</f>
        <v>36</v>
      </c>
      <c r="BV86" s="63">
        <f ca="1">IFERROR(__xludf.DUMMYFUNCTION("IMPORTRANGE(""https://docs.google.com/spreadsheets/d/16o_4B-V7AWw_6E93bSpXj_XxVv1oVQctk-B6z1dNEWU/edit?usp=sharing"",""สงขลา!J599"")"),0)</f>
        <v>0</v>
      </c>
      <c r="BW86" s="140">
        <f ca="1">IFERROR(__xludf.DUMMYFUNCTION("IMPORTRANGE(""https://docs.google.com/spreadsheets/d/16o_4B-V7AWw_6E93bSpXj_XxVv1oVQctk-B6z1dNEWU/edit?usp=sharing"",""สงขลา!J600"")"),0)</f>
        <v>0</v>
      </c>
      <c r="BX86" s="141">
        <f ca="1">IFERROR(__xludf.DUMMYFUNCTION("IMPORTRANGE(""https://docs.google.com/spreadsheets/d/16o_4B-V7AWw_6E93bSpXj_XxVv1oVQctk-B6z1dNEWU/edit?usp=sharing"",""สงขลา!J601"")"),0)</f>
        <v>0</v>
      </c>
      <c r="BY86" s="140">
        <f ca="1">IFERROR(__xludf.DUMMYFUNCTION("IMPORTRANGE(""https://docs.google.com/spreadsheets/d/16o_4B-V7AWw_6E93bSpXj_XxVv1oVQctk-B6z1dNEWU/edit?usp=sharing"",""สงขลา!J602"")"),0)</f>
        <v>0</v>
      </c>
      <c r="BZ86" s="63">
        <f ca="1">IFERROR(__xludf.DUMMYFUNCTION("IMPORTRANGE(""https://docs.google.com/spreadsheets/d/16o_4B-V7AWw_6E93bSpXj_XxVv1oVQctk-B6z1dNEWU/edit?usp=sharing"",""สงขลา!J603"")"),0)</f>
        <v>0</v>
      </c>
      <c r="CA86" s="140">
        <f ca="1">IFERROR(__xludf.DUMMYFUNCTION("IMPORTRANGE(""https://docs.google.com/spreadsheets/d/16o_4B-V7AWw_6E93bSpXj_XxVv1oVQctk-B6z1dNEWU/edit?usp=sharing"",""สงขลา!J604"")"),0)</f>
        <v>0</v>
      </c>
      <c r="CB86" s="63">
        <f ca="1">IFERROR(__xludf.DUMMYFUNCTION("IMPORTRANGE(""https://docs.google.com/spreadsheets/d/16o_4B-V7AWw_6E93bSpXj_XxVv1oVQctk-B6z1dNEWU/edit?usp=sharing"",""สงขลา!J605"")"),0)</f>
        <v>0</v>
      </c>
      <c r="CC86" s="140">
        <f ca="1">IFERROR(__xludf.DUMMYFUNCTION("IMPORTRANGE(""https://docs.google.com/spreadsheets/d/16o_4B-V7AWw_6E93bSpXj_XxVv1oVQctk-B6z1dNEWU/edit?usp=sharing"",""สงขลา!J606"")"),0)</f>
        <v>0</v>
      </c>
      <c r="CD86" s="63">
        <f ca="1">IFERROR(__xludf.DUMMYFUNCTION("IMPORTRANGE(""https://docs.google.com/spreadsheets/d/16o_4B-V7AWw_6E93bSpXj_XxVv1oVQctk-B6z1dNEWU/edit?usp=sharing"",""สงขลา!J607"")"),0)</f>
        <v>0</v>
      </c>
      <c r="CE86" s="140">
        <f ca="1">IFERROR(__xludf.DUMMYFUNCTION("IMPORTRANGE(""https://docs.google.com/spreadsheets/d/16o_4B-V7AWw_6E93bSpXj_XxVv1oVQctk-B6z1dNEWU/edit?usp=sharing"",""สงขลา!J608"")"),0)</f>
        <v>0</v>
      </c>
      <c r="CF86" s="63">
        <f ca="1">IFERROR(__xludf.DUMMYFUNCTION("IMPORTRANGE(""https://docs.google.com/spreadsheets/d/16o_4B-V7AWw_6E93bSpXj_XxVv1oVQctk-B6z1dNEWU/edit?usp=sharing"",""สงขลา!J609"")"),0)</f>
        <v>0</v>
      </c>
      <c r="CG86" s="140">
        <f ca="1">IFERROR(__xludf.DUMMYFUNCTION("IMPORTRANGE(""https://docs.google.com/spreadsheets/d/16o_4B-V7AWw_6E93bSpXj_XxVv1oVQctk-B6z1dNEWU/edit?usp=sharing"",""สงขลา!J610"")"),0)</f>
        <v>0</v>
      </c>
      <c r="CH86" s="140">
        <f ca="1">IFERROR(__xludf.DUMMYFUNCTION("IMPORTRANGE(""https://docs.google.com/spreadsheets/d/16o_4B-V7AWw_6E93bSpXj_XxVv1oVQctk-B6z1dNEWU/edit?usp=sharing"",""สงขลา!I612"")"),0)</f>
        <v>0</v>
      </c>
      <c r="CI86" s="140">
        <f ca="1">IFERROR(__xludf.DUMMYFUNCTION("IMPORTRANGE(""https://docs.google.com/spreadsheets/d/16o_4B-V7AWw_6E93bSpXj_XxVv1oVQctk-B6z1dNEWU/edit?usp=sharing"",""สงขลา!I594"")"),47)</f>
        <v>47</v>
      </c>
      <c r="CJ86" s="141">
        <f ca="1">IFERROR(__xludf.DUMMYFUNCTION("IMPORTRANGE(""https://docs.google.com/spreadsheets/d/16o_4B-V7AWw_6E93bSpXj_XxVv1oVQctk-B6z1dNEWU/edit?usp=sharing"",""สงขลา!J612"")"),0)</f>
        <v>0</v>
      </c>
      <c r="CK86" s="141">
        <f t="shared" ca="1" si="41"/>
        <v>0</v>
      </c>
      <c r="CL86" s="140">
        <f ca="1">IFERROR(__xludf.DUMMYFUNCTION("IMPORTRANGE(""https://docs.google.com/spreadsheets/d/16o_4B-V7AWw_6E93bSpXj_XxVv1oVQctk-B6z1dNEWU/edit?usp=sharing"",""สงขลา!J613"")"),0)</f>
        <v>0</v>
      </c>
      <c r="CM86" s="141">
        <f t="shared" ca="1" si="19"/>
        <v>0</v>
      </c>
      <c r="CN86" s="63">
        <f ca="1">IFERROR(__xludf.DUMMYFUNCTION("IMPORTRANGE(""https://docs.google.com/spreadsheets/d/16o_4B-V7AWw_6E93bSpXj_XxVv1oVQctk-B6z1dNEWU/edit?usp=sharing"",""สงขลา!J614"")"),0)</f>
        <v>0</v>
      </c>
      <c r="CO86" s="140">
        <f ca="1">IFERROR(__xludf.DUMMYFUNCTION("IMPORTRANGE(""https://docs.google.com/spreadsheets/d/16o_4B-V7AWw_6E93bSpXj_XxVv1oVQctk-B6z1dNEWU/edit?usp=sharing"",""สงขลา!J615"")"),0)</f>
        <v>0</v>
      </c>
      <c r="CP86" s="63">
        <f ca="1">IFERROR(__xludf.DUMMYFUNCTION("IMPORTRANGE(""https://docs.google.com/spreadsheets/d/16o_4B-V7AWw_6E93bSpXj_XxVv1oVQctk-B6z1dNEWU/edit?usp=sharing"",""สงขลา!J616"")"),0)</f>
        <v>0</v>
      </c>
      <c r="CQ86" s="140">
        <f ca="1">IFERROR(__xludf.DUMMYFUNCTION("IMPORTRANGE(""https://docs.google.com/spreadsheets/d/16o_4B-V7AWw_6E93bSpXj_XxVv1oVQctk-B6z1dNEWU/edit?usp=sharing"",""สงขลา!J617"")"),0)</f>
        <v>0</v>
      </c>
      <c r="CR86" s="140">
        <f ca="1">IFERROR(__xludf.DUMMYFUNCTION("IMPORTRANGE(""https://docs.google.com/spreadsheets/d/16o_4B-V7AWw_6E93bSpXj_XxVv1oVQctk-B6z1dNEWU/edit?usp=sharing"",""สงขลา!I620"")"),140)</f>
        <v>140</v>
      </c>
      <c r="CS86" s="140">
        <f ca="1">IFERROR(__xludf.DUMMYFUNCTION("IMPORTRANGE(""https://docs.google.com/spreadsheets/d/16o_4B-V7AWw_6E93bSpXj_XxVv1oVQctk-B6z1dNEWU/edit?usp=sharing"",""สงขลา!I621"")"),17)</f>
        <v>17</v>
      </c>
      <c r="CT86" s="141">
        <f ca="1">IFERROR(__xludf.DUMMYFUNCTION("IMPORTRANGE(""https://docs.google.com/spreadsheets/d/16o_4B-V7AWw_6E93bSpXj_XxVv1oVQctk-B6z1dNEWU/edit?usp=sharing"",""สงขลา!J620"")"),0)</f>
        <v>0</v>
      </c>
      <c r="CU86" s="141">
        <f t="shared" ca="1" si="42"/>
        <v>0</v>
      </c>
      <c r="CV86" s="140">
        <f ca="1">IFERROR(__xludf.DUMMYFUNCTION("IMPORTRANGE(""https://docs.google.com/spreadsheets/d/16o_4B-V7AWw_6E93bSpXj_XxVv1oVQctk-B6z1dNEWU/edit?usp=sharing"",""สงขลา!J621"")"),0)</f>
        <v>0</v>
      </c>
      <c r="CW86" s="141">
        <f t="shared" ca="1" si="22"/>
        <v>0</v>
      </c>
      <c r="CX86" s="63">
        <f ca="1">IFERROR(__xludf.DUMMYFUNCTION("IMPORTRANGE(""https://docs.google.com/spreadsheets/d/16o_4B-V7AWw_6E93bSpXj_XxVv1oVQctk-B6z1dNEWU/edit?usp=sharing"",""สงขลา!J622"")"),0)</f>
        <v>0</v>
      </c>
      <c r="CY86" s="140">
        <f ca="1">IFERROR(__xludf.DUMMYFUNCTION("IMPORTRANGE(""https://docs.google.com/spreadsheets/d/16o_4B-V7AWw_6E93bSpXj_XxVv1oVQctk-B6z1dNEWU/edit?usp=sharing"",""สงขลา!J623"")"),0)</f>
        <v>0</v>
      </c>
      <c r="CZ86" s="63">
        <f ca="1">IFERROR(__xludf.DUMMYFUNCTION("IMPORTRANGE(""https://docs.google.com/spreadsheets/d/16o_4B-V7AWw_6E93bSpXj_XxVv1oVQctk-B6z1dNEWU/edit?usp=sharing"",""สงขลา!J624"")"),0)</f>
        <v>0</v>
      </c>
      <c r="DA86" s="140">
        <f ca="1">IFERROR(__xludf.DUMMYFUNCTION("IMPORTRANGE(""https://docs.google.com/spreadsheets/d/16o_4B-V7AWw_6E93bSpXj_XxVv1oVQctk-B6z1dNEWU/edit?usp=sharing"",""สงขลา!J625"")"),0)</f>
        <v>0</v>
      </c>
      <c r="DB86" s="63">
        <f ca="1">IFERROR(__xludf.DUMMYFUNCTION("IMPORTRANGE(""https://docs.google.com/spreadsheets/d/16o_4B-V7AWw_6E93bSpXj_XxVv1oVQctk-B6z1dNEWU/edit?usp=sharing"",""สงขลา!J626"")"),0)</f>
        <v>0</v>
      </c>
      <c r="DC86" s="140">
        <f ca="1">IFERROR(__xludf.DUMMYFUNCTION("IMPORTRANGE(""https://docs.google.com/spreadsheets/d/16o_4B-V7AWw_6E93bSpXj_XxVv1oVQctk-B6z1dNEWU/edit?usp=sharing"",""สงขลา!J627"")"),0)</f>
        <v>0</v>
      </c>
    </row>
    <row r="87" spans="1:107" ht="24" customHeight="1" x14ac:dyDescent="0.3">
      <c r="A87" s="54">
        <v>13</v>
      </c>
      <c r="B87" s="55" t="s">
        <v>108</v>
      </c>
      <c r="C87" s="56">
        <f t="shared" ca="1" si="88"/>
        <v>266693</v>
      </c>
      <c r="D87" s="57">
        <f ca="1">IFERROR(__xludf.DUMMYFUNCTION("IMPORTRANGE(""https://docs.google.com/spreadsheets/d/16cywr71Fj4fA5OGRHsZh30ZG2gwJhMAQv69oVBzYHv0/edit?usp=sharing"",""สตูล!L549"")"),266693)</f>
        <v>266693</v>
      </c>
      <c r="E87" s="64">
        <f ca="1">IFERROR(__xludf.DUMMYFUNCTION("IMPORTRANGE(""https://docs.google.com/spreadsheets/d/16cywr71Fj4fA5OGRHsZh30ZG2gwJhMAQv69oVBzYHv0/edit?usp=sharing"",""สตูล!L557"")"),0)</f>
        <v>0</v>
      </c>
      <c r="F87" s="64">
        <f ca="1">IFERROR(__xludf.DUMMYFUNCTION("IMPORTRANGE(""https://docs.google.com/spreadsheets/d/16cywr71Fj4fA5OGRHsZh30ZG2gwJhMAQv69oVBzYHv0/edit?usp=sharing"",""สตูล!M549"")"),266693)</f>
        <v>266693</v>
      </c>
      <c r="G87" s="64">
        <f ca="1">IFERROR(__xludf.DUMMYFUNCTION("IMPORTRANGE(""https://docs.google.com/spreadsheets/d/16cywr71Fj4fA5OGRHsZh30ZG2gwJhMAQv69oVBzYHv0/edit?usp=sharing"",""สตูล!M557"")"),0)</f>
        <v>0</v>
      </c>
      <c r="H87" s="58">
        <f t="shared" ca="1" si="36"/>
        <v>127492</v>
      </c>
      <c r="I87" s="59">
        <f t="shared" ca="1" si="1"/>
        <v>47.80477927804629</v>
      </c>
      <c r="J87" s="60">
        <f t="shared" ca="1" si="89"/>
        <v>127492</v>
      </c>
      <c r="K87" s="61">
        <f t="shared" ca="1" si="44"/>
        <v>47.80477927804629</v>
      </c>
      <c r="L87" s="61">
        <f t="shared" ca="1" si="45"/>
        <v>47.80477927804629</v>
      </c>
      <c r="M87" s="64">
        <f ca="1">IFERROR(__xludf.DUMMYFUNCTION("IMPORTRANGE(""https://docs.google.com/spreadsheets/d/16cywr71Fj4fA5OGRHsZh30ZG2gwJhMAQv69oVBzYHv0/edit?usp=sharing"",""สตูล!N550"")"),0)</f>
        <v>0</v>
      </c>
      <c r="N87" s="64">
        <f ca="1">IFERROR(__xludf.DUMMYFUNCTION("IMPORTRANGE(""https://docs.google.com/spreadsheets/d/16cywr71Fj4fA5OGRHsZh30ZG2gwJhMAQv69oVBzYHv0/edit?usp=sharing"",""สตูล!N551"")"),0)</f>
        <v>0</v>
      </c>
      <c r="O87" s="64">
        <f ca="1">IFERROR(__xludf.DUMMYFUNCTION("IMPORTRANGE(""https://docs.google.com/spreadsheets/d/16cywr71Fj4fA5OGRHsZh30ZG2gwJhMAQv69oVBzYHv0/edit?usp=sharing"",""สตูล!N552"")"),50727)</f>
        <v>50727</v>
      </c>
      <c r="P87" s="64">
        <f ca="1">IFERROR(__xludf.DUMMYFUNCTION("IMPORTRANGE(""https://docs.google.com/spreadsheets/d/16cywr71Fj4fA5OGRHsZh30ZG2gwJhMAQv69oVBzYHv0/edit?usp=sharing"",""สตูล!N553"")"),76765)</f>
        <v>76765</v>
      </c>
      <c r="Q87" s="64">
        <f ca="1">IFERROR(__xludf.DUMMYFUNCTION("IMPORTRANGE(""https://docs.google.com/spreadsheets/d/16cywr71Fj4fA5OGRHsZh30ZG2gwJhMAQv69oVBzYHv0/edit?usp=sharing"",""สตูล!N554"")"),0)</f>
        <v>0</v>
      </c>
      <c r="R87" s="62">
        <f ca="1">IFERROR(__xludf.DUMMYFUNCTION("IMPORTRANGE(""https://docs.google.com/spreadsheets/d/16cywr71Fj4fA5OGRHsZh30ZG2gwJhMAQv69oVBzYHv0/edit?usp=sharing"",""สตูล!N557"")"),0)</f>
        <v>0</v>
      </c>
      <c r="S87" s="62">
        <f t="shared" ca="1" si="47"/>
        <v>0</v>
      </c>
      <c r="T87" s="57">
        <f ca="1">IFERROR(__xludf.DUMMYFUNCTION("IMPORTRANGE(""https://docs.google.com/spreadsheets/d/16cywr71Fj4fA5OGRHsZh30ZG2gwJhMAQv69oVBzYHv0/edit?usp=sharing"",""สตูล!I560"")"),10513)</f>
        <v>10513</v>
      </c>
      <c r="U87" s="57">
        <f ca="1">IFERROR(__xludf.DUMMYFUNCTION("IMPORTRANGE(""https://docs.google.com/spreadsheets/d/16cywr71Fj4fA5OGRHsZh30ZG2gwJhMAQv69oVBzYHv0/edit?usp=sharing"",""สตูล!I561"")"),1831)</f>
        <v>1831</v>
      </c>
      <c r="V87" s="63">
        <f ca="1">IFERROR(__xludf.DUMMYFUNCTION("IMPORTRANGE(""https://docs.google.com/spreadsheets/d/16cywr71Fj4fA5OGRHsZh30ZG2gwJhMAQv69oVBzYHv0/edit?usp=sharing"",""สตูล!J560"")"),10513)</f>
        <v>10513</v>
      </c>
      <c r="W87" s="63">
        <f t="shared" ca="1" si="37"/>
        <v>100</v>
      </c>
      <c r="X87" s="57">
        <f ca="1">IFERROR(__xludf.DUMMYFUNCTION("IMPORTRANGE(""https://docs.google.com/spreadsheets/d/16cywr71Fj4fA5OGRHsZh30ZG2gwJhMAQv69oVBzYHv0/edit?usp=sharing"",""สตูล!J561"")"),1831)</f>
        <v>1831</v>
      </c>
      <c r="Y87" s="63">
        <f t="shared" ca="1" si="7"/>
        <v>100</v>
      </c>
      <c r="Z87" s="63">
        <f ca="1">IFERROR(__xludf.DUMMYFUNCTION("IMPORTRANGE(""https://docs.google.com/spreadsheets/d/16cywr71Fj4fA5OGRHsZh30ZG2gwJhMAQv69oVBzYHv0/edit?usp=sharing"",""สตูล!J562"")"),9992)</f>
        <v>9992</v>
      </c>
      <c r="AA87" s="140">
        <f ca="1">IFERROR(__xludf.DUMMYFUNCTION("IMPORTRANGE(""https://docs.google.com/spreadsheets/d/16cywr71Fj4fA5OGRHsZh30ZG2gwJhMAQv69oVBzYHv0/edit?usp=sharing"",""สตูล!J563"")"),1746)</f>
        <v>1746</v>
      </c>
      <c r="AB87" s="63">
        <f ca="1">IFERROR(__xludf.DUMMYFUNCTION("IMPORTRANGE(""https://docs.google.com/spreadsheets/d/16cywr71Fj4fA5OGRHsZh30ZG2gwJhMAQv69oVBzYHv0/edit?usp=sharing"",""สตูล!J564"")"),317)</f>
        <v>317</v>
      </c>
      <c r="AC87" s="140">
        <f ca="1">IFERROR(__xludf.DUMMYFUNCTION("IMPORTRANGE(""https://docs.google.com/spreadsheets/d/16cywr71Fj4fA5OGRHsZh30ZG2gwJhMAQv69oVBzYHv0/edit?usp=sharing"",""สตูล!J565"")"),50)</f>
        <v>50</v>
      </c>
      <c r="AD87" s="63">
        <f ca="1">IFERROR(__xludf.DUMMYFUNCTION("IMPORTRANGE(""https://docs.google.com/spreadsheets/d/16cywr71Fj4fA5OGRHsZh30ZG2gwJhMAQv69oVBzYHv0/edit?usp=sharing"",""สตูล!J566"")"),204)</f>
        <v>204</v>
      </c>
      <c r="AE87" s="140">
        <f ca="1">IFERROR(__xludf.DUMMYFUNCTION("IMPORTRANGE(""https://docs.google.com/spreadsheets/d/16cywr71Fj4fA5OGRHsZh30ZG2gwJhMAQv69oVBzYHv0/edit?usp=sharing"",""สตูล!J567"")"),35)</f>
        <v>35</v>
      </c>
      <c r="AF87" s="57">
        <f ca="1">IFERROR(__xludf.DUMMYFUNCTION("IMPORTRANGE(""https://docs.google.com/spreadsheets/d/16cywr71Fj4fA5OGRHsZh30ZG2gwJhMAQv69oVBzYHv0/edit?usp=sharing"",""สตูล!I568"")"),10513)</f>
        <v>10513</v>
      </c>
      <c r="AG87" s="57">
        <f ca="1">IFERROR(__xludf.DUMMYFUNCTION("IMPORTRANGE(""https://docs.google.com/spreadsheets/d/16cywr71Fj4fA5OGRHsZh30ZG2gwJhMAQv69oVBzYHv0/edit?usp=sharing"",""สตูล!I569"")"),1831)</f>
        <v>1831</v>
      </c>
      <c r="AH87" s="63">
        <f ca="1">IFERROR(__xludf.DUMMYFUNCTION("IMPORTRANGE(""https://docs.google.com/spreadsheets/d/16cywr71Fj4fA5OGRHsZh30ZG2gwJhMAQv69oVBzYHv0/edit?usp=sharing"",""สตูล!J568"")"),10513)</f>
        <v>10513</v>
      </c>
      <c r="AI87" s="63">
        <f t="shared" ca="1" si="38"/>
        <v>100</v>
      </c>
      <c r="AJ87" s="57">
        <f ca="1">IFERROR(__xludf.DUMMYFUNCTION("IMPORTRANGE(""https://docs.google.com/spreadsheets/d/16cywr71Fj4fA5OGRHsZh30ZG2gwJhMAQv69oVBzYHv0/edit?usp=sharing"",""สตูล!J569"")"),1831)</f>
        <v>1831</v>
      </c>
      <c r="AK87" s="63">
        <f t="shared" ca="1" si="10"/>
        <v>100</v>
      </c>
      <c r="AL87" s="63">
        <f ca="1">IFERROR(__xludf.DUMMYFUNCTION("IMPORTRANGE(""https://docs.google.com/spreadsheets/d/16cywr71Fj4fA5OGRHsZh30ZG2gwJhMAQv69oVBzYHv0/edit?usp=sharing"",""สตูล!J570"")"),10055)</f>
        <v>10055</v>
      </c>
      <c r="AM87" s="140">
        <f ca="1">IFERROR(__xludf.DUMMYFUNCTION("IMPORTRANGE(""https://docs.google.com/spreadsheets/d/16cywr71Fj4fA5OGRHsZh30ZG2gwJhMAQv69oVBzYHv0/edit?usp=sharing"",""สตูล!J571"")"),1758)</f>
        <v>1758</v>
      </c>
      <c r="AN87" s="63">
        <f ca="1">IFERROR(__xludf.DUMMYFUNCTION("IMPORTRANGE(""https://docs.google.com/spreadsheets/d/16cywr71Fj4fA5OGRHsZh30ZG2gwJhMAQv69oVBzYHv0/edit?usp=sharing"",""สตูล!J572"")"),199)</f>
        <v>199</v>
      </c>
      <c r="AO87" s="140">
        <f ca="1">IFERROR(__xludf.DUMMYFUNCTION("IMPORTRANGE(""https://docs.google.com/spreadsheets/d/16cywr71Fj4fA5OGRHsZh30ZG2gwJhMAQv69oVBzYHv0/edit?usp=sharing"",""สตูล!J573"")"),29)</f>
        <v>29</v>
      </c>
      <c r="AP87" s="63">
        <f ca="1">IFERROR(__xludf.DUMMYFUNCTION("IMPORTRANGE(""https://docs.google.com/spreadsheets/d/16cywr71Fj4fA5OGRHsZh30ZG2gwJhMAQv69oVBzYHv0/edit?usp=sharing"",""สตูล!J574"")"),259)</f>
        <v>259</v>
      </c>
      <c r="AQ87" s="140">
        <f ca="1">IFERROR(__xludf.DUMMYFUNCTION("IMPORTRANGE(""https://docs.google.com/spreadsheets/d/16cywr71Fj4fA5OGRHsZh30ZG2gwJhMAQv69oVBzYHv0/edit?usp=sharing"",""สตูล!J575"")"),44)</f>
        <v>44</v>
      </c>
      <c r="AR87" s="57">
        <f ca="1">IFERROR(__xludf.DUMMYFUNCTION("IMPORTRANGE(""https://docs.google.com/spreadsheets/d/16cywr71Fj4fA5OGRHsZh30ZG2gwJhMAQv69oVBzYHv0/edit?usp=sharing"",""สตูล!I576"")"),10513)</f>
        <v>10513</v>
      </c>
      <c r="AS87" s="57">
        <f ca="1">IFERROR(__xludf.DUMMYFUNCTION("IMPORTRANGE(""https://docs.google.com/spreadsheets/d/16cywr71Fj4fA5OGRHsZh30ZG2gwJhMAQv69oVBzYHv0/edit?usp=sharing"",""สตูล!I577"")"),1831)</f>
        <v>1831</v>
      </c>
      <c r="AT87" s="63">
        <f ca="1">IFERROR(__xludf.DUMMYFUNCTION("IMPORTRANGE(""https://docs.google.com/spreadsheets/d/16cywr71Fj4fA5OGRHsZh30ZG2gwJhMAQv69oVBzYHv0/edit?usp=sharing"",""สตูล!J576"")"),10513)</f>
        <v>10513</v>
      </c>
      <c r="AU87" s="63">
        <f t="shared" ca="1" si="39"/>
        <v>100</v>
      </c>
      <c r="AV87" s="57">
        <f ca="1">IFERROR(__xludf.DUMMYFUNCTION("IMPORTRANGE(""https://docs.google.com/spreadsheets/d/16cywr71Fj4fA5OGRHsZh30ZG2gwJhMAQv69oVBzYHv0/edit?usp=sharing"",""สตูล!J577"")"),1831)</f>
        <v>1831</v>
      </c>
      <c r="AW87" s="63">
        <f t="shared" ca="1" si="13"/>
        <v>100</v>
      </c>
      <c r="AX87" s="63">
        <f ca="1">IFERROR(__xludf.DUMMYFUNCTION("IMPORTRANGE(""https://docs.google.com/spreadsheets/d/16cywr71Fj4fA5OGRHsZh30ZG2gwJhMAQv69oVBzYHv0/edit?usp=sharing"",""สตูล!J578"")"),10055)</f>
        <v>10055</v>
      </c>
      <c r="AY87" s="140">
        <f ca="1">IFERROR(__xludf.DUMMYFUNCTION("IMPORTRANGE(""https://docs.google.com/spreadsheets/d/16cywr71Fj4fA5OGRHsZh30ZG2gwJhMAQv69oVBzYHv0/edit?usp=sharing"",""สตูล!J579"")"),1758)</f>
        <v>1758</v>
      </c>
      <c r="AZ87" s="63">
        <f ca="1">IFERROR(__xludf.DUMMYFUNCTION("IMPORTRANGE(""https://docs.google.com/spreadsheets/d/16cywr71Fj4fA5OGRHsZh30ZG2gwJhMAQv69oVBzYHv0/edit?usp=sharing"",""สตูล!J580"")"),199)</f>
        <v>199</v>
      </c>
      <c r="BA87" s="140">
        <f ca="1">IFERROR(__xludf.DUMMYFUNCTION("IMPORTRANGE(""https://docs.google.com/spreadsheets/d/16cywr71Fj4fA5OGRHsZh30ZG2gwJhMAQv69oVBzYHv0/edit?usp=sharing"",""สตูล!J581"")"),29)</f>
        <v>29</v>
      </c>
      <c r="BB87" s="63">
        <f ca="1">IFERROR(__xludf.DUMMYFUNCTION("IMPORTRANGE(""https://docs.google.com/spreadsheets/d/16cywr71Fj4fA5OGRHsZh30ZG2gwJhMAQv69oVBzYHv0/edit?usp=sharing"",""สตูล!J582"")"),259)</f>
        <v>259</v>
      </c>
      <c r="BC87" s="140">
        <f ca="1">IFERROR(__xludf.DUMMYFUNCTION("IMPORTRANGE(""https://docs.google.com/spreadsheets/d/16cywr71Fj4fA5OGRHsZh30ZG2gwJhMAQv69oVBzYHv0/edit?usp=sharing"",""สตูล!J583"")"),44)</f>
        <v>44</v>
      </c>
      <c r="BD87" s="141">
        <f ca="1">IFERROR(__xludf.DUMMYFUNCTION("IMPORTRANGE(""https://docs.google.com/spreadsheets/d/16cywr71Fj4fA5OGRHsZh30ZG2gwJhMAQv69oVBzYHv0/edit?usp=sharing"",""สตูล!J584"")"),259)</f>
        <v>259</v>
      </c>
      <c r="BE87" s="140">
        <f ca="1">IFERROR(__xludf.DUMMYFUNCTION("IMPORTRANGE(""https://docs.google.com/spreadsheets/d/16cywr71Fj4fA5OGRHsZh30ZG2gwJhMAQv69oVBzYHv0/edit?usp=sharing"",""สตูล!J585"")"),44)</f>
        <v>44</v>
      </c>
      <c r="BF87" s="141">
        <f ca="1">IFERROR(__xludf.DUMMYFUNCTION("IMPORTRANGE(""https://docs.google.com/spreadsheets/d/16cywr71Fj4fA5OGRHsZh30ZG2gwJhMAQv69oVBzYHv0/edit?usp=sharing"",""สตูล!J586"")"),0)</f>
        <v>0</v>
      </c>
      <c r="BG87" s="140">
        <f ca="1">IFERROR(__xludf.DUMMYFUNCTION("IMPORTRANGE(""https://docs.google.com/spreadsheets/d/16cywr71Fj4fA5OGRHsZh30ZG2gwJhMAQv69oVBzYHv0/edit?usp=sharing"",""สตูล!J587"")"),0)</f>
        <v>0</v>
      </c>
      <c r="BH87" s="63">
        <f ca="1">IFERROR(__xludf.DUMMYFUNCTION("IMPORTRANGE(""https://docs.google.com/spreadsheets/d/16cywr71Fj4fA5OGRHsZh30ZG2gwJhMAQv69oVBzYHv0/edit?usp=sharing"",""สตูล!J588"")"),0)</f>
        <v>0</v>
      </c>
      <c r="BI87" s="140">
        <f ca="1">IFERROR(__xludf.DUMMYFUNCTION("IMPORTRANGE(""https://docs.google.com/spreadsheets/d/16cywr71Fj4fA5OGRHsZh30ZG2gwJhMAQv69oVBzYHv0/edit?usp=sharing"",""สตูล!J589"")"),0)</f>
        <v>0</v>
      </c>
      <c r="BJ87" s="63">
        <f ca="1">IFERROR(__xludf.DUMMYFUNCTION("IMPORTRANGE(""https://docs.google.com/spreadsheets/d/16cywr71Fj4fA5OGRHsZh30ZG2gwJhMAQv69oVBzYHv0/edit?usp=sharing"",""สตูล!J590"")"),0)</f>
        <v>0</v>
      </c>
      <c r="BK87" s="140">
        <f ca="1">IFERROR(__xludf.DUMMYFUNCTION("IMPORTRANGE(""https://docs.google.com/spreadsheets/d/16cywr71Fj4fA5OGRHsZh30ZG2gwJhMAQv69oVBzYHv0/edit?usp=sharing"",""สตูล!J591"")"),0)</f>
        <v>0</v>
      </c>
      <c r="BL87" s="57">
        <f ca="1">IFERROR(__xludf.DUMMYFUNCTION("IMPORTRANGE(""https://docs.google.com/spreadsheets/d/16cywr71Fj4fA5OGRHsZh30ZG2gwJhMAQv69oVBzYHv0/edit?usp=sharing"",""สตูล!I593"")"),414.92)</f>
        <v>414.92</v>
      </c>
      <c r="BM87" s="57">
        <f ca="1">IFERROR(__xludf.DUMMYFUNCTION("IMPORTRANGE(""https://docs.google.com/spreadsheets/d/16cywr71Fj4fA5OGRHsZh30ZG2gwJhMAQv69oVBzYHv0/edit?usp=sharing"",""สตูล!I594"")"),44)</f>
        <v>44</v>
      </c>
      <c r="BN87" s="63">
        <f ca="1">IFERROR(__xludf.DUMMYFUNCTION("IMPORTRANGE(""https://docs.google.com/spreadsheets/d/16cywr71Fj4fA5OGRHsZh30ZG2gwJhMAQv69oVBzYHv0/edit?usp=sharing"",""สตูล!J593"")"),1)</f>
        <v>1</v>
      </c>
      <c r="BO87" s="63">
        <f t="shared" ca="1" si="40"/>
        <v>0.24101031524149233</v>
      </c>
      <c r="BP87" s="57">
        <f ca="1">IFERROR(__xludf.DUMMYFUNCTION("IMPORTRANGE(""https://docs.google.com/spreadsheets/d/16cywr71Fj4fA5OGRHsZh30ZG2gwJhMAQv69oVBzYHv0/edit?usp=sharing"",""สตูล!J594"")"),5)</f>
        <v>5</v>
      </c>
      <c r="BQ87" s="63">
        <f t="shared" ca="1" si="16"/>
        <v>11.363636363636363</v>
      </c>
      <c r="BR87" s="63">
        <f ca="1">IFERROR(__xludf.DUMMYFUNCTION("IMPORTRANGE(""https://docs.google.com/spreadsheets/d/16cywr71Fj4fA5OGRHsZh30ZG2gwJhMAQv69oVBzYHv0/edit?usp=sharing"",""สตูล!J595"")"),1)</f>
        <v>1</v>
      </c>
      <c r="BS87" s="140">
        <f ca="1">IFERROR(__xludf.DUMMYFUNCTION("IMPORTRANGE(""https://docs.google.com/spreadsheets/d/16cywr71Fj4fA5OGRHsZh30ZG2gwJhMAQv69oVBzYHv0/edit?usp=sharing"",""สตูล!J596"")"),5)</f>
        <v>5</v>
      </c>
      <c r="BT87" s="63">
        <f ca="1">IFERROR(__xludf.DUMMYFUNCTION("IMPORTRANGE(""https://docs.google.com/spreadsheets/d/16cywr71Fj4fA5OGRHsZh30ZG2gwJhMAQv69oVBzYHv0/edit?usp=sharing"",""สตูล!J597"")"),1)</f>
        <v>1</v>
      </c>
      <c r="BU87" s="140">
        <f ca="1">IFERROR(__xludf.DUMMYFUNCTION("IMPORTRANGE(""https://docs.google.com/spreadsheets/d/16cywr71Fj4fA5OGRHsZh30ZG2gwJhMAQv69oVBzYHv0/edit?usp=sharing"",""สตูล!J598"")"),5)</f>
        <v>5</v>
      </c>
      <c r="BV87" s="63">
        <f ca="1">IFERROR(__xludf.DUMMYFUNCTION("IMPORTRANGE(""https://docs.google.com/spreadsheets/d/16cywr71Fj4fA5OGRHsZh30ZG2gwJhMAQv69oVBzYHv0/edit?usp=sharing"",""สตูล!J599"")"),0)</f>
        <v>0</v>
      </c>
      <c r="BW87" s="140">
        <f ca="1">IFERROR(__xludf.DUMMYFUNCTION("IMPORTRANGE(""https://docs.google.com/spreadsheets/d/16cywr71Fj4fA5OGRHsZh30ZG2gwJhMAQv69oVBzYHv0/edit?usp=sharing"",""สตูล!J600"")"),0)</f>
        <v>0</v>
      </c>
      <c r="BX87" s="141">
        <f ca="1">IFERROR(__xludf.DUMMYFUNCTION("IMPORTRANGE(""https://docs.google.com/spreadsheets/d/16cywr71Fj4fA5OGRHsZh30ZG2gwJhMAQv69oVBzYHv0/edit?usp=sharing"",""สตูล!J601"")"),0)</f>
        <v>0</v>
      </c>
      <c r="BY87" s="140">
        <f ca="1">IFERROR(__xludf.DUMMYFUNCTION("IMPORTRANGE(""https://docs.google.com/spreadsheets/d/16cywr71Fj4fA5OGRHsZh30ZG2gwJhMAQv69oVBzYHv0/edit?usp=sharing"",""สตูล!J602"")"),0)</f>
        <v>0</v>
      </c>
      <c r="BZ87" s="63">
        <f ca="1">IFERROR(__xludf.DUMMYFUNCTION("IMPORTRANGE(""https://docs.google.com/spreadsheets/d/16cywr71Fj4fA5OGRHsZh30ZG2gwJhMAQv69oVBzYHv0/edit?usp=sharing"",""สตูล!J603"")"),0)</f>
        <v>0</v>
      </c>
      <c r="CA87" s="140">
        <f ca="1">IFERROR(__xludf.DUMMYFUNCTION("IMPORTRANGE(""https://docs.google.com/spreadsheets/d/16cywr71Fj4fA5OGRHsZh30ZG2gwJhMAQv69oVBzYHv0/edit?usp=sharing"",""สตูล!J604"")"),0)</f>
        <v>0</v>
      </c>
      <c r="CB87" s="63">
        <f ca="1">IFERROR(__xludf.DUMMYFUNCTION("IMPORTRANGE(""https://docs.google.com/spreadsheets/d/16cywr71Fj4fA5OGRHsZh30ZG2gwJhMAQv69oVBzYHv0/edit?usp=sharing"",""สตูล!J605"")"),0)</f>
        <v>0</v>
      </c>
      <c r="CC87" s="140">
        <f ca="1">IFERROR(__xludf.DUMMYFUNCTION("IMPORTRANGE(""https://docs.google.com/spreadsheets/d/16cywr71Fj4fA5OGRHsZh30ZG2gwJhMAQv69oVBzYHv0/edit?usp=sharing"",""สตูล!J606"")"),0)</f>
        <v>0</v>
      </c>
      <c r="CD87" s="63">
        <f ca="1">IFERROR(__xludf.DUMMYFUNCTION("IMPORTRANGE(""https://docs.google.com/spreadsheets/d/16cywr71Fj4fA5OGRHsZh30ZG2gwJhMAQv69oVBzYHv0/edit?usp=sharing"",""สตูล!J607"")"),0)</f>
        <v>0</v>
      </c>
      <c r="CE87" s="140">
        <f ca="1">IFERROR(__xludf.DUMMYFUNCTION("IMPORTRANGE(""https://docs.google.com/spreadsheets/d/16cywr71Fj4fA5OGRHsZh30ZG2gwJhMAQv69oVBzYHv0/edit?usp=sharing"",""สตูล!J608"")"),0)</f>
        <v>0</v>
      </c>
      <c r="CF87" s="63">
        <f ca="1">IFERROR(__xludf.DUMMYFUNCTION("IMPORTRANGE(""https://docs.google.com/spreadsheets/d/16cywr71Fj4fA5OGRHsZh30ZG2gwJhMAQv69oVBzYHv0/edit?usp=sharing"",""สตูล!J609"")"),0)</f>
        <v>0</v>
      </c>
      <c r="CG87" s="140">
        <f ca="1">IFERROR(__xludf.DUMMYFUNCTION("IMPORTRANGE(""https://docs.google.com/spreadsheets/d/16cywr71Fj4fA5OGRHsZh30ZG2gwJhMAQv69oVBzYHv0/edit?usp=sharing"",""สตูล!J610"")"),0)</f>
        <v>0</v>
      </c>
      <c r="CH87" s="140">
        <f ca="1">IFERROR(__xludf.DUMMYFUNCTION("IMPORTRANGE(""https://docs.google.com/spreadsheets/d/16cywr71Fj4fA5OGRHsZh30ZG2gwJhMAQv69oVBzYHv0/edit?usp=sharing"",""สตูล!I612"")"),0)</f>
        <v>0</v>
      </c>
      <c r="CI87" s="140">
        <f ca="1">IFERROR(__xludf.DUMMYFUNCTION("IMPORTRANGE(""https://docs.google.com/spreadsheets/d/16cywr71Fj4fA5OGRHsZh30ZG2gwJhMAQv69oVBzYHv0/edit?usp=sharing"",""สตูล!I594"")"),44)</f>
        <v>44</v>
      </c>
      <c r="CJ87" s="141">
        <f ca="1">IFERROR(__xludf.DUMMYFUNCTION("IMPORTRANGE(""https://docs.google.com/spreadsheets/d/16cywr71Fj4fA5OGRHsZh30ZG2gwJhMAQv69oVBzYHv0/edit?usp=sharing"",""สตูล!J612"")"),0)</f>
        <v>0</v>
      </c>
      <c r="CK87" s="141">
        <f t="shared" ca="1" si="41"/>
        <v>0</v>
      </c>
      <c r="CL87" s="140">
        <f ca="1">IFERROR(__xludf.DUMMYFUNCTION("IMPORTRANGE(""https://docs.google.com/spreadsheets/d/16cywr71Fj4fA5OGRHsZh30ZG2gwJhMAQv69oVBzYHv0/edit?usp=sharing"",""สตูล!J613"")"),0)</f>
        <v>0</v>
      </c>
      <c r="CM87" s="141">
        <f t="shared" ca="1" si="19"/>
        <v>0</v>
      </c>
      <c r="CN87" s="63">
        <f ca="1">IFERROR(__xludf.DUMMYFUNCTION("IMPORTRANGE(""https://docs.google.com/spreadsheets/d/16cywr71Fj4fA5OGRHsZh30ZG2gwJhMAQv69oVBzYHv0/edit?usp=sharing"",""สตูล!J614"")"),0)</f>
        <v>0</v>
      </c>
      <c r="CO87" s="140">
        <f ca="1">IFERROR(__xludf.DUMMYFUNCTION("IMPORTRANGE(""https://docs.google.com/spreadsheets/d/16cywr71Fj4fA5OGRHsZh30ZG2gwJhMAQv69oVBzYHv0/edit?usp=sharing"",""สตูล!J615"")"),0)</f>
        <v>0</v>
      </c>
      <c r="CP87" s="63">
        <f ca="1">IFERROR(__xludf.DUMMYFUNCTION("IMPORTRANGE(""https://docs.google.com/spreadsheets/d/16cywr71Fj4fA5OGRHsZh30ZG2gwJhMAQv69oVBzYHv0/edit?usp=sharing"",""สตูล!J616"")"),0)</f>
        <v>0</v>
      </c>
      <c r="CQ87" s="140">
        <f ca="1">IFERROR(__xludf.DUMMYFUNCTION("IMPORTRANGE(""https://docs.google.com/spreadsheets/d/16cywr71Fj4fA5OGRHsZh30ZG2gwJhMAQv69oVBzYHv0/edit?usp=sharing"",""สตูล!J617"")"),0)</f>
        <v>0</v>
      </c>
      <c r="CR87" s="140">
        <f ca="1">IFERROR(__xludf.DUMMYFUNCTION("IMPORTRANGE(""https://docs.google.com/spreadsheets/d/16cywr71Fj4fA5OGRHsZh30ZG2gwJhMAQv69oVBzYHv0/edit?usp=sharing"",""สตูล!I620"")"),0)</f>
        <v>0</v>
      </c>
      <c r="CS87" s="140">
        <f ca="1">IFERROR(__xludf.DUMMYFUNCTION("IMPORTRANGE(""https://docs.google.com/spreadsheets/d/16cywr71Fj4fA5OGRHsZh30ZG2gwJhMAQv69oVBzYHv0/edit?usp=sharing"",""สตูล!I621"")"),0)</f>
        <v>0</v>
      </c>
      <c r="CT87" s="141">
        <f ca="1">IFERROR(__xludf.DUMMYFUNCTION("IMPORTRANGE(""https://docs.google.com/spreadsheets/d/16cywr71Fj4fA5OGRHsZh30ZG2gwJhMAQv69oVBzYHv0/edit?usp=sharing"",""สตูล!J620"")"),0)</f>
        <v>0</v>
      </c>
      <c r="CU87" s="141">
        <f t="shared" ca="1" si="42"/>
        <v>0</v>
      </c>
      <c r="CV87" s="140">
        <f ca="1">IFERROR(__xludf.DUMMYFUNCTION("IMPORTRANGE(""https://docs.google.com/spreadsheets/d/16cywr71Fj4fA5OGRHsZh30ZG2gwJhMAQv69oVBzYHv0/edit?usp=sharing"",""สตูล!J621"")"),0)</f>
        <v>0</v>
      </c>
      <c r="CW87" s="141">
        <f t="shared" ca="1" si="22"/>
        <v>0</v>
      </c>
      <c r="CX87" s="63">
        <f ca="1">IFERROR(__xludf.DUMMYFUNCTION("IMPORTRANGE(""https://docs.google.com/spreadsheets/d/16cywr71Fj4fA5OGRHsZh30ZG2gwJhMAQv69oVBzYHv0/edit?usp=sharing"",""สตูล!J622"")"),0)</f>
        <v>0</v>
      </c>
      <c r="CY87" s="140">
        <f ca="1">IFERROR(__xludf.DUMMYFUNCTION("IMPORTRANGE(""https://docs.google.com/spreadsheets/d/16cywr71Fj4fA5OGRHsZh30ZG2gwJhMAQv69oVBzYHv0/edit?usp=sharing"",""สตูล!J623"")"),0)</f>
        <v>0</v>
      </c>
      <c r="CZ87" s="63">
        <f ca="1">IFERROR(__xludf.DUMMYFUNCTION("IMPORTRANGE(""https://docs.google.com/spreadsheets/d/16cywr71Fj4fA5OGRHsZh30ZG2gwJhMAQv69oVBzYHv0/edit?usp=sharing"",""สตูล!J624"")"),0)</f>
        <v>0</v>
      </c>
      <c r="DA87" s="140">
        <f ca="1">IFERROR(__xludf.DUMMYFUNCTION("IMPORTRANGE(""https://docs.google.com/spreadsheets/d/16cywr71Fj4fA5OGRHsZh30ZG2gwJhMAQv69oVBzYHv0/edit?usp=sharing"",""สตูล!J625"")"),0)</f>
        <v>0</v>
      </c>
      <c r="DB87" s="63">
        <f ca="1">IFERROR(__xludf.DUMMYFUNCTION("IMPORTRANGE(""https://docs.google.com/spreadsheets/d/16cywr71Fj4fA5OGRHsZh30ZG2gwJhMAQv69oVBzYHv0/edit?usp=sharing"",""สตูล!J626"")"),0)</f>
        <v>0</v>
      </c>
      <c r="DC87" s="140">
        <f ca="1">IFERROR(__xludf.DUMMYFUNCTION("IMPORTRANGE(""https://docs.google.com/spreadsheets/d/16cywr71Fj4fA5OGRHsZh30ZG2gwJhMAQv69oVBzYHv0/edit?usp=sharing"",""สตูล!J627"")"),0)</f>
        <v>0</v>
      </c>
    </row>
    <row r="88" spans="1:107" ht="24" customHeight="1" x14ac:dyDescent="0.3">
      <c r="A88" s="65">
        <v>14</v>
      </c>
      <c r="B88" s="66" t="s">
        <v>109</v>
      </c>
      <c r="C88" s="67">
        <f t="shared" ca="1" si="88"/>
        <v>780665</v>
      </c>
      <c r="D88" s="68">
        <f ca="1">IFERROR(__xludf.DUMMYFUNCTION("IMPORTRANGE(""https://docs.google.com/spreadsheets/d/1vO9Sws6kMtrVtyvrAJptINXjK8TFBoX9xLYOVK_C8bQ/edit?usp=sharing"",""สุราษฎร์ธานี!L549"")"),780665)</f>
        <v>780665</v>
      </c>
      <c r="E88" s="69">
        <f ca="1">IFERROR(__xludf.DUMMYFUNCTION("IMPORTRANGE(""https://docs.google.com/spreadsheets/d/1vO9Sws6kMtrVtyvrAJptINXjK8TFBoX9xLYOVK_C8bQ/edit?usp=sharing"",""สุราษฎร์ธานี!L557"")"),0)</f>
        <v>0</v>
      </c>
      <c r="F88" s="69">
        <f ca="1">IFERROR(__xludf.DUMMYFUNCTION("IMPORTRANGE(""https://docs.google.com/spreadsheets/d/1vO9Sws6kMtrVtyvrAJptINXjK8TFBoX9xLYOVK_C8bQ/edit?usp=sharing"",""สุราษฎร์ธานี!M549"")"),780665)</f>
        <v>780665</v>
      </c>
      <c r="G88" s="69">
        <f ca="1">IFERROR(__xludf.DUMMYFUNCTION("IMPORTRANGE(""https://docs.google.com/spreadsheets/d/1vO9Sws6kMtrVtyvrAJptINXjK8TFBoX9xLYOVK_C8bQ/edit?usp=sharing"",""สุราษฎร์ธานี!M557"")"),0)</f>
        <v>0</v>
      </c>
      <c r="H88" s="70">
        <f t="shared" ca="1" si="36"/>
        <v>653231.38</v>
      </c>
      <c r="I88" s="71">
        <f t="shared" ca="1" si="1"/>
        <v>83.676273433547038</v>
      </c>
      <c r="J88" s="72">
        <f t="shared" ca="1" si="89"/>
        <v>653231.38</v>
      </c>
      <c r="K88" s="73">
        <f t="shared" ca="1" si="44"/>
        <v>83.676273433547038</v>
      </c>
      <c r="L88" s="73">
        <f t="shared" ca="1" si="45"/>
        <v>83.676273433547038</v>
      </c>
      <c r="M88" s="69">
        <f ca="1">IFERROR(__xludf.DUMMYFUNCTION("IMPORTRANGE(""https://docs.google.com/spreadsheets/d/1vO9Sws6kMtrVtyvrAJptINXjK8TFBoX9xLYOVK_C8bQ/edit?usp=sharing"",""สุราษฎร์ธานี!N550"")"),0)</f>
        <v>0</v>
      </c>
      <c r="N88" s="69">
        <f ca="1">IFERROR(__xludf.DUMMYFUNCTION("IMPORTRANGE(""https://docs.google.com/spreadsheets/d/1vO9Sws6kMtrVtyvrAJptINXjK8TFBoX9xLYOVK_C8bQ/edit?usp=sharing"",""สุราษฎร์ธานี!N551"")"),0)</f>
        <v>0</v>
      </c>
      <c r="O88" s="69">
        <f ca="1">IFERROR(__xludf.DUMMYFUNCTION("IMPORTRANGE(""https://docs.google.com/spreadsheets/d/1vO9Sws6kMtrVtyvrAJptINXjK8TFBoX9xLYOVK_C8bQ/edit?usp=sharing"",""สุราษฎร์ธานี!N552"")"),63266.68)</f>
        <v>63266.68</v>
      </c>
      <c r="P88" s="69">
        <f ca="1">IFERROR(__xludf.DUMMYFUNCTION("IMPORTRANGE(""https://docs.google.com/spreadsheets/d/1vO9Sws6kMtrVtyvrAJptINXjK8TFBoX9xLYOVK_C8bQ/edit?usp=sharing"",""สุราษฎร์ธานี!N553"")"),369964.7)</f>
        <v>369964.7</v>
      </c>
      <c r="Q88" s="69">
        <f ca="1">IFERROR(__xludf.DUMMYFUNCTION("IMPORTRANGE(""https://docs.google.com/spreadsheets/d/1vO9Sws6kMtrVtyvrAJptINXjK8TFBoX9xLYOVK_C8bQ/edit?usp=sharing"",""สุราษฎร์ธานี!N554"")"),220000)</f>
        <v>220000</v>
      </c>
      <c r="R88" s="74">
        <f ca="1">IFERROR(__xludf.DUMMYFUNCTION("IMPORTRANGE(""https://docs.google.com/spreadsheets/d/1vO9Sws6kMtrVtyvrAJptINXjK8TFBoX9xLYOVK_C8bQ/edit?usp=sharing"",""สุราษฎร์ธานี!N557"")"),0)</f>
        <v>0</v>
      </c>
      <c r="S88" s="74">
        <f t="shared" ca="1" si="47"/>
        <v>0</v>
      </c>
      <c r="T88" s="68">
        <f ca="1">IFERROR(__xludf.DUMMYFUNCTION("IMPORTRANGE(""https://docs.google.com/spreadsheets/d/1vO9Sws6kMtrVtyvrAJptINXjK8TFBoX9xLYOVK_C8bQ/edit?usp=sharing"",""สุราษฎร์ธานี!I560"")"),89214)</f>
        <v>89214</v>
      </c>
      <c r="U88" s="68">
        <f ca="1">IFERROR(__xludf.DUMMYFUNCTION("IMPORTRANGE(""https://docs.google.com/spreadsheets/d/1vO9Sws6kMtrVtyvrAJptINXjK8TFBoX9xLYOVK_C8bQ/edit?usp=sharing"",""สุราษฎร์ธานี!I561"")"),7593)</f>
        <v>7593</v>
      </c>
      <c r="V88" s="75">
        <f ca="1">IFERROR(__xludf.DUMMYFUNCTION("IMPORTRANGE(""https://docs.google.com/spreadsheets/d/1vO9Sws6kMtrVtyvrAJptINXjK8TFBoX9xLYOVK_C8bQ/edit?usp=sharing"",""สุราษฎร์ธานี!J560"")"),89216)</f>
        <v>89216</v>
      </c>
      <c r="W88" s="75">
        <f t="shared" ca="1" si="37"/>
        <v>100.00224180061426</v>
      </c>
      <c r="X88" s="68">
        <f ca="1">IFERROR(__xludf.DUMMYFUNCTION("IMPORTRANGE(""https://docs.google.com/spreadsheets/d/1vO9Sws6kMtrVtyvrAJptINXjK8TFBoX9xLYOVK_C8bQ/edit?usp=sharing"",""สุราษฎร์ธานี!J561"")"),7593)</f>
        <v>7593</v>
      </c>
      <c r="Y88" s="75">
        <f t="shared" ca="1" si="7"/>
        <v>100</v>
      </c>
      <c r="Z88" s="75">
        <f ca="1">IFERROR(__xludf.DUMMYFUNCTION("IMPORTRANGE(""https://docs.google.com/spreadsheets/d/1vO9Sws6kMtrVtyvrAJptINXjK8TFBoX9xLYOVK_C8bQ/edit?usp=sharing"",""สุราษฎร์ธานี!J562"")"),79903)</f>
        <v>79903</v>
      </c>
      <c r="AA88" s="142">
        <f ca="1">IFERROR(__xludf.DUMMYFUNCTION("IMPORTRANGE(""https://docs.google.com/spreadsheets/d/1vO9Sws6kMtrVtyvrAJptINXjK8TFBoX9xLYOVK_C8bQ/edit?usp=sharing"",""สุราษฎร์ธานี!J563"")"),6728)</f>
        <v>6728</v>
      </c>
      <c r="AB88" s="75">
        <f ca="1">IFERROR(__xludf.DUMMYFUNCTION("IMPORTRANGE(""https://docs.google.com/spreadsheets/d/1vO9Sws6kMtrVtyvrAJptINXjK8TFBoX9xLYOVK_C8bQ/edit?usp=sharing"",""สุราษฎร์ธานี!J564"")"),8439)</f>
        <v>8439</v>
      </c>
      <c r="AC88" s="142">
        <f ca="1">IFERROR(__xludf.DUMMYFUNCTION("IMPORTRANGE(""https://docs.google.com/spreadsheets/d/1vO9Sws6kMtrVtyvrAJptINXjK8TFBoX9xLYOVK_C8bQ/edit?usp=sharing"",""สุราษฎร์ธานี!J565"")"),781)</f>
        <v>781</v>
      </c>
      <c r="AD88" s="75">
        <f ca="1">IFERROR(__xludf.DUMMYFUNCTION("IMPORTRANGE(""https://docs.google.com/spreadsheets/d/1vO9Sws6kMtrVtyvrAJptINXjK8TFBoX9xLYOVK_C8bQ/edit?usp=sharing"",""สุราษฎร์ธานี!J566"")"),874)</f>
        <v>874</v>
      </c>
      <c r="AE88" s="142">
        <f ca="1">IFERROR(__xludf.DUMMYFUNCTION("IMPORTRANGE(""https://docs.google.com/spreadsheets/d/1vO9Sws6kMtrVtyvrAJptINXjK8TFBoX9xLYOVK_C8bQ/edit?usp=sharing"",""สุราษฎร์ธานี!J567"")"),84)</f>
        <v>84</v>
      </c>
      <c r="AF88" s="68">
        <f ca="1">IFERROR(__xludf.DUMMYFUNCTION("IMPORTRANGE(""https://docs.google.com/spreadsheets/d/1vO9Sws6kMtrVtyvrAJptINXjK8TFBoX9xLYOVK_C8bQ/edit?usp=sharing"",""สุราษฎร์ธานี!I568"")"),89214)</f>
        <v>89214</v>
      </c>
      <c r="AG88" s="68">
        <f ca="1">IFERROR(__xludf.DUMMYFUNCTION("IMPORTRANGE(""https://docs.google.com/spreadsheets/d/1vO9Sws6kMtrVtyvrAJptINXjK8TFBoX9xLYOVK_C8bQ/edit?usp=sharing"",""สุราษฎร์ธานี!I569"")"),7593)</f>
        <v>7593</v>
      </c>
      <c r="AH88" s="75">
        <f ca="1">IFERROR(__xludf.DUMMYFUNCTION("IMPORTRANGE(""https://docs.google.com/spreadsheets/d/1vO9Sws6kMtrVtyvrAJptINXjK8TFBoX9xLYOVK_C8bQ/edit?usp=sharing"",""สุราษฎร์ธานี!J568"")"),89214)</f>
        <v>89214</v>
      </c>
      <c r="AI88" s="75">
        <f t="shared" ca="1" si="38"/>
        <v>100</v>
      </c>
      <c r="AJ88" s="68">
        <f ca="1">IFERROR(__xludf.DUMMYFUNCTION("IMPORTRANGE(""https://docs.google.com/spreadsheets/d/1vO9Sws6kMtrVtyvrAJptINXjK8TFBoX9xLYOVK_C8bQ/edit?usp=sharing"",""สุราษฎร์ธานี!J569"")"),7593)</f>
        <v>7593</v>
      </c>
      <c r="AK88" s="75">
        <f t="shared" ca="1" si="10"/>
        <v>100</v>
      </c>
      <c r="AL88" s="75">
        <f ca="1">IFERROR(__xludf.DUMMYFUNCTION("IMPORTRANGE(""https://docs.google.com/spreadsheets/d/1vO9Sws6kMtrVtyvrAJptINXjK8TFBoX9xLYOVK_C8bQ/edit?usp=sharing"",""สุราษฎร์ธานี!J570"")"),87382)</f>
        <v>87382</v>
      </c>
      <c r="AM88" s="142">
        <f ca="1">IFERROR(__xludf.DUMMYFUNCTION("IMPORTRANGE(""https://docs.google.com/spreadsheets/d/1vO9Sws6kMtrVtyvrAJptINXjK8TFBoX9xLYOVK_C8bQ/edit?usp=sharing"",""สุราษฎร์ธานี!J571"")"),7379)</f>
        <v>7379</v>
      </c>
      <c r="AN88" s="75">
        <f ca="1">IFERROR(__xludf.DUMMYFUNCTION("IMPORTRANGE(""https://docs.google.com/spreadsheets/d/1vO9Sws6kMtrVtyvrAJptINXjK8TFBoX9xLYOVK_C8bQ/edit?usp=sharing"",""สุราษฎร์ธานี!J572"")"),838)</f>
        <v>838</v>
      </c>
      <c r="AO88" s="142">
        <f ca="1">IFERROR(__xludf.DUMMYFUNCTION("IMPORTRANGE(""https://docs.google.com/spreadsheets/d/1vO9Sws6kMtrVtyvrAJptINXjK8TFBoX9xLYOVK_C8bQ/edit?usp=sharing"",""สุราษฎร์ธานี!J573"")"),116)</f>
        <v>116</v>
      </c>
      <c r="AP88" s="75">
        <f ca="1">IFERROR(__xludf.DUMMYFUNCTION("IMPORTRANGE(""https://docs.google.com/spreadsheets/d/1vO9Sws6kMtrVtyvrAJptINXjK8TFBoX9xLYOVK_C8bQ/edit?usp=sharing"",""สุราษฎร์ธานี!J574"")"),994)</f>
        <v>994</v>
      </c>
      <c r="AQ88" s="142">
        <f ca="1">IFERROR(__xludf.DUMMYFUNCTION("IMPORTRANGE(""https://docs.google.com/spreadsheets/d/1vO9Sws6kMtrVtyvrAJptINXjK8TFBoX9xLYOVK_C8bQ/edit?usp=sharing"",""สุราษฎร์ธานี!J575"")"),98)</f>
        <v>98</v>
      </c>
      <c r="AR88" s="68">
        <f ca="1">IFERROR(__xludf.DUMMYFUNCTION("IMPORTRANGE(""https://docs.google.com/spreadsheets/d/1vO9Sws6kMtrVtyvrAJptINXjK8TFBoX9xLYOVK_C8bQ/edit?usp=sharing"",""สุราษฎร์ธานี!I576"")"),89214)</f>
        <v>89214</v>
      </c>
      <c r="AS88" s="68">
        <f ca="1">IFERROR(__xludf.DUMMYFUNCTION("IMPORTRANGE(""https://docs.google.com/spreadsheets/d/1vO9Sws6kMtrVtyvrAJptINXjK8TFBoX9xLYOVK_C8bQ/edit?usp=sharing"",""สุราษฎร์ธานี!I577"")"),7593)</f>
        <v>7593</v>
      </c>
      <c r="AT88" s="75">
        <f ca="1">IFERROR(__xludf.DUMMYFUNCTION("IMPORTRANGE(""https://docs.google.com/spreadsheets/d/1vO9Sws6kMtrVtyvrAJptINXjK8TFBoX9xLYOVK_C8bQ/edit?usp=sharing"",""สุราษฎร์ธานี!J576"")"),89216)</f>
        <v>89216</v>
      </c>
      <c r="AU88" s="75">
        <f t="shared" ca="1" si="39"/>
        <v>100.00224180061426</v>
      </c>
      <c r="AV88" s="68">
        <f ca="1">IFERROR(__xludf.DUMMYFUNCTION("IMPORTRANGE(""https://docs.google.com/spreadsheets/d/1vO9Sws6kMtrVtyvrAJptINXjK8TFBoX9xLYOVK_C8bQ/edit?usp=sharing"",""สุราษฎร์ธานี!J577"")"),7593)</f>
        <v>7593</v>
      </c>
      <c r="AW88" s="75">
        <f t="shared" ca="1" si="13"/>
        <v>100</v>
      </c>
      <c r="AX88" s="75">
        <f ca="1">IFERROR(__xludf.DUMMYFUNCTION("IMPORTRANGE(""https://docs.google.com/spreadsheets/d/1vO9Sws6kMtrVtyvrAJptINXjK8TFBoX9xLYOVK_C8bQ/edit?usp=sharing"",""สุราษฎร์ธานี!J578"")"),80108)</f>
        <v>80108</v>
      </c>
      <c r="AY88" s="142">
        <f ca="1">IFERROR(__xludf.DUMMYFUNCTION("IMPORTRANGE(""https://docs.google.com/spreadsheets/d/1vO9Sws6kMtrVtyvrAJptINXjK8TFBoX9xLYOVK_C8bQ/edit?usp=sharing"",""สุราษฎร์ธานี!J579"")"),6750)</f>
        <v>6750</v>
      </c>
      <c r="AZ88" s="75">
        <f ca="1">IFERROR(__xludf.DUMMYFUNCTION("IMPORTRANGE(""https://docs.google.com/spreadsheets/d/1vO9Sws6kMtrVtyvrAJptINXjK8TFBoX9xLYOVK_C8bQ/edit?usp=sharing"",""สุราษฎร์ธานี!J580"")"),8114)</f>
        <v>8114</v>
      </c>
      <c r="BA88" s="142">
        <f ca="1">IFERROR(__xludf.DUMMYFUNCTION("IMPORTRANGE(""https://docs.google.com/spreadsheets/d/1vO9Sws6kMtrVtyvrAJptINXjK8TFBoX9xLYOVK_C8bQ/edit?usp=sharing"",""สุราษฎร์ธานี!J581"")"),745)</f>
        <v>745</v>
      </c>
      <c r="BB88" s="75">
        <f ca="1">IFERROR(__xludf.DUMMYFUNCTION("IMPORTRANGE(""https://docs.google.com/spreadsheets/d/1vO9Sws6kMtrVtyvrAJptINXjK8TFBoX9xLYOVK_C8bQ/edit?usp=sharing"",""สุราษฎร์ธานี!J582"")"),994)</f>
        <v>994</v>
      </c>
      <c r="BC88" s="142">
        <f ca="1">IFERROR(__xludf.DUMMYFUNCTION("IMPORTRANGE(""https://docs.google.com/spreadsheets/d/1vO9Sws6kMtrVtyvrAJptINXjK8TFBoX9xLYOVK_C8bQ/edit?usp=sharing"",""สุราษฎร์ธานี!J583"")"),98)</f>
        <v>98</v>
      </c>
      <c r="BD88" s="143">
        <f ca="1">IFERROR(__xludf.DUMMYFUNCTION("IMPORTRANGE(""https://docs.google.com/spreadsheets/d/1vO9Sws6kMtrVtyvrAJptINXjK8TFBoX9xLYOVK_C8bQ/edit?usp=sharing"",""สุราษฎร์ธานี!J584"")"),994)</f>
        <v>994</v>
      </c>
      <c r="BE88" s="142">
        <f ca="1">IFERROR(__xludf.DUMMYFUNCTION("IMPORTRANGE(""https://docs.google.com/spreadsheets/d/1vO9Sws6kMtrVtyvrAJptINXjK8TFBoX9xLYOVK_C8bQ/edit?usp=sharing"",""สุราษฎร์ธานี!J585"")"),98)</f>
        <v>98</v>
      </c>
      <c r="BF88" s="143">
        <f ca="1">IFERROR(__xludf.DUMMYFUNCTION("IMPORTRANGE(""https://docs.google.com/spreadsheets/d/1vO9Sws6kMtrVtyvrAJptINXjK8TFBoX9xLYOVK_C8bQ/edit?usp=sharing"",""สุราษฎร์ธานี!J586"")"),0)</f>
        <v>0</v>
      </c>
      <c r="BG88" s="142">
        <f ca="1">IFERROR(__xludf.DUMMYFUNCTION("IMPORTRANGE(""https://docs.google.com/spreadsheets/d/1vO9Sws6kMtrVtyvrAJptINXjK8TFBoX9xLYOVK_C8bQ/edit?usp=sharing"",""สุราษฎร์ธานี!J587"")"),0)</f>
        <v>0</v>
      </c>
      <c r="BH88" s="75">
        <f ca="1">IFERROR(__xludf.DUMMYFUNCTION("IMPORTRANGE(""https://docs.google.com/spreadsheets/d/1vO9Sws6kMtrVtyvrAJptINXjK8TFBoX9xLYOVK_C8bQ/edit?usp=sharing"",""สุราษฎร์ธานี!J588"")"),0)</f>
        <v>0</v>
      </c>
      <c r="BI88" s="142">
        <f ca="1">IFERROR(__xludf.DUMMYFUNCTION("IMPORTRANGE(""https://docs.google.com/spreadsheets/d/1vO9Sws6kMtrVtyvrAJptINXjK8TFBoX9xLYOVK_C8bQ/edit?usp=sharing"",""สุราษฎร์ธานี!J589"")"),0)</f>
        <v>0</v>
      </c>
      <c r="BJ88" s="75">
        <f ca="1">IFERROR(__xludf.DUMMYFUNCTION("IMPORTRANGE(""https://docs.google.com/spreadsheets/d/1vO9Sws6kMtrVtyvrAJptINXjK8TFBoX9xLYOVK_C8bQ/edit?usp=sharing"",""สุราษฎร์ธานี!J590"")"),0)</f>
        <v>0</v>
      </c>
      <c r="BK88" s="142">
        <f ca="1">IFERROR(__xludf.DUMMYFUNCTION("IMPORTRANGE(""https://docs.google.com/spreadsheets/d/1vO9Sws6kMtrVtyvrAJptINXjK8TFBoX9xLYOVK_C8bQ/edit?usp=sharing"",""สุราษฎร์ธานี!J591"")"),0)</f>
        <v>0</v>
      </c>
      <c r="BL88" s="68">
        <f ca="1">IFERROR(__xludf.DUMMYFUNCTION("IMPORTRANGE(""https://docs.google.com/spreadsheets/d/1vO9Sws6kMtrVtyvrAJptINXjK8TFBoX9xLYOVK_C8bQ/edit?usp=sharing"",""สุราษฎร์ธานี!I593"")"),15712.62)</f>
        <v>15712.62</v>
      </c>
      <c r="BM88" s="68">
        <f ca="1">IFERROR(__xludf.DUMMYFUNCTION("IMPORTRANGE(""https://docs.google.com/spreadsheets/d/1vO9Sws6kMtrVtyvrAJptINXjK8TFBoX9xLYOVK_C8bQ/edit?usp=sharing"",""สุราษฎร์ธานี!I594"")"),1172)</f>
        <v>1172</v>
      </c>
      <c r="BN88" s="75">
        <f ca="1">IFERROR(__xludf.DUMMYFUNCTION("IMPORTRANGE(""https://docs.google.com/spreadsheets/d/1vO9Sws6kMtrVtyvrAJptINXjK8TFBoX9xLYOVK_C8bQ/edit?usp=sharing"",""สุราษฎร์ธานี!J593"")"),0)</f>
        <v>0</v>
      </c>
      <c r="BO88" s="75">
        <f t="shared" ca="1" si="40"/>
        <v>0</v>
      </c>
      <c r="BP88" s="68">
        <f ca="1">IFERROR(__xludf.DUMMYFUNCTION("IMPORTRANGE(""https://docs.google.com/spreadsheets/d/1vO9Sws6kMtrVtyvrAJptINXjK8TFBoX9xLYOVK_C8bQ/edit?usp=sharing"",""สุราษฎร์ธานี!J594"")"),0)</f>
        <v>0</v>
      </c>
      <c r="BQ88" s="75">
        <f t="shared" ca="1" si="16"/>
        <v>0</v>
      </c>
      <c r="BR88" s="75">
        <f ca="1">IFERROR(__xludf.DUMMYFUNCTION("IMPORTRANGE(""https://docs.google.com/spreadsheets/d/1vO9Sws6kMtrVtyvrAJptINXjK8TFBoX9xLYOVK_C8bQ/edit?usp=sharing"",""สุราษฎร์ธานี!J595"")"),0)</f>
        <v>0</v>
      </c>
      <c r="BS88" s="142">
        <f ca="1">IFERROR(__xludf.DUMMYFUNCTION("IMPORTRANGE(""https://docs.google.com/spreadsheets/d/1vO9Sws6kMtrVtyvrAJptINXjK8TFBoX9xLYOVK_C8bQ/edit?usp=sharing"",""สุราษฎร์ธานี!J596"")"),0)</f>
        <v>0</v>
      </c>
      <c r="BT88" s="75">
        <f ca="1">IFERROR(__xludf.DUMMYFUNCTION("IMPORTRANGE(""https://docs.google.com/spreadsheets/d/1vO9Sws6kMtrVtyvrAJptINXjK8TFBoX9xLYOVK_C8bQ/edit?usp=sharing"",""สุราษฎร์ธานี!J597"")"),0)</f>
        <v>0</v>
      </c>
      <c r="BU88" s="142">
        <f ca="1">IFERROR(__xludf.DUMMYFUNCTION("IMPORTRANGE(""https://docs.google.com/spreadsheets/d/1vO9Sws6kMtrVtyvrAJptINXjK8TFBoX9xLYOVK_C8bQ/edit?usp=sharing"",""สุราษฎร์ธานี!J598"")"),0)</f>
        <v>0</v>
      </c>
      <c r="BV88" s="75">
        <f ca="1">IFERROR(__xludf.DUMMYFUNCTION("IMPORTRANGE(""https://docs.google.com/spreadsheets/d/1vO9Sws6kMtrVtyvrAJptINXjK8TFBoX9xLYOVK_C8bQ/edit?usp=sharing"",""สุราษฎร์ธานี!J599"")"),0)</f>
        <v>0</v>
      </c>
      <c r="BW88" s="142">
        <f ca="1">IFERROR(__xludf.DUMMYFUNCTION("IMPORTRANGE(""https://docs.google.com/spreadsheets/d/1vO9Sws6kMtrVtyvrAJptINXjK8TFBoX9xLYOVK_C8bQ/edit?usp=sharing"",""สุราษฎร์ธานี!J600"")"),0)</f>
        <v>0</v>
      </c>
      <c r="BX88" s="143">
        <f ca="1">IFERROR(__xludf.DUMMYFUNCTION("IMPORTRANGE(""https://docs.google.com/spreadsheets/d/1vO9Sws6kMtrVtyvrAJptINXjK8TFBoX9xLYOVK_C8bQ/edit?usp=sharing"",""สุราษฎร์ธานี!J601"")"),0)</f>
        <v>0</v>
      </c>
      <c r="BY88" s="142">
        <f ca="1">IFERROR(__xludf.DUMMYFUNCTION("IMPORTRANGE(""https://docs.google.com/spreadsheets/d/1vO9Sws6kMtrVtyvrAJptINXjK8TFBoX9xLYOVK_C8bQ/edit?usp=sharing"",""สุราษฎร์ธานี!J602"")"),0)</f>
        <v>0</v>
      </c>
      <c r="BZ88" s="75">
        <f ca="1">IFERROR(__xludf.DUMMYFUNCTION("IMPORTRANGE(""https://docs.google.com/spreadsheets/d/1vO9Sws6kMtrVtyvrAJptINXjK8TFBoX9xLYOVK_C8bQ/edit?usp=sharing"",""สุราษฎร์ธานี!J603"")"),0)</f>
        <v>0</v>
      </c>
      <c r="CA88" s="142">
        <f ca="1">IFERROR(__xludf.DUMMYFUNCTION("IMPORTRANGE(""https://docs.google.com/spreadsheets/d/1vO9Sws6kMtrVtyvrAJptINXjK8TFBoX9xLYOVK_C8bQ/edit?usp=sharing"",""สุราษฎร์ธานี!J604"")"),0)</f>
        <v>0</v>
      </c>
      <c r="CB88" s="75">
        <f ca="1">IFERROR(__xludf.DUMMYFUNCTION("IMPORTRANGE(""https://docs.google.com/spreadsheets/d/1vO9Sws6kMtrVtyvrAJptINXjK8TFBoX9xLYOVK_C8bQ/edit?usp=sharing"",""สุราษฎร์ธานี!J605"")"),0)</f>
        <v>0</v>
      </c>
      <c r="CC88" s="142">
        <f ca="1">IFERROR(__xludf.DUMMYFUNCTION("IMPORTRANGE(""https://docs.google.com/spreadsheets/d/1vO9Sws6kMtrVtyvrAJptINXjK8TFBoX9xLYOVK_C8bQ/edit?usp=sharing"",""สุราษฎร์ธานี!J606"")"),0)</f>
        <v>0</v>
      </c>
      <c r="CD88" s="75">
        <f ca="1">IFERROR(__xludf.DUMMYFUNCTION("IMPORTRANGE(""https://docs.google.com/spreadsheets/d/1vO9Sws6kMtrVtyvrAJptINXjK8TFBoX9xLYOVK_C8bQ/edit?usp=sharing"",""สุราษฎร์ธานี!J607"")"),0)</f>
        <v>0</v>
      </c>
      <c r="CE88" s="142">
        <f ca="1">IFERROR(__xludf.DUMMYFUNCTION("IMPORTRANGE(""https://docs.google.com/spreadsheets/d/1vO9Sws6kMtrVtyvrAJptINXjK8TFBoX9xLYOVK_C8bQ/edit?usp=sharing"",""สุราษฎร์ธานี!J608"")"),0)</f>
        <v>0</v>
      </c>
      <c r="CF88" s="75">
        <f ca="1">IFERROR(__xludf.DUMMYFUNCTION("IMPORTRANGE(""https://docs.google.com/spreadsheets/d/1vO9Sws6kMtrVtyvrAJptINXjK8TFBoX9xLYOVK_C8bQ/edit?usp=sharing"",""สุราษฎร์ธานี!J609"")"),0)</f>
        <v>0</v>
      </c>
      <c r="CG88" s="142">
        <f ca="1">IFERROR(__xludf.DUMMYFUNCTION("IMPORTRANGE(""https://docs.google.com/spreadsheets/d/1vO9Sws6kMtrVtyvrAJptINXjK8TFBoX9xLYOVK_C8bQ/edit?usp=sharing"",""สุราษฎร์ธานี!J610"")"),0)</f>
        <v>0</v>
      </c>
      <c r="CH88" s="142">
        <f ca="1">IFERROR(__xludf.DUMMYFUNCTION("IMPORTRANGE(""https://docs.google.com/spreadsheets/d/1vO9Sws6kMtrVtyvrAJptINXjK8TFBoX9xLYOVK_C8bQ/edit?usp=sharing"",""สุราษฎร์ธานี!I612"")"),0)</f>
        <v>0</v>
      </c>
      <c r="CI88" s="142">
        <f ca="1">IFERROR(__xludf.DUMMYFUNCTION("IMPORTRANGE(""https://docs.google.com/spreadsheets/d/1vO9Sws6kMtrVtyvrAJptINXjK8TFBoX9xLYOVK_C8bQ/edit?usp=sharing"",""สุราษฎร์ธานี!I594"")"),1172)</f>
        <v>1172</v>
      </c>
      <c r="CJ88" s="143">
        <f ca="1">IFERROR(__xludf.DUMMYFUNCTION("IMPORTRANGE(""https://docs.google.com/spreadsheets/d/1vO9Sws6kMtrVtyvrAJptINXjK8TFBoX9xLYOVK_C8bQ/edit?usp=sharing"",""สุราษฎร์ธานี!J612"")"),0)</f>
        <v>0</v>
      </c>
      <c r="CK88" s="143">
        <f t="shared" ca="1" si="41"/>
        <v>0</v>
      </c>
      <c r="CL88" s="142">
        <f ca="1">IFERROR(__xludf.DUMMYFUNCTION("IMPORTRANGE(""https://docs.google.com/spreadsheets/d/1vO9Sws6kMtrVtyvrAJptINXjK8TFBoX9xLYOVK_C8bQ/edit?usp=sharing"",""สุราษฎร์ธานี!J613"")"),0)</f>
        <v>0</v>
      </c>
      <c r="CM88" s="143">
        <f t="shared" ca="1" si="19"/>
        <v>0</v>
      </c>
      <c r="CN88" s="75">
        <f ca="1">IFERROR(__xludf.DUMMYFUNCTION("IMPORTRANGE(""https://docs.google.com/spreadsheets/d/1vO9Sws6kMtrVtyvrAJptINXjK8TFBoX9xLYOVK_C8bQ/edit?usp=sharing"",""สุราษฎร์ธานี!J614"")"),0)</f>
        <v>0</v>
      </c>
      <c r="CO88" s="142">
        <f ca="1">IFERROR(__xludf.DUMMYFUNCTION("IMPORTRANGE(""https://docs.google.com/spreadsheets/d/1vO9Sws6kMtrVtyvrAJptINXjK8TFBoX9xLYOVK_C8bQ/edit?usp=sharing"",""สุราษฎร์ธานี!J615"")"),0)</f>
        <v>0</v>
      </c>
      <c r="CP88" s="75">
        <f ca="1">IFERROR(__xludf.DUMMYFUNCTION("IMPORTRANGE(""https://docs.google.com/spreadsheets/d/1vO9Sws6kMtrVtyvrAJptINXjK8TFBoX9xLYOVK_C8bQ/edit?usp=sharing"",""สุราษฎร์ธานี!J616"")"),0)</f>
        <v>0</v>
      </c>
      <c r="CQ88" s="142">
        <f ca="1">IFERROR(__xludf.DUMMYFUNCTION("IMPORTRANGE(""https://docs.google.com/spreadsheets/d/1vO9Sws6kMtrVtyvrAJptINXjK8TFBoX9xLYOVK_C8bQ/edit?usp=sharing"",""สุราษฎร์ธานี!J617"")"),0)</f>
        <v>0</v>
      </c>
      <c r="CR88" s="142">
        <f ca="1">IFERROR(__xludf.DUMMYFUNCTION("IMPORTRANGE(""https://docs.google.com/spreadsheets/d/1vO9Sws6kMtrVtyvrAJptINXjK8TFBoX9xLYOVK_C8bQ/edit?usp=sharing"",""สุราษฎร์ธานี!I620"")"),0)</f>
        <v>0</v>
      </c>
      <c r="CS88" s="142">
        <f ca="1">IFERROR(__xludf.DUMMYFUNCTION("IMPORTRANGE(""https://docs.google.com/spreadsheets/d/1vO9Sws6kMtrVtyvrAJptINXjK8TFBoX9xLYOVK_C8bQ/edit?usp=sharing"",""สุราษฎร์ธานี!I621"")"),0)</f>
        <v>0</v>
      </c>
      <c r="CT88" s="143">
        <f ca="1">IFERROR(__xludf.DUMMYFUNCTION("IMPORTRANGE(""https://docs.google.com/spreadsheets/d/1vO9Sws6kMtrVtyvrAJptINXjK8TFBoX9xLYOVK_C8bQ/edit?usp=sharing"",""สุราษฎร์ธานี!J620"")"),0)</f>
        <v>0</v>
      </c>
      <c r="CU88" s="143">
        <f t="shared" ca="1" si="42"/>
        <v>0</v>
      </c>
      <c r="CV88" s="142">
        <f ca="1">IFERROR(__xludf.DUMMYFUNCTION("IMPORTRANGE(""https://docs.google.com/spreadsheets/d/1vO9Sws6kMtrVtyvrAJptINXjK8TFBoX9xLYOVK_C8bQ/edit?usp=sharing"",""สุราษฎร์ธานี!J621"")"),0)</f>
        <v>0</v>
      </c>
      <c r="CW88" s="143">
        <f t="shared" ca="1" si="22"/>
        <v>0</v>
      </c>
      <c r="CX88" s="75">
        <f ca="1">IFERROR(__xludf.DUMMYFUNCTION("IMPORTRANGE(""https://docs.google.com/spreadsheets/d/1vO9Sws6kMtrVtyvrAJptINXjK8TFBoX9xLYOVK_C8bQ/edit?usp=sharing"",""สุราษฎร์ธานี!J622"")"),0)</f>
        <v>0</v>
      </c>
      <c r="CY88" s="142">
        <f ca="1">IFERROR(__xludf.DUMMYFUNCTION("IMPORTRANGE(""https://docs.google.com/spreadsheets/d/1vO9Sws6kMtrVtyvrAJptINXjK8TFBoX9xLYOVK_C8bQ/edit?usp=sharing"",""สุราษฎร์ธานี!J623"")"),0)</f>
        <v>0</v>
      </c>
      <c r="CZ88" s="75">
        <f ca="1">IFERROR(__xludf.DUMMYFUNCTION("IMPORTRANGE(""https://docs.google.com/spreadsheets/d/1vO9Sws6kMtrVtyvrAJptINXjK8TFBoX9xLYOVK_C8bQ/edit?usp=sharing"",""สุราษฎร์ธานี!J624"")"),0)</f>
        <v>0</v>
      </c>
      <c r="DA88" s="142">
        <f ca="1">IFERROR(__xludf.DUMMYFUNCTION("IMPORTRANGE(""https://docs.google.com/spreadsheets/d/1vO9Sws6kMtrVtyvrAJptINXjK8TFBoX9xLYOVK_C8bQ/edit?usp=sharing"",""สุราษฎร์ธานี!J625"")"),0)</f>
        <v>0</v>
      </c>
      <c r="DB88" s="75">
        <f ca="1">IFERROR(__xludf.DUMMYFUNCTION("IMPORTRANGE(""https://docs.google.com/spreadsheets/d/1vO9Sws6kMtrVtyvrAJptINXjK8TFBoX9xLYOVK_C8bQ/edit?usp=sharing"",""สุราษฎร์ธานี!J626"")"),0)</f>
        <v>0</v>
      </c>
      <c r="DC88" s="142">
        <f ca="1">IFERROR(__xludf.DUMMYFUNCTION("IMPORTRANGE(""https://docs.google.com/spreadsheets/d/1vO9Sws6kMtrVtyvrAJptINXjK8TFBoX9xLYOVK_C8bQ/edit?usp=sharing"",""สุราษฎร์ธานี!J627"")"),0)</f>
        <v>0</v>
      </c>
    </row>
    <row r="89" spans="1:107" ht="21" hidden="1" customHeight="1" x14ac:dyDescent="0.3">
      <c r="A89" s="187" t="s">
        <v>110</v>
      </c>
      <c r="B89" s="178"/>
      <c r="C89" s="77">
        <f>+C90+C91+C92+C93+C94+C95+C96+C97+C98+C99+C100+C101+C102+C103</f>
        <v>0</v>
      </c>
      <c r="D89" s="43"/>
      <c r="E89" s="43"/>
      <c r="F89" s="43"/>
      <c r="G89" s="43"/>
      <c r="H89" s="40">
        <f t="shared" si="36"/>
        <v>0</v>
      </c>
      <c r="I89" s="41">
        <f t="shared" si="1"/>
        <v>0</v>
      </c>
      <c r="J89" s="40">
        <f>+J90+J91+J92+J93+J94+J95+J96+J97+J98+J99+J100+J101+J102+J103</f>
        <v>0</v>
      </c>
      <c r="K89" s="43"/>
      <c r="L89" s="43"/>
      <c r="M89" s="43"/>
      <c r="N89" s="43"/>
      <c r="O89" s="43"/>
      <c r="P89" s="43"/>
      <c r="Q89" s="43"/>
      <c r="R89" s="78"/>
      <c r="S89" s="78">
        <f t="shared" si="47"/>
        <v>0</v>
      </c>
      <c r="T89" s="43"/>
      <c r="U89" s="43"/>
      <c r="V89" s="44"/>
      <c r="W89" s="44"/>
      <c r="X89" s="43"/>
      <c r="Y89" s="44"/>
      <c r="Z89" s="44"/>
      <c r="AA89" s="144"/>
      <c r="AB89" s="44"/>
      <c r="AC89" s="144"/>
      <c r="AD89" s="44"/>
      <c r="AE89" s="144"/>
      <c r="AF89" s="43"/>
      <c r="AG89" s="43"/>
      <c r="AH89" s="44"/>
      <c r="AI89" s="44"/>
      <c r="AJ89" s="43"/>
      <c r="AK89" s="44"/>
      <c r="AL89" s="44"/>
      <c r="AM89" s="144"/>
      <c r="AN89" s="44"/>
      <c r="AO89" s="144"/>
      <c r="AP89" s="44"/>
      <c r="AQ89" s="144"/>
      <c r="AR89" s="43"/>
      <c r="AS89" s="43"/>
      <c r="AT89" s="44"/>
      <c r="AU89" s="44"/>
      <c r="AV89" s="43"/>
      <c r="AW89" s="44"/>
      <c r="AX89" s="44"/>
      <c r="AY89" s="144"/>
      <c r="AZ89" s="44"/>
      <c r="BA89" s="144"/>
      <c r="BB89" s="44"/>
      <c r="BC89" s="144"/>
      <c r="BD89" s="145"/>
      <c r="BE89" s="144"/>
      <c r="BF89" s="145"/>
      <c r="BG89" s="144"/>
      <c r="BH89" s="44"/>
      <c r="BI89" s="144"/>
      <c r="BJ89" s="44"/>
      <c r="BK89" s="144"/>
      <c r="BL89" s="43"/>
      <c r="BM89" s="43"/>
      <c r="BN89" s="44"/>
      <c r="BO89" s="44"/>
      <c r="BP89" s="43"/>
      <c r="BQ89" s="44"/>
      <c r="BR89" s="44"/>
      <c r="BS89" s="144"/>
      <c r="BT89" s="44"/>
      <c r="BU89" s="144"/>
      <c r="BV89" s="44"/>
      <c r="BW89" s="144"/>
      <c r="BX89" s="145"/>
      <c r="BY89" s="144"/>
      <c r="BZ89" s="44"/>
      <c r="CA89" s="144"/>
      <c r="CB89" s="44"/>
      <c r="CC89" s="144"/>
      <c r="CD89" s="44"/>
      <c r="CE89" s="144"/>
      <c r="CF89" s="44"/>
      <c r="CG89" s="144"/>
      <c r="CH89" s="44"/>
      <c r="CI89" s="44"/>
      <c r="CJ89" s="44"/>
      <c r="CK89" s="44"/>
      <c r="CL89" s="144"/>
      <c r="CM89" s="44"/>
      <c r="CN89" s="44"/>
      <c r="CO89" s="144"/>
      <c r="CP89" s="44"/>
      <c r="CQ89" s="144"/>
      <c r="CR89" s="44"/>
      <c r="CS89" s="44"/>
      <c r="CT89" s="44"/>
      <c r="CU89" s="44"/>
      <c r="CV89" s="144"/>
      <c r="CW89" s="44"/>
      <c r="CX89" s="44"/>
      <c r="CY89" s="144"/>
      <c r="CZ89" s="44"/>
      <c r="DA89" s="144"/>
      <c r="DB89" s="44"/>
      <c r="DC89" s="144"/>
    </row>
    <row r="90" spans="1:107" ht="24" hidden="1" customHeight="1" x14ac:dyDescent="0.3">
      <c r="A90" s="54">
        <v>1</v>
      </c>
      <c r="B90" s="55" t="s">
        <v>111</v>
      </c>
      <c r="C90" s="56">
        <f t="shared" ref="C90:C103" si="90">D90+E90</f>
        <v>0</v>
      </c>
      <c r="D90" s="57">
        <v>0</v>
      </c>
      <c r="E90" s="64">
        <v>0</v>
      </c>
      <c r="F90" s="79"/>
      <c r="G90" s="79"/>
      <c r="H90" s="58">
        <f t="shared" si="36"/>
        <v>0</v>
      </c>
      <c r="I90" s="59">
        <f t="shared" si="1"/>
        <v>0</v>
      </c>
      <c r="J90" s="60">
        <f t="shared" ref="J90:J103" si="91">M90+N90+O90+P90+Q90</f>
        <v>0</v>
      </c>
      <c r="K90" s="80"/>
      <c r="L90" s="80"/>
      <c r="M90" s="64">
        <v>0</v>
      </c>
      <c r="N90" s="64">
        <v>0</v>
      </c>
      <c r="O90" s="64">
        <v>0</v>
      </c>
      <c r="P90" s="64">
        <v>0</v>
      </c>
      <c r="Q90" s="64">
        <v>0</v>
      </c>
      <c r="R90" s="62">
        <v>0</v>
      </c>
      <c r="S90" s="62">
        <f t="shared" si="47"/>
        <v>0</v>
      </c>
      <c r="T90" s="79"/>
      <c r="U90" s="79"/>
      <c r="V90" s="81"/>
      <c r="W90" s="81"/>
      <c r="X90" s="79"/>
      <c r="Y90" s="81"/>
      <c r="Z90" s="81"/>
      <c r="AA90" s="146"/>
      <c r="AB90" s="81"/>
      <c r="AC90" s="146"/>
      <c r="AD90" s="81"/>
      <c r="AE90" s="146"/>
      <c r="AF90" s="79"/>
      <c r="AG90" s="79"/>
      <c r="AH90" s="81"/>
      <c r="AI90" s="81"/>
      <c r="AJ90" s="79"/>
      <c r="AK90" s="81"/>
      <c r="AL90" s="81"/>
      <c r="AM90" s="146"/>
      <c r="AN90" s="81"/>
      <c r="AO90" s="146"/>
      <c r="AP90" s="81"/>
      <c r="AQ90" s="146"/>
      <c r="AR90" s="79"/>
      <c r="AS90" s="79"/>
      <c r="AT90" s="81"/>
      <c r="AU90" s="81"/>
      <c r="AV90" s="79"/>
      <c r="AW90" s="81"/>
      <c r="AX90" s="81"/>
      <c r="AY90" s="146"/>
      <c r="AZ90" s="81"/>
      <c r="BA90" s="146"/>
      <c r="BB90" s="81"/>
      <c r="BC90" s="146"/>
      <c r="BD90" s="147"/>
      <c r="BE90" s="146"/>
      <c r="BF90" s="147"/>
      <c r="BG90" s="146"/>
      <c r="BH90" s="81"/>
      <c r="BI90" s="146"/>
      <c r="BJ90" s="81"/>
      <c r="BK90" s="146"/>
      <c r="BL90" s="79"/>
      <c r="BM90" s="79"/>
      <c r="BN90" s="81"/>
      <c r="BO90" s="81"/>
      <c r="BP90" s="79"/>
      <c r="BQ90" s="81"/>
      <c r="BR90" s="81"/>
      <c r="BS90" s="146"/>
      <c r="BT90" s="81"/>
      <c r="BU90" s="146"/>
      <c r="BV90" s="81"/>
      <c r="BW90" s="146"/>
      <c r="BX90" s="147"/>
      <c r="BY90" s="146"/>
      <c r="BZ90" s="81"/>
      <c r="CA90" s="146"/>
      <c r="CB90" s="81"/>
      <c r="CC90" s="146"/>
      <c r="CD90" s="81"/>
      <c r="CE90" s="146"/>
      <c r="CF90" s="81"/>
      <c r="CG90" s="146"/>
      <c r="CH90" s="81"/>
      <c r="CI90" s="81"/>
      <c r="CJ90" s="81"/>
      <c r="CK90" s="81"/>
      <c r="CL90" s="146"/>
      <c r="CM90" s="81"/>
      <c r="CN90" s="81"/>
      <c r="CO90" s="146"/>
      <c r="CP90" s="81"/>
      <c r="CQ90" s="146"/>
      <c r="CR90" s="81"/>
      <c r="CS90" s="81"/>
      <c r="CT90" s="81"/>
      <c r="CU90" s="81"/>
      <c r="CV90" s="146"/>
      <c r="CW90" s="81"/>
      <c r="CX90" s="81"/>
      <c r="CY90" s="146"/>
      <c r="CZ90" s="81"/>
      <c r="DA90" s="146"/>
      <c r="DB90" s="81"/>
      <c r="DC90" s="146"/>
    </row>
    <row r="91" spans="1:107" ht="24" hidden="1" customHeight="1" x14ac:dyDescent="0.3">
      <c r="A91" s="54">
        <v>2</v>
      </c>
      <c r="B91" s="55" t="s">
        <v>112</v>
      </c>
      <c r="C91" s="56">
        <f t="shared" si="90"/>
        <v>0</v>
      </c>
      <c r="D91" s="57">
        <v>0</v>
      </c>
      <c r="E91" s="64">
        <v>0</v>
      </c>
      <c r="F91" s="79"/>
      <c r="G91" s="79"/>
      <c r="H91" s="58">
        <f t="shared" si="36"/>
        <v>0</v>
      </c>
      <c r="I91" s="59">
        <f t="shared" si="1"/>
        <v>0</v>
      </c>
      <c r="J91" s="60">
        <f t="shared" si="91"/>
        <v>0</v>
      </c>
      <c r="K91" s="80"/>
      <c r="L91" s="80"/>
      <c r="M91" s="64">
        <v>0</v>
      </c>
      <c r="N91" s="64">
        <v>0</v>
      </c>
      <c r="O91" s="64">
        <v>0</v>
      </c>
      <c r="P91" s="64">
        <v>0</v>
      </c>
      <c r="Q91" s="64">
        <v>0</v>
      </c>
      <c r="R91" s="62">
        <v>0</v>
      </c>
      <c r="S91" s="62">
        <f t="shared" si="47"/>
        <v>0</v>
      </c>
      <c r="T91" s="79"/>
      <c r="U91" s="79"/>
      <c r="V91" s="81"/>
      <c r="W91" s="81"/>
      <c r="X91" s="79"/>
      <c r="Y91" s="81"/>
      <c r="Z91" s="81"/>
      <c r="AA91" s="146"/>
      <c r="AB91" s="81"/>
      <c r="AC91" s="146"/>
      <c r="AD91" s="81"/>
      <c r="AE91" s="146"/>
      <c r="AF91" s="79"/>
      <c r="AG91" s="79"/>
      <c r="AH91" s="81"/>
      <c r="AI91" s="81"/>
      <c r="AJ91" s="79"/>
      <c r="AK91" s="81"/>
      <c r="AL91" s="81"/>
      <c r="AM91" s="146"/>
      <c r="AN91" s="81"/>
      <c r="AO91" s="146"/>
      <c r="AP91" s="81"/>
      <c r="AQ91" s="146"/>
      <c r="AR91" s="79"/>
      <c r="AS91" s="79"/>
      <c r="AT91" s="81"/>
      <c r="AU91" s="81"/>
      <c r="AV91" s="79"/>
      <c r="AW91" s="81"/>
      <c r="AX91" s="81"/>
      <c r="AY91" s="146"/>
      <c r="AZ91" s="81"/>
      <c r="BA91" s="146"/>
      <c r="BB91" s="81"/>
      <c r="BC91" s="146"/>
      <c r="BD91" s="147"/>
      <c r="BE91" s="146"/>
      <c r="BF91" s="147"/>
      <c r="BG91" s="146"/>
      <c r="BH91" s="81"/>
      <c r="BI91" s="146"/>
      <c r="BJ91" s="81"/>
      <c r="BK91" s="146"/>
      <c r="BL91" s="79"/>
      <c r="BM91" s="79"/>
      <c r="BN91" s="81"/>
      <c r="BO91" s="81"/>
      <c r="BP91" s="79"/>
      <c r="BQ91" s="81"/>
      <c r="BR91" s="81"/>
      <c r="BS91" s="146"/>
      <c r="BT91" s="81"/>
      <c r="BU91" s="146"/>
      <c r="BV91" s="81"/>
      <c r="BW91" s="146"/>
      <c r="BX91" s="147"/>
      <c r="BY91" s="146"/>
      <c r="BZ91" s="81"/>
      <c r="CA91" s="146"/>
      <c r="CB91" s="81"/>
      <c r="CC91" s="146"/>
      <c r="CD91" s="81"/>
      <c r="CE91" s="146"/>
      <c r="CF91" s="81"/>
      <c r="CG91" s="146"/>
      <c r="CH91" s="81"/>
      <c r="CI91" s="81"/>
      <c r="CJ91" s="81"/>
      <c r="CK91" s="81"/>
      <c r="CL91" s="146"/>
      <c r="CM91" s="81"/>
      <c r="CN91" s="81"/>
      <c r="CO91" s="146"/>
      <c r="CP91" s="81"/>
      <c r="CQ91" s="146"/>
      <c r="CR91" s="81"/>
      <c r="CS91" s="81"/>
      <c r="CT91" s="81"/>
      <c r="CU91" s="81"/>
      <c r="CV91" s="146"/>
      <c r="CW91" s="81"/>
      <c r="CX91" s="81"/>
      <c r="CY91" s="146"/>
      <c r="CZ91" s="81"/>
      <c r="DA91" s="146"/>
      <c r="DB91" s="81"/>
      <c r="DC91" s="146"/>
    </row>
    <row r="92" spans="1:107" ht="24" hidden="1" customHeight="1" x14ac:dyDescent="0.3">
      <c r="A92" s="54">
        <v>3</v>
      </c>
      <c r="B92" s="55" t="s">
        <v>113</v>
      </c>
      <c r="C92" s="56">
        <f t="shared" si="90"/>
        <v>0</v>
      </c>
      <c r="D92" s="57">
        <v>0</v>
      </c>
      <c r="E92" s="64">
        <v>0</v>
      </c>
      <c r="F92" s="79"/>
      <c r="G92" s="79"/>
      <c r="H92" s="58">
        <f t="shared" si="36"/>
        <v>0</v>
      </c>
      <c r="I92" s="59">
        <f t="shared" si="1"/>
        <v>0</v>
      </c>
      <c r="J92" s="60">
        <f t="shared" si="91"/>
        <v>0</v>
      </c>
      <c r="K92" s="80"/>
      <c r="L92" s="80"/>
      <c r="M92" s="64">
        <v>0</v>
      </c>
      <c r="N92" s="64">
        <v>0</v>
      </c>
      <c r="O92" s="64">
        <v>0</v>
      </c>
      <c r="P92" s="64">
        <v>0</v>
      </c>
      <c r="Q92" s="64">
        <v>0</v>
      </c>
      <c r="R92" s="62">
        <v>0</v>
      </c>
      <c r="S92" s="62">
        <f t="shared" si="47"/>
        <v>0</v>
      </c>
      <c r="T92" s="79"/>
      <c r="U92" s="79"/>
      <c r="V92" s="81"/>
      <c r="W92" s="81"/>
      <c r="X92" s="79"/>
      <c r="Y92" s="81"/>
      <c r="Z92" s="81"/>
      <c r="AA92" s="146"/>
      <c r="AB92" s="81"/>
      <c r="AC92" s="146"/>
      <c r="AD92" s="81"/>
      <c r="AE92" s="146"/>
      <c r="AF92" s="79"/>
      <c r="AG92" s="79"/>
      <c r="AH92" s="81"/>
      <c r="AI92" s="81"/>
      <c r="AJ92" s="79"/>
      <c r="AK92" s="81"/>
      <c r="AL92" s="81"/>
      <c r="AM92" s="146"/>
      <c r="AN92" s="81"/>
      <c r="AO92" s="146"/>
      <c r="AP92" s="81"/>
      <c r="AQ92" s="146"/>
      <c r="AR92" s="79"/>
      <c r="AS92" s="79"/>
      <c r="AT92" s="81"/>
      <c r="AU92" s="81"/>
      <c r="AV92" s="79"/>
      <c r="AW92" s="81"/>
      <c r="AX92" s="81"/>
      <c r="AY92" s="146"/>
      <c r="AZ92" s="81"/>
      <c r="BA92" s="146"/>
      <c r="BB92" s="81"/>
      <c r="BC92" s="146"/>
      <c r="BD92" s="147"/>
      <c r="BE92" s="146"/>
      <c r="BF92" s="147"/>
      <c r="BG92" s="146"/>
      <c r="BH92" s="81"/>
      <c r="BI92" s="146"/>
      <c r="BJ92" s="81"/>
      <c r="BK92" s="146"/>
      <c r="BL92" s="79"/>
      <c r="BM92" s="79"/>
      <c r="BN92" s="81"/>
      <c r="BO92" s="81"/>
      <c r="BP92" s="79"/>
      <c r="BQ92" s="81"/>
      <c r="BR92" s="81"/>
      <c r="BS92" s="146"/>
      <c r="BT92" s="81"/>
      <c r="BU92" s="146"/>
      <c r="BV92" s="81"/>
      <c r="BW92" s="146"/>
      <c r="BX92" s="147"/>
      <c r="BY92" s="146"/>
      <c r="BZ92" s="81"/>
      <c r="CA92" s="146"/>
      <c r="CB92" s="81"/>
      <c r="CC92" s="146"/>
      <c r="CD92" s="81"/>
      <c r="CE92" s="146"/>
      <c r="CF92" s="81"/>
      <c r="CG92" s="146"/>
      <c r="CH92" s="81"/>
      <c r="CI92" s="81"/>
      <c r="CJ92" s="81"/>
      <c r="CK92" s="81"/>
      <c r="CL92" s="146"/>
      <c r="CM92" s="81"/>
      <c r="CN92" s="81"/>
      <c r="CO92" s="146"/>
      <c r="CP92" s="81"/>
      <c r="CQ92" s="146"/>
      <c r="CR92" s="81"/>
      <c r="CS92" s="81"/>
      <c r="CT92" s="81"/>
      <c r="CU92" s="81"/>
      <c r="CV92" s="146"/>
      <c r="CW92" s="81"/>
      <c r="CX92" s="81"/>
      <c r="CY92" s="146"/>
      <c r="CZ92" s="81"/>
      <c r="DA92" s="146"/>
      <c r="DB92" s="81"/>
      <c r="DC92" s="146"/>
    </row>
    <row r="93" spans="1:107" ht="24" hidden="1" customHeight="1" x14ac:dyDescent="0.3">
      <c r="A93" s="54">
        <f t="shared" ref="A93:A103" si="92">+A92+1</f>
        <v>4</v>
      </c>
      <c r="B93" s="55" t="s">
        <v>114</v>
      </c>
      <c r="C93" s="56">
        <f t="shared" si="90"/>
        <v>0</v>
      </c>
      <c r="D93" s="57">
        <v>0</v>
      </c>
      <c r="E93" s="64">
        <v>0</v>
      </c>
      <c r="F93" s="79"/>
      <c r="G93" s="79"/>
      <c r="H93" s="58">
        <f t="shared" si="36"/>
        <v>0</v>
      </c>
      <c r="I93" s="59">
        <f t="shared" si="1"/>
        <v>0</v>
      </c>
      <c r="J93" s="60">
        <f t="shared" si="91"/>
        <v>0</v>
      </c>
      <c r="K93" s="80"/>
      <c r="L93" s="80"/>
      <c r="M93" s="64">
        <v>0</v>
      </c>
      <c r="N93" s="64">
        <v>0</v>
      </c>
      <c r="O93" s="64">
        <v>0</v>
      </c>
      <c r="P93" s="64">
        <v>0</v>
      </c>
      <c r="Q93" s="64">
        <v>0</v>
      </c>
      <c r="R93" s="62">
        <v>0</v>
      </c>
      <c r="S93" s="62">
        <f t="shared" si="47"/>
        <v>0</v>
      </c>
      <c r="T93" s="79"/>
      <c r="U93" s="79"/>
      <c r="V93" s="81"/>
      <c r="W93" s="81"/>
      <c r="X93" s="79"/>
      <c r="Y93" s="81"/>
      <c r="Z93" s="81"/>
      <c r="AA93" s="146"/>
      <c r="AB93" s="81"/>
      <c r="AC93" s="146"/>
      <c r="AD93" s="81"/>
      <c r="AE93" s="146"/>
      <c r="AF93" s="79"/>
      <c r="AG93" s="79"/>
      <c r="AH93" s="81"/>
      <c r="AI93" s="81"/>
      <c r="AJ93" s="79"/>
      <c r="AK93" s="81"/>
      <c r="AL93" s="81"/>
      <c r="AM93" s="146"/>
      <c r="AN93" s="81"/>
      <c r="AO93" s="146"/>
      <c r="AP93" s="81"/>
      <c r="AQ93" s="146"/>
      <c r="AR93" s="79"/>
      <c r="AS93" s="79"/>
      <c r="AT93" s="81"/>
      <c r="AU93" s="81"/>
      <c r="AV93" s="79"/>
      <c r="AW93" s="81"/>
      <c r="AX93" s="81"/>
      <c r="AY93" s="146"/>
      <c r="AZ93" s="81"/>
      <c r="BA93" s="146"/>
      <c r="BB93" s="81"/>
      <c r="BC93" s="146"/>
      <c r="BD93" s="147"/>
      <c r="BE93" s="146"/>
      <c r="BF93" s="147"/>
      <c r="BG93" s="146"/>
      <c r="BH93" s="81"/>
      <c r="BI93" s="146"/>
      <c r="BJ93" s="81"/>
      <c r="BK93" s="146"/>
      <c r="BL93" s="79"/>
      <c r="BM93" s="79"/>
      <c r="BN93" s="81"/>
      <c r="BO93" s="81"/>
      <c r="BP93" s="79"/>
      <c r="BQ93" s="81"/>
      <c r="BR93" s="81"/>
      <c r="BS93" s="146"/>
      <c r="BT93" s="81"/>
      <c r="BU93" s="146"/>
      <c r="BV93" s="81"/>
      <c r="BW93" s="146"/>
      <c r="BX93" s="147"/>
      <c r="BY93" s="146"/>
      <c r="BZ93" s="81"/>
      <c r="CA93" s="146"/>
      <c r="CB93" s="81"/>
      <c r="CC93" s="146"/>
      <c r="CD93" s="81"/>
      <c r="CE93" s="146"/>
      <c r="CF93" s="81"/>
      <c r="CG93" s="146"/>
      <c r="CH93" s="81"/>
      <c r="CI93" s="81"/>
      <c r="CJ93" s="81"/>
      <c r="CK93" s="81"/>
      <c r="CL93" s="146"/>
      <c r="CM93" s="81"/>
      <c r="CN93" s="81"/>
      <c r="CO93" s="146"/>
      <c r="CP93" s="81"/>
      <c r="CQ93" s="146"/>
      <c r="CR93" s="81"/>
      <c r="CS93" s="81"/>
      <c r="CT93" s="81"/>
      <c r="CU93" s="81"/>
      <c r="CV93" s="146"/>
      <c r="CW93" s="81"/>
      <c r="CX93" s="81"/>
      <c r="CY93" s="146"/>
      <c r="CZ93" s="81"/>
      <c r="DA93" s="146"/>
      <c r="DB93" s="81"/>
      <c r="DC93" s="146"/>
    </row>
    <row r="94" spans="1:107" ht="24" hidden="1" customHeight="1" x14ac:dyDescent="0.3">
      <c r="A94" s="54">
        <f t="shared" si="92"/>
        <v>5</v>
      </c>
      <c r="B94" s="55" t="s">
        <v>115</v>
      </c>
      <c r="C94" s="56">
        <f t="shared" si="90"/>
        <v>0</v>
      </c>
      <c r="D94" s="57">
        <v>0</v>
      </c>
      <c r="E94" s="64">
        <v>0</v>
      </c>
      <c r="F94" s="79"/>
      <c r="G94" s="79"/>
      <c r="H94" s="58">
        <f t="shared" si="36"/>
        <v>0</v>
      </c>
      <c r="I94" s="59">
        <f t="shared" si="1"/>
        <v>0</v>
      </c>
      <c r="J94" s="60">
        <f t="shared" si="91"/>
        <v>0</v>
      </c>
      <c r="K94" s="80"/>
      <c r="L94" s="80"/>
      <c r="M94" s="64">
        <v>0</v>
      </c>
      <c r="N94" s="64">
        <v>0</v>
      </c>
      <c r="O94" s="64">
        <v>0</v>
      </c>
      <c r="P94" s="64">
        <v>0</v>
      </c>
      <c r="Q94" s="64">
        <v>0</v>
      </c>
      <c r="R94" s="62">
        <v>0</v>
      </c>
      <c r="S94" s="62">
        <f t="shared" si="47"/>
        <v>0</v>
      </c>
      <c r="T94" s="79"/>
      <c r="U94" s="79"/>
      <c r="V94" s="81"/>
      <c r="W94" s="81"/>
      <c r="X94" s="79"/>
      <c r="Y94" s="81"/>
      <c r="Z94" s="81"/>
      <c r="AA94" s="146"/>
      <c r="AB94" s="81"/>
      <c r="AC94" s="146"/>
      <c r="AD94" s="81"/>
      <c r="AE94" s="146"/>
      <c r="AF94" s="79"/>
      <c r="AG94" s="79"/>
      <c r="AH94" s="81"/>
      <c r="AI94" s="81"/>
      <c r="AJ94" s="79"/>
      <c r="AK94" s="81"/>
      <c r="AL94" s="81"/>
      <c r="AM94" s="146"/>
      <c r="AN94" s="81"/>
      <c r="AO94" s="146"/>
      <c r="AP94" s="81"/>
      <c r="AQ94" s="146"/>
      <c r="AR94" s="79"/>
      <c r="AS94" s="79"/>
      <c r="AT94" s="81"/>
      <c r="AU94" s="81"/>
      <c r="AV94" s="79"/>
      <c r="AW94" s="81"/>
      <c r="AX94" s="81"/>
      <c r="AY94" s="146"/>
      <c r="AZ94" s="81"/>
      <c r="BA94" s="146"/>
      <c r="BB94" s="81"/>
      <c r="BC94" s="146"/>
      <c r="BD94" s="147"/>
      <c r="BE94" s="146"/>
      <c r="BF94" s="147"/>
      <c r="BG94" s="146"/>
      <c r="BH94" s="81"/>
      <c r="BI94" s="146"/>
      <c r="BJ94" s="81"/>
      <c r="BK94" s="146"/>
      <c r="BL94" s="79"/>
      <c r="BM94" s="79"/>
      <c r="BN94" s="81"/>
      <c r="BO94" s="81"/>
      <c r="BP94" s="79"/>
      <c r="BQ94" s="81"/>
      <c r="BR94" s="81"/>
      <c r="BS94" s="146"/>
      <c r="BT94" s="81"/>
      <c r="BU94" s="146"/>
      <c r="BV94" s="81"/>
      <c r="BW94" s="146"/>
      <c r="BX94" s="147"/>
      <c r="BY94" s="146"/>
      <c r="BZ94" s="81"/>
      <c r="CA94" s="146"/>
      <c r="CB94" s="81"/>
      <c r="CC94" s="146"/>
      <c r="CD94" s="81"/>
      <c r="CE94" s="146"/>
      <c r="CF94" s="81"/>
      <c r="CG94" s="146"/>
      <c r="CH94" s="81"/>
      <c r="CI94" s="81"/>
      <c r="CJ94" s="81"/>
      <c r="CK94" s="81"/>
      <c r="CL94" s="146"/>
      <c r="CM94" s="81"/>
      <c r="CN94" s="81"/>
      <c r="CO94" s="146"/>
      <c r="CP94" s="81"/>
      <c r="CQ94" s="146"/>
      <c r="CR94" s="81"/>
      <c r="CS94" s="81"/>
      <c r="CT94" s="81"/>
      <c r="CU94" s="81"/>
      <c r="CV94" s="146"/>
      <c r="CW94" s="81"/>
      <c r="CX94" s="81"/>
      <c r="CY94" s="146"/>
      <c r="CZ94" s="81"/>
      <c r="DA94" s="146"/>
      <c r="DB94" s="81"/>
      <c r="DC94" s="146"/>
    </row>
    <row r="95" spans="1:107" ht="24" hidden="1" customHeight="1" x14ac:dyDescent="0.3">
      <c r="A95" s="54">
        <f t="shared" si="92"/>
        <v>6</v>
      </c>
      <c r="B95" s="55" t="s">
        <v>116</v>
      </c>
      <c r="C95" s="56">
        <f t="shared" si="90"/>
        <v>0</v>
      </c>
      <c r="D95" s="57">
        <v>0</v>
      </c>
      <c r="E95" s="64">
        <v>0</v>
      </c>
      <c r="F95" s="79"/>
      <c r="G95" s="79"/>
      <c r="H95" s="58">
        <f t="shared" si="36"/>
        <v>0</v>
      </c>
      <c r="I95" s="59">
        <f t="shared" si="1"/>
        <v>0</v>
      </c>
      <c r="J95" s="60">
        <f t="shared" si="91"/>
        <v>0</v>
      </c>
      <c r="K95" s="80"/>
      <c r="L95" s="80"/>
      <c r="M95" s="64">
        <v>0</v>
      </c>
      <c r="N95" s="64">
        <v>0</v>
      </c>
      <c r="O95" s="64">
        <v>0</v>
      </c>
      <c r="P95" s="64">
        <v>0</v>
      </c>
      <c r="Q95" s="64">
        <v>0</v>
      </c>
      <c r="R95" s="62">
        <v>0</v>
      </c>
      <c r="S95" s="62">
        <f t="shared" si="47"/>
        <v>0</v>
      </c>
      <c r="T95" s="79"/>
      <c r="U95" s="79"/>
      <c r="V95" s="81"/>
      <c r="W95" s="81"/>
      <c r="X95" s="79"/>
      <c r="Y95" s="81"/>
      <c r="Z95" s="81"/>
      <c r="AA95" s="146"/>
      <c r="AB95" s="81"/>
      <c r="AC95" s="146"/>
      <c r="AD95" s="81"/>
      <c r="AE95" s="146"/>
      <c r="AF95" s="79"/>
      <c r="AG95" s="79"/>
      <c r="AH95" s="81"/>
      <c r="AI95" s="81"/>
      <c r="AJ95" s="79"/>
      <c r="AK95" s="81"/>
      <c r="AL95" s="81"/>
      <c r="AM95" s="146"/>
      <c r="AN95" s="81"/>
      <c r="AO95" s="146"/>
      <c r="AP95" s="81"/>
      <c r="AQ95" s="146"/>
      <c r="AR95" s="79"/>
      <c r="AS95" s="79"/>
      <c r="AT95" s="81"/>
      <c r="AU95" s="81"/>
      <c r="AV95" s="79"/>
      <c r="AW95" s="81"/>
      <c r="AX95" s="81"/>
      <c r="AY95" s="146"/>
      <c r="AZ95" s="81"/>
      <c r="BA95" s="146"/>
      <c r="BB95" s="81"/>
      <c r="BC95" s="146"/>
      <c r="BD95" s="147"/>
      <c r="BE95" s="146"/>
      <c r="BF95" s="147"/>
      <c r="BG95" s="146"/>
      <c r="BH95" s="81"/>
      <c r="BI95" s="146"/>
      <c r="BJ95" s="81"/>
      <c r="BK95" s="146"/>
      <c r="BL95" s="79"/>
      <c r="BM95" s="79"/>
      <c r="BN95" s="81"/>
      <c r="BO95" s="81"/>
      <c r="BP95" s="79"/>
      <c r="BQ95" s="81"/>
      <c r="BR95" s="81"/>
      <c r="BS95" s="146"/>
      <c r="BT95" s="81"/>
      <c r="BU95" s="146"/>
      <c r="BV95" s="81"/>
      <c r="BW95" s="146"/>
      <c r="BX95" s="147"/>
      <c r="BY95" s="146"/>
      <c r="BZ95" s="81"/>
      <c r="CA95" s="146"/>
      <c r="CB95" s="81"/>
      <c r="CC95" s="146"/>
      <c r="CD95" s="81"/>
      <c r="CE95" s="146"/>
      <c r="CF95" s="81"/>
      <c r="CG95" s="146"/>
      <c r="CH95" s="81"/>
      <c r="CI95" s="81"/>
      <c r="CJ95" s="81"/>
      <c r="CK95" s="81"/>
      <c r="CL95" s="146"/>
      <c r="CM95" s="81"/>
      <c r="CN95" s="81"/>
      <c r="CO95" s="146"/>
      <c r="CP95" s="81"/>
      <c r="CQ95" s="146"/>
      <c r="CR95" s="81"/>
      <c r="CS95" s="81"/>
      <c r="CT95" s="81"/>
      <c r="CU95" s="81"/>
      <c r="CV95" s="146"/>
      <c r="CW95" s="81"/>
      <c r="CX95" s="81"/>
      <c r="CY95" s="146"/>
      <c r="CZ95" s="81"/>
      <c r="DA95" s="146"/>
      <c r="DB95" s="81"/>
      <c r="DC95" s="146"/>
    </row>
    <row r="96" spans="1:107" ht="24" hidden="1" customHeight="1" x14ac:dyDescent="0.3">
      <c r="A96" s="54">
        <f t="shared" si="92"/>
        <v>7</v>
      </c>
      <c r="B96" s="55" t="s">
        <v>117</v>
      </c>
      <c r="C96" s="56">
        <f t="shared" si="90"/>
        <v>0</v>
      </c>
      <c r="D96" s="57">
        <v>0</v>
      </c>
      <c r="E96" s="64">
        <v>0</v>
      </c>
      <c r="F96" s="79"/>
      <c r="G96" s="79"/>
      <c r="H96" s="58">
        <f t="shared" si="36"/>
        <v>0</v>
      </c>
      <c r="I96" s="59">
        <f t="shared" si="1"/>
        <v>0</v>
      </c>
      <c r="J96" s="60">
        <f t="shared" si="91"/>
        <v>0</v>
      </c>
      <c r="K96" s="80"/>
      <c r="L96" s="80"/>
      <c r="M96" s="64">
        <v>0</v>
      </c>
      <c r="N96" s="64">
        <v>0</v>
      </c>
      <c r="O96" s="64">
        <v>0</v>
      </c>
      <c r="P96" s="64">
        <v>0</v>
      </c>
      <c r="Q96" s="64">
        <v>0</v>
      </c>
      <c r="R96" s="62">
        <v>0</v>
      </c>
      <c r="S96" s="62">
        <f t="shared" si="47"/>
        <v>0</v>
      </c>
      <c r="T96" s="79"/>
      <c r="U96" s="79"/>
      <c r="V96" s="81"/>
      <c r="W96" s="81"/>
      <c r="X96" s="79"/>
      <c r="Y96" s="81"/>
      <c r="Z96" s="81"/>
      <c r="AA96" s="146"/>
      <c r="AB96" s="81"/>
      <c r="AC96" s="146"/>
      <c r="AD96" s="81"/>
      <c r="AE96" s="146"/>
      <c r="AF96" s="79"/>
      <c r="AG96" s="79"/>
      <c r="AH96" s="81"/>
      <c r="AI96" s="81"/>
      <c r="AJ96" s="79"/>
      <c r="AK96" s="81"/>
      <c r="AL96" s="81"/>
      <c r="AM96" s="146"/>
      <c r="AN96" s="81"/>
      <c r="AO96" s="146"/>
      <c r="AP96" s="81"/>
      <c r="AQ96" s="146"/>
      <c r="AR96" s="79"/>
      <c r="AS96" s="79"/>
      <c r="AT96" s="81"/>
      <c r="AU96" s="81"/>
      <c r="AV96" s="79"/>
      <c r="AW96" s="81"/>
      <c r="AX96" s="81"/>
      <c r="AY96" s="146"/>
      <c r="AZ96" s="81"/>
      <c r="BA96" s="146"/>
      <c r="BB96" s="81"/>
      <c r="BC96" s="146"/>
      <c r="BD96" s="147"/>
      <c r="BE96" s="146"/>
      <c r="BF96" s="147"/>
      <c r="BG96" s="146"/>
      <c r="BH96" s="81"/>
      <c r="BI96" s="146"/>
      <c r="BJ96" s="81"/>
      <c r="BK96" s="146"/>
      <c r="BL96" s="79"/>
      <c r="BM96" s="79"/>
      <c r="BN96" s="81"/>
      <c r="BO96" s="81"/>
      <c r="BP96" s="79"/>
      <c r="BQ96" s="81"/>
      <c r="BR96" s="81"/>
      <c r="BS96" s="146"/>
      <c r="BT96" s="81"/>
      <c r="BU96" s="146"/>
      <c r="BV96" s="81"/>
      <c r="BW96" s="146"/>
      <c r="BX96" s="147"/>
      <c r="BY96" s="146"/>
      <c r="BZ96" s="81"/>
      <c r="CA96" s="146"/>
      <c r="CB96" s="81"/>
      <c r="CC96" s="146"/>
      <c r="CD96" s="81"/>
      <c r="CE96" s="146"/>
      <c r="CF96" s="81"/>
      <c r="CG96" s="146"/>
      <c r="CH96" s="81"/>
      <c r="CI96" s="81"/>
      <c r="CJ96" s="81"/>
      <c r="CK96" s="81"/>
      <c r="CL96" s="146"/>
      <c r="CM96" s="81"/>
      <c r="CN96" s="81"/>
      <c r="CO96" s="146"/>
      <c r="CP96" s="81"/>
      <c r="CQ96" s="146"/>
      <c r="CR96" s="81"/>
      <c r="CS96" s="81"/>
      <c r="CT96" s="81"/>
      <c r="CU96" s="81"/>
      <c r="CV96" s="146"/>
      <c r="CW96" s="81"/>
      <c r="CX96" s="81"/>
      <c r="CY96" s="146"/>
      <c r="CZ96" s="81"/>
      <c r="DA96" s="146"/>
      <c r="DB96" s="81"/>
      <c r="DC96" s="146"/>
    </row>
    <row r="97" spans="1:107" ht="24" hidden="1" customHeight="1" x14ac:dyDescent="0.3">
      <c r="A97" s="54">
        <f t="shared" si="92"/>
        <v>8</v>
      </c>
      <c r="B97" s="55" t="s">
        <v>118</v>
      </c>
      <c r="C97" s="56">
        <f t="shared" si="90"/>
        <v>0</v>
      </c>
      <c r="D97" s="57">
        <v>0</v>
      </c>
      <c r="E97" s="64">
        <v>0</v>
      </c>
      <c r="F97" s="79"/>
      <c r="G97" s="79"/>
      <c r="H97" s="58">
        <f t="shared" si="36"/>
        <v>0</v>
      </c>
      <c r="I97" s="59">
        <f t="shared" si="1"/>
        <v>0</v>
      </c>
      <c r="J97" s="60">
        <f t="shared" si="91"/>
        <v>0</v>
      </c>
      <c r="K97" s="80"/>
      <c r="L97" s="80"/>
      <c r="M97" s="64">
        <v>0</v>
      </c>
      <c r="N97" s="64">
        <v>0</v>
      </c>
      <c r="O97" s="64">
        <v>0</v>
      </c>
      <c r="P97" s="64">
        <v>0</v>
      </c>
      <c r="Q97" s="64">
        <v>0</v>
      </c>
      <c r="R97" s="62">
        <v>0</v>
      </c>
      <c r="S97" s="62">
        <f t="shared" si="47"/>
        <v>0</v>
      </c>
      <c r="T97" s="79"/>
      <c r="U97" s="79"/>
      <c r="V97" s="81"/>
      <c r="W97" s="81"/>
      <c r="X97" s="79"/>
      <c r="Y97" s="81"/>
      <c r="Z97" s="81"/>
      <c r="AA97" s="146"/>
      <c r="AB97" s="81"/>
      <c r="AC97" s="146"/>
      <c r="AD97" s="81"/>
      <c r="AE97" s="146"/>
      <c r="AF97" s="79"/>
      <c r="AG97" s="79"/>
      <c r="AH97" s="81"/>
      <c r="AI97" s="81"/>
      <c r="AJ97" s="79"/>
      <c r="AK97" s="81"/>
      <c r="AL97" s="81"/>
      <c r="AM97" s="146"/>
      <c r="AN97" s="81"/>
      <c r="AO97" s="146"/>
      <c r="AP97" s="81"/>
      <c r="AQ97" s="146"/>
      <c r="AR97" s="79"/>
      <c r="AS97" s="79"/>
      <c r="AT97" s="81"/>
      <c r="AU97" s="81"/>
      <c r="AV97" s="79"/>
      <c r="AW97" s="81"/>
      <c r="AX97" s="81"/>
      <c r="AY97" s="146"/>
      <c r="AZ97" s="81"/>
      <c r="BA97" s="146"/>
      <c r="BB97" s="81"/>
      <c r="BC97" s="146"/>
      <c r="BD97" s="147"/>
      <c r="BE97" s="146"/>
      <c r="BF97" s="147"/>
      <c r="BG97" s="146"/>
      <c r="BH97" s="81"/>
      <c r="BI97" s="146"/>
      <c r="BJ97" s="81"/>
      <c r="BK97" s="146"/>
      <c r="BL97" s="79"/>
      <c r="BM97" s="79"/>
      <c r="BN97" s="81"/>
      <c r="BO97" s="81"/>
      <c r="BP97" s="79"/>
      <c r="BQ97" s="81"/>
      <c r="BR97" s="81"/>
      <c r="BS97" s="146"/>
      <c r="BT97" s="81"/>
      <c r="BU97" s="146"/>
      <c r="BV97" s="81"/>
      <c r="BW97" s="146"/>
      <c r="BX97" s="147"/>
      <c r="BY97" s="146"/>
      <c r="BZ97" s="81"/>
      <c r="CA97" s="146"/>
      <c r="CB97" s="81"/>
      <c r="CC97" s="146"/>
      <c r="CD97" s="81"/>
      <c r="CE97" s="146"/>
      <c r="CF97" s="81"/>
      <c r="CG97" s="146"/>
      <c r="CH97" s="81"/>
      <c r="CI97" s="81"/>
      <c r="CJ97" s="81"/>
      <c r="CK97" s="81"/>
      <c r="CL97" s="146"/>
      <c r="CM97" s="81"/>
      <c r="CN97" s="81"/>
      <c r="CO97" s="146"/>
      <c r="CP97" s="81"/>
      <c r="CQ97" s="146"/>
      <c r="CR97" s="81"/>
      <c r="CS97" s="81"/>
      <c r="CT97" s="81"/>
      <c r="CU97" s="81"/>
      <c r="CV97" s="146"/>
      <c r="CW97" s="81"/>
      <c r="CX97" s="81"/>
      <c r="CY97" s="146"/>
      <c r="CZ97" s="81"/>
      <c r="DA97" s="146"/>
      <c r="DB97" s="81"/>
      <c r="DC97" s="146"/>
    </row>
    <row r="98" spans="1:107" ht="24" hidden="1" customHeight="1" x14ac:dyDescent="0.3">
      <c r="A98" s="54">
        <f t="shared" si="92"/>
        <v>9</v>
      </c>
      <c r="B98" s="55" t="s">
        <v>119</v>
      </c>
      <c r="C98" s="56">
        <f t="shared" si="90"/>
        <v>0</v>
      </c>
      <c r="D98" s="57">
        <v>0</v>
      </c>
      <c r="E98" s="64">
        <v>0</v>
      </c>
      <c r="F98" s="79"/>
      <c r="G98" s="79"/>
      <c r="H98" s="58">
        <f t="shared" si="36"/>
        <v>0</v>
      </c>
      <c r="I98" s="59">
        <f t="shared" si="1"/>
        <v>0</v>
      </c>
      <c r="J98" s="60">
        <f t="shared" si="91"/>
        <v>0</v>
      </c>
      <c r="K98" s="80"/>
      <c r="L98" s="80"/>
      <c r="M98" s="64">
        <v>0</v>
      </c>
      <c r="N98" s="64">
        <v>0</v>
      </c>
      <c r="O98" s="64">
        <v>0</v>
      </c>
      <c r="P98" s="64">
        <v>0</v>
      </c>
      <c r="Q98" s="64">
        <v>0</v>
      </c>
      <c r="R98" s="62">
        <v>0</v>
      </c>
      <c r="S98" s="62">
        <f t="shared" si="47"/>
        <v>0</v>
      </c>
      <c r="T98" s="79"/>
      <c r="U98" s="79"/>
      <c r="V98" s="81"/>
      <c r="W98" s="81"/>
      <c r="X98" s="79"/>
      <c r="Y98" s="81"/>
      <c r="Z98" s="81"/>
      <c r="AA98" s="146"/>
      <c r="AB98" s="81"/>
      <c r="AC98" s="146"/>
      <c r="AD98" s="81"/>
      <c r="AE98" s="146"/>
      <c r="AF98" s="79"/>
      <c r="AG98" s="79"/>
      <c r="AH98" s="81"/>
      <c r="AI98" s="81"/>
      <c r="AJ98" s="79"/>
      <c r="AK98" s="81"/>
      <c r="AL98" s="81"/>
      <c r="AM98" s="146"/>
      <c r="AN98" s="81"/>
      <c r="AO98" s="146"/>
      <c r="AP98" s="81"/>
      <c r="AQ98" s="146"/>
      <c r="AR98" s="79"/>
      <c r="AS98" s="79"/>
      <c r="AT98" s="81"/>
      <c r="AU98" s="81"/>
      <c r="AV98" s="79"/>
      <c r="AW98" s="81"/>
      <c r="AX98" s="81"/>
      <c r="AY98" s="146"/>
      <c r="AZ98" s="81"/>
      <c r="BA98" s="146"/>
      <c r="BB98" s="81"/>
      <c r="BC98" s="146"/>
      <c r="BD98" s="147"/>
      <c r="BE98" s="146"/>
      <c r="BF98" s="147"/>
      <c r="BG98" s="146"/>
      <c r="BH98" s="81"/>
      <c r="BI98" s="146"/>
      <c r="BJ98" s="81"/>
      <c r="BK98" s="146"/>
      <c r="BL98" s="79"/>
      <c r="BM98" s="79"/>
      <c r="BN98" s="81"/>
      <c r="BO98" s="81"/>
      <c r="BP98" s="79"/>
      <c r="BQ98" s="81"/>
      <c r="BR98" s="81"/>
      <c r="BS98" s="146"/>
      <c r="BT98" s="81"/>
      <c r="BU98" s="146"/>
      <c r="BV98" s="81"/>
      <c r="BW98" s="146"/>
      <c r="BX98" s="147"/>
      <c r="BY98" s="146"/>
      <c r="BZ98" s="81"/>
      <c r="CA98" s="146"/>
      <c r="CB98" s="81"/>
      <c r="CC98" s="146"/>
      <c r="CD98" s="81"/>
      <c r="CE98" s="146"/>
      <c r="CF98" s="81"/>
      <c r="CG98" s="146"/>
      <c r="CH98" s="81"/>
      <c r="CI98" s="81"/>
      <c r="CJ98" s="81"/>
      <c r="CK98" s="81"/>
      <c r="CL98" s="146"/>
      <c r="CM98" s="81"/>
      <c r="CN98" s="81"/>
      <c r="CO98" s="146"/>
      <c r="CP98" s="81"/>
      <c r="CQ98" s="146"/>
      <c r="CR98" s="81"/>
      <c r="CS98" s="81"/>
      <c r="CT98" s="81"/>
      <c r="CU98" s="81"/>
      <c r="CV98" s="146"/>
      <c r="CW98" s="81"/>
      <c r="CX98" s="81"/>
      <c r="CY98" s="146"/>
      <c r="CZ98" s="81"/>
      <c r="DA98" s="146"/>
      <c r="DB98" s="81"/>
      <c r="DC98" s="146"/>
    </row>
    <row r="99" spans="1:107" ht="24" hidden="1" customHeight="1" x14ac:dyDescent="0.3">
      <c r="A99" s="54">
        <f t="shared" si="92"/>
        <v>10</v>
      </c>
      <c r="B99" s="55" t="s">
        <v>120</v>
      </c>
      <c r="C99" s="56">
        <f t="shared" si="90"/>
        <v>0</v>
      </c>
      <c r="D99" s="57">
        <v>0</v>
      </c>
      <c r="E99" s="64">
        <v>0</v>
      </c>
      <c r="F99" s="79"/>
      <c r="G99" s="79"/>
      <c r="H99" s="58">
        <f t="shared" si="36"/>
        <v>0</v>
      </c>
      <c r="I99" s="59">
        <f t="shared" si="1"/>
        <v>0</v>
      </c>
      <c r="J99" s="60">
        <f t="shared" si="91"/>
        <v>0</v>
      </c>
      <c r="K99" s="80"/>
      <c r="L99" s="80"/>
      <c r="M99" s="64">
        <v>0</v>
      </c>
      <c r="N99" s="64">
        <v>0</v>
      </c>
      <c r="O99" s="64">
        <v>0</v>
      </c>
      <c r="P99" s="64">
        <v>0</v>
      </c>
      <c r="Q99" s="64">
        <v>0</v>
      </c>
      <c r="R99" s="62">
        <v>0</v>
      </c>
      <c r="S99" s="62">
        <f t="shared" si="47"/>
        <v>0</v>
      </c>
      <c r="T99" s="79"/>
      <c r="U99" s="79"/>
      <c r="V99" s="81"/>
      <c r="W99" s="81"/>
      <c r="X99" s="79"/>
      <c r="Y99" s="81"/>
      <c r="Z99" s="81"/>
      <c r="AA99" s="146"/>
      <c r="AB99" s="81"/>
      <c r="AC99" s="146"/>
      <c r="AD99" s="81"/>
      <c r="AE99" s="146"/>
      <c r="AF99" s="79"/>
      <c r="AG99" s="79"/>
      <c r="AH99" s="81"/>
      <c r="AI99" s="81"/>
      <c r="AJ99" s="79"/>
      <c r="AK99" s="81"/>
      <c r="AL99" s="81"/>
      <c r="AM99" s="146"/>
      <c r="AN99" s="81"/>
      <c r="AO99" s="146"/>
      <c r="AP99" s="81"/>
      <c r="AQ99" s="146"/>
      <c r="AR99" s="79"/>
      <c r="AS99" s="79"/>
      <c r="AT99" s="81"/>
      <c r="AU99" s="81"/>
      <c r="AV99" s="79"/>
      <c r="AW99" s="81"/>
      <c r="AX99" s="81"/>
      <c r="AY99" s="146"/>
      <c r="AZ99" s="81"/>
      <c r="BA99" s="146"/>
      <c r="BB99" s="81"/>
      <c r="BC99" s="146"/>
      <c r="BD99" s="147"/>
      <c r="BE99" s="146"/>
      <c r="BF99" s="147"/>
      <c r="BG99" s="146"/>
      <c r="BH99" s="81"/>
      <c r="BI99" s="146"/>
      <c r="BJ99" s="81"/>
      <c r="BK99" s="146"/>
      <c r="BL99" s="79"/>
      <c r="BM99" s="79"/>
      <c r="BN99" s="81"/>
      <c r="BO99" s="81"/>
      <c r="BP99" s="79"/>
      <c r="BQ99" s="81"/>
      <c r="BR99" s="81"/>
      <c r="BS99" s="146"/>
      <c r="BT99" s="81"/>
      <c r="BU99" s="146"/>
      <c r="BV99" s="81"/>
      <c r="BW99" s="146"/>
      <c r="BX99" s="147"/>
      <c r="BY99" s="146"/>
      <c r="BZ99" s="81"/>
      <c r="CA99" s="146"/>
      <c r="CB99" s="81"/>
      <c r="CC99" s="146"/>
      <c r="CD99" s="81"/>
      <c r="CE99" s="146"/>
      <c r="CF99" s="81"/>
      <c r="CG99" s="146"/>
      <c r="CH99" s="81"/>
      <c r="CI99" s="81"/>
      <c r="CJ99" s="81"/>
      <c r="CK99" s="81"/>
      <c r="CL99" s="146"/>
      <c r="CM99" s="81"/>
      <c r="CN99" s="81"/>
      <c r="CO99" s="146"/>
      <c r="CP99" s="81"/>
      <c r="CQ99" s="146"/>
      <c r="CR99" s="81"/>
      <c r="CS99" s="81"/>
      <c r="CT99" s="81"/>
      <c r="CU99" s="81"/>
      <c r="CV99" s="146"/>
      <c r="CW99" s="81"/>
      <c r="CX99" s="81"/>
      <c r="CY99" s="146"/>
      <c r="CZ99" s="81"/>
      <c r="DA99" s="146"/>
      <c r="DB99" s="81"/>
      <c r="DC99" s="146"/>
    </row>
    <row r="100" spans="1:107" ht="24" hidden="1" customHeight="1" x14ac:dyDescent="0.3">
      <c r="A100" s="54">
        <f t="shared" si="92"/>
        <v>11</v>
      </c>
      <c r="B100" s="55" t="s">
        <v>121</v>
      </c>
      <c r="C100" s="56">
        <f t="shared" si="90"/>
        <v>0</v>
      </c>
      <c r="D100" s="57">
        <v>0</v>
      </c>
      <c r="E100" s="64">
        <v>0</v>
      </c>
      <c r="F100" s="79"/>
      <c r="G100" s="79"/>
      <c r="H100" s="58">
        <f t="shared" si="36"/>
        <v>0</v>
      </c>
      <c r="I100" s="59">
        <f t="shared" si="1"/>
        <v>0</v>
      </c>
      <c r="J100" s="60">
        <f t="shared" si="91"/>
        <v>0</v>
      </c>
      <c r="K100" s="80"/>
      <c r="L100" s="80"/>
      <c r="M100" s="64">
        <v>0</v>
      </c>
      <c r="N100" s="64">
        <v>0</v>
      </c>
      <c r="O100" s="64">
        <v>0</v>
      </c>
      <c r="P100" s="64">
        <v>0</v>
      </c>
      <c r="Q100" s="64">
        <v>0</v>
      </c>
      <c r="R100" s="62">
        <v>0</v>
      </c>
      <c r="S100" s="62">
        <f t="shared" si="47"/>
        <v>0</v>
      </c>
      <c r="T100" s="79"/>
      <c r="U100" s="79"/>
      <c r="V100" s="81"/>
      <c r="W100" s="81"/>
      <c r="X100" s="79"/>
      <c r="Y100" s="81"/>
      <c r="Z100" s="81"/>
      <c r="AA100" s="146"/>
      <c r="AB100" s="81"/>
      <c r="AC100" s="146"/>
      <c r="AD100" s="81"/>
      <c r="AE100" s="146"/>
      <c r="AF100" s="79"/>
      <c r="AG100" s="79"/>
      <c r="AH100" s="81"/>
      <c r="AI100" s="81"/>
      <c r="AJ100" s="79"/>
      <c r="AK100" s="81"/>
      <c r="AL100" s="81"/>
      <c r="AM100" s="146"/>
      <c r="AN100" s="81"/>
      <c r="AO100" s="146"/>
      <c r="AP100" s="81"/>
      <c r="AQ100" s="146"/>
      <c r="AR100" s="79"/>
      <c r="AS100" s="79"/>
      <c r="AT100" s="81"/>
      <c r="AU100" s="81"/>
      <c r="AV100" s="79"/>
      <c r="AW100" s="81"/>
      <c r="AX100" s="81"/>
      <c r="AY100" s="146"/>
      <c r="AZ100" s="81"/>
      <c r="BA100" s="146"/>
      <c r="BB100" s="81"/>
      <c r="BC100" s="146"/>
      <c r="BD100" s="147"/>
      <c r="BE100" s="146"/>
      <c r="BF100" s="147"/>
      <c r="BG100" s="146"/>
      <c r="BH100" s="81"/>
      <c r="BI100" s="146"/>
      <c r="BJ100" s="81"/>
      <c r="BK100" s="146"/>
      <c r="BL100" s="79"/>
      <c r="BM100" s="79"/>
      <c r="BN100" s="81"/>
      <c r="BO100" s="81"/>
      <c r="BP100" s="79"/>
      <c r="BQ100" s="81"/>
      <c r="BR100" s="81"/>
      <c r="BS100" s="146"/>
      <c r="BT100" s="81"/>
      <c r="BU100" s="146"/>
      <c r="BV100" s="81"/>
      <c r="BW100" s="146"/>
      <c r="BX100" s="147"/>
      <c r="BY100" s="146"/>
      <c r="BZ100" s="81"/>
      <c r="CA100" s="146"/>
      <c r="CB100" s="81"/>
      <c r="CC100" s="146"/>
      <c r="CD100" s="81"/>
      <c r="CE100" s="146"/>
      <c r="CF100" s="81"/>
      <c r="CG100" s="146"/>
      <c r="CH100" s="81"/>
      <c r="CI100" s="81"/>
      <c r="CJ100" s="81"/>
      <c r="CK100" s="81"/>
      <c r="CL100" s="146"/>
      <c r="CM100" s="81"/>
      <c r="CN100" s="81"/>
      <c r="CO100" s="146"/>
      <c r="CP100" s="81"/>
      <c r="CQ100" s="146"/>
      <c r="CR100" s="81"/>
      <c r="CS100" s="81"/>
      <c r="CT100" s="81"/>
      <c r="CU100" s="81"/>
      <c r="CV100" s="146"/>
      <c r="CW100" s="81"/>
      <c r="CX100" s="81"/>
      <c r="CY100" s="146"/>
      <c r="CZ100" s="81"/>
      <c r="DA100" s="146"/>
      <c r="DB100" s="81"/>
      <c r="DC100" s="146"/>
    </row>
    <row r="101" spans="1:107" ht="24" hidden="1" customHeight="1" x14ac:dyDescent="0.3">
      <c r="A101" s="54">
        <f t="shared" si="92"/>
        <v>12</v>
      </c>
      <c r="B101" s="55" t="s">
        <v>122</v>
      </c>
      <c r="C101" s="56">
        <f t="shared" si="90"/>
        <v>0</v>
      </c>
      <c r="D101" s="57">
        <v>0</v>
      </c>
      <c r="E101" s="64">
        <v>0</v>
      </c>
      <c r="F101" s="79"/>
      <c r="G101" s="79"/>
      <c r="H101" s="58">
        <f t="shared" si="36"/>
        <v>0</v>
      </c>
      <c r="I101" s="59">
        <f t="shared" si="1"/>
        <v>0</v>
      </c>
      <c r="J101" s="60">
        <f t="shared" si="91"/>
        <v>0</v>
      </c>
      <c r="K101" s="80"/>
      <c r="L101" s="80"/>
      <c r="M101" s="64">
        <v>0</v>
      </c>
      <c r="N101" s="64">
        <v>0</v>
      </c>
      <c r="O101" s="64">
        <v>0</v>
      </c>
      <c r="P101" s="64">
        <v>0</v>
      </c>
      <c r="Q101" s="64">
        <v>0</v>
      </c>
      <c r="R101" s="62">
        <v>0</v>
      </c>
      <c r="S101" s="62">
        <f t="shared" si="47"/>
        <v>0</v>
      </c>
      <c r="T101" s="79"/>
      <c r="U101" s="79"/>
      <c r="V101" s="81"/>
      <c r="W101" s="81"/>
      <c r="X101" s="79"/>
      <c r="Y101" s="81"/>
      <c r="Z101" s="81"/>
      <c r="AA101" s="146"/>
      <c r="AB101" s="81"/>
      <c r="AC101" s="146"/>
      <c r="AD101" s="81"/>
      <c r="AE101" s="146"/>
      <c r="AF101" s="79"/>
      <c r="AG101" s="79"/>
      <c r="AH101" s="81"/>
      <c r="AI101" s="81"/>
      <c r="AJ101" s="79"/>
      <c r="AK101" s="81"/>
      <c r="AL101" s="81"/>
      <c r="AM101" s="146"/>
      <c r="AN101" s="81"/>
      <c r="AO101" s="146"/>
      <c r="AP101" s="81"/>
      <c r="AQ101" s="146"/>
      <c r="AR101" s="79"/>
      <c r="AS101" s="79"/>
      <c r="AT101" s="81"/>
      <c r="AU101" s="81"/>
      <c r="AV101" s="79"/>
      <c r="AW101" s="81"/>
      <c r="AX101" s="81"/>
      <c r="AY101" s="146"/>
      <c r="AZ101" s="81"/>
      <c r="BA101" s="146"/>
      <c r="BB101" s="81"/>
      <c r="BC101" s="146"/>
      <c r="BD101" s="147"/>
      <c r="BE101" s="146"/>
      <c r="BF101" s="147"/>
      <c r="BG101" s="146"/>
      <c r="BH101" s="81"/>
      <c r="BI101" s="146"/>
      <c r="BJ101" s="81"/>
      <c r="BK101" s="146"/>
      <c r="BL101" s="79"/>
      <c r="BM101" s="79"/>
      <c r="BN101" s="81"/>
      <c r="BO101" s="81"/>
      <c r="BP101" s="79"/>
      <c r="BQ101" s="81"/>
      <c r="BR101" s="81"/>
      <c r="BS101" s="146"/>
      <c r="BT101" s="81"/>
      <c r="BU101" s="146"/>
      <c r="BV101" s="81"/>
      <c r="BW101" s="146"/>
      <c r="BX101" s="147"/>
      <c r="BY101" s="146"/>
      <c r="BZ101" s="81"/>
      <c r="CA101" s="146"/>
      <c r="CB101" s="81"/>
      <c r="CC101" s="146"/>
      <c r="CD101" s="81"/>
      <c r="CE101" s="146"/>
      <c r="CF101" s="81"/>
      <c r="CG101" s="146"/>
      <c r="CH101" s="81"/>
      <c r="CI101" s="81"/>
      <c r="CJ101" s="81"/>
      <c r="CK101" s="81"/>
      <c r="CL101" s="146"/>
      <c r="CM101" s="81"/>
      <c r="CN101" s="81"/>
      <c r="CO101" s="146"/>
      <c r="CP101" s="81"/>
      <c r="CQ101" s="146"/>
      <c r="CR101" s="81"/>
      <c r="CS101" s="81"/>
      <c r="CT101" s="81"/>
      <c r="CU101" s="81"/>
      <c r="CV101" s="146"/>
      <c r="CW101" s="81"/>
      <c r="CX101" s="81"/>
      <c r="CY101" s="146"/>
      <c r="CZ101" s="81"/>
      <c r="DA101" s="146"/>
      <c r="DB101" s="81"/>
      <c r="DC101" s="146"/>
    </row>
    <row r="102" spans="1:107" ht="24" hidden="1" customHeight="1" x14ac:dyDescent="0.3">
      <c r="A102" s="54">
        <f t="shared" si="92"/>
        <v>13</v>
      </c>
      <c r="B102" s="55" t="s">
        <v>123</v>
      </c>
      <c r="C102" s="56">
        <f t="shared" si="90"/>
        <v>0</v>
      </c>
      <c r="D102" s="57">
        <v>0</v>
      </c>
      <c r="E102" s="64">
        <v>0</v>
      </c>
      <c r="F102" s="79"/>
      <c r="G102" s="79"/>
      <c r="H102" s="58">
        <f t="shared" si="36"/>
        <v>0</v>
      </c>
      <c r="I102" s="59">
        <f t="shared" si="1"/>
        <v>0</v>
      </c>
      <c r="J102" s="60">
        <f t="shared" si="91"/>
        <v>0</v>
      </c>
      <c r="K102" s="80"/>
      <c r="L102" s="80"/>
      <c r="M102" s="64">
        <v>0</v>
      </c>
      <c r="N102" s="64">
        <v>0</v>
      </c>
      <c r="O102" s="64">
        <v>0</v>
      </c>
      <c r="P102" s="64">
        <v>0</v>
      </c>
      <c r="Q102" s="64">
        <v>0</v>
      </c>
      <c r="R102" s="62">
        <v>0</v>
      </c>
      <c r="S102" s="62">
        <f t="shared" si="47"/>
        <v>0</v>
      </c>
      <c r="T102" s="79"/>
      <c r="U102" s="79"/>
      <c r="V102" s="81"/>
      <c r="W102" s="81"/>
      <c r="X102" s="79"/>
      <c r="Y102" s="81"/>
      <c r="Z102" s="81"/>
      <c r="AA102" s="146"/>
      <c r="AB102" s="81"/>
      <c r="AC102" s="146"/>
      <c r="AD102" s="81"/>
      <c r="AE102" s="146"/>
      <c r="AF102" s="79"/>
      <c r="AG102" s="79"/>
      <c r="AH102" s="81"/>
      <c r="AI102" s="81"/>
      <c r="AJ102" s="79"/>
      <c r="AK102" s="81"/>
      <c r="AL102" s="81"/>
      <c r="AM102" s="146"/>
      <c r="AN102" s="81"/>
      <c r="AO102" s="146"/>
      <c r="AP102" s="81"/>
      <c r="AQ102" s="146"/>
      <c r="AR102" s="79"/>
      <c r="AS102" s="79"/>
      <c r="AT102" s="81"/>
      <c r="AU102" s="81"/>
      <c r="AV102" s="79"/>
      <c r="AW102" s="81"/>
      <c r="AX102" s="81"/>
      <c r="AY102" s="146"/>
      <c r="AZ102" s="81"/>
      <c r="BA102" s="146"/>
      <c r="BB102" s="81"/>
      <c r="BC102" s="146"/>
      <c r="BD102" s="147"/>
      <c r="BE102" s="146"/>
      <c r="BF102" s="147"/>
      <c r="BG102" s="146"/>
      <c r="BH102" s="81"/>
      <c r="BI102" s="146"/>
      <c r="BJ102" s="81"/>
      <c r="BK102" s="146"/>
      <c r="BL102" s="79"/>
      <c r="BM102" s="79"/>
      <c r="BN102" s="81"/>
      <c r="BO102" s="81"/>
      <c r="BP102" s="79"/>
      <c r="BQ102" s="81"/>
      <c r="BR102" s="81"/>
      <c r="BS102" s="146"/>
      <c r="BT102" s="81"/>
      <c r="BU102" s="146"/>
      <c r="BV102" s="81"/>
      <c r="BW102" s="146"/>
      <c r="BX102" s="147"/>
      <c r="BY102" s="146"/>
      <c r="BZ102" s="81"/>
      <c r="CA102" s="146"/>
      <c r="CB102" s="81"/>
      <c r="CC102" s="146"/>
      <c r="CD102" s="81"/>
      <c r="CE102" s="146"/>
      <c r="CF102" s="81"/>
      <c r="CG102" s="146"/>
      <c r="CH102" s="81"/>
      <c r="CI102" s="81"/>
      <c r="CJ102" s="81"/>
      <c r="CK102" s="81"/>
      <c r="CL102" s="146"/>
      <c r="CM102" s="81"/>
      <c r="CN102" s="81"/>
      <c r="CO102" s="146"/>
      <c r="CP102" s="81"/>
      <c r="CQ102" s="146"/>
      <c r="CR102" s="81"/>
      <c r="CS102" s="81"/>
      <c r="CT102" s="81"/>
      <c r="CU102" s="81"/>
      <c r="CV102" s="146"/>
      <c r="CW102" s="81"/>
      <c r="CX102" s="81"/>
      <c r="CY102" s="146"/>
      <c r="CZ102" s="81"/>
      <c r="DA102" s="146"/>
      <c r="DB102" s="81"/>
      <c r="DC102" s="146"/>
    </row>
    <row r="103" spans="1:107" ht="24" hidden="1" customHeight="1" x14ac:dyDescent="0.3">
      <c r="A103" s="65">
        <f t="shared" si="92"/>
        <v>14</v>
      </c>
      <c r="B103" s="66" t="s">
        <v>124</v>
      </c>
      <c r="C103" s="67">
        <f t="shared" si="90"/>
        <v>0</v>
      </c>
      <c r="D103" s="68">
        <v>0</v>
      </c>
      <c r="E103" s="69">
        <v>0</v>
      </c>
      <c r="F103" s="82"/>
      <c r="G103" s="82"/>
      <c r="H103" s="70">
        <f t="shared" si="36"/>
        <v>0</v>
      </c>
      <c r="I103" s="71">
        <f t="shared" si="1"/>
        <v>0</v>
      </c>
      <c r="J103" s="72">
        <f t="shared" si="91"/>
        <v>0</v>
      </c>
      <c r="K103" s="83"/>
      <c r="L103" s="83"/>
      <c r="M103" s="69">
        <v>0</v>
      </c>
      <c r="N103" s="69">
        <v>0</v>
      </c>
      <c r="O103" s="69">
        <v>0</v>
      </c>
      <c r="P103" s="69">
        <v>0</v>
      </c>
      <c r="Q103" s="69">
        <v>0</v>
      </c>
      <c r="R103" s="74">
        <v>0</v>
      </c>
      <c r="S103" s="74">
        <f t="shared" si="47"/>
        <v>0</v>
      </c>
      <c r="T103" s="82"/>
      <c r="U103" s="82"/>
      <c r="V103" s="84"/>
      <c r="W103" s="84"/>
      <c r="X103" s="82"/>
      <c r="Y103" s="84"/>
      <c r="Z103" s="84"/>
      <c r="AA103" s="148"/>
      <c r="AB103" s="84"/>
      <c r="AC103" s="148"/>
      <c r="AD103" s="84"/>
      <c r="AE103" s="148"/>
      <c r="AF103" s="82"/>
      <c r="AG103" s="82"/>
      <c r="AH103" s="84"/>
      <c r="AI103" s="84"/>
      <c r="AJ103" s="82"/>
      <c r="AK103" s="84"/>
      <c r="AL103" s="84"/>
      <c r="AM103" s="148"/>
      <c r="AN103" s="84"/>
      <c r="AO103" s="148"/>
      <c r="AP103" s="84"/>
      <c r="AQ103" s="148"/>
      <c r="AR103" s="82"/>
      <c r="AS103" s="82"/>
      <c r="AT103" s="84"/>
      <c r="AU103" s="84"/>
      <c r="AV103" s="82"/>
      <c r="AW103" s="84"/>
      <c r="AX103" s="84"/>
      <c r="AY103" s="148"/>
      <c r="AZ103" s="84"/>
      <c r="BA103" s="148"/>
      <c r="BB103" s="84"/>
      <c r="BC103" s="148"/>
      <c r="BD103" s="149"/>
      <c r="BE103" s="148"/>
      <c r="BF103" s="149"/>
      <c r="BG103" s="148"/>
      <c r="BH103" s="84"/>
      <c r="BI103" s="148"/>
      <c r="BJ103" s="84"/>
      <c r="BK103" s="148"/>
      <c r="BL103" s="82"/>
      <c r="BM103" s="82"/>
      <c r="BN103" s="84"/>
      <c r="BO103" s="84"/>
      <c r="BP103" s="82"/>
      <c r="BQ103" s="84"/>
      <c r="BR103" s="84"/>
      <c r="BS103" s="148"/>
      <c r="BT103" s="84"/>
      <c r="BU103" s="148"/>
      <c r="BV103" s="84"/>
      <c r="BW103" s="148"/>
      <c r="BX103" s="149"/>
      <c r="BY103" s="148"/>
      <c r="BZ103" s="84"/>
      <c r="CA103" s="148"/>
      <c r="CB103" s="84"/>
      <c r="CC103" s="148"/>
      <c r="CD103" s="84"/>
      <c r="CE103" s="148"/>
      <c r="CF103" s="84"/>
      <c r="CG103" s="148"/>
      <c r="CH103" s="84"/>
      <c r="CI103" s="84"/>
      <c r="CJ103" s="84"/>
      <c r="CK103" s="84"/>
      <c r="CL103" s="148"/>
      <c r="CM103" s="84"/>
      <c r="CN103" s="84"/>
      <c r="CO103" s="148"/>
      <c r="CP103" s="84"/>
      <c r="CQ103" s="148"/>
      <c r="CR103" s="84"/>
      <c r="CS103" s="84"/>
      <c r="CT103" s="84"/>
      <c r="CU103" s="84"/>
      <c r="CV103" s="148"/>
      <c r="CW103" s="84"/>
      <c r="CX103" s="84"/>
      <c r="CY103" s="148"/>
      <c r="CZ103" s="84"/>
      <c r="DA103" s="148"/>
      <c r="DB103" s="84"/>
      <c r="DC103" s="148"/>
    </row>
    <row r="104" spans="1:107" ht="21" hidden="1" customHeight="1" x14ac:dyDescent="0.3">
      <c r="A104" s="187" t="s">
        <v>125</v>
      </c>
      <c r="B104" s="178"/>
      <c r="C104" s="77">
        <f>SUM(C105:C116)</f>
        <v>0</v>
      </c>
      <c r="D104" s="43"/>
      <c r="E104" s="43"/>
      <c r="F104" s="43"/>
      <c r="G104" s="43"/>
      <c r="H104" s="40">
        <f t="shared" si="36"/>
        <v>0</v>
      </c>
      <c r="I104" s="41">
        <f t="shared" si="1"/>
        <v>0</v>
      </c>
      <c r="J104" s="40">
        <f>SUM(J105:J116)</f>
        <v>0</v>
      </c>
      <c r="K104" s="43"/>
      <c r="L104" s="43"/>
      <c r="M104" s="43"/>
      <c r="N104" s="43"/>
      <c r="O104" s="43"/>
      <c r="P104" s="43"/>
      <c r="Q104" s="43"/>
      <c r="R104" s="43"/>
      <c r="S104" s="40">
        <f t="shared" si="47"/>
        <v>0</v>
      </c>
      <c r="T104" s="43"/>
      <c r="U104" s="43"/>
      <c r="V104" s="43"/>
      <c r="W104" s="43"/>
      <c r="X104" s="43"/>
      <c r="Y104" s="43"/>
      <c r="Z104" s="43"/>
      <c r="AA104" s="144"/>
      <c r="AB104" s="43"/>
      <c r="AC104" s="144"/>
      <c r="AD104" s="43"/>
      <c r="AE104" s="144"/>
      <c r="AF104" s="43"/>
      <c r="AG104" s="43"/>
      <c r="AH104" s="43"/>
      <c r="AI104" s="43"/>
      <c r="AJ104" s="43"/>
      <c r="AK104" s="43"/>
      <c r="AL104" s="43"/>
      <c r="AM104" s="144"/>
      <c r="AN104" s="43"/>
      <c r="AO104" s="144"/>
      <c r="AP104" s="43"/>
      <c r="AQ104" s="144"/>
      <c r="AR104" s="43"/>
      <c r="AS104" s="43"/>
      <c r="AT104" s="43"/>
      <c r="AU104" s="43"/>
      <c r="AV104" s="43"/>
      <c r="AW104" s="43"/>
      <c r="AX104" s="43"/>
      <c r="AY104" s="144"/>
      <c r="AZ104" s="43"/>
      <c r="BA104" s="144"/>
      <c r="BB104" s="43"/>
      <c r="BC104" s="144"/>
      <c r="BD104" s="144"/>
      <c r="BE104" s="144"/>
      <c r="BF104" s="144"/>
      <c r="BG104" s="144"/>
      <c r="BH104" s="43"/>
      <c r="BI104" s="144"/>
      <c r="BJ104" s="43"/>
      <c r="BK104" s="144"/>
      <c r="BL104" s="43"/>
      <c r="BM104" s="43"/>
      <c r="BN104" s="43"/>
      <c r="BO104" s="43"/>
      <c r="BP104" s="43"/>
      <c r="BQ104" s="43"/>
      <c r="BR104" s="43"/>
      <c r="BS104" s="144"/>
      <c r="BT104" s="43"/>
      <c r="BU104" s="144"/>
      <c r="BV104" s="43"/>
      <c r="BW104" s="144"/>
      <c r="BX104" s="144"/>
      <c r="BY104" s="144"/>
      <c r="BZ104" s="43"/>
      <c r="CA104" s="144"/>
      <c r="CB104" s="43"/>
      <c r="CC104" s="144"/>
      <c r="CD104" s="43"/>
      <c r="CE104" s="144"/>
      <c r="CF104" s="43"/>
      <c r="CG104" s="144"/>
      <c r="CH104" s="43"/>
      <c r="CI104" s="43"/>
      <c r="CJ104" s="43"/>
      <c r="CK104" s="43"/>
      <c r="CL104" s="144"/>
      <c r="CM104" s="43"/>
      <c r="CN104" s="43"/>
      <c r="CO104" s="144"/>
      <c r="CP104" s="43"/>
      <c r="CQ104" s="144"/>
      <c r="CR104" s="43"/>
      <c r="CS104" s="43"/>
      <c r="CT104" s="43"/>
      <c r="CU104" s="43"/>
      <c r="CV104" s="144"/>
      <c r="CW104" s="43"/>
      <c r="CX104" s="43"/>
      <c r="CY104" s="144"/>
      <c r="CZ104" s="43"/>
      <c r="DA104" s="144"/>
      <c r="DB104" s="43"/>
      <c r="DC104" s="144"/>
    </row>
    <row r="105" spans="1:107" ht="24" hidden="1" customHeight="1" x14ac:dyDescent="0.3">
      <c r="A105" s="54">
        <v>1</v>
      </c>
      <c r="B105" s="85" t="s">
        <v>126</v>
      </c>
      <c r="C105" s="56">
        <f t="shared" ref="C105:C116" si="93">D105+E105</f>
        <v>0</v>
      </c>
      <c r="D105" s="57">
        <v>0</v>
      </c>
      <c r="E105" s="64">
        <v>0</v>
      </c>
      <c r="F105" s="79"/>
      <c r="G105" s="79"/>
      <c r="H105" s="58">
        <f t="shared" si="36"/>
        <v>0</v>
      </c>
      <c r="I105" s="59">
        <f t="shared" si="1"/>
        <v>0</v>
      </c>
      <c r="J105" s="60">
        <f t="shared" ref="J105:J116" si="94">M105+N105+O105+P105+Q105</f>
        <v>0</v>
      </c>
      <c r="K105" s="80"/>
      <c r="L105" s="80"/>
      <c r="M105" s="64">
        <v>0</v>
      </c>
      <c r="N105" s="64">
        <v>0</v>
      </c>
      <c r="O105" s="64">
        <v>0</v>
      </c>
      <c r="P105" s="64">
        <v>0</v>
      </c>
      <c r="Q105" s="64">
        <v>0</v>
      </c>
      <c r="R105" s="62">
        <v>0</v>
      </c>
      <c r="S105" s="62">
        <f t="shared" si="47"/>
        <v>0</v>
      </c>
      <c r="T105" s="79"/>
      <c r="U105" s="79"/>
      <c r="V105" s="79"/>
      <c r="W105" s="79"/>
      <c r="X105" s="79"/>
      <c r="Y105" s="79"/>
      <c r="Z105" s="79"/>
      <c r="AA105" s="146"/>
      <c r="AB105" s="79"/>
      <c r="AC105" s="146"/>
      <c r="AD105" s="79"/>
      <c r="AE105" s="146"/>
      <c r="AF105" s="79"/>
      <c r="AG105" s="79"/>
      <c r="AH105" s="79"/>
      <c r="AI105" s="79"/>
      <c r="AJ105" s="79"/>
      <c r="AK105" s="79"/>
      <c r="AL105" s="79"/>
      <c r="AM105" s="146"/>
      <c r="AN105" s="79"/>
      <c r="AO105" s="146"/>
      <c r="AP105" s="79"/>
      <c r="AQ105" s="146"/>
      <c r="AR105" s="79"/>
      <c r="AS105" s="79"/>
      <c r="AT105" s="79"/>
      <c r="AU105" s="79"/>
      <c r="AV105" s="79"/>
      <c r="AW105" s="79"/>
      <c r="AX105" s="79"/>
      <c r="AY105" s="146"/>
      <c r="AZ105" s="79"/>
      <c r="BA105" s="146"/>
      <c r="BB105" s="79"/>
      <c r="BC105" s="146"/>
      <c r="BD105" s="146"/>
      <c r="BE105" s="146"/>
      <c r="BF105" s="146"/>
      <c r="BG105" s="146"/>
      <c r="BH105" s="79"/>
      <c r="BI105" s="146"/>
      <c r="BJ105" s="79"/>
      <c r="BK105" s="146"/>
      <c r="BL105" s="79"/>
      <c r="BM105" s="79"/>
      <c r="BN105" s="79"/>
      <c r="BO105" s="79"/>
      <c r="BP105" s="79"/>
      <c r="BQ105" s="79"/>
      <c r="BR105" s="79"/>
      <c r="BS105" s="146"/>
      <c r="BT105" s="79"/>
      <c r="BU105" s="146"/>
      <c r="BV105" s="79"/>
      <c r="BW105" s="146"/>
      <c r="BX105" s="146"/>
      <c r="BY105" s="146"/>
      <c r="BZ105" s="79"/>
      <c r="CA105" s="146"/>
      <c r="CB105" s="79"/>
      <c r="CC105" s="146"/>
      <c r="CD105" s="79"/>
      <c r="CE105" s="146"/>
      <c r="CF105" s="79"/>
      <c r="CG105" s="146"/>
      <c r="CH105" s="79"/>
      <c r="CI105" s="79"/>
      <c r="CJ105" s="79"/>
      <c r="CK105" s="79"/>
      <c r="CL105" s="146"/>
      <c r="CM105" s="79"/>
      <c r="CN105" s="79"/>
      <c r="CO105" s="146"/>
      <c r="CP105" s="79"/>
      <c r="CQ105" s="146"/>
      <c r="CR105" s="79"/>
      <c r="CS105" s="79"/>
      <c r="CT105" s="79"/>
      <c r="CU105" s="79"/>
      <c r="CV105" s="146"/>
      <c r="CW105" s="79"/>
      <c r="CX105" s="79"/>
      <c r="CY105" s="146"/>
      <c r="CZ105" s="79"/>
      <c r="DA105" s="146"/>
      <c r="DB105" s="79"/>
      <c r="DC105" s="146"/>
    </row>
    <row r="106" spans="1:107" ht="24" hidden="1" customHeight="1" x14ac:dyDescent="0.3">
      <c r="A106" s="54">
        <v>2</v>
      </c>
      <c r="B106" s="85" t="s">
        <v>127</v>
      </c>
      <c r="C106" s="56">
        <f t="shared" si="93"/>
        <v>0</v>
      </c>
      <c r="D106" s="57">
        <v>0</v>
      </c>
      <c r="E106" s="64">
        <v>0</v>
      </c>
      <c r="F106" s="79"/>
      <c r="G106" s="79"/>
      <c r="H106" s="58">
        <f t="shared" si="36"/>
        <v>0</v>
      </c>
      <c r="I106" s="59">
        <f t="shared" si="1"/>
        <v>0</v>
      </c>
      <c r="J106" s="60">
        <f t="shared" si="94"/>
        <v>0</v>
      </c>
      <c r="K106" s="80"/>
      <c r="L106" s="80"/>
      <c r="M106" s="64">
        <v>0</v>
      </c>
      <c r="N106" s="64">
        <v>0</v>
      </c>
      <c r="O106" s="64">
        <v>0</v>
      </c>
      <c r="P106" s="64">
        <v>0</v>
      </c>
      <c r="Q106" s="64">
        <v>0</v>
      </c>
      <c r="R106" s="62">
        <v>0</v>
      </c>
      <c r="S106" s="62">
        <f t="shared" si="47"/>
        <v>0</v>
      </c>
      <c r="T106" s="79"/>
      <c r="U106" s="79"/>
      <c r="V106" s="79"/>
      <c r="W106" s="79"/>
      <c r="X106" s="79"/>
      <c r="Y106" s="79"/>
      <c r="Z106" s="79"/>
      <c r="AA106" s="146"/>
      <c r="AB106" s="79"/>
      <c r="AC106" s="146"/>
      <c r="AD106" s="79"/>
      <c r="AE106" s="146"/>
      <c r="AF106" s="79"/>
      <c r="AG106" s="79"/>
      <c r="AH106" s="79"/>
      <c r="AI106" s="79"/>
      <c r="AJ106" s="79"/>
      <c r="AK106" s="79"/>
      <c r="AL106" s="79"/>
      <c r="AM106" s="146"/>
      <c r="AN106" s="79"/>
      <c r="AO106" s="146"/>
      <c r="AP106" s="79"/>
      <c r="AQ106" s="146"/>
      <c r="AR106" s="79"/>
      <c r="AS106" s="79"/>
      <c r="AT106" s="79"/>
      <c r="AU106" s="79"/>
      <c r="AV106" s="79"/>
      <c r="AW106" s="79"/>
      <c r="AX106" s="79"/>
      <c r="AY106" s="146"/>
      <c r="AZ106" s="79"/>
      <c r="BA106" s="146"/>
      <c r="BB106" s="79"/>
      <c r="BC106" s="146"/>
      <c r="BD106" s="146"/>
      <c r="BE106" s="146"/>
      <c r="BF106" s="146"/>
      <c r="BG106" s="146"/>
      <c r="BH106" s="79"/>
      <c r="BI106" s="146"/>
      <c r="BJ106" s="79"/>
      <c r="BK106" s="146"/>
      <c r="BL106" s="79"/>
      <c r="BM106" s="79"/>
      <c r="BN106" s="79"/>
      <c r="BO106" s="79"/>
      <c r="BP106" s="79"/>
      <c r="BQ106" s="79"/>
      <c r="BR106" s="79"/>
      <c r="BS106" s="146"/>
      <c r="BT106" s="79"/>
      <c r="BU106" s="146"/>
      <c r="BV106" s="79"/>
      <c r="BW106" s="146"/>
      <c r="BX106" s="146"/>
      <c r="BY106" s="146"/>
      <c r="BZ106" s="79"/>
      <c r="CA106" s="146"/>
      <c r="CB106" s="79"/>
      <c r="CC106" s="146"/>
      <c r="CD106" s="79"/>
      <c r="CE106" s="146"/>
      <c r="CF106" s="79"/>
      <c r="CG106" s="146"/>
      <c r="CH106" s="79"/>
      <c r="CI106" s="79"/>
      <c r="CJ106" s="79"/>
      <c r="CK106" s="79"/>
      <c r="CL106" s="146"/>
      <c r="CM106" s="79"/>
      <c r="CN106" s="79"/>
      <c r="CO106" s="146"/>
      <c r="CP106" s="79"/>
      <c r="CQ106" s="146"/>
      <c r="CR106" s="79"/>
      <c r="CS106" s="79"/>
      <c r="CT106" s="79"/>
      <c r="CU106" s="79"/>
      <c r="CV106" s="146"/>
      <c r="CW106" s="79"/>
      <c r="CX106" s="79"/>
      <c r="CY106" s="146"/>
      <c r="CZ106" s="79"/>
      <c r="DA106" s="146"/>
      <c r="DB106" s="79"/>
      <c r="DC106" s="146"/>
    </row>
    <row r="107" spans="1:107" ht="24" hidden="1" customHeight="1" x14ac:dyDescent="0.3">
      <c r="A107" s="54">
        <v>3</v>
      </c>
      <c r="B107" s="85" t="s">
        <v>128</v>
      </c>
      <c r="C107" s="56">
        <f t="shared" si="93"/>
        <v>0</v>
      </c>
      <c r="D107" s="57">
        <v>0</v>
      </c>
      <c r="E107" s="64">
        <v>0</v>
      </c>
      <c r="F107" s="79"/>
      <c r="G107" s="79"/>
      <c r="H107" s="58">
        <f t="shared" si="36"/>
        <v>0</v>
      </c>
      <c r="I107" s="59">
        <f t="shared" si="1"/>
        <v>0</v>
      </c>
      <c r="J107" s="60">
        <f t="shared" si="94"/>
        <v>0</v>
      </c>
      <c r="K107" s="80"/>
      <c r="L107" s="80"/>
      <c r="M107" s="64">
        <v>0</v>
      </c>
      <c r="N107" s="64">
        <v>0</v>
      </c>
      <c r="O107" s="64">
        <v>0</v>
      </c>
      <c r="P107" s="64">
        <v>0</v>
      </c>
      <c r="Q107" s="64">
        <v>0</v>
      </c>
      <c r="R107" s="62">
        <v>0</v>
      </c>
      <c r="S107" s="62">
        <f t="shared" si="47"/>
        <v>0</v>
      </c>
      <c r="T107" s="79"/>
      <c r="U107" s="79"/>
      <c r="V107" s="79"/>
      <c r="W107" s="79"/>
      <c r="X107" s="79"/>
      <c r="Y107" s="79"/>
      <c r="Z107" s="79"/>
      <c r="AA107" s="146"/>
      <c r="AB107" s="79"/>
      <c r="AC107" s="146"/>
      <c r="AD107" s="79"/>
      <c r="AE107" s="146"/>
      <c r="AF107" s="79"/>
      <c r="AG107" s="79"/>
      <c r="AH107" s="79"/>
      <c r="AI107" s="79"/>
      <c r="AJ107" s="79"/>
      <c r="AK107" s="79"/>
      <c r="AL107" s="79"/>
      <c r="AM107" s="146"/>
      <c r="AN107" s="79"/>
      <c r="AO107" s="146"/>
      <c r="AP107" s="79"/>
      <c r="AQ107" s="146"/>
      <c r="AR107" s="79"/>
      <c r="AS107" s="79"/>
      <c r="AT107" s="79"/>
      <c r="AU107" s="79"/>
      <c r="AV107" s="79"/>
      <c r="AW107" s="79"/>
      <c r="AX107" s="79"/>
      <c r="AY107" s="146"/>
      <c r="AZ107" s="79"/>
      <c r="BA107" s="146"/>
      <c r="BB107" s="79"/>
      <c r="BC107" s="146"/>
      <c r="BD107" s="146"/>
      <c r="BE107" s="146"/>
      <c r="BF107" s="146"/>
      <c r="BG107" s="146"/>
      <c r="BH107" s="79"/>
      <c r="BI107" s="146"/>
      <c r="BJ107" s="79"/>
      <c r="BK107" s="146"/>
      <c r="BL107" s="79"/>
      <c r="BM107" s="79"/>
      <c r="BN107" s="79"/>
      <c r="BO107" s="79"/>
      <c r="BP107" s="79"/>
      <c r="BQ107" s="79"/>
      <c r="BR107" s="79"/>
      <c r="BS107" s="146"/>
      <c r="BT107" s="79"/>
      <c r="BU107" s="146"/>
      <c r="BV107" s="79"/>
      <c r="BW107" s="146"/>
      <c r="BX107" s="146"/>
      <c r="BY107" s="146"/>
      <c r="BZ107" s="79"/>
      <c r="CA107" s="146"/>
      <c r="CB107" s="79"/>
      <c r="CC107" s="146"/>
      <c r="CD107" s="79"/>
      <c r="CE107" s="146"/>
      <c r="CF107" s="79"/>
      <c r="CG107" s="146"/>
      <c r="CH107" s="79"/>
      <c r="CI107" s="79"/>
      <c r="CJ107" s="79"/>
      <c r="CK107" s="79"/>
      <c r="CL107" s="146"/>
      <c r="CM107" s="79"/>
      <c r="CN107" s="79"/>
      <c r="CO107" s="146"/>
      <c r="CP107" s="79"/>
      <c r="CQ107" s="146"/>
      <c r="CR107" s="79"/>
      <c r="CS107" s="79"/>
      <c r="CT107" s="79"/>
      <c r="CU107" s="79"/>
      <c r="CV107" s="146"/>
      <c r="CW107" s="79"/>
      <c r="CX107" s="79"/>
      <c r="CY107" s="146"/>
      <c r="CZ107" s="79"/>
      <c r="DA107" s="146"/>
      <c r="DB107" s="79"/>
      <c r="DC107" s="146"/>
    </row>
    <row r="108" spans="1:107" ht="24" hidden="1" customHeight="1" x14ac:dyDescent="0.3">
      <c r="A108" s="86">
        <v>4</v>
      </c>
      <c r="B108" s="85" t="s">
        <v>129</v>
      </c>
      <c r="C108" s="56">
        <f t="shared" si="93"/>
        <v>0</v>
      </c>
      <c r="D108" s="57">
        <v>0</v>
      </c>
      <c r="E108" s="64">
        <v>0</v>
      </c>
      <c r="F108" s="79"/>
      <c r="G108" s="79"/>
      <c r="H108" s="58">
        <f t="shared" si="36"/>
        <v>0</v>
      </c>
      <c r="I108" s="59">
        <f t="shared" si="1"/>
        <v>0</v>
      </c>
      <c r="J108" s="60">
        <f t="shared" si="94"/>
        <v>0</v>
      </c>
      <c r="K108" s="80"/>
      <c r="L108" s="80"/>
      <c r="M108" s="64">
        <v>0</v>
      </c>
      <c r="N108" s="64">
        <v>0</v>
      </c>
      <c r="O108" s="64">
        <v>0</v>
      </c>
      <c r="P108" s="64">
        <v>0</v>
      </c>
      <c r="Q108" s="64">
        <v>0</v>
      </c>
      <c r="R108" s="62">
        <v>0</v>
      </c>
      <c r="S108" s="62">
        <f t="shared" si="47"/>
        <v>0</v>
      </c>
      <c r="T108" s="79"/>
      <c r="U108" s="79"/>
      <c r="V108" s="79"/>
      <c r="W108" s="79"/>
      <c r="X108" s="79"/>
      <c r="Y108" s="79"/>
      <c r="Z108" s="79"/>
      <c r="AA108" s="146"/>
      <c r="AB108" s="79"/>
      <c r="AC108" s="146"/>
      <c r="AD108" s="79"/>
      <c r="AE108" s="146"/>
      <c r="AF108" s="79"/>
      <c r="AG108" s="79"/>
      <c r="AH108" s="79"/>
      <c r="AI108" s="79"/>
      <c r="AJ108" s="79"/>
      <c r="AK108" s="79"/>
      <c r="AL108" s="79"/>
      <c r="AM108" s="146"/>
      <c r="AN108" s="79"/>
      <c r="AO108" s="146"/>
      <c r="AP108" s="79"/>
      <c r="AQ108" s="146"/>
      <c r="AR108" s="79"/>
      <c r="AS108" s="79"/>
      <c r="AT108" s="79"/>
      <c r="AU108" s="79"/>
      <c r="AV108" s="79"/>
      <c r="AW108" s="79"/>
      <c r="AX108" s="79"/>
      <c r="AY108" s="146"/>
      <c r="AZ108" s="79"/>
      <c r="BA108" s="146"/>
      <c r="BB108" s="79"/>
      <c r="BC108" s="146"/>
      <c r="BD108" s="146"/>
      <c r="BE108" s="146"/>
      <c r="BF108" s="146"/>
      <c r="BG108" s="146"/>
      <c r="BH108" s="79"/>
      <c r="BI108" s="146"/>
      <c r="BJ108" s="79"/>
      <c r="BK108" s="146"/>
      <c r="BL108" s="79"/>
      <c r="BM108" s="79"/>
      <c r="BN108" s="79"/>
      <c r="BO108" s="79"/>
      <c r="BP108" s="79"/>
      <c r="BQ108" s="79"/>
      <c r="BR108" s="79"/>
      <c r="BS108" s="146"/>
      <c r="BT108" s="79"/>
      <c r="BU108" s="146"/>
      <c r="BV108" s="79"/>
      <c r="BW108" s="146"/>
      <c r="BX108" s="146"/>
      <c r="BY108" s="146"/>
      <c r="BZ108" s="79"/>
      <c r="CA108" s="146"/>
      <c r="CB108" s="79"/>
      <c r="CC108" s="146"/>
      <c r="CD108" s="79"/>
      <c r="CE108" s="146"/>
      <c r="CF108" s="79"/>
      <c r="CG108" s="146"/>
      <c r="CH108" s="79"/>
      <c r="CI108" s="79"/>
      <c r="CJ108" s="79"/>
      <c r="CK108" s="79"/>
      <c r="CL108" s="146"/>
      <c r="CM108" s="79"/>
      <c r="CN108" s="79"/>
      <c r="CO108" s="146"/>
      <c r="CP108" s="79"/>
      <c r="CQ108" s="146"/>
      <c r="CR108" s="79"/>
      <c r="CS108" s="79"/>
      <c r="CT108" s="79"/>
      <c r="CU108" s="79"/>
      <c r="CV108" s="146"/>
      <c r="CW108" s="79"/>
      <c r="CX108" s="79"/>
      <c r="CY108" s="146"/>
      <c r="CZ108" s="79"/>
      <c r="DA108" s="146"/>
      <c r="DB108" s="79"/>
      <c r="DC108" s="146"/>
    </row>
    <row r="109" spans="1:107" ht="24" hidden="1" customHeight="1" x14ac:dyDescent="0.3">
      <c r="A109" s="86">
        <v>5</v>
      </c>
      <c r="B109" s="85" t="s">
        <v>130</v>
      </c>
      <c r="C109" s="56">
        <f t="shared" si="93"/>
        <v>0</v>
      </c>
      <c r="D109" s="57">
        <v>0</v>
      </c>
      <c r="E109" s="64">
        <v>0</v>
      </c>
      <c r="F109" s="79"/>
      <c r="G109" s="79"/>
      <c r="H109" s="58">
        <f t="shared" si="36"/>
        <v>0</v>
      </c>
      <c r="I109" s="59">
        <f t="shared" si="1"/>
        <v>0</v>
      </c>
      <c r="J109" s="60">
        <f t="shared" si="94"/>
        <v>0</v>
      </c>
      <c r="K109" s="80"/>
      <c r="L109" s="80"/>
      <c r="M109" s="64">
        <v>0</v>
      </c>
      <c r="N109" s="64">
        <v>0</v>
      </c>
      <c r="O109" s="64">
        <v>0</v>
      </c>
      <c r="P109" s="64">
        <v>0</v>
      </c>
      <c r="Q109" s="64">
        <v>0</v>
      </c>
      <c r="R109" s="62">
        <v>0</v>
      </c>
      <c r="S109" s="62">
        <f t="shared" si="47"/>
        <v>0</v>
      </c>
      <c r="T109" s="79"/>
      <c r="U109" s="79"/>
      <c r="V109" s="79"/>
      <c r="W109" s="79"/>
      <c r="X109" s="79"/>
      <c r="Y109" s="79"/>
      <c r="Z109" s="79"/>
      <c r="AA109" s="146"/>
      <c r="AB109" s="79"/>
      <c r="AC109" s="146"/>
      <c r="AD109" s="79"/>
      <c r="AE109" s="146"/>
      <c r="AF109" s="79"/>
      <c r="AG109" s="79"/>
      <c r="AH109" s="79"/>
      <c r="AI109" s="79"/>
      <c r="AJ109" s="79"/>
      <c r="AK109" s="79"/>
      <c r="AL109" s="79"/>
      <c r="AM109" s="146"/>
      <c r="AN109" s="79"/>
      <c r="AO109" s="146"/>
      <c r="AP109" s="79"/>
      <c r="AQ109" s="146"/>
      <c r="AR109" s="79"/>
      <c r="AS109" s="79"/>
      <c r="AT109" s="79"/>
      <c r="AU109" s="79"/>
      <c r="AV109" s="79"/>
      <c r="AW109" s="79"/>
      <c r="AX109" s="79"/>
      <c r="AY109" s="146"/>
      <c r="AZ109" s="79"/>
      <c r="BA109" s="146"/>
      <c r="BB109" s="79"/>
      <c r="BC109" s="146"/>
      <c r="BD109" s="146"/>
      <c r="BE109" s="146"/>
      <c r="BF109" s="146"/>
      <c r="BG109" s="146"/>
      <c r="BH109" s="79"/>
      <c r="BI109" s="146"/>
      <c r="BJ109" s="79"/>
      <c r="BK109" s="146"/>
      <c r="BL109" s="79"/>
      <c r="BM109" s="79"/>
      <c r="BN109" s="79"/>
      <c r="BO109" s="79"/>
      <c r="BP109" s="79"/>
      <c r="BQ109" s="79"/>
      <c r="BR109" s="79"/>
      <c r="BS109" s="146"/>
      <c r="BT109" s="79"/>
      <c r="BU109" s="146"/>
      <c r="BV109" s="79"/>
      <c r="BW109" s="146"/>
      <c r="BX109" s="146"/>
      <c r="BY109" s="146"/>
      <c r="BZ109" s="79"/>
      <c r="CA109" s="146"/>
      <c r="CB109" s="79"/>
      <c r="CC109" s="146"/>
      <c r="CD109" s="79"/>
      <c r="CE109" s="146"/>
      <c r="CF109" s="79"/>
      <c r="CG109" s="146"/>
      <c r="CH109" s="79"/>
      <c r="CI109" s="79"/>
      <c r="CJ109" s="79"/>
      <c r="CK109" s="79"/>
      <c r="CL109" s="146"/>
      <c r="CM109" s="79"/>
      <c r="CN109" s="79"/>
      <c r="CO109" s="146"/>
      <c r="CP109" s="79"/>
      <c r="CQ109" s="146"/>
      <c r="CR109" s="79"/>
      <c r="CS109" s="79"/>
      <c r="CT109" s="79"/>
      <c r="CU109" s="79"/>
      <c r="CV109" s="146"/>
      <c r="CW109" s="79"/>
      <c r="CX109" s="79"/>
      <c r="CY109" s="146"/>
      <c r="CZ109" s="79"/>
      <c r="DA109" s="146"/>
      <c r="DB109" s="79"/>
      <c r="DC109" s="146"/>
    </row>
    <row r="110" spans="1:107" ht="24" hidden="1" customHeight="1" x14ac:dyDescent="0.3">
      <c r="A110" s="86">
        <v>6</v>
      </c>
      <c r="B110" s="85" t="s">
        <v>131</v>
      </c>
      <c r="C110" s="56">
        <f t="shared" si="93"/>
        <v>0</v>
      </c>
      <c r="D110" s="57">
        <v>0</v>
      </c>
      <c r="E110" s="64">
        <v>0</v>
      </c>
      <c r="F110" s="79"/>
      <c r="G110" s="79"/>
      <c r="H110" s="58">
        <f t="shared" si="36"/>
        <v>0</v>
      </c>
      <c r="I110" s="59">
        <f t="shared" si="1"/>
        <v>0</v>
      </c>
      <c r="J110" s="60">
        <f t="shared" si="94"/>
        <v>0</v>
      </c>
      <c r="K110" s="80"/>
      <c r="L110" s="80"/>
      <c r="M110" s="64">
        <v>0</v>
      </c>
      <c r="N110" s="64">
        <v>0</v>
      </c>
      <c r="O110" s="64">
        <v>0</v>
      </c>
      <c r="P110" s="64">
        <v>0</v>
      </c>
      <c r="Q110" s="64">
        <v>0</v>
      </c>
      <c r="R110" s="62">
        <v>0</v>
      </c>
      <c r="S110" s="62">
        <f t="shared" si="47"/>
        <v>0</v>
      </c>
      <c r="T110" s="79"/>
      <c r="U110" s="79"/>
      <c r="V110" s="79"/>
      <c r="W110" s="79"/>
      <c r="X110" s="79"/>
      <c r="Y110" s="79"/>
      <c r="Z110" s="79"/>
      <c r="AA110" s="146"/>
      <c r="AB110" s="79"/>
      <c r="AC110" s="146"/>
      <c r="AD110" s="79"/>
      <c r="AE110" s="146"/>
      <c r="AF110" s="79"/>
      <c r="AG110" s="79"/>
      <c r="AH110" s="79"/>
      <c r="AI110" s="79"/>
      <c r="AJ110" s="79"/>
      <c r="AK110" s="79"/>
      <c r="AL110" s="79"/>
      <c r="AM110" s="146"/>
      <c r="AN110" s="79"/>
      <c r="AO110" s="146"/>
      <c r="AP110" s="79"/>
      <c r="AQ110" s="146"/>
      <c r="AR110" s="79"/>
      <c r="AS110" s="79"/>
      <c r="AT110" s="79"/>
      <c r="AU110" s="79"/>
      <c r="AV110" s="79"/>
      <c r="AW110" s="79"/>
      <c r="AX110" s="79"/>
      <c r="AY110" s="146"/>
      <c r="AZ110" s="79"/>
      <c r="BA110" s="146"/>
      <c r="BB110" s="79"/>
      <c r="BC110" s="146"/>
      <c r="BD110" s="146"/>
      <c r="BE110" s="146"/>
      <c r="BF110" s="146"/>
      <c r="BG110" s="146"/>
      <c r="BH110" s="79"/>
      <c r="BI110" s="146"/>
      <c r="BJ110" s="79"/>
      <c r="BK110" s="146"/>
      <c r="BL110" s="79"/>
      <c r="BM110" s="79"/>
      <c r="BN110" s="79"/>
      <c r="BO110" s="79"/>
      <c r="BP110" s="79"/>
      <c r="BQ110" s="79"/>
      <c r="BR110" s="79"/>
      <c r="BS110" s="146"/>
      <c r="BT110" s="79"/>
      <c r="BU110" s="146"/>
      <c r="BV110" s="79"/>
      <c r="BW110" s="146"/>
      <c r="BX110" s="146"/>
      <c r="BY110" s="146"/>
      <c r="BZ110" s="79"/>
      <c r="CA110" s="146"/>
      <c r="CB110" s="79"/>
      <c r="CC110" s="146"/>
      <c r="CD110" s="79"/>
      <c r="CE110" s="146"/>
      <c r="CF110" s="79"/>
      <c r="CG110" s="146"/>
      <c r="CH110" s="79"/>
      <c r="CI110" s="79"/>
      <c r="CJ110" s="79"/>
      <c r="CK110" s="79"/>
      <c r="CL110" s="146"/>
      <c r="CM110" s="79"/>
      <c r="CN110" s="79"/>
      <c r="CO110" s="146"/>
      <c r="CP110" s="79"/>
      <c r="CQ110" s="146"/>
      <c r="CR110" s="79"/>
      <c r="CS110" s="79"/>
      <c r="CT110" s="79"/>
      <c r="CU110" s="79"/>
      <c r="CV110" s="146"/>
      <c r="CW110" s="79"/>
      <c r="CX110" s="79"/>
      <c r="CY110" s="146"/>
      <c r="CZ110" s="79"/>
      <c r="DA110" s="146"/>
      <c r="DB110" s="79"/>
      <c r="DC110" s="146"/>
    </row>
    <row r="111" spans="1:107" ht="24" hidden="1" customHeight="1" x14ac:dyDescent="0.3">
      <c r="A111" s="86">
        <v>7</v>
      </c>
      <c r="B111" s="85" t="s">
        <v>132</v>
      </c>
      <c r="C111" s="56">
        <f t="shared" si="93"/>
        <v>0</v>
      </c>
      <c r="D111" s="57">
        <v>0</v>
      </c>
      <c r="E111" s="64">
        <v>0</v>
      </c>
      <c r="F111" s="79"/>
      <c r="G111" s="79"/>
      <c r="H111" s="58">
        <f t="shared" si="36"/>
        <v>0</v>
      </c>
      <c r="I111" s="59">
        <f t="shared" si="1"/>
        <v>0</v>
      </c>
      <c r="J111" s="60">
        <f t="shared" si="94"/>
        <v>0</v>
      </c>
      <c r="K111" s="80"/>
      <c r="L111" s="80"/>
      <c r="M111" s="64">
        <v>0</v>
      </c>
      <c r="N111" s="64">
        <v>0</v>
      </c>
      <c r="O111" s="64">
        <v>0</v>
      </c>
      <c r="P111" s="64">
        <v>0</v>
      </c>
      <c r="Q111" s="64">
        <v>0</v>
      </c>
      <c r="R111" s="62">
        <v>0</v>
      </c>
      <c r="S111" s="62">
        <f t="shared" si="47"/>
        <v>0</v>
      </c>
      <c r="T111" s="79"/>
      <c r="U111" s="79"/>
      <c r="V111" s="79"/>
      <c r="W111" s="79"/>
      <c r="X111" s="79"/>
      <c r="Y111" s="79"/>
      <c r="Z111" s="79"/>
      <c r="AA111" s="146"/>
      <c r="AB111" s="79"/>
      <c r="AC111" s="146"/>
      <c r="AD111" s="79"/>
      <c r="AE111" s="146"/>
      <c r="AF111" s="79"/>
      <c r="AG111" s="79"/>
      <c r="AH111" s="79"/>
      <c r="AI111" s="79"/>
      <c r="AJ111" s="79"/>
      <c r="AK111" s="79"/>
      <c r="AL111" s="79"/>
      <c r="AM111" s="146"/>
      <c r="AN111" s="79"/>
      <c r="AO111" s="146"/>
      <c r="AP111" s="79"/>
      <c r="AQ111" s="146"/>
      <c r="AR111" s="79"/>
      <c r="AS111" s="79"/>
      <c r="AT111" s="79"/>
      <c r="AU111" s="79"/>
      <c r="AV111" s="79"/>
      <c r="AW111" s="79"/>
      <c r="AX111" s="79"/>
      <c r="AY111" s="146"/>
      <c r="AZ111" s="79"/>
      <c r="BA111" s="146"/>
      <c r="BB111" s="79"/>
      <c r="BC111" s="146"/>
      <c r="BD111" s="146"/>
      <c r="BE111" s="146"/>
      <c r="BF111" s="146"/>
      <c r="BG111" s="146"/>
      <c r="BH111" s="79"/>
      <c r="BI111" s="146"/>
      <c r="BJ111" s="79"/>
      <c r="BK111" s="146"/>
      <c r="BL111" s="79"/>
      <c r="BM111" s="79"/>
      <c r="BN111" s="79"/>
      <c r="BO111" s="79"/>
      <c r="BP111" s="79"/>
      <c r="BQ111" s="79"/>
      <c r="BR111" s="79"/>
      <c r="BS111" s="146"/>
      <c r="BT111" s="79"/>
      <c r="BU111" s="146"/>
      <c r="BV111" s="79"/>
      <c r="BW111" s="146"/>
      <c r="BX111" s="146"/>
      <c r="BY111" s="146"/>
      <c r="BZ111" s="79"/>
      <c r="CA111" s="146"/>
      <c r="CB111" s="79"/>
      <c r="CC111" s="146"/>
      <c r="CD111" s="79"/>
      <c r="CE111" s="146"/>
      <c r="CF111" s="79"/>
      <c r="CG111" s="146"/>
      <c r="CH111" s="79"/>
      <c r="CI111" s="79"/>
      <c r="CJ111" s="79"/>
      <c r="CK111" s="79"/>
      <c r="CL111" s="146"/>
      <c r="CM111" s="79"/>
      <c r="CN111" s="79"/>
      <c r="CO111" s="146"/>
      <c r="CP111" s="79"/>
      <c r="CQ111" s="146"/>
      <c r="CR111" s="79"/>
      <c r="CS111" s="79"/>
      <c r="CT111" s="79"/>
      <c r="CU111" s="79"/>
      <c r="CV111" s="146"/>
      <c r="CW111" s="79"/>
      <c r="CX111" s="79"/>
      <c r="CY111" s="146"/>
      <c r="CZ111" s="79"/>
      <c r="DA111" s="146"/>
      <c r="DB111" s="79"/>
      <c r="DC111" s="146"/>
    </row>
    <row r="112" spans="1:107" ht="24" hidden="1" customHeight="1" x14ac:dyDescent="0.3">
      <c r="A112" s="86">
        <v>8</v>
      </c>
      <c r="B112" s="85" t="s">
        <v>133</v>
      </c>
      <c r="C112" s="56">
        <f t="shared" si="93"/>
        <v>0</v>
      </c>
      <c r="D112" s="57">
        <v>0</v>
      </c>
      <c r="E112" s="64">
        <v>0</v>
      </c>
      <c r="F112" s="79"/>
      <c r="G112" s="79"/>
      <c r="H112" s="58">
        <f t="shared" si="36"/>
        <v>0</v>
      </c>
      <c r="I112" s="59">
        <f t="shared" si="1"/>
        <v>0</v>
      </c>
      <c r="J112" s="60">
        <f t="shared" si="94"/>
        <v>0</v>
      </c>
      <c r="K112" s="80"/>
      <c r="L112" s="80"/>
      <c r="M112" s="64">
        <v>0</v>
      </c>
      <c r="N112" s="64">
        <v>0</v>
      </c>
      <c r="O112" s="64">
        <v>0</v>
      </c>
      <c r="P112" s="64">
        <v>0</v>
      </c>
      <c r="Q112" s="64">
        <v>0</v>
      </c>
      <c r="R112" s="62">
        <v>0</v>
      </c>
      <c r="S112" s="62">
        <f t="shared" si="47"/>
        <v>0</v>
      </c>
      <c r="T112" s="79"/>
      <c r="U112" s="79"/>
      <c r="V112" s="79"/>
      <c r="W112" s="79"/>
      <c r="X112" s="79"/>
      <c r="Y112" s="79"/>
      <c r="Z112" s="79"/>
      <c r="AA112" s="146"/>
      <c r="AB112" s="79"/>
      <c r="AC112" s="146"/>
      <c r="AD112" s="79"/>
      <c r="AE112" s="146"/>
      <c r="AF112" s="79"/>
      <c r="AG112" s="79"/>
      <c r="AH112" s="79"/>
      <c r="AI112" s="79"/>
      <c r="AJ112" s="79"/>
      <c r="AK112" s="79"/>
      <c r="AL112" s="79"/>
      <c r="AM112" s="146"/>
      <c r="AN112" s="79"/>
      <c r="AO112" s="146"/>
      <c r="AP112" s="79"/>
      <c r="AQ112" s="146"/>
      <c r="AR112" s="79"/>
      <c r="AS112" s="79"/>
      <c r="AT112" s="79"/>
      <c r="AU112" s="79"/>
      <c r="AV112" s="79"/>
      <c r="AW112" s="79"/>
      <c r="AX112" s="79"/>
      <c r="AY112" s="146"/>
      <c r="AZ112" s="79"/>
      <c r="BA112" s="146"/>
      <c r="BB112" s="79"/>
      <c r="BC112" s="146"/>
      <c r="BD112" s="146"/>
      <c r="BE112" s="146"/>
      <c r="BF112" s="146"/>
      <c r="BG112" s="146"/>
      <c r="BH112" s="79"/>
      <c r="BI112" s="146"/>
      <c r="BJ112" s="79"/>
      <c r="BK112" s="146"/>
      <c r="BL112" s="79"/>
      <c r="BM112" s="79"/>
      <c r="BN112" s="79"/>
      <c r="BO112" s="79"/>
      <c r="BP112" s="79"/>
      <c r="BQ112" s="79"/>
      <c r="BR112" s="79"/>
      <c r="BS112" s="146"/>
      <c r="BT112" s="79"/>
      <c r="BU112" s="146"/>
      <c r="BV112" s="79"/>
      <c r="BW112" s="146"/>
      <c r="BX112" s="146"/>
      <c r="BY112" s="146"/>
      <c r="BZ112" s="79"/>
      <c r="CA112" s="146"/>
      <c r="CB112" s="79"/>
      <c r="CC112" s="146"/>
      <c r="CD112" s="79"/>
      <c r="CE112" s="146"/>
      <c r="CF112" s="79"/>
      <c r="CG112" s="146"/>
      <c r="CH112" s="79"/>
      <c r="CI112" s="79"/>
      <c r="CJ112" s="79"/>
      <c r="CK112" s="79"/>
      <c r="CL112" s="146"/>
      <c r="CM112" s="79"/>
      <c r="CN112" s="79"/>
      <c r="CO112" s="146"/>
      <c r="CP112" s="79"/>
      <c r="CQ112" s="146"/>
      <c r="CR112" s="79"/>
      <c r="CS112" s="79"/>
      <c r="CT112" s="79"/>
      <c r="CU112" s="79"/>
      <c r="CV112" s="146"/>
      <c r="CW112" s="79"/>
      <c r="CX112" s="79"/>
      <c r="CY112" s="146"/>
      <c r="CZ112" s="79"/>
      <c r="DA112" s="146"/>
      <c r="DB112" s="79"/>
      <c r="DC112" s="146"/>
    </row>
    <row r="113" spans="1:107" ht="24" hidden="1" customHeight="1" x14ac:dyDescent="0.3">
      <c r="A113" s="86">
        <v>9</v>
      </c>
      <c r="B113" s="85" t="s">
        <v>134</v>
      </c>
      <c r="C113" s="56">
        <f t="shared" si="93"/>
        <v>0</v>
      </c>
      <c r="D113" s="57">
        <v>0</v>
      </c>
      <c r="E113" s="64">
        <v>0</v>
      </c>
      <c r="F113" s="79"/>
      <c r="G113" s="79"/>
      <c r="H113" s="58">
        <f t="shared" si="36"/>
        <v>0</v>
      </c>
      <c r="I113" s="59">
        <f t="shared" si="1"/>
        <v>0</v>
      </c>
      <c r="J113" s="60">
        <f t="shared" si="94"/>
        <v>0</v>
      </c>
      <c r="K113" s="80"/>
      <c r="L113" s="80"/>
      <c r="M113" s="64">
        <v>0</v>
      </c>
      <c r="N113" s="64">
        <v>0</v>
      </c>
      <c r="O113" s="64">
        <v>0</v>
      </c>
      <c r="P113" s="64">
        <v>0</v>
      </c>
      <c r="Q113" s="64">
        <v>0</v>
      </c>
      <c r="R113" s="62">
        <v>0</v>
      </c>
      <c r="S113" s="62">
        <f t="shared" si="47"/>
        <v>0</v>
      </c>
      <c r="T113" s="79"/>
      <c r="U113" s="79"/>
      <c r="V113" s="79"/>
      <c r="W113" s="79"/>
      <c r="X113" s="79"/>
      <c r="Y113" s="79"/>
      <c r="Z113" s="79"/>
      <c r="AA113" s="146"/>
      <c r="AB113" s="79"/>
      <c r="AC113" s="146"/>
      <c r="AD113" s="79"/>
      <c r="AE113" s="146"/>
      <c r="AF113" s="79"/>
      <c r="AG113" s="79"/>
      <c r="AH113" s="79"/>
      <c r="AI113" s="79"/>
      <c r="AJ113" s="79"/>
      <c r="AK113" s="79"/>
      <c r="AL113" s="79"/>
      <c r="AM113" s="146"/>
      <c r="AN113" s="79"/>
      <c r="AO113" s="146"/>
      <c r="AP113" s="79"/>
      <c r="AQ113" s="146"/>
      <c r="AR113" s="79"/>
      <c r="AS113" s="79"/>
      <c r="AT113" s="79"/>
      <c r="AU113" s="79"/>
      <c r="AV113" s="79"/>
      <c r="AW113" s="79"/>
      <c r="AX113" s="79"/>
      <c r="AY113" s="146"/>
      <c r="AZ113" s="79"/>
      <c r="BA113" s="146"/>
      <c r="BB113" s="79"/>
      <c r="BC113" s="146"/>
      <c r="BD113" s="146"/>
      <c r="BE113" s="146"/>
      <c r="BF113" s="146"/>
      <c r="BG113" s="146"/>
      <c r="BH113" s="79"/>
      <c r="BI113" s="146"/>
      <c r="BJ113" s="79"/>
      <c r="BK113" s="146"/>
      <c r="BL113" s="79"/>
      <c r="BM113" s="79"/>
      <c r="BN113" s="79"/>
      <c r="BO113" s="79"/>
      <c r="BP113" s="79"/>
      <c r="BQ113" s="79"/>
      <c r="BR113" s="79"/>
      <c r="BS113" s="146"/>
      <c r="BT113" s="79"/>
      <c r="BU113" s="146"/>
      <c r="BV113" s="79"/>
      <c r="BW113" s="146"/>
      <c r="BX113" s="146"/>
      <c r="BY113" s="146"/>
      <c r="BZ113" s="79"/>
      <c r="CA113" s="146"/>
      <c r="CB113" s="79"/>
      <c r="CC113" s="146"/>
      <c r="CD113" s="79"/>
      <c r="CE113" s="146"/>
      <c r="CF113" s="79"/>
      <c r="CG113" s="146"/>
      <c r="CH113" s="79"/>
      <c r="CI113" s="79"/>
      <c r="CJ113" s="79"/>
      <c r="CK113" s="79"/>
      <c r="CL113" s="146"/>
      <c r="CM113" s="79"/>
      <c r="CN113" s="79"/>
      <c r="CO113" s="146"/>
      <c r="CP113" s="79"/>
      <c r="CQ113" s="146"/>
      <c r="CR113" s="79"/>
      <c r="CS113" s="79"/>
      <c r="CT113" s="79"/>
      <c r="CU113" s="79"/>
      <c r="CV113" s="146"/>
      <c r="CW113" s="79"/>
      <c r="CX113" s="79"/>
      <c r="CY113" s="146"/>
      <c r="CZ113" s="79"/>
      <c r="DA113" s="146"/>
      <c r="DB113" s="79"/>
      <c r="DC113" s="146"/>
    </row>
    <row r="114" spans="1:107" ht="24" hidden="1" customHeight="1" x14ac:dyDescent="0.3">
      <c r="A114" s="86">
        <v>10</v>
      </c>
      <c r="B114" s="85" t="s">
        <v>135</v>
      </c>
      <c r="C114" s="56">
        <f t="shared" si="93"/>
        <v>0</v>
      </c>
      <c r="D114" s="57">
        <v>0</v>
      </c>
      <c r="E114" s="64">
        <v>0</v>
      </c>
      <c r="F114" s="79"/>
      <c r="G114" s="79"/>
      <c r="H114" s="58">
        <f t="shared" si="36"/>
        <v>0</v>
      </c>
      <c r="I114" s="59">
        <f t="shared" si="1"/>
        <v>0</v>
      </c>
      <c r="J114" s="60">
        <f t="shared" si="94"/>
        <v>0</v>
      </c>
      <c r="K114" s="80"/>
      <c r="L114" s="80"/>
      <c r="M114" s="64">
        <v>0</v>
      </c>
      <c r="N114" s="64">
        <v>0</v>
      </c>
      <c r="O114" s="64">
        <v>0</v>
      </c>
      <c r="P114" s="64">
        <v>0</v>
      </c>
      <c r="Q114" s="64">
        <v>0</v>
      </c>
      <c r="R114" s="62">
        <v>0</v>
      </c>
      <c r="S114" s="62">
        <f t="shared" si="47"/>
        <v>0</v>
      </c>
      <c r="T114" s="79"/>
      <c r="U114" s="79"/>
      <c r="V114" s="79"/>
      <c r="W114" s="79"/>
      <c r="X114" s="79"/>
      <c r="Y114" s="79"/>
      <c r="Z114" s="79"/>
      <c r="AA114" s="146"/>
      <c r="AB114" s="79"/>
      <c r="AC114" s="146"/>
      <c r="AD114" s="79"/>
      <c r="AE114" s="146"/>
      <c r="AF114" s="79"/>
      <c r="AG114" s="79"/>
      <c r="AH114" s="79"/>
      <c r="AI114" s="79"/>
      <c r="AJ114" s="79"/>
      <c r="AK114" s="79"/>
      <c r="AL114" s="79"/>
      <c r="AM114" s="146"/>
      <c r="AN114" s="79"/>
      <c r="AO114" s="146"/>
      <c r="AP114" s="79"/>
      <c r="AQ114" s="146"/>
      <c r="AR114" s="79"/>
      <c r="AS114" s="79"/>
      <c r="AT114" s="79"/>
      <c r="AU114" s="79"/>
      <c r="AV114" s="79"/>
      <c r="AW114" s="79"/>
      <c r="AX114" s="79"/>
      <c r="AY114" s="146"/>
      <c r="AZ114" s="79"/>
      <c r="BA114" s="146"/>
      <c r="BB114" s="79"/>
      <c r="BC114" s="146"/>
      <c r="BD114" s="146"/>
      <c r="BE114" s="146"/>
      <c r="BF114" s="146"/>
      <c r="BG114" s="146"/>
      <c r="BH114" s="79"/>
      <c r="BI114" s="146"/>
      <c r="BJ114" s="79"/>
      <c r="BK114" s="146"/>
      <c r="BL114" s="79"/>
      <c r="BM114" s="79"/>
      <c r="BN114" s="79"/>
      <c r="BO114" s="79"/>
      <c r="BP114" s="79"/>
      <c r="BQ114" s="79"/>
      <c r="BR114" s="79"/>
      <c r="BS114" s="146"/>
      <c r="BT114" s="79"/>
      <c r="BU114" s="146"/>
      <c r="BV114" s="79"/>
      <c r="BW114" s="146"/>
      <c r="BX114" s="146"/>
      <c r="BY114" s="146"/>
      <c r="BZ114" s="79"/>
      <c r="CA114" s="146"/>
      <c r="CB114" s="79"/>
      <c r="CC114" s="146"/>
      <c r="CD114" s="79"/>
      <c r="CE114" s="146"/>
      <c r="CF114" s="79"/>
      <c r="CG114" s="146"/>
      <c r="CH114" s="79"/>
      <c r="CI114" s="79"/>
      <c r="CJ114" s="79"/>
      <c r="CK114" s="79"/>
      <c r="CL114" s="146"/>
      <c r="CM114" s="79"/>
      <c r="CN114" s="79"/>
      <c r="CO114" s="146"/>
      <c r="CP114" s="79"/>
      <c r="CQ114" s="146"/>
      <c r="CR114" s="79"/>
      <c r="CS114" s="79"/>
      <c r="CT114" s="79"/>
      <c r="CU114" s="79"/>
      <c r="CV114" s="146"/>
      <c r="CW114" s="79"/>
      <c r="CX114" s="79"/>
      <c r="CY114" s="146"/>
      <c r="CZ114" s="79"/>
      <c r="DA114" s="146"/>
      <c r="DB114" s="79"/>
      <c r="DC114" s="146"/>
    </row>
    <row r="115" spans="1:107" ht="24" hidden="1" customHeight="1" x14ac:dyDescent="0.3">
      <c r="A115" s="86">
        <v>11</v>
      </c>
      <c r="B115" s="85" t="s">
        <v>136</v>
      </c>
      <c r="C115" s="56">
        <f t="shared" si="93"/>
        <v>0</v>
      </c>
      <c r="D115" s="57">
        <v>0</v>
      </c>
      <c r="E115" s="64">
        <v>0</v>
      </c>
      <c r="F115" s="79"/>
      <c r="G115" s="79"/>
      <c r="H115" s="58">
        <f t="shared" si="36"/>
        <v>0</v>
      </c>
      <c r="I115" s="59">
        <f t="shared" si="1"/>
        <v>0</v>
      </c>
      <c r="J115" s="60">
        <f t="shared" si="94"/>
        <v>0</v>
      </c>
      <c r="K115" s="80"/>
      <c r="L115" s="80"/>
      <c r="M115" s="64">
        <v>0</v>
      </c>
      <c r="N115" s="64">
        <v>0</v>
      </c>
      <c r="O115" s="64">
        <v>0</v>
      </c>
      <c r="P115" s="64">
        <v>0</v>
      </c>
      <c r="Q115" s="64">
        <v>0</v>
      </c>
      <c r="R115" s="62">
        <v>0</v>
      </c>
      <c r="S115" s="62">
        <f t="shared" si="47"/>
        <v>0</v>
      </c>
      <c r="T115" s="79"/>
      <c r="U115" s="79"/>
      <c r="V115" s="79"/>
      <c r="W115" s="79"/>
      <c r="X115" s="79"/>
      <c r="Y115" s="79"/>
      <c r="Z115" s="79"/>
      <c r="AA115" s="146"/>
      <c r="AB115" s="79"/>
      <c r="AC115" s="146"/>
      <c r="AD115" s="79"/>
      <c r="AE115" s="146"/>
      <c r="AF115" s="79"/>
      <c r="AG115" s="79"/>
      <c r="AH115" s="79"/>
      <c r="AI115" s="79"/>
      <c r="AJ115" s="79"/>
      <c r="AK115" s="79"/>
      <c r="AL115" s="79"/>
      <c r="AM115" s="146"/>
      <c r="AN115" s="79"/>
      <c r="AO115" s="146"/>
      <c r="AP115" s="79"/>
      <c r="AQ115" s="146"/>
      <c r="AR115" s="79"/>
      <c r="AS115" s="79"/>
      <c r="AT115" s="79"/>
      <c r="AU115" s="79"/>
      <c r="AV115" s="79"/>
      <c r="AW115" s="79"/>
      <c r="AX115" s="79"/>
      <c r="AY115" s="146"/>
      <c r="AZ115" s="79"/>
      <c r="BA115" s="146"/>
      <c r="BB115" s="79"/>
      <c r="BC115" s="146"/>
      <c r="BD115" s="146"/>
      <c r="BE115" s="146"/>
      <c r="BF115" s="146"/>
      <c r="BG115" s="146"/>
      <c r="BH115" s="79"/>
      <c r="BI115" s="146"/>
      <c r="BJ115" s="79"/>
      <c r="BK115" s="146"/>
      <c r="BL115" s="79"/>
      <c r="BM115" s="79"/>
      <c r="BN115" s="79"/>
      <c r="BO115" s="79"/>
      <c r="BP115" s="79"/>
      <c r="BQ115" s="79"/>
      <c r="BR115" s="79"/>
      <c r="BS115" s="146"/>
      <c r="BT115" s="79"/>
      <c r="BU115" s="146"/>
      <c r="BV115" s="79"/>
      <c r="BW115" s="146"/>
      <c r="BX115" s="146"/>
      <c r="BY115" s="146"/>
      <c r="BZ115" s="79"/>
      <c r="CA115" s="146"/>
      <c r="CB115" s="79"/>
      <c r="CC115" s="146"/>
      <c r="CD115" s="79"/>
      <c r="CE115" s="146"/>
      <c r="CF115" s="79"/>
      <c r="CG115" s="146"/>
      <c r="CH115" s="79"/>
      <c r="CI115" s="79"/>
      <c r="CJ115" s="79"/>
      <c r="CK115" s="79"/>
      <c r="CL115" s="146"/>
      <c r="CM115" s="79"/>
      <c r="CN115" s="79"/>
      <c r="CO115" s="146"/>
      <c r="CP115" s="79"/>
      <c r="CQ115" s="146"/>
      <c r="CR115" s="79"/>
      <c r="CS115" s="79"/>
      <c r="CT115" s="79"/>
      <c r="CU115" s="79"/>
      <c r="CV115" s="146"/>
      <c r="CW115" s="79"/>
      <c r="CX115" s="79"/>
      <c r="CY115" s="146"/>
      <c r="CZ115" s="79"/>
      <c r="DA115" s="146"/>
      <c r="DB115" s="79"/>
      <c r="DC115" s="146"/>
    </row>
    <row r="116" spans="1:107" ht="24" hidden="1" customHeight="1" x14ac:dyDescent="0.3">
      <c r="A116" s="86">
        <v>12</v>
      </c>
      <c r="B116" s="85" t="s">
        <v>137</v>
      </c>
      <c r="C116" s="56">
        <f t="shared" si="93"/>
        <v>0</v>
      </c>
      <c r="D116" s="57">
        <v>0</v>
      </c>
      <c r="E116" s="64">
        <v>0</v>
      </c>
      <c r="F116" s="79"/>
      <c r="G116" s="79"/>
      <c r="H116" s="58">
        <f t="shared" si="36"/>
        <v>0</v>
      </c>
      <c r="I116" s="59">
        <f t="shared" si="1"/>
        <v>0</v>
      </c>
      <c r="J116" s="60">
        <f t="shared" si="94"/>
        <v>0</v>
      </c>
      <c r="K116" s="80"/>
      <c r="L116" s="80"/>
      <c r="M116" s="64">
        <v>0</v>
      </c>
      <c r="N116" s="64">
        <v>0</v>
      </c>
      <c r="O116" s="64">
        <v>0</v>
      </c>
      <c r="P116" s="64">
        <v>0</v>
      </c>
      <c r="Q116" s="64">
        <v>0</v>
      </c>
      <c r="R116" s="62">
        <v>0</v>
      </c>
      <c r="S116" s="62">
        <f t="shared" si="47"/>
        <v>0</v>
      </c>
      <c r="T116" s="79"/>
      <c r="U116" s="79"/>
      <c r="V116" s="79"/>
      <c r="W116" s="79"/>
      <c r="X116" s="79"/>
      <c r="Y116" s="79"/>
      <c r="Z116" s="79"/>
      <c r="AA116" s="146"/>
      <c r="AB116" s="79"/>
      <c r="AC116" s="146"/>
      <c r="AD116" s="79"/>
      <c r="AE116" s="146"/>
      <c r="AF116" s="79"/>
      <c r="AG116" s="79"/>
      <c r="AH116" s="79"/>
      <c r="AI116" s="79"/>
      <c r="AJ116" s="79"/>
      <c r="AK116" s="79"/>
      <c r="AL116" s="79"/>
      <c r="AM116" s="146"/>
      <c r="AN116" s="79"/>
      <c r="AO116" s="146"/>
      <c r="AP116" s="79"/>
      <c r="AQ116" s="146"/>
      <c r="AR116" s="79"/>
      <c r="AS116" s="79"/>
      <c r="AT116" s="79"/>
      <c r="AU116" s="79"/>
      <c r="AV116" s="79"/>
      <c r="AW116" s="79"/>
      <c r="AX116" s="79"/>
      <c r="AY116" s="146"/>
      <c r="AZ116" s="79"/>
      <c r="BA116" s="146"/>
      <c r="BB116" s="79"/>
      <c r="BC116" s="146"/>
      <c r="BD116" s="146"/>
      <c r="BE116" s="146"/>
      <c r="BF116" s="146"/>
      <c r="BG116" s="146"/>
      <c r="BH116" s="79"/>
      <c r="BI116" s="146"/>
      <c r="BJ116" s="79"/>
      <c r="BK116" s="146"/>
      <c r="BL116" s="79"/>
      <c r="BM116" s="79"/>
      <c r="BN116" s="79"/>
      <c r="BO116" s="79"/>
      <c r="BP116" s="79"/>
      <c r="BQ116" s="79"/>
      <c r="BR116" s="79"/>
      <c r="BS116" s="146"/>
      <c r="BT116" s="79"/>
      <c r="BU116" s="146"/>
      <c r="BV116" s="79"/>
      <c r="BW116" s="146"/>
      <c r="BX116" s="146"/>
      <c r="BY116" s="146"/>
      <c r="BZ116" s="79"/>
      <c r="CA116" s="146"/>
      <c r="CB116" s="79"/>
      <c r="CC116" s="146"/>
      <c r="CD116" s="79"/>
      <c r="CE116" s="146"/>
      <c r="CF116" s="79"/>
      <c r="CG116" s="146"/>
      <c r="CH116" s="79"/>
      <c r="CI116" s="79"/>
      <c r="CJ116" s="79"/>
      <c r="CK116" s="79"/>
      <c r="CL116" s="146"/>
      <c r="CM116" s="79"/>
      <c r="CN116" s="79"/>
      <c r="CO116" s="146"/>
      <c r="CP116" s="79"/>
      <c r="CQ116" s="146"/>
      <c r="CR116" s="79"/>
      <c r="CS116" s="79"/>
      <c r="CT116" s="79"/>
      <c r="CU116" s="79"/>
      <c r="CV116" s="146"/>
      <c r="CW116" s="79"/>
      <c r="CX116" s="79"/>
      <c r="CY116" s="146"/>
      <c r="CZ116" s="79"/>
      <c r="DA116" s="146"/>
      <c r="DB116" s="79"/>
      <c r="DC116" s="146"/>
    </row>
    <row r="117" spans="1:107" ht="24" customHeight="1" x14ac:dyDescent="0.2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8"/>
      <c r="O117" s="88"/>
      <c r="P117" s="8"/>
      <c r="Q117" s="8"/>
      <c r="R117" s="89"/>
      <c r="S117" s="89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</row>
    <row r="118" spans="1:107" ht="24" customHeight="1" x14ac:dyDescent="0.2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8"/>
      <c r="O118" s="88"/>
      <c r="P118" s="8"/>
      <c r="Q118" s="8"/>
      <c r="R118" s="89"/>
      <c r="S118" s="89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</row>
    <row r="119" spans="1:107" ht="24" customHeight="1" x14ac:dyDescent="0.2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8"/>
      <c r="O119" s="88"/>
      <c r="P119" s="8"/>
      <c r="Q119" s="8"/>
      <c r="R119" s="89"/>
      <c r="S119" s="89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</row>
    <row r="120" spans="1:107" ht="24" customHeight="1" x14ac:dyDescent="0.2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8"/>
      <c r="O120" s="88"/>
      <c r="P120" s="8"/>
      <c r="Q120" s="8"/>
      <c r="R120" s="89"/>
      <c r="S120" s="89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</row>
    <row r="121" spans="1:107" ht="24" customHeight="1" x14ac:dyDescent="0.2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8"/>
      <c r="O121" s="88"/>
      <c r="P121" s="8"/>
      <c r="Q121" s="8"/>
      <c r="R121" s="89"/>
      <c r="S121" s="89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</row>
    <row r="122" spans="1:107" ht="24" customHeight="1" x14ac:dyDescent="0.2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8"/>
      <c r="O122" s="88"/>
      <c r="P122" s="8"/>
      <c r="Q122" s="8"/>
      <c r="R122" s="89"/>
      <c r="S122" s="89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</row>
    <row r="123" spans="1:107" ht="24" customHeight="1" x14ac:dyDescent="0.2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8"/>
      <c r="O123" s="88"/>
      <c r="P123" s="8"/>
      <c r="Q123" s="8"/>
      <c r="R123" s="89"/>
      <c r="S123" s="89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</row>
    <row r="124" spans="1:107" ht="24" customHeight="1" x14ac:dyDescent="0.2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8"/>
      <c r="O124" s="88"/>
      <c r="P124" s="8"/>
      <c r="Q124" s="8"/>
      <c r="R124" s="89"/>
      <c r="S124" s="89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</row>
    <row r="125" spans="1:107" ht="24" customHeight="1" x14ac:dyDescent="0.2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8"/>
      <c r="O125" s="88"/>
      <c r="P125" s="8"/>
      <c r="Q125" s="8"/>
      <c r="R125" s="89"/>
      <c r="S125" s="89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</row>
    <row r="126" spans="1:107" ht="24" customHeight="1" x14ac:dyDescent="0.2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8"/>
      <c r="O126" s="88"/>
      <c r="P126" s="8"/>
      <c r="Q126" s="8"/>
      <c r="R126" s="89"/>
      <c r="S126" s="89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</row>
    <row r="127" spans="1:107" ht="24" customHeight="1" x14ac:dyDescent="0.2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8"/>
      <c r="O127" s="88"/>
      <c r="P127" s="8"/>
      <c r="Q127" s="8"/>
      <c r="R127" s="89"/>
      <c r="S127" s="89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</row>
    <row r="128" spans="1:107" ht="24" customHeight="1" x14ac:dyDescent="0.2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8"/>
      <c r="O128" s="88"/>
      <c r="P128" s="8"/>
      <c r="Q128" s="8"/>
      <c r="R128" s="89"/>
      <c r="S128" s="89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</row>
    <row r="129" spans="1:107" ht="24" customHeight="1" x14ac:dyDescent="0.2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8"/>
      <c r="O129" s="88"/>
      <c r="P129" s="8"/>
      <c r="Q129" s="8"/>
      <c r="R129" s="89"/>
      <c r="S129" s="89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</row>
    <row r="130" spans="1:107" ht="24" customHeight="1" x14ac:dyDescent="0.2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8"/>
      <c r="O130" s="88"/>
      <c r="P130" s="8"/>
      <c r="Q130" s="8"/>
      <c r="R130" s="89"/>
      <c r="S130" s="89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</row>
    <row r="131" spans="1:107" ht="24" customHeight="1" x14ac:dyDescent="0.2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8"/>
      <c r="O131" s="88"/>
      <c r="P131" s="8"/>
      <c r="Q131" s="8"/>
      <c r="R131" s="89"/>
      <c r="S131" s="89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</row>
    <row r="132" spans="1:107" ht="24" customHeight="1" x14ac:dyDescent="0.2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8"/>
      <c r="O132" s="88"/>
      <c r="P132" s="8"/>
      <c r="Q132" s="8"/>
      <c r="R132" s="89"/>
      <c r="S132" s="89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</row>
    <row r="133" spans="1:107" ht="24" customHeight="1" x14ac:dyDescent="0.2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8"/>
      <c r="O133" s="88"/>
      <c r="P133" s="8"/>
      <c r="Q133" s="8"/>
      <c r="R133" s="89"/>
      <c r="S133" s="89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</row>
    <row r="134" spans="1:107" ht="24" customHeight="1" x14ac:dyDescent="0.2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8"/>
      <c r="O134" s="88"/>
      <c r="P134" s="8"/>
      <c r="Q134" s="8"/>
      <c r="R134" s="89"/>
      <c r="S134" s="89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</row>
    <row r="135" spans="1:107" ht="24" customHeight="1" x14ac:dyDescent="0.2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8"/>
      <c r="O135" s="88"/>
      <c r="P135" s="8"/>
      <c r="Q135" s="8"/>
      <c r="R135" s="89"/>
      <c r="S135" s="89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</row>
    <row r="136" spans="1:107" ht="24" customHeight="1" x14ac:dyDescent="0.2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8"/>
      <c r="O136" s="88"/>
      <c r="P136" s="8"/>
      <c r="Q136" s="8"/>
      <c r="R136" s="89"/>
      <c r="S136" s="89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</row>
    <row r="137" spans="1:107" ht="24" customHeight="1" x14ac:dyDescent="0.2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8"/>
      <c r="O137" s="88"/>
      <c r="P137" s="8"/>
      <c r="Q137" s="8"/>
      <c r="R137" s="89"/>
      <c r="S137" s="89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</row>
    <row r="138" spans="1:107" ht="24" customHeight="1" x14ac:dyDescent="0.2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8"/>
      <c r="O138" s="88"/>
      <c r="P138" s="8"/>
      <c r="Q138" s="8"/>
      <c r="R138" s="89"/>
      <c r="S138" s="89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</row>
    <row r="139" spans="1:107" ht="24" customHeight="1" x14ac:dyDescent="0.2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8"/>
      <c r="O139" s="88"/>
      <c r="P139" s="8"/>
      <c r="Q139" s="8"/>
      <c r="R139" s="89"/>
      <c r="S139" s="89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</row>
    <row r="140" spans="1:107" ht="24" customHeight="1" x14ac:dyDescent="0.2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8"/>
      <c r="O140" s="88"/>
      <c r="P140" s="8"/>
      <c r="Q140" s="8"/>
      <c r="R140" s="89"/>
      <c r="S140" s="89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</row>
    <row r="141" spans="1:107" ht="24" customHeight="1" x14ac:dyDescent="0.2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8"/>
      <c r="O141" s="88"/>
      <c r="P141" s="8"/>
      <c r="Q141" s="8"/>
      <c r="R141" s="89"/>
      <c r="S141" s="89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</row>
    <row r="142" spans="1:107" ht="24" customHeight="1" x14ac:dyDescent="0.2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8"/>
      <c r="O142" s="88"/>
      <c r="P142" s="8"/>
      <c r="Q142" s="8"/>
      <c r="R142" s="89"/>
      <c r="S142" s="89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</row>
    <row r="143" spans="1:107" ht="24" customHeight="1" x14ac:dyDescent="0.2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8"/>
      <c r="O143" s="88"/>
      <c r="P143" s="8"/>
      <c r="Q143" s="8"/>
      <c r="R143" s="89"/>
      <c r="S143" s="89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</row>
    <row r="144" spans="1:107" ht="24" customHeight="1" x14ac:dyDescent="0.2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8"/>
      <c r="O144" s="88"/>
      <c r="P144" s="8"/>
      <c r="Q144" s="8"/>
      <c r="R144" s="89"/>
      <c r="S144" s="89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</row>
    <row r="145" spans="1:107" ht="24" customHeight="1" x14ac:dyDescent="0.2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8"/>
      <c r="O145" s="88"/>
      <c r="P145" s="8"/>
      <c r="Q145" s="8"/>
      <c r="R145" s="89"/>
      <c r="S145" s="89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</row>
    <row r="146" spans="1:107" ht="24" customHeight="1" x14ac:dyDescent="0.2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8"/>
      <c r="O146" s="88"/>
      <c r="P146" s="8"/>
      <c r="Q146" s="8"/>
      <c r="R146" s="89"/>
      <c r="S146" s="89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</row>
    <row r="147" spans="1:107" ht="24" customHeight="1" x14ac:dyDescent="0.2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8"/>
      <c r="O147" s="88"/>
      <c r="P147" s="8"/>
      <c r="Q147" s="8"/>
      <c r="R147" s="89"/>
      <c r="S147" s="89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</row>
    <row r="148" spans="1:107" ht="24" customHeight="1" x14ac:dyDescent="0.2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8"/>
      <c r="O148" s="88"/>
      <c r="P148" s="8"/>
      <c r="Q148" s="8"/>
      <c r="R148" s="89"/>
      <c r="S148" s="89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</row>
    <row r="149" spans="1:107" ht="24" customHeight="1" x14ac:dyDescent="0.2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8"/>
      <c r="O149" s="88"/>
      <c r="P149" s="8"/>
      <c r="Q149" s="8"/>
      <c r="R149" s="89"/>
      <c r="S149" s="89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</row>
    <row r="150" spans="1:107" ht="24" customHeight="1" x14ac:dyDescent="0.2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8"/>
      <c r="O150" s="88"/>
      <c r="P150" s="8"/>
      <c r="Q150" s="8"/>
      <c r="R150" s="89"/>
      <c r="S150" s="89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</row>
    <row r="151" spans="1:107" ht="24" customHeight="1" x14ac:dyDescent="0.2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8"/>
      <c r="O151" s="88"/>
      <c r="P151" s="8"/>
      <c r="Q151" s="8"/>
      <c r="R151" s="89"/>
      <c r="S151" s="89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</row>
    <row r="152" spans="1:107" ht="24" customHeight="1" x14ac:dyDescent="0.2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8"/>
      <c r="O152" s="88"/>
      <c r="P152" s="8"/>
      <c r="Q152" s="8"/>
      <c r="R152" s="89"/>
      <c r="S152" s="89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</row>
    <row r="153" spans="1:107" ht="24" customHeight="1" x14ac:dyDescent="0.2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8"/>
      <c r="O153" s="88"/>
      <c r="P153" s="8"/>
      <c r="Q153" s="8"/>
      <c r="R153" s="89"/>
      <c r="S153" s="89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</row>
    <row r="154" spans="1:107" ht="24" customHeight="1" x14ac:dyDescent="0.2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8"/>
      <c r="O154" s="88"/>
      <c r="P154" s="8"/>
      <c r="Q154" s="8"/>
      <c r="R154" s="89"/>
      <c r="S154" s="89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</row>
    <row r="155" spans="1:107" ht="24" customHeight="1" x14ac:dyDescent="0.2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8"/>
      <c r="O155" s="88"/>
      <c r="P155" s="8"/>
      <c r="Q155" s="8"/>
      <c r="R155" s="89"/>
      <c r="S155" s="89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</row>
    <row r="156" spans="1:107" ht="24" customHeight="1" x14ac:dyDescent="0.2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8"/>
      <c r="O156" s="88"/>
      <c r="P156" s="8"/>
      <c r="Q156" s="8"/>
      <c r="R156" s="89"/>
      <c r="S156" s="89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</row>
    <row r="157" spans="1:107" ht="24" customHeight="1" x14ac:dyDescent="0.2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8"/>
      <c r="O157" s="88"/>
      <c r="P157" s="8"/>
      <c r="Q157" s="8"/>
      <c r="R157" s="89"/>
      <c r="S157" s="89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</row>
    <row r="158" spans="1:107" ht="24" customHeight="1" x14ac:dyDescent="0.2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8"/>
      <c r="O158" s="88"/>
      <c r="P158" s="8"/>
      <c r="Q158" s="8"/>
      <c r="R158" s="89"/>
      <c r="S158" s="89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</row>
    <row r="159" spans="1:107" ht="24" customHeight="1" x14ac:dyDescent="0.2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8"/>
      <c r="O159" s="88"/>
      <c r="P159" s="8"/>
      <c r="Q159" s="8"/>
      <c r="R159" s="89"/>
      <c r="S159" s="89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</row>
    <row r="160" spans="1:107" ht="24" customHeight="1" x14ac:dyDescent="0.2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8"/>
      <c r="O160" s="88"/>
      <c r="P160" s="8"/>
      <c r="Q160" s="8"/>
      <c r="R160" s="89"/>
      <c r="S160" s="89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</row>
    <row r="161" spans="1:107" ht="24" customHeight="1" x14ac:dyDescent="0.2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8"/>
      <c r="O161" s="88"/>
      <c r="P161" s="8"/>
      <c r="Q161" s="8"/>
      <c r="R161" s="89"/>
      <c r="S161" s="89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</row>
    <row r="162" spans="1:107" ht="24" customHeight="1" x14ac:dyDescent="0.2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8"/>
      <c r="O162" s="88"/>
      <c r="P162" s="8"/>
      <c r="Q162" s="8"/>
      <c r="R162" s="89"/>
      <c r="S162" s="89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</row>
    <row r="163" spans="1:107" ht="24" customHeight="1" x14ac:dyDescent="0.2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8"/>
      <c r="O163" s="88"/>
      <c r="P163" s="8"/>
      <c r="Q163" s="8"/>
      <c r="R163" s="89"/>
      <c r="S163" s="89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</row>
    <row r="164" spans="1:107" ht="24" customHeight="1" x14ac:dyDescent="0.2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8"/>
      <c r="O164" s="88"/>
      <c r="P164" s="8"/>
      <c r="Q164" s="8"/>
      <c r="R164" s="89"/>
      <c r="S164" s="89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</row>
    <row r="165" spans="1:107" ht="24" customHeight="1" x14ac:dyDescent="0.2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8"/>
      <c r="O165" s="88"/>
      <c r="P165" s="8"/>
      <c r="Q165" s="8"/>
      <c r="R165" s="89"/>
      <c r="S165" s="89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</row>
    <row r="166" spans="1:107" ht="24" customHeight="1" x14ac:dyDescent="0.2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8"/>
      <c r="O166" s="88"/>
      <c r="P166" s="8"/>
      <c r="Q166" s="8"/>
      <c r="R166" s="89"/>
      <c r="S166" s="89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</row>
    <row r="167" spans="1:107" ht="24" customHeight="1" x14ac:dyDescent="0.2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8"/>
      <c r="O167" s="88"/>
      <c r="P167" s="8"/>
      <c r="Q167" s="8"/>
      <c r="R167" s="89"/>
      <c r="S167" s="89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</row>
    <row r="168" spans="1:107" ht="24" customHeight="1" x14ac:dyDescent="0.2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8"/>
      <c r="O168" s="88"/>
      <c r="P168" s="8"/>
      <c r="Q168" s="8"/>
      <c r="R168" s="89"/>
      <c r="S168" s="89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</row>
    <row r="169" spans="1:107" ht="24" customHeight="1" x14ac:dyDescent="0.2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8"/>
      <c r="O169" s="88"/>
      <c r="P169" s="8"/>
      <c r="Q169" s="8"/>
      <c r="R169" s="89"/>
      <c r="S169" s="89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</row>
    <row r="170" spans="1:107" ht="24" customHeight="1" x14ac:dyDescent="0.2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8"/>
      <c r="O170" s="88"/>
      <c r="P170" s="8"/>
      <c r="Q170" s="8"/>
      <c r="R170" s="89"/>
      <c r="S170" s="89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</row>
    <row r="171" spans="1:107" ht="24" customHeight="1" x14ac:dyDescent="0.2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8"/>
      <c r="O171" s="88"/>
      <c r="P171" s="8"/>
      <c r="Q171" s="8"/>
      <c r="R171" s="89"/>
      <c r="S171" s="89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</row>
    <row r="172" spans="1:107" ht="24" customHeight="1" x14ac:dyDescent="0.2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8"/>
      <c r="O172" s="88"/>
      <c r="P172" s="8"/>
      <c r="Q172" s="8"/>
      <c r="R172" s="89"/>
      <c r="S172" s="89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</row>
    <row r="173" spans="1:107" ht="24" customHeight="1" x14ac:dyDescent="0.2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8"/>
      <c r="O173" s="88"/>
      <c r="P173" s="8"/>
      <c r="Q173" s="8"/>
      <c r="R173" s="89"/>
      <c r="S173" s="89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</row>
    <row r="174" spans="1:107" ht="24" customHeight="1" x14ac:dyDescent="0.2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8"/>
      <c r="O174" s="88"/>
      <c r="P174" s="8"/>
      <c r="Q174" s="8"/>
      <c r="R174" s="89"/>
      <c r="S174" s="89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</row>
    <row r="175" spans="1:107" ht="24" customHeight="1" x14ac:dyDescent="0.2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8"/>
      <c r="O175" s="88"/>
      <c r="P175" s="8"/>
      <c r="Q175" s="8"/>
      <c r="R175" s="89"/>
      <c r="S175" s="89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</row>
    <row r="176" spans="1:107" ht="24" customHeight="1" x14ac:dyDescent="0.2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8"/>
      <c r="O176" s="88"/>
      <c r="P176" s="8"/>
      <c r="Q176" s="8"/>
      <c r="R176" s="89"/>
      <c r="S176" s="89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</row>
    <row r="177" spans="1:107" ht="24" customHeight="1" x14ac:dyDescent="0.2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8"/>
      <c r="O177" s="88"/>
      <c r="P177" s="8"/>
      <c r="Q177" s="8"/>
      <c r="R177" s="89"/>
      <c r="S177" s="89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</row>
    <row r="178" spans="1:107" ht="24" customHeight="1" x14ac:dyDescent="0.2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8"/>
      <c r="O178" s="88"/>
      <c r="P178" s="8"/>
      <c r="Q178" s="8"/>
      <c r="R178" s="89"/>
      <c r="S178" s="89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</row>
    <row r="179" spans="1:107" ht="24" customHeight="1" x14ac:dyDescent="0.2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8"/>
      <c r="O179" s="88"/>
      <c r="P179" s="8"/>
      <c r="Q179" s="8"/>
      <c r="R179" s="89"/>
      <c r="S179" s="89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</row>
    <row r="180" spans="1:107" ht="24" customHeight="1" x14ac:dyDescent="0.2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8"/>
      <c r="O180" s="88"/>
      <c r="P180" s="8"/>
      <c r="Q180" s="8"/>
      <c r="R180" s="89"/>
      <c r="S180" s="89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</row>
    <row r="181" spans="1:107" ht="24" customHeight="1" x14ac:dyDescent="0.2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8"/>
      <c r="O181" s="88"/>
      <c r="P181" s="8"/>
      <c r="Q181" s="8"/>
      <c r="R181" s="89"/>
      <c r="S181" s="89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</row>
    <row r="182" spans="1:107" ht="24" customHeight="1" x14ac:dyDescent="0.2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8"/>
      <c r="O182" s="88"/>
      <c r="P182" s="8"/>
      <c r="Q182" s="8"/>
      <c r="R182" s="89"/>
      <c r="S182" s="89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</row>
    <row r="183" spans="1:107" ht="24" customHeight="1" x14ac:dyDescent="0.2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8"/>
      <c r="O183" s="88"/>
      <c r="P183" s="8"/>
      <c r="Q183" s="8"/>
      <c r="R183" s="89"/>
      <c r="S183" s="89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</row>
    <row r="184" spans="1:107" ht="24" customHeight="1" x14ac:dyDescent="0.2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8"/>
      <c r="O184" s="88"/>
      <c r="P184" s="8"/>
      <c r="Q184" s="8"/>
      <c r="R184" s="89"/>
      <c r="S184" s="89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</row>
    <row r="185" spans="1:107" ht="24" customHeight="1" x14ac:dyDescent="0.2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8"/>
      <c r="O185" s="88"/>
      <c r="P185" s="8"/>
      <c r="Q185" s="8"/>
      <c r="R185" s="89"/>
      <c r="S185" s="89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</row>
    <row r="186" spans="1:107" ht="24" customHeight="1" x14ac:dyDescent="0.2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8"/>
      <c r="O186" s="88"/>
      <c r="P186" s="8"/>
      <c r="Q186" s="8"/>
      <c r="R186" s="89"/>
      <c r="S186" s="89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</row>
    <row r="187" spans="1:107" ht="24" customHeight="1" x14ac:dyDescent="0.2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8"/>
      <c r="O187" s="88"/>
      <c r="P187" s="8"/>
      <c r="Q187" s="8"/>
      <c r="R187" s="89"/>
      <c r="S187" s="89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</row>
    <row r="188" spans="1:107" ht="24" customHeight="1" x14ac:dyDescent="0.2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8"/>
      <c r="O188" s="88"/>
      <c r="P188" s="8"/>
      <c r="Q188" s="8"/>
      <c r="R188" s="89"/>
      <c r="S188" s="89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</row>
    <row r="189" spans="1:107" ht="24" customHeight="1" x14ac:dyDescent="0.2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8"/>
      <c r="O189" s="88"/>
      <c r="P189" s="8"/>
      <c r="Q189" s="8"/>
      <c r="R189" s="89"/>
      <c r="S189" s="89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</row>
    <row r="190" spans="1:107" ht="24" customHeight="1" x14ac:dyDescent="0.2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8"/>
      <c r="O190" s="88"/>
      <c r="P190" s="8"/>
      <c r="Q190" s="8"/>
      <c r="R190" s="89"/>
      <c r="S190" s="89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</row>
    <row r="191" spans="1:107" ht="24" customHeight="1" x14ac:dyDescent="0.2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8"/>
      <c r="O191" s="88"/>
      <c r="P191" s="8"/>
      <c r="Q191" s="8"/>
      <c r="R191" s="89"/>
      <c r="S191" s="89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</row>
    <row r="192" spans="1:107" ht="24" customHeight="1" x14ac:dyDescent="0.2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8"/>
      <c r="O192" s="88"/>
      <c r="P192" s="8"/>
      <c r="Q192" s="8"/>
      <c r="R192" s="89"/>
      <c r="S192" s="89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</row>
    <row r="193" spans="1:107" ht="24" customHeight="1" x14ac:dyDescent="0.2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8"/>
      <c r="O193" s="88"/>
      <c r="P193" s="8"/>
      <c r="Q193" s="8"/>
      <c r="R193" s="89"/>
      <c r="S193" s="89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</row>
    <row r="194" spans="1:107" ht="24" customHeight="1" x14ac:dyDescent="0.2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8"/>
      <c r="O194" s="88"/>
      <c r="P194" s="8"/>
      <c r="Q194" s="8"/>
      <c r="R194" s="89"/>
      <c r="S194" s="89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</row>
    <row r="195" spans="1:107" ht="24" customHeight="1" x14ac:dyDescent="0.2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8"/>
      <c r="O195" s="88"/>
      <c r="P195" s="8"/>
      <c r="Q195" s="8"/>
      <c r="R195" s="89"/>
      <c r="S195" s="89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</row>
    <row r="196" spans="1:107" ht="24" customHeight="1" x14ac:dyDescent="0.2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8"/>
      <c r="O196" s="88"/>
      <c r="P196" s="8"/>
      <c r="Q196" s="8"/>
      <c r="R196" s="89"/>
      <c r="S196" s="89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</row>
    <row r="197" spans="1:107" ht="24" customHeight="1" x14ac:dyDescent="0.2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8"/>
      <c r="O197" s="88"/>
      <c r="P197" s="8"/>
      <c r="Q197" s="8"/>
      <c r="R197" s="89"/>
      <c r="S197" s="89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</row>
    <row r="198" spans="1:107" ht="24" customHeight="1" x14ac:dyDescent="0.2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8"/>
      <c r="O198" s="88"/>
      <c r="P198" s="8"/>
      <c r="Q198" s="8"/>
      <c r="R198" s="89"/>
      <c r="S198" s="89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</row>
    <row r="199" spans="1:107" ht="24" customHeight="1" x14ac:dyDescent="0.2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8"/>
      <c r="O199" s="88"/>
      <c r="P199" s="8"/>
      <c r="Q199" s="8"/>
      <c r="R199" s="89"/>
      <c r="S199" s="89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</row>
    <row r="200" spans="1:107" ht="24" customHeight="1" x14ac:dyDescent="0.2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8"/>
      <c r="O200" s="88"/>
      <c r="P200" s="8"/>
      <c r="Q200" s="8"/>
      <c r="R200" s="89"/>
      <c r="S200" s="89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</row>
    <row r="201" spans="1:107" ht="24" customHeight="1" x14ac:dyDescent="0.2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8"/>
      <c r="O201" s="88"/>
      <c r="P201" s="8"/>
      <c r="Q201" s="8"/>
      <c r="R201" s="89"/>
      <c r="S201" s="89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</row>
    <row r="202" spans="1:107" ht="24" customHeight="1" x14ac:dyDescent="0.2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8"/>
      <c r="O202" s="88"/>
      <c r="P202" s="8"/>
      <c r="Q202" s="8"/>
      <c r="R202" s="89"/>
      <c r="S202" s="89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</row>
    <row r="203" spans="1:107" ht="24" customHeight="1" x14ac:dyDescent="0.2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8"/>
      <c r="O203" s="88"/>
      <c r="P203" s="8"/>
      <c r="Q203" s="8"/>
      <c r="R203" s="89"/>
      <c r="S203" s="89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</row>
    <row r="204" spans="1:107" ht="24" customHeight="1" x14ac:dyDescent="0.2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8"/>
      <c r="O204" s="88"/>
      <c r="P204" s="8"/>
      <c r="Q204" s="8"/>
      <c r="R204" s="89"/>
      <c r="S204" s="89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</row>
    <row r="205" spans="1:107" ht="24" customHeight="1" x14ac:dyDescent="0.2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8"/>
      <c r="O205" s="88"/>
      <c r="P205" s="8"/>
      <c r="Q205" s="8"/>
      <c r="R205" s="89"/>
      <c r="S205" s="89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</row>
    <row r="206" spans="1:107" ht="24" customHeight="1" x14ac:dyDescent="0.2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8"/>
      <c r="O206" s="88"/>
      <c r="P206" s="8"/>
      <c r="Q206" s="8"/>
      <c r="R206" s="89"/>
      <c r="S206" s="89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</row>
    <row r="207" spans="1:107" ht="24" customHeight="1" x14ac:dyDescent="0.2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8"/>
      <c r="O207" s="88"/>
      <c r="P207" s="8"/>
      <c r="Q207" s="8"/>
      <c r="R207" s="89"/>
      <c r="S207" s="89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</row>
    <row r="208" spans="1:107" ht="24" customHeight="1" x14ac:dyDescent="0.2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8"/>
      <c r="O208" s="88"/>
      <c r="P208" s="8"/>
      <c r="Q208" s="8"/>
      <c r="R208" s="89"/>
      <c r="S208" s="89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</row>
    <row r="209" spans="1:107" ht="24" customHeight="1" x14ac:dyDescent="0.2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8"/>
      <c r="O209" s="88"/>
      <c r="P209" s="8"/>
      <c r="Q209" s="8"/>
      <c r="R209" s="89"/>
      <c r="S209" s="89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</row>
    <row r="210" spans="1:107" ht="24" customHeight="1" x14ac:dyDescent="0.2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8"/>
      <c r="O210" s="88"/>
      <c r="P210" s="8"/>
      <c r="Q210" s="8"/>
      <c r="R210" s="89"/>
      <c r="S210" s="89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</row>
    <row r="211" spans="1:107" ht="24" customHeight="1" x14ac:dyDescent="0.2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8"/>
      <c r="O211" s="88"/>
      <c r="P211" s="8"/>
      <c r="Q211" s="8"/>
      <c r="R211" s="89"/>
      <c r="S211" s="89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</row>
    <row r="212" spans="1:107" ht="24" customHeight="1" x14ac:dyDescent="0.2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8"/>
      <c r="O212" s="88"/>
      <c r="P212" s="8"/>
      <c r="Q212" s="8"/>
      <c r="R212" s="89"/>
      <c r="S212" s="89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</row>
    <row r="213" spans="1:107" ht="24" customHeight="1" x14ac:dyDescent="0.2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8"/>
      <c r="O213" s="88"/>
      <c r="P213" s="8"/>
      <c r="Q213" s="8"/>
      <c r="R213" s="89"/>
      <c r="S213" s="89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</row>
    <row r="214" spans="1:107" ht="24" customHeight="1" x14ac:dyDescent="0.2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8"/>
      <c r="O214" s="88"/>
      <c r="P214" s="8"/>
      <c r="Q214" s="8"/>
      <c r="R214" s="89"/>
      <c r="S214" s="89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</row>
    <row r="215" spans="1:107" ht="24" customHeight="1" x14ac:dyDescent="0.2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8"/>
      <c r="O215" s="88"/>
      <c r="P215" s="8"/>
      <c r="Q215" s="8"/>
      <c r="R215" s="89"/>
      <c r="S215" s="89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</row>
    <row r="216" spans="1:107" ht="24" customHeight="1" x14ac:dyDescent="0.2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8"/>
      <c r="O216" s="88"/>
      <c r="P216" s="8"/>
      <c r="Q216" s="8"/>
      <c r="R216" s="89"/>
      <c r="S216" s="89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</row>
    <row r="217" spans="1:107" ht="24" customHeight="1" x14ac:dyDescent="0.2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8"/>
      <c r="O217" s="88"/>
      <c r="P217" s="8"/>
      <c r="Q217" s="8"/>
      <c r="R217" s="89"/>
      <c r="S217" s="89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</row>
    <row r="218" spans="1:107" ht="24" customHeight="1" x14ac:dyDescent="0.2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8"/>
      <c r="O218" s="88"/>
      <c r="P218" s="8"/>
      <c r="Q218" s="8"/>
      <c r="R218" s="89"/>
      <c r="S218" s="89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</row>
    <row r="219" spans="1:107" ht="24" customHeight="1" x14ac:dyDescent="0.2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8"/>
      <c r="O219" s="88"/>
      <c r="P219" s="8"/>
      <c r="Q219" s="8"/>
      <c r="R219" s="89"/>
      <c r="S219" s="89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</row>
    <row r="220" spans="1:107" ht="24" customHeight="1" x14ac:dyDescent="0.2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8"/>
      <c r="O220" s="88"/>
      <c r="P220" s="8"/>
      <c r="Q220" s="8"/>
      <c r="R220" s="89"/>
      <c r="S220" s="89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</row>
    <row r="221" spans="1:107" ht="24" customHeight="1" x14ac:dyDescent="0.2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8"/>
      <c r="O221" s="88"/>
      <c r="P221" s="8"/>
      <c r="Q221" s="8"/>
      <c r="R221" s="89"/>
      <c r="S221" s="89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</row>
    <row r="222" spans="1:107" ht="24" customHeight="1" x14ac:dyDescent="0.2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8"/>
      <c r="O222" s="88"/>
      <c r="P222" s="8"/>
      <c r="Q222" s="8"/>
      <c r="R222" s="89"/>
      <c r="S222" s="89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</row>
    <row r="223" spans="1:107" ht="24" customHeight="1" x14ac:dyDescent="0.2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8"/>
      <c r="O223" s="88"/>
      <c r="P223" s="8"/>
      <c r="Q223" s="8"/>
      <c r="R223" s="89"/>
      <c r="S223" s="89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</row>
    <row r="224" spans="1:107" ht="24" customHeight="1" x14ac:dyDescent="0.2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8"/>
      <c r="O224" s="88"/>
      <c r="P224" s="8"/>
      <c r="Q224" s="8"/>
      <c r="R224" s="89"/>
      <c r="S224" s="89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</row>
    <row r="225" spans="1:107" ht="24" customHeight="1" x14ac:dyDescent="0.2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8"/>
      <c r="O225" s="88"/>
      <c r="P225" s="8"/>
      <c r="Q225" s="8"/>
      <c r="R225" s="89"/>
      <c r="S225" s="89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</row>
    <row r="226" spans="1:107" ht="24" customHeight="1" x14ac:dyDescent="0.2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8"/>
      <c r="O226" s="88"/>
      <c r="P226" s="8"/>
      <c r="Q226" s="8"/>
      <c r="R226" s="89"/>
      <c r="S226" s="89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</row>
    <row r="227" spans="1:107" ht="24" customHeight="1" x14ac:dyDescent="0.2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8"/>
      <c r="O227" s="88"/>
      <c r="P227" s="8"/>
      <c r="Q227" s="8"/>
      <c r="R227" s="89"/>
      <c r="S227" s="89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</row>
    <row r="228" spans="1:107" ht="24" customHeight="1" x14ac:dyDescent="0.2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8"/>
      <c r="O228" s="88"/>
      <c r="P228" s="8"/>
      <c r="Q228" s="8"/>
      <c r="R228" s="89"/>
      <c r="S228" s="89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</row>
    <row r="229" spans="1:107" ht="24" customHeight="1" x14ac:dyDescent="0.2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8"/>
      <c r="O229" s="88"/>
      <c r="P229" s="8"/>
      <c r="Q229" s="8"/>
      <c r="R229" s="89"/>
      <c r="S229" s="89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</row>
    <row r="230" spans="1:107" ht="24" customHeight="1" x14ac:dyDescent="0.2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8"/>
      <c r="O230" s="88"/>
      <c r="P230" s="8"/>
      <c r="Q230" s="8"/>
      <c r="R230" s="89"/>
      <c r="S230" s="89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</row>
    <row r="231" spans="1:107" ht="24" customHeight="1" x14ac:dyDescent="0.2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8"/>
      <c r="O231" s="88"/>
      <c r="P231" s="8"/>
      <c r="Q231" s="8"/>
      <c r="R231" s="89"/>
      <c r="S231" s="89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</row>
    <row r="232" spans="1:107" ht="24" customHeight="1" x14ac:dyDescent="0.2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8"/>
      <c r="O232" s="88"/>
      <c r="P232" s="8"/>
      <c r="Q232" s="8"/>
      <c r="R232" s="89"/>
      <c r="S232" s="89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</row>
    <row r="233" spans="1:107" ht="24" customHeight="1" x14ac:dyDescent="0.2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8"/>
      <c r="O233" s="88"/>
      <c r="P233" s="8"/>
      <c r="Q233" s="8"/>
      <c r="R233" s="89"/>
      <c r="S233" s="89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</row>
    <row r="234" spans="1:107" ht="24" customHeight="1" x14ac:dyDescent="0.2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8"/>
      <c r="O234" s="88"/>
      <c r="P234" s="8"/>
      <c r="Q234" s="8"/>
      <c r="R234" s="89"/>
      <c r="S234" s="89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</row>
    <row r="235" spans="1:107" ht="24" customHeight="1" x14ac:dyDescent="0.2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8"/>
      <c r="O235" s="88"/>
      <c r="P235" s="8"/>
      <c r="Q235" s="8"/>
      <c r="R235" s="89"/>
      <c r="S235" s="89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</row>
    <row r="236" spans="1:107" ht="24" customHeight="1" x14ac:dyDescent="0.2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8"/>
      <c r="O236" s="88"/>
      <c r="P236" s="8"/>
      <c r="Q236" s="8"/>
      <c r="R236" s="89"/>
      <c r="S236" s="89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</row>
    <row r="237" spans="1:107" ht="24" customHeight="1" x14ac:dyDescent="0.2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8"/>
      <c r="O237" s="88"/>
      <c r="P237" s="8"/>
      <c r="Q237" s="8"/>
      <c r="R237" s="89"/>
      <c r="S237" s="89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</row>
    <row r="238" spans="1:107" ht="24" customHeight="1" x14ac:dyDescent="0.2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8"/>
      <c r="O238" s="88"/>
      <c r="P238" s="8"/>
      <c r="Q238" s="8"/>
      <c r="R238" s="89"/>
      <c r="S238" s="89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</row>
    <row r="239" spans="1:107" ht="24" customHeight="1" x14ac:dyDescent="0.2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8"/>
      <c r="O239" s="88"/>
      <c r="P239" s="8"/>
      <c r="Q239" s="8"/>
      <c r="R239" s="89"/>
      <c r="S239" s="89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</row>
    <row r="240" spans="1:107" ht="24" customHeight="1" x14ac:dyDescent="0.2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8"/>
      <c r="O240" s="88"/>
      <c r="P240" s="8"/>
      <c r="Q240" s="8"/>
      <c r="R240" s="89"/>
      <c r="S240" s="89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</row>
    <row r="241" spans="1:107" ht="24" customHeight="1" x14ac:dyDescent="0.2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8"/>
      <c r="O241" s="88"/>
      <c r="P241" s="8"/>
      <c r="Q241" s="8"/>
      <c r="R241" s="89"/>
      <c r="S241" s="89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</row>
    <row r="242" spans="1:107" ht="24" customHeight="1" x14ac:dyDescent="0.2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8"/>
      <c r="O242" s="88"/>
      <c r="P242" s="8"/>
      <c r="Q242" s="8"/>
      <c r="R242" s="89"/>
      <c r="S242" s="89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</row>
    <row r="243" spans="1:107" ht="24" customHeight="1" x14ac:dyDescent="0.2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8"/>
      <c r="O243" s="88"/>
      <c r="P243" s="8"/>
      <c r="Q243" s="8"/>
      <c r="R243" s="89"/>
      <c r="S243" s="89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</row>
    <row r="244" spans="1:107" ht="24" customHeight="1" x14ac:dyDescent="0.2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8"/>
      <c r="O244" s="88"/>
      <c r="P244" s="8"/>
      <c r="Q244" s="8"/>
      <c r="R244" s="89"/>
      <c r="S244" s="89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</row>
    <row r="245" spans="1:107" ht="24" customHeight="1" x14ac:dyDescent="0.2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8"/>
      <c r="O245" s="88"/>
      <c r="P245" s="8"/>
      <c r="Q245" s="8"/>
      <c r="R245" s="89"/>
      <c r="S245" s="89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</row>
    <row r="246" spans="1:107" ht="24" customHeight="1" x14ac:dyDescent="0.2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8"/>
      <c r="O246" s="88"/>
      <c r="P246" s="8"/>
      <c r="Q246" s="8"/>
      <c r="R246" s="89"/>
      <c r="S246" s="89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</row>
    <row r="247" spans="1:107" ht="24" customHeight="1" x14ac:dyDescent="0.2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8"/>
      <c r="O247" s="88"/>
      <c r="P247" s="8"/>
      <c r="Q247" s="8"/>
      <c r="R247" s="89"/>
      <c r="S247" s="89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</row>
    <row r="248" spans="1:107" ht="24" customHeight="1" x14ac:dyDescent="0.2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8"/>
      <c r="O248" s="88"/>
      <c r="P248" s="8"/>
      <c r="Q248" s="8"/>
      <c r="R248" s="89"/>
      <c r="S248" s="89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</row>
    <row r="249" spans="1:107" ht="24" customHeight="1" x14ac:dyDescent="0.2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8"/>
      <c r="O249" s="88"/>
      <c r="P249" s="8"/>
      <c r="Q249" s="8"/>
      <c r="R249" s="89"/>
      <c r="S249" s="89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</row>
    <row r="250" spans="1:107" ht="24" customHeight="1" x14ac:dyDescent="0.2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8"/>
      <c r="O250" s="88"/>
      <c r="P250" s="8"/>
      <c r="Q250" s="8"/>
      <c r="R250" s="89"/>
      <c r="S250" s="89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</row>
    <row r="251" spans="1:107" ht="24" customHeight="1" x14ac:dyDescent="0.2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8"/>
      <c r="O251" s="88"/>
      <c r="P251" s="8"/>
      <c r="Q251" s="8"/>
      <c r="R251" s="89"/>
      <c r="S251" s="89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</row>
    <row r="252" spans="1:107" ht="24" customHeight="1" x14ac:dyDescent="0.2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8"/>
      <c r="O252" s="88"/>
      <c r="P252" s="8"/>
      <c r="Q252" s="8"/>
      <c r="R252" s="89"/>
      <c r="S252" s="89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</row>
    <row r="253" spans="1:107" ht="24" customHeight="1" x14ac:dyDescent="0.2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8"/>
      <c r="O253" s="88"/>
      <c r="P253" s="8"/>
      <c r="Q253" s="8"/>
      <c r="R253" s="89"/>
      <c r="S253" s="89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</row>
    <row r="254" spans="1:107" ht="24" customHeight="1" x14ac:dyDescent="0.2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8"/>
      <c r="O254" s="88"/>
      <c r="P254" s="8"/>
      <c r="Q254" s="8"/>
      <c r="R254" s="89"/>
      <c r="S254" s="89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</row>
    <row r="255" spans="1:107" ht="24" customHeight="1" x14ac:dyDescent="0.2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8"/>
      <c r="O255" s="88"/>
      <c r="P255" s="8"/>
      <c r="Q255" s="8"/>
      <c r="R255" s="89"/>
      <c r="S255" s="89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</row>
    <row r="256" spans="1:107" ht="24" customHeight="1" x14ac:dyDescent="0.2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8"/>
      <c r="O256" s="88"/>
      <c r="P256" s="8"/>
      <c r="Q256" s="8"/>
      <c r="R256" s="89"/>
      <c r="S256" s="89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</row>
    <row r="257" spans="1:107" ht="24" customHeight="1" x14ac:dyDescent="0.2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8"/>
      <c r="O257" s="88"/>
      <c r="P257" s="8"/>
      <c r="Q257" s="8"/>
      <c r="R257" s="89"/>
      <c r="S257" s="89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</row>
    <row r="258" spans="1:107" ht="24" customHeight="1" x14ac:dyDescent="0.2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8"/>
      <c r="O258" s="88"/>
      <c r="P258" s="8"/>
      <c r="Q258" s="8"/>
      <c r="R258" s="89"/>
      <c r="S258" s="89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</row>
    <row r="259" spans="1:107" ht="24" customHeight="1" x14ac:dyDescent="0.2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8"/>
      <c r="O259" s="88"/>
      <c r="P259" s="8"/>
      <c r="Q259" s="8"/>
      <c r="R259" s="89"/>
      <c r="S259" s="89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</row>
    <row r="260" spans="1:107" ht="24" customHeight="1" x14ac:dyDescent="0.2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8"/>
      <c r="O260" s="88"/>
      <c r="P260" s="8"/>
      <c r="Q260" s="8"/>
      <c r="R260" s="89"/>
      <c r="S260" s="89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</row>
    <row r="261" spans="1:107" ht="24" customHeight="1" x14ac:dyDescent="0.2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8"/>
      <c r="O261" s="88"/>
      <c r="P261" s="8"/>
      <c r="Q261" s="8"/>
      <c r="R261" s="89"/>
      <c r="S261" s="89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</row>
    <row r="262" spans="1:107" ht="24" customHeight="1" x14ac:dyDescent="0.2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8"/>
      <c r="O262" s="88"/>
      <c r="P262" s="8"/>
      <c r="Q262" s="8"/>
      <c r="R262" s="89"/>
      <c r="S262" s="89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</row>
    <row r="263" spans="1:107" ht="24" customHeight="1" x14ac:dyDescent="0.2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8"/>
      <c r="O263" s="88"/>
      <c r="P263" s="8"/>
      <c r="Q263" s="8"/>
      <c r="R263" s="89"/>
      <c r="S263" s="89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</row>
    <row r="264" spans="1:107" ht="24" customHeight="1" x14ac:dyDescent="0.2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8"/>
      <c r="O264" s="88"/>
      <c r="P264" s="8"/>
      <c r="Q264" s="8"/>
      <c r="R264" s="89"/>
      <c r="S264" s="89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</row>
    <row r="265" spans="1:107" ht="24" customHeight="1" x14ac:dyDescent="0.2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8"/>
      <c r="O265" s="88"/>
      <c r="P265" s="8"/>
      <c r="Q265" s="8"/>
      <c r="R265" s="89"/>
      <c r="S265" s="89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</row>
    <row r="266" spans="1:107" ht="24" customHeight="1" x14ac:dyDescent="0.2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8"/>
      <c r="O266" s="88"/>
      <c r="P266" s="8"/>
      <c r="Q266" s="8"/>
      <c r="R266" s="89"/>
      <c r="S266" s="89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</row>
    <row r="267" spans="1:107" ht="24" customHeight="1" x14ac:dyDescent="0.2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8"/>
      <c r="O267" s="88"/>
      <c r="P267" s="8"/>
      <c r="Q267" s="8"/>
      <c r="R267" s="89"/>
      <c r="S267" s="89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</row>
    <row r="268" spans="1:107" ht="24" customHeight="1" x14ac:dyDescent="0.2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8"/>
      <c r="O268" s="88"/>
      <c r="P268" s="8"/>
      <c r="Q268" s="8"/>
      <c r="R268" s="89"/>
      <c r="S268" s="89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</row>
    <row r="269" spans="1:107" ht="24" customHeight="1" x14ac:dyDescent="0.2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8"/>
      <c r="O269" s="88"/>
      <c r="P269" s="8"/>
      <c r="Q269" s="8"/>
      <c r="R269" s="89"/>
      <c r="S269" s="89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</row>
    <row r="270" spans="1:107" ht="24" customHeight="1" x14ac:dyDescent="0.2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8"/>
      <c r="O270" s="88"/>
      <c r="P270" s="8"/>
      <c r="Q270" s="8"/>
      <c r="R270" s="89"/>
      <c r="S270" s="89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</row>
    <row r="271" spans="1:107" ht="24" customHeight="1" x14ac:dyDescent="0.2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8"/>
      <c r="O271" s="88"/>
      <c r="P271" s="8"/>
      <c r="Q271" s="8"/>
      <c r="R271" s="89"/>
      <c r="S271" s="89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</row>
    <row r="272" spans="1:107" ht="24" customHeight="1" x14ac:dyDescent="0.2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8"/>
      <c r="O272" s="88"/>
      <c r="P272" s="8"/>
      <c r="Q272" s="8"/>
      <c r="R272" s="89"/>
      <c r="S272" s="89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</row>
    <row r="273" spans="1:107" ht="24" customHeight="1" x14ac:dyDescent="0.2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8"/>
      <c r="O273" s="88"/>
      <c r="P273" s="8"/>
      <c r="Q273" s="8"/>
      <c r="R273" s="89"/>
      <c r="S273" s="89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</row>
    <row r="274" spans="1:107" ht="24" customHeight="1" x14ac:dyDescent="0.2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8"/>
      <c r="O274" s="88"/>
      <c r="P274" s="8"/>
      <c r="Q274" s="8"/>
      <c r="R274" s="89"/>
      <c r="S274" s="89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</row>
    <row r="275" spans="1:107" ht="24" customHeight="1" x14ac:dyDescent="0.2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8"/>
      <c r="O275" s="88"/>
      <c r="P275" s="8"/>
      <c r="Q275" s="8"/>
      <c r="R275" s="89"/>
      <c r="S275" s="89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</row>
    <row r="276" spans="1:107" ht="24" customHeight="1" x14ac:dyDescent="0.2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8"/>
      <c r="O276" s="88"/>
      <c r="P276" s="8"/>
      <c r="Q276" s="8"/>
      <c r="R276" s="89"/>
      <c r="S276" s="89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</row>
    <row r="277" spans="1:107" ht="24" customHeight="1" x14ac:dyDescent="0.2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8"/>
      <c r="O277" s="88"/>
      <c r="P277" s="8"/>
      <c r="Q277" s="8"/>
      <c r="R277" s="89"/>
      <c r="S277" s="89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</row>
    <row r="278" spans="1:107" ht="24" customHeight="1" x14ac:dyDescent="0.2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8"/>
      <c r="O278" s="88"/>
      <c r="P278" s="8"/>
      <c r="Q278" s="8"/>
      <c r="R278" s="89"/>
      <c r="S278" s="89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</row>
    <row r="279" spans="1:107" ht="24" customHeight="1" x14ac:dyDescent="0.2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8"/>
      <c r="O279" s="88"/>
      <c r="P279" s="8"/>
      <c r="Q279" s="8"/>
      <c r="R279" s="89"/>
      <c r="S279" s="89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</row>
    <row r="280" spans="1:107" ht="24" customHeight="1" x14ac:dyDescent="0.2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8"/>
      <c r="O280" s="88"/>
      <c r="P280" s="8"/>
      <c r="Q280" s="8"/>
      <c r="R280" s="89"/>
      <c r="S280" s="89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</row>
    <row r="281" spans="1:107" ht="24" customHeight="1" x14ac:dyDescent="0.2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8"/>
      <c r="O281" s="88"/>
      <c r="P281" s="8"/>
      <c r="Q281" s="8"/>
      <c r="R281" s="89"/>
      <c r="S281" s="89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</row>
    <row r="282" spans="1:107" ht="24" customHeight="1" x14ac:dyDescent="0.2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8"/>
      <c r="O282" s="88"/>
      <c r="P282" s="8"/>
      <c r="Q282" s="8"/>
      <c r="R282" s="89"/>
      <c r="S282" s="89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</row>
    <row r="283" spans="1:107" ht="24" customHeight="1" x14ac:dyDescent="0.2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8"/>
      <c r="O283" s="88"/>
      <c r="P283" s="8"/>
      <c r="Q283" s="8"/>
      <c r="R283" s="89"/>
      <c r="S283" s="89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</row>
    <row r="284" spans="1:107" ht="24" customHeight="1" x14ac:dyDescent="0.2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8"/>
      <c r="O284" s="88"/>
      <c r="P284" s="8"/>
      <c r="Q284" s="8"/>
      <c r="R284" s="89"/>
      <c r="S284" s="89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</row>
    <row r="285" spans="1:107" ht="24" customHeight="1" x14ac:dyDescent="0.2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8"/>
      <c r="O285" s="88"/>
      <c r="P285" s="8"/>
      <c r="Q285" s="8"/>
      <c r="R285" s="89"/>
      <c r="S285" s="89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</row>
    <row r="286" spans="1:107" ht="24" customHeight="1" x14ac:dyDescent="0.2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8"/>
      <c r="O286" s="88"/>
      <c r="P286" s="8"/>
      <c r="Q286" s="8"/>
      <c r="R286" s="89"/>
      <c r="S286" s="89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</row>
    <row r="287" spans="1:107" ht="24" customHeight="1" x14ac:dyDescent="0.2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8"/>
      <c r="O287" s="88"/>
      <c r="P287" s="8"/>
      <c r="Q287" s="8"/>
      <c r="R287" s="89"/>
      <c r="S287" s="89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</row>
    <row r="288" spans="1:107" ht="24" customHeight="1" x14ac:dyDescent="0.2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8"/>
      <c r="O288" s="88"/>
      <c r="P288" s="8"/>
      <c r="Q288" s="8"/>
      <c r="R288" s="89"/>
      <c r="S288" s="89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</row>
    <row r="289" spans="1:107" ht="24" customHeight="1" x14ac:dyDescent="0.2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8"/>
      <c r="O289" s="88"/>
      <c r="P289" s="8"/>
      <c r="Q289" s="8"/>
      <c r="R289" s="89"/>
      <c r="S289" s="89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</row>
    <row r="290" spans="1:107" ht="24" customHeight="1" x14ac:dyDescent="0.2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8"/>
      <c r="O290" s="88"/>
      <c r="P290" s="8"/>
      <c r="Q290" s="8"/>
      <c r="R290" s="89"/>
      <c r="S290" s="89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</row>
    <row r="291" spans="1:107" ht="24" customHeight="1" x14ac:dyDescent="0.2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8"/>
      <c r="O291" s="88"/>
      <c r="P291" s="8"/>
      <c r="Q291" s="8"/>
      <c r="R291" s="89"/>
      <c r="S291" s="89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</row>
    <row r="292" spans="1:107" ht="24" customHeight="1" x14ac:dyDescent="0.2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8"/>
      <c r="O292" s="88"/>
      <c r="P292" s="8"/>
      <c r="Q292" s="8"/>
      <c r="R292" s="89"/>
      <c r="S292" s="89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</row>
    <row r="293" spans="1:107" ht="24" customHeight="1" x14ac:dyDescent="0.2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8"/>
      <c r="O293" s="88"/>
      <c r="P293" s="8"/>
      <c r="Q293" s="8"/>
      <c r="R293" s="89"/>
      <c r="S293" s="89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</row>
    <row r="294" spans="1:107" ht="24" customHeight="1" x14ac:dyDescent="0.2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8"/>
      <c r="O294" s="88"/>
      <c r="P294" s="8"/>
      <c r="Q294" s="8"/>
      <c r="R294" s="89"/>
      <c r="S294" s="89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</row>
    <row r="295" spans="1:107" ht="24" customHeight="1" x14ac:dyDescent="0.2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8"/>
      <c r="O295" s="88"/>
      <c r="P295" s="8"/>
      <c r="Q295" s="8"/>
      <c r="R295" s="89"/>
      <c r="S295" s="89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</row>
    <row r="296" spans="1:107" ht="24" customHeight="1" x14ac:dyDescent="0.2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8"/>
      <c r="O296" s="88"/>
      <c r="P296" s="8"/>
      <c r="Q296" s="8"/>
      <c r="R296" s="89"/>
      <c r="S296" s="89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</row>
    <row r="297" spans="1:107" ht="24" customHeight="1" x14ac:dyDescent="0.2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8"/>
      <c r="O297" s="88"/>
      <c r="P297" s="8"/>
      <c r="Q297" s="8"/>
      <c r="R297" s="89"/>
      <c r="S297" s="89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</row>
    <row r="298" spans="1:107" ht="24" customHeight="1" x14ac:dyDescent="0.2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8"/>
      <c r="O298" s="88"/>
      <c r="P298" s="8"/>
      <c r="Q298" s="8"/>
      <c r="R298" s="89"/>
      <c r="S298" s="89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</row>
    <row r="299" spans="1:107" ht="24" customHeight="1" x14ac:dyDescent="0.2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8"/>
      <c r="O299" s="88"/>
      <c r="P299" s="8"/>
      <c r="Q299" s="8"/>
      <c r="R299" s="89"/>
      <c r="S299" s="89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</row>
    <row r="300" spans="1:107" ht="24" customHeight="1" x14ac:dyDescent="0.2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8"/>
      <c r="O300" s="88"/>
      <c r="P300" s="8"/>
      <c r="Q300" s="8"/>
      <c r="R300" s="89"/>
      <c r="S300" s="89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</row>
    <row r="301" spans="1:107" ht="24" customHeight="1" x14ac:dyDescent="0.2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8"/>
      <c r="O301" s="88"/>
      <c r="P301" s="8"/>
      <c r="Q301" s="8"/>
      <c r="R301" s="89"/>
      <c r="S301" s="89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</row>
    <row r="302" spans="1:107" ht="24" customHeight="1" x14ac:dyDescent="0.2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8"/>
      <c r="O302" s="88"/>
      <c r="P302" s="8"/>
      <c r="Q302" s="8"/>
      <c r="R302" s="89"/>
      <c r="S302" s="89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</row>
    <row r="303" spans="1:107" ht="24" customHeight="1" x14ac:dyDescent="0.2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8"/>
      <c r="O303" s="88"/>
      <c r="P303" s="8"/>
      <c r="Q303" s="8"/>
      <c r="R303" s="89"/>
      <c r="S303" s="89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</row>
    <row r="304" spans="1:107" ht="24" customHeight="1" x14ac:dyDescent="0.2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8"/>
      <c r="O304" s="88"/>
      <c r="P304" s="8"/>
      <c r="Q304" s="8"/>
      <c r="R304" s="89"/>
      <c r="S304" s="89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</row>
    <row r="305" spans="1:107" ht="24" customHeight="1" x14ac:dyDescent="0.2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8"/>
      <c r="O305" s="88"/>
      <c r="P305" s="8"/>
      <c r="Q305" s="8"/>
      <c r="R305" s="89"/>
      <c r="S305" s="89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</row>
    <row r="306" spans="1:107" ht="24" customHeight="1" x14ac:dyDescent="0.2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8"/>
      <c r="O306" s="88"/>
      <c r="P306" s="8"/>
      <c r="Q306" s="8"/>
      <c r="R306" s="89"/>
      <c r="S306" s="89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</row>
    <row r="307" spans="1:107" ht="24" customHeight="1" x14ac:dyDescent="0.2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8"/>
      <c r="O307" s="88"/>
      <c r="P307" s="8"/>
      <c r="Q307" s="8"/>
      <c r="R307" s="89"/>
      <c r="S307" s="89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</row>
    <row r="308" spans="1:107" ht="24" customHeight="1" x14ac:dyDescent="0.2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8"/>
      <c r="O308" s="88"/>
      <c r="P308" s="8"/>
      <c r="Q308" s="8"/>
      <c r="R308" s="89"/>
      <c r="S308" s="89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</row>
    <row r="309" spans="1:107" ht="24" customHeight="1" x14ac:dyDescent="0.2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8"/>
      <c r="O309" s="88"/>
      <c r="P309" s="8"/>
      <c r="Q309" s="8"/>
      <c r="R309" s="89"/>
      <c r="S309" s="89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</row>
    <row r="310" spans="1:107" ht="24" customHeight="1" x14ac:dyDescent="0.2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8"/>
      <c r="O310" s="88"/>
      <c r="P310" s="8"/>
      <c r="Q310" s="8"/>
      <c r="R310" s="89"/>
      <c r="S310" s="89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</row>
    <row r="311" spans="1:107" ht="24" customHeight="1" x14ac:dyDescent="0.2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8"/>
      <c r="O311" s="88"/>
      <c r="P311" s="8"/>
      <c r="Q311" s="8"/>
      <c r="R311" s="89"/>
      <c r="S311" s="89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</row>
    <row r="312" spans="1:107" ht="24" customHeight="1" x14ac:dyDescent="0.2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8"/>
      <c r="O312" s="88"/>
      <c r="P312" s="8"/>
      <c r="Q312" s="8"/>
      <c r="R312" s="89"/>
      <c r="S312" s="89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</row>
    <row r="313" spans="1:107" ht="24" customHeight="1" x14ac:dyDescent="0.2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8"/>
      <c r="O313" s="88"/>
      <c r="P313" s="8"/>
      <c r="Q313" s="8"/>
      <c r="R313" s="89"/>
      <c r="S313" s="89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</row>
    <row r="314" spans="1:107" ht="12.75" x14ac:dyDescent="0.2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8"/>
      <c r="O314" s="88"/>
      <c r="P314" s="8"/>
      <c r="Q314" s="8"/>
      <c r="R314" s="89"/>
      <c r="S314" s="89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</row>
    <row r="315" spans="1:107" ht="12.75" x14ac:dyDescent="0.2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8"/>
      <c r="O315" s="88"/>
      <c r="P315" s="8"/>
      <c r="Q315" s="8"/>
      <c r="R315" s="89"/>
      <c r="S315" s="89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</row>
    <row r="316" spans="1:107" ht="12.75" x14ac:dyDescent="0.2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8"/>
      <c r="O316" s="88"/>
      <c r="P316" s="8"/>
      <c r="Q316" s="8"/>
      <c r="R316" s="89"/>
      <c r="S316" s="89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</row>
    <row r="317" spans="1:107" ht="12.75" x14ac:dyDescent="0.2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8"/>
      <c r="O317" s="88"/>
      <c r="P317" s="8"/>
      <c r="Q317" s="8"/>
      <c r="R317" s="89"/>
      <c r="S317" s="89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</row>
    <row r="318" spans="1:107" ht="12.75" x14ac:dyDescent="0.2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8"/>
      <c r="O318" s="88"/>
      <c r="P318" s="8"/>
      <c r="Q318" s="8"/>
      <c r="R318" s="89"/>
      <c r="S318" s="89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</row>
    <row r="319" spans="1:107" ht="12.75" x14ac:dyDescent="0.2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8"/>
      <c r="O319" s="88"/>
      <c r="P319" s="8"/>
      <c r="Q319" s="8"/>
      <c r="R319" s="89"/>
      <c r="S319" s="89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</row>
    <row r="320" spans="1:107" ht="12.75" x14ac:dyDescent="0.2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8"/>
      <c r="O320" s="88"/>
      <c r="P320" s="8"/>
      <c r="Q320" s="8"/>
      <c r="R320" s="89"/>
      <c r="S320" s="89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</row>
    <row r="321" spans="1:107" ht="12.75" x14ac:dyDescent="0.2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8"/>
      <c r="O321" s="88"/>
      <c r="P321" s="8"/>
      <c r="Q321" s="8"/>
      <c r="R321" s="89"/>
      <c r="S321" s="89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</row>
    <row r="322" spans="1:107" ht="12.75" x14ac:dyDescent="0.2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8"/>
      <c r="O322" s="88"/>
      <c r="P322" s="8"/>
      <c r="Q322" s="8"/>
      <c r="R322" s="89"/>
      <c r="S322" s="89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</row>
    <row r="323" spans="1:107" ht="12.75" x14ac:dyDescent="0.2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8"/>
      <c r="O323" s="88"/>
      <c r="P323" s="8"/>
      <c r="Q323" s="8"/>
      <c r="R323" s="89"/>
      <c r="S323" s="89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</row>
    <row r="324" spans="1:107" ht="12.75" x14ac:dyDescent="0.2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8"/>
      <c r="O324" s="88"/>
      <c r="P324" s="8"/>
      <c r="Q324" s="8"/>
      <c r="R324" s="89"/>
      <c r="S324" s="89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</row>
    <row r="325" spans="1:107" ht="12.75" x14ac:dyDescent="0.2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8"/>
      <c r="O325" s="88"/>
      <c r="P325" s="8"/>
      <c r="Q325" s="8"/>
      <c r="R325" s="89"/>
      <c r="S325" s="89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</row>
    <row r="326" spans="1:107" ht="12.75" x14ac:dyDescent="0.2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8"/>
      <c r="O326" s="88"/>
      <c r="P326" s="8"/>
      <c r="Q326" s="8"/>
      <c r="R326" s="89"/>
      <c r="S326" s="89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</row>
    <row r="327" spans="1:107" ht="12.75" x14ac:dyDescent="0.2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8"/>
      <c r="O327" s="88"/>
      <c r="P327" s="8"/>
      <c r="Q327" s="8"/>
      <c r="R327" s="89"/>
      <c r="S327" s="89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</row>
    <row r="328" spans="1:107" ht="12.75" x14ac:dyDescent="0.2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8"/>
      <c r="O328" s="88"/>
      <c r="P328" s="8"/>
      <c r="Q328" s="8"/>
      <c r="R328" s="89"/>
      <c r="S328" s="89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</row>
    <row r="329" spans="1:107" ht="12.75" x14ac:dyDescent="0.2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8"/>
      <c r="O329" s="88"/>
      <c r="P329" s="8"/>
      <c r="Q329" s="8"/>
      <c r="R329" s="89"/>
      <c r="S329" s="89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</row>
    <row r="330" spans="1:107" ht="12.75" x14ac:dyDescent="0.2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8"/>
      <c r="O330" s="88"/>
      <c r="P330" s="8"/>
      <c r="Q330" s="8"/>
      <c r="R330" s="89"/>
      <c r="S330" s="89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</row>
    <row r="331" spans="1:107" ht="12.75" x14ac:dyDescent="0.2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8"/>
      <c r="O331" s="88"/>
      <c r="P331" s="8"/>
      <c r="Q331" s="8"/>
      <c r="R331" s="89"/>
      <c r="S331" s="89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</row>
    <row r="332" spans="1:107" ht="12.75" x14ac:dyDescent="0.2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8"/>
      <c r="O332" s="88"/>
      <c r="P332" s="8"/>
      <c r="Q332" s="8"/>
      <c r="R332" s="89"/>
      <c r="S332" s="89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</row>
    <row r="333" spans="1:107" ht="12.75" x14ac:dyDescent="0.2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8"/>
      <c r="O333" s="88"/>
      <c r="P333" s="8"/>
      <c r="Q333" s="8"/>
      <c r="R333" s="89"/>
      <c r="S333" s="89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</row>
    <row r="334" spans="1:107" ht="12.75" x14ac:dyDescent="0.2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8"/>
      <c r="O334" s="88"/>
      <c r="P334" s="8"/>
      <c r="Q334" s="8"/>
      <c r="R334" s="89"/>
      <c r="S334" s="89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</row>
    <row r="335" spans="1:107" ht="12.75" x14ac:dyDescent="0.2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8"/>
      <c r="O335" s="88"/>
      <c r="P335" s="8"/>
      <c r="Q335" s="8"/>
      <c r="R335" s="89"/>
      <c r="S335" s="89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</row>
    <row r="336" spans="1:107" ht="12.75" x14ac:dyDescent="0.2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8"/>
      <c r="O336" s="88"/>
      <c r="P336" s="8"/>
      <c r="Q336" s="8"/>
      <c r="R336" s="89"/>
      <c r="S336" s="89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</row>
    <row r="337" spans="1:107" ht="12.75" x14ac:dyDescent="0.2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8"/>
      <c r="O337" s="88"/>
      <c r="P337" s="8"/>
      <c r="Q337" s="8"/>
      <c r="R337" s="89"/>
      <c r="S337" s="89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</row>
    <row r="338" spans="1:107" ht="12.75" x14ac:dyDescent="0.2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8"/>
      <c r="O338" s="88"/>
      <c r="P338" s="8"/>
      <c r="Q338" s="8"/>
      <c r="R338" s="89"/>
      <c r="S338" s="89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</row>
    <row r="339" spans="1:107" ht="12.75" x14ac:dyDescent="0.2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8"/>
      <c r="O339" s="88"/>
      <c r="P339" s="8"/>
      <c r="Q339" s="8"/>
      <c r="R339" s="89"/>
      <c r="S339" s="89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</row>
    <row r="340" spans="1:107" ht="12.75" x14ac:dyDescent="0.2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8"/>
      <c r="O340" s="88"/>
      <c r="P340" s="8"/>
      <c r="Q340" s="8"/>
      <c r="R340" s="89"/>
      <c r="S340" s="89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</row>
    <row r="341" spans="1:107" ht="12.75" x14ac:dyDescent="0.2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8"/>
      <c r="O341" s="88"/>
      <c r="P341" s="8"/>
      <c r="Q341" s="8"/>
      <c r="R341" s="89"/>
      <c r="S341" s="89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</row>
    <row r="342" spans="1:107" ht="12.75" x14ac:dyDescent="0.2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8"/>
      <c r="O342" s="88"/>
      <c r="P342" s="8"/>
      <c r="Q342" s="8"/>
      <c r="R342" s="89"/>
      <c r="S342" s="89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</row>
    <row r="343" spans="1:107" ht="12.75" x14ac:dyDescent="0.2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8"/>
      <c r="O343" s="88"/>
      <c r="P343" s="8"/>
      <c r="Q343" s="8"/>
      <c r="R343" s="89"/>
      <c r="S343" s="89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</row>
    <row r="344" spans="1:107" ht="12.75" x14ac:dyDescent="0.2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8"/>
      <c r="O344" s="88"/>
      <c r="P344" s="8"/>
      <c r="Q344" s="8"/>
      <c r="R344" s="89"/>
      <c r="S344" s="89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</row>
    <row r="345" spans="1:107" ht="12.75" x14ac:dyDescent="0.2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8"/>
      <c r="O345" s="88"/>
      <c r="P345" s="8"/>
      <c r="Q345" s="8"/>
      <c r="R345" s="89"/>
      <c r="S345" s="89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</row>
    <row r="346" spans="1:107" ht="12.75" x14ac:dyDescent="0.2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8"/>
      <c r="O346" s="88"/>
      <c r="P346" s="8"/>
      <c r="Q346" s="8"/>
      <c r="R346" s="89"/>
      <c r="S346" s="89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</row>
    <row r="347" spans="1:107" ht="12.75" x14ac:dyDescent="0.2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8"/>
      <c r="O347" s="88"/>
      <c r="P347" s="8"/>
      <c r="Q347" s="8"/>
      <c r="R347" s="89"/>
      <c r="S347" s="89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</row>
    <row r="348" spans="1:107" ht="12.75" x14ac:dyDescent="0.2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8"/>
      <c r="O348" s="88"/>
      <c r="P348" s="8"/>
      <c r="Q348" s="8"/>
      <c r="R348" s="89"/>
      <c r="S348" s="89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</row>
    <row r="349" spans="1:107" ht="12.75" x14ac:dyDescent="0.2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8"/>
      <c r="O349" s="88"/>
      <c r="P349" s="8"/>
      <c r="Q349" s="8"/>
      <c r="R349" s="89"/>
      <c r="S349" s="89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</row>
    <row r="350" spans="1:107" ht="12.75" x14ac:dyDescent="0.2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8"/>
      <c r="O350" s="88"/>
      <c r="P350" s="8"/>
      <c r="Q350" s="8"/>
      <c r="R350" s="89"/>
      <c r="S350" s="89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</row>
    <row r="351" spans="1:107" ht="12.75" x14ac:dyDescent="0.2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8"/>
      <c r="O351" s="88"/>
      <c r="P351" s="8"/>
      <c r="Q351" s="8"/>
      <c r="R351" s="89"/>
      <c r="S351" s="89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</row>
    <row r="352" spans="1:107" ht="12.75" x14ac:dyDescent="0.2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8"/>
      <c r="O352" s="88"/>
      <c r="P352" s="8"/>
      <c r="Q352" s="8"/>
      <c r="R352" s="89"/>
      <c r="S352" s="89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</row>
    <row r="353" spans="1:107" ht="12.75" x14ac:dyDescent="0.2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8"/>
      <c r="O353" s="88"/>
      <c r="P353" s="8"/>
      <c r="Q353" s="8"/>
      <c r="R353" s="89"/>
      <c r="S353" s="89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</row>
    <row r="354" spans="1:107" ht="12.75" x14ac:dyDescent="0.2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8"/>
      <c r="O354" s="88"/>
      <c r="P354" s="8"/>
      <c r="Q354" s="8"/>
      <c r="R354" s="89"/>
      <c r="S354" s="89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</row>
    <row r="355" spans="1:107" ht="12.75" x14ac:dyDescent="0.2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8"/>
      <c r="O355" s="88"/>
      <c r="P355" s="8"/>
      <c r="Q355" s="8"/>
      <c r="R355" s="89"/>
      <c r="S355" s="89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</row>
    <row r="356" spans="1:107" ht="12.75" x14ac:dyDescent="0.2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8"/>
      <c r="O356" s="88"/>
      <c r="P356" s="8"/>
      <c r="Q356" s="8"/>
      <c r="R356" s="89"/>
      <c r="S356" s="89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</row>
    <row r="357" spans="1:107" ht="12.75" x14ac:dyDescent="0.2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8"/>
      <c r="O357" s="88"/>
      <c r="P357" s="8"/>
      <c r="Q357" s="8"/>
      <c r="R357" s="89"/>
      <c r="S357" s="89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</row>
    <row r="358" spans="1:107" ht="12.75" x14ac:dyDescent="0.2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8"/>
      <c r="O358" s="88"/>
      <c r="P358" s="8"/>
      <c r="Q358" s="8"/>
      <c r="R358" s="89"/>
      <c r="S358" s="89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</row>
    <row r="359" spans="1:107" ht="12.75" x14ac:dyDescent="0.2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8"/>
      <c r="O359" s="88"/>
      <c r="P359" s="8"/>
      <c r="Q359" s="8"/>
      <c r="R359" s="89"/>
      <c r="S359" s="89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</row>
    <row r="360" spans="1:107" ht="12.75" x14ac:dyDescent="0.2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8"/>
      <c r="O360" s="88"/>
      <c r="P360" s="8"/>
      <c r="Q360" s="8"/>
      <c r="R360" s="89"/>
      <c r="S360" s="89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</row>
    <row r="361" spans="1:107" ht="12.75" x14ac:dyDescent="0.2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8"/>
      <c r="O361" s="88"/>
      <c r="P361" s="8"/>
      <c r="Q361" s="8"/>
      <c r="R361" s="89"/>
      <c r="S361" s="89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</row>
    <row r="362" spans="1:107" ht="12.75" x14ac:dyDescent="0.2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8"/>
      <c r="O362" s="88"/>
      <c r="P362" s="8"/>
      <c r="Q362" s="8"/>
      <c r="R362" s="89"/>
      <c r="S362" s="89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</row>
    <row r="363" spans="1:107" ht="12.75" x14ac:dyDescent="0.2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8"/>
      <c r="O363" s="88"/>
      <c r="P363" s="8"/>
      <c r="Q363" s="8"/>
      <c r="R363" s="89"/>
      <c r="S363" s="89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</row>
    <row r="364" spans="1:107" ht="12.75" x14ac:dyDescent="0.2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8"/>
      <c r="O364" s="88"/>
      <c r="P364" s="8"/>
      <c r="Q364" s="8"/>
      <c r="R364" s="89"/>
      <c r="S364" s="89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</row>
    <row r="365" spans="1:107" ht="12.75" x14ac:dyDescent="0.2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8"/>
      <c r="O365" s="88"/>
      <c r="P365" s="8"/>
      <c r="Q365" s="8"/>
      <c r="R365" s="89"/>
      <c r="S365" s="89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</row>
    <row r="366" spans="1:107" ht="12.75" x14ac:dyDescent="0.2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8"/>
      <c r="O366" s="88"/>
      <c r="P366" s="8"/>
      <c r="Q366" s="8"/>
      <c r="R366" s="89"/>
      <c r="S366" s="89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</row>
    <row r="367" spans="1:107" ht="12.75" x14ac:dyDescent="0.2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8"/>
      <c r="O367" s="88"/>
      <c r="P367" s="8"/>
      <c r="Q367" s="8"/>
      <c r="R367" s="89"/>
      <c r="S367" s="89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</row>
    <row r="368" spans="1:107" ht="12.75" x14ac:dyDescent="0.2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8"/>
      <c r="O368" s="88"/>
      <c r="P368" s="8"/>
      <c r="Q368" s="8"/>
      <c r="R368" s="89"/>
      <c r="S368" s="89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</row>
    <row r="369" spans="1:107" ht="12.75" x14ac:dyDescent="0.2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8"/>
      <c r="O369" s="88"/>
      <c r="P369" s="8"/>
      <c r="Q369" s="8"/>
      <c r="R369" s="89"/>
      <c r="S369" s="89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</row>
    <row r="370" spans="1:107" ht="12.75" x14ac:dyDescent="0.2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8"/>
      <c r="O370" s="88"/>
      <c r="P370" s="8"/>
      <c r="Q370" s="8"/>
      <c r="R370" s="89"/>
      <c r="S370" s="89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</row>
    <row r="371" spans="1:107" ht="12.75" x14ac:dyDescent="0.2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8"/>
      <c r="O371" s="88"/>
      <c r="P371" s="8"/>
      <c r="Q371" s="8"/>
      <c r="R371" s="89"/>
      <c r="S371" s="89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</row>
    <row r="372" spans="1:107" ht="12.75" x14ac:dyDescent="0.2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8"/>
      <c r="O372" s="88"/>
      <c r="P372" s="8"/>
      <c r="Q372" s="8"/>
      <c r="R372" s="89"/>
      <c r="S372" s="89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</row>
    <row r="373" spans="1:107" ht="12.75" x14ac:dyDescent="0.2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8"/>
      <c r="O373" s="88"/>
      <c r="P373" s="8"/>
      <c r="Q373" s="8"/>
      <c r="R373" s="89"/>
      <c r="S373" s="89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</row>
    <row r="374" spans="1:107" ht="12.75" x14ac:dyDescent="0.2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8"/>
      <c r="O374" s="88"/>
      <c r="P374" s="8"/>
      <c r="Q374" s="8"/>
      <c r="R374" s="89"/>
      <c r="S374" s="89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</row>
    <row r="375" spans="1:107" ht="12.75" x14ac:dyDescent="0.2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8"/>
      <c r="O375" s="88"/>
      <c r="P375" s="8"/>
      <c r="Q375" s="8"/>
      <c r="R375" s="89"/>
      <c r="S375" s="89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</row>
    <row r="376" spans="1:107" ht="12.75" x14ac:dyDescent="0.2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8"/>
      <c r="O376" s="88"/>
      <c r="P376" s="8"/>
      <c r="Q376" s="8"/>
      <c r="R376" s="89"/>
      <c r="S376" s="89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</row>
    <row r="377" spans="1:107" ht="12.75" x14ac:dyDescent="0.2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8"/>
      <c r="O377" s="88"/>
      <c r="P377" s="8"/>
      <c r="Q377" s="8"/>
      <c r="R377" s="89"/>
      <c r="S377" s="89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</row>
    <row r="378" spans="1:107" ht="12.75" x14ac:dyDescent="0.2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8"/>
      <c r="O378" s="88"/>
      <c r="P378" s="8"/>
      <c r="Q378" s="8"/>
      <c r="R378" s="89"/>
      <c r="S378" s="89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</row>
    <row r="379" spans="1:107" ht="12.75" x14ac:dyDescent="0.2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8"/>
      <c r="O379" s="88"/>
      <c r="P379" s="8"/>
      <c r="Q379" s="8"/>
      <c r="R379" s="89"/>
      <c r="S379" s="89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</row>
    <row r="380" spans="1:107" ht="12.75" x14ac:dyDescent="0.2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8"/>
      <c r="O380" s="88"/>
      <c r="P380" s="8"/>
      <c r="Q380" s="8"/>
      <c r="R380" s="89"/>
      <c r="S380" s="89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</row>
    <row r="381" spans="1:107" ht="12.75" x14ac:dyDescent="0.2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8"/>
      <c r="O381" s="88"/>
      <c r="P381" s="8"/>
      <c r="Q381" s="8"/>
      <c r="R381" s="89"/>
      <c r="S381" s="89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</row>
    <row r="382" spans="1:107" ht="12.75" x14ac:dyDescent="0.2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8"/>
      <c r="O382" s="88"/>
      <c r="P382" s="8"/>
      <c r="Q382" s="8"/>
      <c r="R382" s="89"/>
      <c r="S382" s="89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</row>
    <row r="383" spans="1:107" ht="12.75" x14ac:dyDescent="0.2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8"/>
      <c r="O383" s="88"/>
      <c r="P383" s="8"/>
      <c r="Q383" s="8"/>
      <c r="R383" s="89"/>
      <c r="S383" s="89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</row>
    <row r="384" spans="1:107" ht="12.75" x14ac:dyDescent="0.2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8"/>
      <c r="O384" s="88"/>
      <c r="P384" s="8"/>
      <c r="Q384" s="8"/>
      <c r="R384" s="89"/>
      <c r="S384" s="89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</row>
    <row r="385" spans="1:107" ht="12.75" x14ac:dyDescent="0.2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8"/>
      <c r="O385" s="88"/>
      <c r="P385" s="8"/>
      <c r="Q385" s="8"/>
      <c r="R385" s="89"/>
      <c r="S385" s="89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</row>
    <row r="386" spans="1:107" ht="12.75" x14ac:dyDescent="0.2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8"/>
      <c r="O386" s="88"/>
      <c r="P386" s="8"/>
      <c r="Q386" s="8"/>
      <c r="R386" s="89"/>
      <c r="S386" s="89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</row>
    <row r="387" spans="1:107" ht="12.75" x14ac:dyDescent="0.2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8"/>
      <c r="O387" s="88"/>
      <c r="P387" s="8"/>
      <c r="Q387" s="8"/>
      <c r="R387" s="89"/>
      <c r="S387" s="89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</row>
    <row r="388" spans="1:107" ht="12.75" x14ac:dyDescent="0.2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8"/>
      <c r="O388" s="88"/>
      <c r="P388" s="8"/>
      <c r="Q388" s="8"/>
      <c r="R388" s="89"/>
      <c r="S388" s="89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</row>
    <row r="389" spans="1:107" ht="12.75" x14ac:dyDescent="0.2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8"/>
      <c r="O389" s="88"/>
      <c r="P389" s="8"/>
      <c r="Q389" s="8"/>
      <c r="R389" s="89"/>
      <c r="S389" s="89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</row>
    <row r="390" spans="1:107" ht="12.75" x14ac:dyDescent="0.2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8"/>
      <c r="O390" s="88"/>
      <c r="P390" s="8"/>
      <c r="Q390" s="8"/>
      <c r="R390" s="89"/>
      <c r="S390" s="89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</row>
    <row r="391" spans="1:107" ht="12.75" x14ac:dyDescent="0.2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8"/>
      <c r="O391" s="88"/>
      <c r="P391" s="8"/>
      <c r="Q391" s="8"/>
      <c r="R391" s="89"/>
      <c r="S391" s="89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</row>
    <row r="392" spans="1:107" ht="12.75" x14ac:dyDescent="0.2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8"/>
      <c r="O392" s="88"/>
      <c r="P392" s="8"/>
      <c r="Q392" s="8"/>
      <c r="R392" s="89"/>
      <c r="S392" s="89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</row>
    <row r="393" spans="1:107" ht="12.75" x14ac:dyDescent="0.2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8"/>
      <c r="O393" s="88"/>
      <c r="P393" s="8"/>
      <c r="Q393" s="8"/>
      <c r="R393" s="89"/>
      <c r="S393" s="89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</row>
    <row r="394" spans="1:107" ht="12.75" x14ac:dyDescent="0.2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8"/>
      <c r="O394" s="88"/>
      <c r="P394" s="8"/>
      <c r="Q394" s="8"/>
      <c r="R394" s="89"/>
      <c r="S394" s="89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</row>
    <row r="395" spans="1:107" ht="12.75" x14ac:dyDescent="0.2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8"/>
      <c r="O395" s="88"/>
      <c r="P395" s="8"/>
      <c r="Q395" s="8"/>
      <c r="R395" s="89"/>
      <c r="S395" s="89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</row>
    <row r="396" spans="1:107" ht="12.75" x14ac:dyDescent="0.2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8"/>
      <c r="O396" s="88"/>
      <c r="P396" s="8"/>
      <c r="Q396" s="8"/>
      <c r="R396" s="89"/>
      <c r="S396" s="89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</row>
    <row r="397" spans="1:107" ht="12.75" x14ac:dyDescent="0.2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8"/>
      <c r="O397" s="88"/>
      <c r="P397" s="8"/>
      <c r="Q397" s="8"/>
      <c r="R397" s="89"/>
      <c r="S397" s="89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</row>
    <row r="398" spans="1:107" ht="12.75" x14ac:dyDescent="0.2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8"/>
      <c r="O398" s="88"/>
      <c r="P398" s="8"/>
      <c r="Q398" s="8"/>
      <c r="R398" s="89"/>
      <c r="S398" s="89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</row>
    <row r="399" spans="1:107" ht="12.75" x14ac:dyDescent="0.2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8"/>
      <c r="O399" s="88"/>
      <c r="P399" s="8"/>
      <c r="Q399" s="8"/>
      <c r="R399" s="89"/>
      <c r="S399" s="89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</row>
    <row r="400" spans="1:107" ht="12.75" x14ac:dyDescent="0.2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8"/>
      <c r="O400" s="88"/>
      <c r="P400" s="8"/>
      <c r="Q400" s="8"/>
      <c r="R400" s="89"/>
      <c r="S400" s="89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</row>
    <row r="401" spans="1:107" ht="12.75" x14ac:dyDescent="0.2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8"/>
      <c r="O401" s="88"/>
      <c r="P401" s="8"/>
      <c r="Q401" s="8"/>
      <c r="R401" s="89"/>
      <c r="S401" s="89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</row>
    <row r="402" spans="1:107" ht="12.75" x14ac:dyDescent="0.2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8"/>
      <c r="O402" s="88"/>
      <c r="P402" s="8"/>
      <c r="Q402" s="8"/>
      <c r="R402" s="89"/>
      <c r="S402" s="89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</row>
    <row r="403" spans="1:107" ht="12.75" x14ac:dyDescent="0.2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8"/>
      <c r="O403" s="88"/>
      <c r="P403" s="8"/>
      <c r="Q403" s="8"/>
      <c r="R403" s="89"/>
      <c r="S403" s="89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</row>
    <row r="404" spans="1:107" ht="12.75" x14ac:dyDescent="0.2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8"/>
      <c r="O404" s="88"/>
      <c r="P404" s="8"/>
      <c r="Q404" s="8"/>
      <c r="R404" s="89"/>
      <c r="S404" s="89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</row>
    <row r="405" spans="1:107" ht="12.75" x14ac:dyDescent="0.2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8"/>
      <c r="O405" s="88"/>
      <c r="P405" s="8"/>
      <c r="Q405" s="8"/>
      <c r="R405" s="89"/>
      <c r="S405" s="89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</row>
    <row r="406" spans="1:107" ht="12.75" x14ac:dyDescent="0.2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8"/>
      <c r="O406" s="88"/>
      <c r="P406" s="8"/>
      <c r="Q406" s="8"/>
      <c r="R406" s="89"/>
      <c r="S406" s="89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</row>
    <row r="407" spans="1:107" ht="12.75" x14ac:dyDescent="0.2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8"/>
      <c r="O407" s="88"/>
      <c r="P407" s="8"/>
      <c r="Q407" s="8"/>
      <c r="R407" s="89"/>
      <c r="S407" s="89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</row>
    <row r="408" spans="1:107" ht="12.75" x14ac:dyDescent="0.2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8"/>
      <c r="O408" s="88"/>
      <c r="P408" s="8"/>
      <c r="Q408" s="8"/>
      <c r="R408" s="89"/>
      <c r="S408" s="89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</row>
    <row r="409" spans="1:107" ht="12.75" x14ac:dyDescent="0.2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8"/>
      <c r="O409" s="88"/>
      <c r="P409" s="8"/>
      <c r="Q409" s="8"/>
      <c r="R409" s="89"/>
      <c r="S409" s="89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</row>
    <row r="410" spans="1:107" ht="12.75" x14ac:dyDescent="0.2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8"/>
      <c r="O410" s="88"/>
      <c r="P410" s="8"/>
      <c r="Q410" s="8"/>
      <c r="R410" s="89"/>
      <c r="S410" s="89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</row>
    <row r="411" spans="1:107" ht="12.75" x14ac:dyDescent="0.2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8"/>
      <c r="O411" s="88"/>
      <c r="P411" s="8"/>
      <c r="Q411" s="8"/>
      <c r="R411" s="89"/>
      <c r="S411" s="89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</row>
    <row r="412" spans="1:107" ht="12.75" x14ac:dyDescent="0.2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8"/>
      <c r="O412" s="88"/>
      <c r="P412" s="8"/>
      <c r="Q412" s="8"/>
      <c r="R412" s="89"/>
      <c r="S412" s="89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</row>
    <row r="413" spans="1:107" ht="12.75" x14ac:dyDescent="0.2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8"/>
      <c r="O413" s="88"/>
      <c r="P413" s="8"/>
      <c r="Q413" s="8"/>
      <c r="R413" s="89"/>
      <c r="S413" s="89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</row>
    <row r="414" spans="1:107" ht="12.75" x14ac:dyDescent="0.2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8"/>
      <c r="O414" s="88"/>
      <c r="P414" s="8"/>
      <c r="Q414" s="8"/>
      <c r="R414" s="89"/>
      <c r="S414" s="89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</row>
    <row r="415" spans="1:107" ht="12.75" x14ac:dyDescent="0.2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8"/>
      <c r="O415" s="88"/>
      <c r="P415" s="8"/>
      <c r="Q415" s="8"/>
      <c r="R415" s="89"/>
      <c r="S415" s="89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</row>
    <row r="416" spans="1:107" ht="12.75" x14ac:dyDescent="0.2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8"/>
      <c r="O416" s="88"/>
      <c r="P416" s="8"/>
      <c r="Q416" s="8"/>
      <c r="R416" s="89"/>
      <c r="S416" s="89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</row>
    <row r="417" spans="1:107" ht="12.75" x14ac:dyDescent="0.2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8"/>
      <c r="O417" s="88"/>
      <c r="P417" s="8"/>
      <c r="Q417" s="8"/>
      <c r="R417" s="89"/>
      <c r="S417" s="89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</row>
    <row r="418" spans="1:107" ht="12.75" x14ac:dyDescent="0.2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8"/>
      <c r="O418" s="88"/>
      <c r="P418" s="8"/>
      <c r="Q418" s="8"/>
      <c r="R418" s="89"/>
      <c r="S418" s="89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</row>
    <row r="419" spans="1:107" ht="12.75" x14ac:dyDescent="0.2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8"/>
      <c r="O419" s="88"/>
      <c r="P419" s="8"/>
      <c r="Q419" s="8"/>
      <c r="R419" s="89"/>
      <c r="S419" s="89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</row>
    <row r="420" spans="1:107" ht="12.75" x14ac:dyDescent="0.2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8"/>
      <c r="O420" s="88"/>
      <c r="P420" s="8"/>
      <c r="Q420" s="8"/>
      <c r="R420" s="89"/>
      <c r="S420" s="89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</row>
    <row r="421" spans="1:107" ht="12.75" x14ac:dyDescent="0.2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8"/>
      <c r="O421" s="88"/>
      <c r="P421" s="8"/>
      <c r="Q421" s="8"/>
      <c r="R421" s="89"/>
      <c r="S421" s="89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</row>
    <row r="422" spans="1:107" ht="12.75" x14ac:dyDescent="0.2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8"/>
      <c r="O422" s="88"/>
      <c r="P422" s="8"/>
      <c r="Q422" s="8"/>
      <c r="R422" s="89"/>
      <c r="S422" s="89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</row>
    <row r="423" spans="1:107" ht="12.75" x14ac:dyDescent="0.2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8"/>
      <c r="O423" s="88"/>
      <c r="P423" s="8"/>
      <c r="Q423" s="8"/>
      <c r="R423" s="89"/>
      <c r="S423" s="89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</row>
    <row r="424" spans="1:107" ht="12.75" x14ac:dyDescent="0.2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8"/>
      <c r="O424" s="88"/>
      <c r="P424" s="8"/>
      <c r="Q424" s="8"/>
      <c r="R424" s="89"/>
      <c r="S424" s="89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</row>
    <row r="425" spans="1:107" ht="12.75" x14ac:dyDescent="0.2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8"/>
      <c r="O425" s="88"/>
      <c r="P425" s="8"/>
      <c r="Q425" s="8"/>
      <c r="R425" s="89"/>
      <c r="S425" s="89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</row>
    <row r="426" spans="1:107" ht="12.75" x14ac:dyDescent="0.2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8"/>
      <c r="O426" s="88"/>
      <c r="P426" s="8"/>
      <c r="Q426" s="8"/>
      <c r="R426" s="89"/>
      <c r="S426" s="89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</row>
    <row r="427" spans="1:107" ht="12.75" x14ac:dyDescent="0.2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8"/>
      <c r="O427" s="88"/>
      <c r="P427" s="8"/>
      <c r="Q427" s="8"/>
      <c r="R427" s="89"/>
      <c r="S427" s="89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</row>
    <row r="428" spans="1:107" ht="12.75" x14ac:dyDescent="0.2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8"/>
      <c r="O428" s="88"/>
      <c r="P428" s="8"/>
      <c r="Q428" s="8"/>
      <c r="R428" s="89"/>
      <c r="S428" s="89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</row>
    <row r="429" spans="1:107" ht="12.75" x14ac:dyDescent="0.2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8"/>
      <c r="O429" s="88"/>
      <c r="P429" s="8"/>
      <c r="Q429" s="8"/>
      <c r="R429" s="89"/>
      <c r="S429" s="89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</row>
    <row r="430" spans="1:107" ht="12.75" x14ac:dyDescent="0.2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8"/>
      <c r="O430" s="88"/>
      <c r="P430" s="8"/>
      <c r="Q430" s="8"/>
      <c r="R430" s="89"/>
      <c r="S430" s="89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</row>
    <row r="431" spans="1:107" ht="12.75" x14ac:dyDescent="0.2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8"/>
      <c r="O431" s="88"/>
      <c r="P431" s="8"/>
      <c r="Q431" s="8"/>
      <c r="R431" s="89"/>
      <c r="S431" s="89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</row>
    <row r="432" spans="1:107" ht="12.75" x14ac:dyDescent="0.2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8"/>
      <c r="O432" s="88"/>
      <c r="P432" s="8"/>
      <c r="Q432" s="8"/>
      <c r="R432" s="89"/>
      <c r="S432" s="89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</row>
    <row r="433" spans="1:107" ht="12.75" x14ac:dyDescent="0.2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8"/>
      <c r="O433" s="88"/>
      <c r="P433" s="8"/>
      <c r="Q433" s="8"/>
      <c r="R433" s="89"/>
      <c r="S433" s="89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</row>
    <row r="434" spans="1:107" ht="12.75" x14ac:dyDescent="0.2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8"/>
      <c r="O434" s="88"/>
      <c r="P434" s="8"/>
      <c r="Q434" s="8"/>
      <c r="R434" s="89"/>
      <c r="S434" s="89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</row>
    <row r="435" spans="1:107" ht="12.75" x14ac:dyDescent="0.2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8"/>
      <c r="O435" s="88"/>
      <c r="P435" s="8"/>
      <c r="Q435" s="8"/>
      <c r="R435" s="89"/>
      <c r="S435" s="89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</row>
    <row r="436" spans="1:107" ht="12.75" x14ac:dyDescent="0.2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8"/>
      <c r="O436" s="88"/>
      <c r="P436" s="8"/>
      <c r="Q436" s="8"/>
      <c r="R436" s="89"/>
      <c r="S436" s="89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</row>
    <row r="437" spans="1:107" ht="12.75" x14ac:dyDescent="0.2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8"/>
      <c r="O437" s="88"/>
      <c r="P437" s="8"/>
      <c r="Q437" s="8"/>
      <c r="R437" s="89"/>
      <c r="S437" s="89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</row>
    <row r="438" spans="1:107" ht="12.75" x14ac:dyDescent="0.2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8"/>
      <c r="O438" s="88"/>
      <c r="P438" s="8"/>
      <c r="Q438" s="8"/>
      <c r="R438" s="89"/>
      <c r="S438" s="89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</row>
    <row r="439" spans="1:107" ht="12.75" x14ac:dyDescent="0.2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8"/>
      <c r="O439" s="88"/>
      <c r="P439" s="8"/>
      <c r="Q439" s="8"/>
      <c r="R439" s="89"/>
      <c r="S439" s="89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</row>
    <row r="440" spans="1:107" ht="12.75" x14ac:dyDescent="0.2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8"/>
      <c r="O440" s="88"/>
      <c r="P440" s="8"/>
      <c r="Q440" s="8"/>
      <c r="R440" s="89"/>
      <c r="S440" s="89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</row>
    <row r="441" spans="1:107" ht="12.75" x14ac:dyDescent="0.2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8"/>
      <c r="O441" s="88"/>
      <c r="P441" s="8"/>
      <c r="Q441" s="8"/>
      <c r="R441" s="89"/>
      <c r="S441" s="89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</row>
    <row r="442" spans="1:107" ht="12.75" x14ac:dyDescent="0.2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8"/>
      <c r="O442" s="88"/>
      <c r="P442" s="8"/>
      <c r="Q442" s="8"/>
      <c r="R442" s="89"/>
      <c r="S442" s="89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</row>
    <row r="443" spans="1:107" ht="12.75" x14ac:dyDescent="0.2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8"/>
      <c r="O443" s="88"/>
      <c r="P443" s="8"/>
      <c r="Q443" s="8"/>
      <c r="R443" s="89"/>
      <c r="S443" s="89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</row>
    <row r="444" spans="1:107" ht="12.75" x14ac:dyDescent="0.2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8"/>
      <c r="O444" s="88"/>
      <c r="P444" s="8"/>
      <c r="Q444" s="8"/>
      <c r="R444" s="89"/>
      <c r="S444" s="89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</row>
    <row r="445" spans="1:107" ht="12.75" x14ac:dyDescent="0.2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8"/>
      <c r="O445" s="88"/>
      <c r="P445" s="8"/>
      <c r="Q445" s="8"/>
      <c r="R445" s="89"/>
      <c r="S445" s="89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</row>
    <row r="446" spans="1:107" ht="12.75" x14ac:dyDescent="0.2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8"/>
      <c r="O446" s="88"/>
      <c r="P446" s="8"/>
      <c r="Q446" s="8"/>
      <c r="R446" s="89"/>
      <c r="S446" s="89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</row>
    <row r="447" spans="1:107" ht="12.75" x14ac:dyDescent="0.2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8"/>
      <c r="O447" s="88"/>
      <c r="P447" s="8"/>
      <c r="Q447" s="8"/>
      <c r="R447" s="89"/>
      <c r="S447" s="89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</row>
    <row r="448" spans="1:107" ht="12.75" x14ac:dyDescent="0.2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8"/>
      <c r="O448" s="88"/>
      <c r="P448" s="8"/>
      <c r="Q448" s="8"/>
      <c r="R448" s="89"/>
      <c r="S448" s="89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</row>
    <row r="449" spans="1:107" ht="12.75" x14ac:dyDescent="0.2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8"/>
      <c r="O449" s="88"/>
      <c r="P449" s="8"/>
      <c r="Q449" s="8"/>
      <c r="R449" s="89"/>
      <c r="S449" s="89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</row>
    <row r="450" spans="1:107" ht="12.75" x14ac:dyDescent="0.2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8"/>
      <c r="O450" s="88"/>
      <c r="P450" s="8"/>
      <c r="Q450" s="8"/>
      <c r="R450" s="89"/>
      <c r="S450" s="89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</row>
    <row r="451" spans="1:107" ht="12.75" x14ac:dyDescent="0.2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8"/>
      <c r="O451" s="88"/>
      <c r="P451" s="8"/>
      <c r="Q451" s="8"/>
      <c r="R451" s="89"/>
      <c r="S451" s="89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</row>
    <row r="452" spans="1:107" ht="12.75" x14ac:dyDescent="0.2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8"/>
      <c r="O452" s="88"/>
      <c r="P452" s="8"/>
      <c r="Q452" s="8"/>
      <c r="R452" s="89"/>
      <c r="S452" s="89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</row>
    <row r="453" spans="1:107" ht="12.75" x14ac:dyDescent="0.2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8"/>
      <c r="O453" s="88"/>
      <c r="P453" s="8"/>
      <c r="Q453" s="8"/>
      <c r="R453" s="89"/>
      <c r="S453" s="89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</row>
    <row r="454" spans="1:107" ht="12.75" x14ac:dyDescent="0.2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8"/>
      <c r="O454" s="88"/>
      <c r="P454" s="8"/>
      <c r="Q454" s="8"/>
      <c r="R454" s="89"/>
      <c r="S454" s="89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</row>
    <row r="455" spans="1:107" ht="12.75" x14ac:dyDescent="0.2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8"/>
      <c r="O455" s="88"/>
      <c r="P455" s="8"/>
      <c r="Q455" s="8"/>
      <c r="R455" s="89"/>
      <c r="S455" s="89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</row>
    <row r="456" spans="1:107" ht="12.75" x14ac:dyDescent="0.2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8"/>
      <c r="O456" s="88"/>
      <c r="P456" s="8"/>
      <c r="Q456" s="8"/>
      <c r="R456" s="89"/>
      <c r="S456" s="89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</row>
    <row r="457" spans="1:107" ht="12.75" x14ac:dyDescent="0.2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8"/>
      <c r="O457" s="88"/>
      <c r="P457" s="8"/>
      <c r="Q457" s="8"/>
      <c r="R457" s="89"/>
      <c r="S457" s="89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</row>
    <row r="458" spans="1:107" ht="12.75" x14ac:dyDescent="0.2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8"/>
      <c r="O458" s="88"/>
      <c r="P458" s="8"/>
      <c r="Q458" s="8"/>
      <c r="R458" s="89"/>
      <c r="S458" s="89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</row>
    <row r="459" spans="1:107" ht="12.75" x14ac:dyDescent="0.2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8"/>
      <c r="O459" s="88"/>
      <c r="P459" s="8"/>
      <c r="Q459" s="8"/>
      <c r="R459" s="89"/>
      <c r="S459" s="89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</row>
    <row r="460" spans="1:107" ht="12.75" x14ac:dyDescent="0.2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8"/>
      <c r="O460" s="88"/>
      <c r="P460" s="8"/>
      <c r="Q460" s="8"/>
      <c r="R460" s="89"/>
      <c r="S460" s="89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</row>
    <row r="461" spans="1:107" ht="12.75" x14ac:dyDescent="0.2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8"/>
      <c r="O461" s="88"/>
      <c r="P461" s="8"/>
      <c r="Q461" s="8"/>
      <c r="R461" s="89"/>
      <c r="S461" s="89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</row>
    <row r="462" spans="1:107" ht="12.75" x14ac:dyDescent="0.2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8"/>
      <c r="O462" s="88"/>
      <c r="P462" s="8"/>
      <c r="Q462" s="8"/>
      <c r="R462" s="89"/>
      <c r="S462" s="89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</row>
    <row r="463" spans="1:107" ht="12.75" x14ac:dyDescent="0.2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8"/>
      <c r="O463" s="88"/>
      <c r="P463" s="8"/>
      <c r="Q463" s="8"/>
      <c r="R463" s="89"/>
      <c r="S463" s="89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</row>
    <row r="464" spans="1:107" ht="12.75" x14ac:dyDescent="0.2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8"/>
      <c r="O464" s="88"/>
      <c r="P464" s="8"/>
      <c r="Q464" s="8"/>
      <c r="R464" s="89"/>
      <c r="S464" s="89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</row>
    <row r="465" spans="1:107" ht="12.75" x14ac:dyDescent="0.2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8"/>
      <c r="O465" s="88"/>
      <c r="P465" s="8"/>
      <c r="Q465" s="8"/>
      <c r="R465" s="89"/>
      <c r="S465" s="89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</row>
    <row r="466" spans="1:107" ht="12.75" x14ac:dyDescent="0.2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8"/>
      <c r="O466" s="88"/>
      <c r="P466" s="8"/>
      <c r="Q466" s="8"/>
      <c r="R466" s="89"/>
      <c r="S466" s="89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</row>
    <row r="467" spans="1:107" ht="12.75" x14ac:dyDescent="0.2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8"/>
      <c r="O467" s="88"/>
      <c r="P467" s="8"/>
      <c r="Q467" s="8"/>
      <c r="R467" s="89"/>
      <c r="S467" s="89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</row>
    <row r="468" spans="1:107" ht="12.75" x14ac:dyDescent="0.2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8"/>
      <c r="O468" s="88"/>
      <c r="P468" s="8"/>
      <c r="Q468" s="8"/>
      <c r="R468" s="89"/>
      <c r="S468" s="89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</row>
    <row r="469" spans="1:107" ht="12.75" x14ac:dyDescent="0.2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8"/>
      <c r="O469" s="88"/>
      <c r="P469" s="8"/>
      <c r="Q469" s="8"/>
      <c r="R469" s="89"/>
      <c r="S469" s="89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</row>
    <row r="470" spans="1:107" ht="12.75" x14ac:dyDescent="0.2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8"/>
      <c r="O470" s="88"/>
      <c r="P470" s="8"/>
      <c r="Q470" s="8"/>
      <c r="R470" s="89"/>
      <c r="S470" s="89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</row>
    <row r="471" spans="1:107" ht="12.75" x14ac:dyDescent="0.2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8"/>
      <c r="O471" s="88"/>
      <c r="P471" s="8"/>
      <c r="Q471" s="8"/>
      <c r="R471" s="89"/>
      <c r="S471" s="89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</row>
    <row r="472" spans="1:107" ht="12.75" x14ac:dyDescent="0.2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8"/>
      <c r="O472" s="88"/>
      <c r="P472" s="8"/>
      <c r="Q472" s="8"/>
      <c r="R472" s="89"/>
      <c r="S472" s="89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</row>
    <row r="473" spans="1:107" ht="12.75" x14ac:dyDescent="0.2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8"/>
      <c r="O473" s="88"/>
      <c r="P473" s="8"/>
      <c r="Q473" s="8"/>
      <c r="R473" s="89"/>
      <c r="S473" s="89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</row>
    <row r="474" spans="1:107" ht="12.75" x14ac:dyDescent="0.2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8"/>
      <c r="O474" s="88"/>
      <c r="P474" s="8"/>
      <c r="Q474" s="8"/>
      <c r="R474" s="89"/>
      <c r="S474" s="89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</row>
    <row r="475" spans="1:107" ht="12.75" x14ac:dyDescent="0.2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8"/>
      <c r="O475" s="88"/>
      <c r="P475" s="8"/>
      <c r="Q475" s="8"/>
      <c r="R475" s="89"/>
      <c r="S475" s="89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</row>
    <row r="476" spans="1:107" ht="12.75" x14ac:dyDescent="0.2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8"/>
      <c r="O476" s="88"/>
      <c r="P476" s="8"/>
      <c r="Q476" s="8"/>
      <c r="R476" s="89"/>
      <c r="S476" s="89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</row>
    <row r="477" spans="1:107" ht="12.75" x14ac:dyDescent="0.2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8"/>
      <c r="O477" s="88"/>
      <c r="P477" s="8"/>
      <c r="Q477" s="8"/>
      <c r="R477" s="89"/>
      <c r="S477" s="89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</row>
    <row r="478" spans="1:107" ht="12.75" x14ac:dyDescent="0.2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8"/>
      <c r="O478" s="88"/>
      <c r="P478" s="8"/>
      <c r="Q478" s="8"/>
      <c r="R478" s="89"/>
      <c r="S478" s="89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</row>
    <row r="479" spans="1:107" ht="12.75" x14ac:dyDescent="0.2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8"/>
      <c r="O479" s="88"/>
      <c r="P479" s="8"/>
      <c r="Q479" s="8"/>
      <c r="R479" s="89"/>
      <c r="S479" s="89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</row>
    <row r="480" spans="1:107" ht="12.75" x14ac:dyDescent="0.2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8"/>
      <c r="O480" s="88"/>
      <c r="P480" s="8"/>
      <c r="Q480" s="8"/>
      <c r="R480" s="89"/>
      <c r="S480" s="89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</row>
    <row r="481" spans="1:107" ht="12.75" x14ac:dyDescent="0.2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8"/>
      <c r="O481" s="88"/>
      <c r="P481" s="8"/>
      <c r="Q481" s="8"/>
      <c r="R481" s="89"/>
      <c r="S481" s="89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</row>
    <row r="482" spans="1:107" ht="12.75" x14ac:dyDescent="0.2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8"/>
      <c r="O482" s="88"/>
      <c r="P482" s="8"/>
      <c r="Q482" s="8"/>
      <c r="R482" s="89"/>
      <c r="S482" s="89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</row>
    <row r="483" spans="1:107" ht="12.75" x14ac:dyDescent="0.2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8"/>
      <c r="O483" s="88"/>
      <c r="P483" s="8"/>
      <c r="Q483" s="8"/>
      <c r="R483" s="89"/>
      <c r="S483" s="89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</row>
    <row r="484" spans="1:107" ht="12.75" x14ac:dyDescent="0.2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8"/>
      <c r="O484" s="88"/>
      <c r="P484" s="8"/>
      <c r="Q484" s="8"/>
      <c r="R484" s="89"/>
      <c r="S484" s="89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</row>
    <row r="485" spans="1:107" ht="12.75" x14ac:dyDescent="0.2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8"/>
      <c r="O485" s="88"/>
      <c r="P485" s="8"/>
      <c r="Q485" s="8"/>
      <c r="R485" s="89"/>
      <c r="S485" s="89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</row>
    <row r="486" spans="1:107" ht="12.75" x14ac:dyDescent="0.2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8"/>
      <c r="O486" s="88"/>
      <c r="P486" s="8"/>
      <c r="Q486" s="8"/>
      <c r="R486" s="89"/>
      <c r="S486" s="89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</row>
    <row r="487" spans="1:107" ht="12.75" x14ac:dyDescent="0.2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8"/>
      <c r="O487" s="88"/>
      <c r="P487" s="8"/>
      <c r="Q487" s="8"/>
      <c r="R487" s="89"/>
      <c r="S487" s="89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</row>
    <row r="488" spans="1:107" ht="12.75" x14ac:dyDescent="0.2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8"/>
      <c r="O488" s="88"/>
      <c r="P488" s="8"/>
      <c r="Q488" s="8"/>
      <c r="R488" s="89"/>
      <c r="S488" s="89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</row>
    <row r="489" spans="1:107" ht="12.75" x14ac:dyDescent="0.2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8"/>
      <c r="O489" s="88"/>
      <c r="P489" s="8"/>
      <c r="Q489" s="8"/>
      <c r="R489" s="89"/>
      <c r="S489" s="89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</row>
    <row r="490" spans="1:107" ht="12.75" x14ac:dyDescent="0.2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8"/>
      <c r="O490" s="88"/>
      <c r="P490" s="8"/>
      <c r="Q490" s="8"/>
      <c r="R490" s="89"/>
      <c r="S490" s="89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</row>
    <row r="491" spans="1:107" ht="12.75" x14ac:dyDescent="0.2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8"/>
      <c r="O491" s="88"/>
      <c r="P491" s="8"/>
      <c r="Q491" s="8"/>
      <c r="R491" s="89"/>
      <c r="S491" s="89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</row>
    <row r="492" spans="1:107" ht="12.75" x14ac:dyDescent="0.2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8"/>
      <c r="O492" s="88"/>
      <c r="P492" s="8"/>
      <c r="Q492" s="8"/>
      <c r="R492" s="89"/>
      <c r="S492" s="89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</row>
    <row r="493" spans="1:107" ht="12.75" x14ac:dyDescent="0.2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8"/>
      <c r="O493" s="88"/>
      <c r="P493" s="8"/>
      <c r="Q493" s="8"/>
      <c r="R493" s="89"/>
      <c r="S493" s="89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</row>
    <row r="494" spans="1:107" ht="12.75" x14ac:dyDescent="0.2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8"/>
      <c r="O494" s="88"/>
      <c r="P494" s="8"/>
      <c r="Q494" s="8"/>
      <c r="R494" s="89"/>
      <c r="S494" s="89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</row>
    <row r="495" spans="1:107" ht="12.75" x14ac:dyDescent="0.2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8"/>
      <c r="O495" s="88"/>
      <c r="P495" s="8"/>
      <c r="Q495" s="8"/>
      <c r="R495" s="89"/>
      <c r="S495" s="89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</row>
    <row r="496" spans="1:107" ht="12.75" x14ac:dyDescent="0.2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8"/>
      <c r="O496" s="88"/>
      <c r="P496" s="8"/>
      <c r="Q496" s="8"/>
      <c r="R496" s="89"/>
      <c r="S496" s="89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</row>
    <row r="497" spans="1:107" ht="12.75" x14ac:dyDescent="0.2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8"/>
      <c r="O497" s="88"/>
      <c r="P497" s="8"/>
      <c r="Q497" s="8"/>
      <c r="R497" s="89"/>
      <c r="S497" s="89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</row>
    <row r="498" spans="1:107" ht="12.75" x14ac:dyDescent="0.2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8"/>
      <c r="O498" s="88"/>
      <c r="P498" s="8"/>
      <c r="Q498" s="8"/>
      <c r="R498" s="89"/>
      <c r="S498" s="89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</row>
    <row r="499" spans="1:107" ht="12.75" x14ac:dyDescent="0.2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8"/>
      <c r="O499" s="88"/>
      <c r="P499" s="8"/>
      <c r="Q499" s="8"/>
      <c r="R499" s="89"/>
      <c r="S499" s="89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</row>
    <row r="500" spans="1:107" ht="12.75" x14ac:dyDescent="0.2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8"/>
      <c r="O500" s="88"/>
      <c r="P500" s="8"/>
      <c r="Q500" s="8"/>
      <c r="R500" s="89"/>
      <c r="S500" s="89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</row>
    <row r="501" spans="1:107" ht="12.75" x14ac:dyDescent="0.2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8"/>
      <c r="O501" s="88"/>
      <c r="P501" s="8"/>
      <c r="Q501" s="8"/>
      <c r="R501" s="89"/>
      <c r="S501" s="89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</row>
    <row r="502" spans="1:107" ht="12.75" x14ac:dyDescent="0.2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8"/>
      <c r="O502" s="88"/>
      <c r="P502" s="8"/>
      <c r="Q502" s="8"/>
      <c r="R502" s="89"/>
      <c r="S502" s="89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</row>
    <row r="503" spans="1:107" ht="12.75" x14ac:dyDescent="0.2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8"/>
      <c r="O503" s="88"/>
      <c r="P503" s="8"/>
      <c r="Q503" s="8"/>
      <c r="R503" s="89"/>
      <c r="S503" s="89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</row>
    <row r="504" spans="1:107" ht="12.75" x14ac:dyDescent="0.2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8"/>
      <c r="O504" s="88"/>
      <c r="P504" s="8"/>
      <c r="Q504" s="8"/>
      <c r="R504" s="89"/>
      <c r="S504" s="89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</row>
    <row r="505" spans="1:107" ht="12.75" x14ac:dyDescent="0.2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8"/>
      <c r="O505" s="88"/>
      <c r="P505" s="8"/>
      <c r="Q505" s="8"/>
      <c r="R505" s="89"/>
      <c r="S505" s="89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</row>
    <row r="506" spans="1:107" ht="12.75" x14ac:dyDescent="0.2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8"/>
      <c r="O506" s="88"/>
      <c r="P506" s="8"/>
      <c r="Q506" s="8"/>
      <c r="R506" s="89"/>
      <c r="S506" s="89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</row>
    <row r="507" spans="1:107" ht="12.75" x14ac:dyDescent="0.2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8"/>
      <c r="O507" s="88"/>
      <c r="P507" s="8"/>
      <c r="Q507" s="8"/>
      <c r="R507" s="89"/>
      <c r="S507" s="89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</row>
    <row r="508" spans="1:107" ht="12.75" x14ac:dyDescent="0.2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8"/>
      <c r="O508" s="88"/>
      <c r="P508" s="8"/>
      <c r="Q508" s="8"/>
      <c r="R508" s="89"/>
      <c r="S508" s="89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</row>
    <row r="509" spans="1:107" ht="12.75" x14ac:dyDescent="0.2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8"/>
      <c r="O509" s="88"/>
      <c r="P509" s="8"/>
      <c r="Q509" s="8"/>
      <c r="R509" s="89"/>
      <c r="S509" s="89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</row>
    <row r="510" spans="1:107" ht="12.75" x14ac:dyDescent="0.2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8"/>
      <c r="O510" s="88"/>
      <c r="P510" s="8"/>
      <c r="Q510" s="8"/>
      <c r="R510" s="89"/>
      <c r="S510" s="89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</row>
    <row r="511" spans="1:107" ht="12.75" x14ac:dyDescent="0.2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8"/>
      <c r="O511" s="88"/>
      <c r="P511" s="8"/>
      <c r="Q511" s="8"/>
      <c r="R511" s="89"/>
      <c r="S511" s="89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</row>
    <row r="512" spans="1:107" ht="12.75" x14ac:dyDescent="0.2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8"/>
      <c r="O512" s="88"/>
      <c r="P512" s="8"/>
      <c r="Q512" s="8"/>
      <c r="R512" s="89"/>
      <c r="S512" s="89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</row>
    <row r="513" spans="1:107" ht="12.75" x14ac:dyDescent="0.2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8"/>
      <c r="O513" s="88"/>
      <c r="P513" s="8"/>
      <c r="Q513" s="8"/>
      <c r="R513" s="89"/>
      <c r="S513" s="89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</row>
    <row r="514" spans="1:107" ht="12.75" x14ac:dyDescent="0.2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8"/>
      <c r="O514" s="88"/>
      <c r="P514" s="8"/>
      <c r="Q514" s="8"/>
      <c r="R514" s="89"/>
      <c r="S514" s="89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</row>
    <row r="515" spans="1:107" ht="12.75" x14ac:dyDescent="0.2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8"/>
      <c r="O515" s="88"/>
      <c r="P515" s="8"/>
      <c r="Q515" s="8"/>
      <c r="R515" s="89"/>
      <c r="S515" s="89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</row>
    <row r="516" spans="1:107" ht="12.75" x14ac:dyDescent="0.2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8"/>
      <c r="O516" s="88"/>
      <c r="P516" s="8"/>
      <c r="Q516" s="8"/>
      <c r="R516" s="89"/>
      <c r="S516" s="89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</row>
    <row r="517" spans="1:107" ht="12.75" x14ac:dyDescent="0.2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8"/>
      <c r="O517" s="88"/>
      <c r="P517" s="8"/>
      <c r="Q517" s="8"/>
      <c r="R517" s="89"/>
      <c r="S517" s="89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</row>
    <row r="518" spans="1:107" ht="12.75" x14ac:dyDescent="0.2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8"/>
      <c r="O518" s="88"/>
      <c r="P518" s="8"/>
      <c r="Q518" s="8"/>
      <c r="R518" s="89"/>
      <c r="S518" s="89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</row>
    <row r="519" spans="1:107" ht="12.75" x14ac:dyDescent="0.2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8"/>
      <c r="O519" s="88"/>
      <c r="P519" s="8"/>
      <c r="Q519" s="8"/>
      <c r="R519" s="89"/>
      <c r="S519" s="89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</row>
    <row r="520" spans="1:107" ht="12.75" x14ac:dyDescent="0.2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8"/>
      <c r="O520" s="88"/>
      <c r="P520" s="8"/>
      <c r="Q520" s="8"/>
      <c r="R520" s="89"/>
      <c r="S520" s="89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</row>
    <row r="521" spans="1:107" ht="12.75" x14ac:dyDescent="0.2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8"/>
      <c r="O521" s="88"/>
      <c r="P521" s="8"/>
      <c r="Q521" s="8"/>
      <c r="R521" s="89"/>
      <c r="S521" s="89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</row>
    <row r="522" spans="1:107" ht="12.75" x14ac:dyDescent="0.2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8"/>
      <c r="O522" s="88"/>
      <c r="P522" s="8"/>
      <c r="Q522" s="8"/>
      <c r="R522" s="89"/>
      <c r="S522" s="89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</row>
    <row r="523" spans="1:107" ht="12.75" x14ac:dyDescent="0.2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8"/>
      <c r="O523" s="88"/>
      <c r="P523" s="8"/>
      <c r="Q523" s="8"/>
      <c r="R523" s="89"/>
      <c r="S523" s="89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</row>
    <row r="524" spans="1:107" ht="12.75" x14ac:dyDescent="0.2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8"/>
      <c r="O524" s="88"/>
      <c r="P524" s="8"/>
      <c r="Q524" s="8"/>
      <c r="R524" s="89"/>
      <c r="S524" s="89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</row>
    <row r="525" spans="1:107" ht="12.75" x14ac:dyDescent="0.2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8"/>
      <c r="O525" s="88"/>
      <c r="P525" s="8"/>
      <c r="Q525" s="8"/>
      <c r="R525" s="89"/>
      <c r="S525" s="89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</row>
    <row r="526" spans="1:107" ht="12.75" x14ac:dyDescent="0.2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8"/>
      <c r="O526" s="88"/>
      <c r="P526" s="8"/>
      <c r="Q526" s="8"/>
      <c r="R526" s="89"/>
      <c r="S526" s="89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</row>
    <row r="527" spans="1:107" ht="12.75" x14ac:dyDescent="0.2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8"/>
      <c r="O527" s="88"/>
      <c r="P527" s="8"/>
      <c r="Q527" s="8"/>
      <c r="R527" s="89"/>
      <c r="S527" s="89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</row>
    <row r="528" spans="1:107" ht="12.75" x14ac:dyDescent="0.2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8"/>
      <c r="O528" s="88"/>
      <c r="P528" s="8"/>
      <c r="Q528" s="8"/>
      <c r="R528" s="89"/>
      <c r="S528" s="89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</row>
    <row r="529" spans="1:107" ht="12.75" x14ac:dyDescent="0.2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8"/>
      <c r="O529" s="88"/>
      <c r="P529" s="8"/>
      <c r="Q529" s="8"/>
      <c r="R529" s="89"/>
      <c r="S529" s="89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</row>
    <row r="530" spans="1:107" ht="12.75" x14ac:dyDescent="0.2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8"/>
      <c r="O530" s="88"/>
      <c r="P530" s="8"/>
      <c r="Q530" s="8"/>
      <c r="R530" s="89"/>
      <c r="S530" s="89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</row>
    <row r="531" spans="1:107" ht="12.75" x14ac:dyDescent="0.2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8"/>
      <c r="O531" s="88"/>
      <c r="P531" s="8"/>
      <c r="Q531" s="8"/>
      <c r="R531" s="89"/>
      <c r="S531" s="89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</row>
    <row r="532" spans="1:107" ht="12.75" x14ac:dyDescent="0.2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8"/>
      <c r="O532" s="88"/>
      <c r="P532" s="8"/>
      <c r="Q532" s="8"/>
      <c r="R532" s="89"/>
      <c r="S532" s="89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</row>
    <row r="533" spans="1:107" ht="12.75" x14ac:dyDescent="0.2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8"/>
      <c r="O533" s="88"/>
      <c r="P533" s="8"/>
      <c r="Q533" s="8"/>
      <c r="R533" s="89"/>
      <c r="S533" s="89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</row>
    <row r="534" spans="1:107" ht="12.75" x14ac:dyDescent="0.2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8"/>
      <c r="O534" s="88"/>
      <c r="P534" s="8"/>
      <c r="Q534" s="8"/>
      <c r="R534" s="89"/>
      <c r="S534" s="89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</row>
    <row r="535" spans="1:107" ht="12.75" x14ac:dyDescent="0.2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8"/>
      <c r="O535" s="88"/>
      <c r="P535" s="8"/>
      <c r="Q535" s="8"/>
      <c r="R535" s="89"/>
      <c r="S535" s="89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</row>
    <row r="536" spans="1:107" ht="12.75" x14ac:dyDescent="0.2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8"/>
      <c r="O536" s="88"/>
      <c r="P536" s="8"/>
      <c r="Q536" s="8"/>
      <c r="R536" s="89"/>
      <c r="S536" s="89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</row>
    <row r="537" spans="1:107" ht="12.75" x14ac:dyDescent="0.2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8"/>
      <c r="O537" s="88"/>
      <c r="P537" s="8"/>
      <c r="Q537" s="8"/>
      <c r="R537" s="89"/>
      <c r="S537" s="89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</row>
    <row r="538" spans="1:107" ht="12.75" x14ac:dyDescent="0.2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8"/>
      <c r="O538" s="88"/>
      <c r="P538" s="8"/>
      <c r="Q538" s="8"/>
      <c r="R538" s="89"/>
      <c r="S538" s="89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</row>
    <row r="539" spans="1:107" ht="12.75" x14ac:dyDescent="0.2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8"/>
      <c r="O539" s="88"/>
      <c r="P539" s="8"/>
      <c r="Q539" s="8"/>
      <c r="R539" s="89"/>
      <c r="S539" s="89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</row>
    <row r="540" spans="1:107" ht="12.75" x14ac:dyDescent="0.2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8"/>
      <c r="O540" s="88"/>
      <c r="P540" s="8"/>
      <c r="Q540" s="8"/>
      <c r="R540" s="89"/>
      <c r="S540" s="89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</row>
    <row r="541" spans="1:107" ht="12.75" x14ac:dyDescent="0.2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8"/>
      <c r="O541" s="88"/>
      <c r="P541" s="8"/>
      <c r="Q541" s="8"/>
      <c r="R541" s="89"/>
      <c r="S541" s="89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</row>
    <row r="542" spans="1:107" ht="12.75" x14ac:dyDescent="0.2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8"/>
      <c r="O542" s="88"/>
      <c r="P542" s="8"/>
      <c r="Q542" s="8"/>
      <c r="R542" s="89"/>
      <c r="S542" s="89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</row>
    <row r="543" spans="1:107" ht="12.75" x14ac:dyDescent="0.2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8"/>
      <c r="O543" s="88"/>
      <c r="P543" s="8"/>
      <c r="Q543" s="8"/>
      <c r="R543" s="89"/>
      <c r="S543" s="89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</row>
    <row r="544" spans="1:107" ht="12.75" x14ac:dyDescent="0.2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8"/>
      <c r="O544" s="88"/>
      <c r="P544" s="8"/>
      <c r="Q544" s="8"/>
      <c r="R544" s="89"/>
      <c r="S544" s="89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</row>
    <row r="545" spans="1:107" ht="12.75" x14ac:dyDescent="0.2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8"/>
      <c r="O545" s="88"/>
      <c r="P545" s="8"/>
      <c r="Q545" s="8"/>
      <c r="R545" s="89"/>
      <c r="S545" s="89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</row>
    <row r="546" spans="1:107" ht="12.75" x14ac:dyDescent="0.2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8"/>
      <c r="O546" s="88"/>
      <c r="P546" s="8"/>
      <c r="Q546" s="8"/>
      <c r="R546" s="89"/>
      <c r="S546" s="89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</row>
    <row r="547" spans="1:107" ht="12.75" x14ac:dyDescent="0.2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8"/>
      <c r="O547" s="88"/>
      <c r="P547" s="8"/>
      <c r="Q547" s="8"/>
      <c r="R547" s="89"/>
      <c r="S547" s="89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</row>
    <row r="548" spans="1:107" ht="12.75" x14ac:dyDescent="0.2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8"/>
      <c r="O548" s="88"/>
      <c r="P548" s="8"/>
      <c r="Q548" s="8"/>
      <c r="R548" s="89"/>
      <c r="S548" s="89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</row>
    <row r="549" spans="1:107" ht="12.75" x14ac:dyDescent="0.2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8"/>
      <c r="O549" s="88"/>
      <c r="P549" s="8"/>
      <c r="Q549" s="8"/>
      <c r="R549" s="89"/>
      <c r="S549" s="89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</row>
    <row r="550" spans="1:107" ht="12.75" x14ac:dyDescent="0.2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8"/>
      <c r="O550" s="88"/>
      <c r="P550" s="8"/>
      <c r="Q550" s="8"/>
      <c r="R550" s="89"/>
      <c r="S550" s="89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</row>
    <row r="551" spans="1:107" ht="12.75" x14ac:dyDescent="0.2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8"/>
      <c r="O551" s="88"/>
      <c r="P551" s="8"/>
      <c r="Q551" s="8"/>
      <c r="R551" s="89"/>
      <c r="S551" s="89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</row>
    <row r="552" spans="1:107" ht="12.75" x14ac:dyDescent="0.2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8"/>
      <c r="O552" s="88"/>
      <c r="P552" s="8"/>
      <c r="Q552" s="8"/>
      <c r="R552" s="89"/>
      <c r="S552" s="89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</row>
    <row r="553" spans="1:107" ht="12.75" x14ac:dyDescent="0.2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8"/>
      <c r="O553" s="88"/>
      <c r="P553" s="8"/>
      <c r="Q553" s="8"/>
      <c r="R553" s="89"/>
      <c r="S553" s="89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</row>
    <row r="554" spans="1:107" ht="12.75" x14ac:dyDescent="0.2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8"/>
      <c r="O554" s="88"/>
      <c r="P554" s="8"/>
      <c r="Q554" s="8"/>
      <c r="R554" s="89"/>
      <c r="S554" s="89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</row>
    <row r="555" spans="1:107" ht="12.75" x14ac:dyDescent="0.2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8"/>
      <c r="O555" s="88"/>
      <c r="P555" s="8"/>
      <c r="Q555" s="8"/>
      <c r="R555" s="89"/>
      <c r="S555" s="89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</row>
    <row r="556" spans="1:107" ht="12.75" x14ac:dyDescent="0.2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8"/>
      <c r="O556" s="88"/>
      <c r="P556" s="8"/>
      <c r="Q556" s="8"/>
      <c r="R556" s="89"/>
      <c r="S556" s="89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</row>
    <row r="557" spans="1:107" ht="12.75" x14ac:dyDescent="0.2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8"/>
      <c r="O557" s="88"/>
      <c r="P557" s="8"/>
      <c r="Q557" s="8"/>
      <c r="R557" s="89"/>
      <c r="S557" s="89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</row>
    <row r="558" spans="1:107" ht="12.75" x14ac:dyDescent="0.2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8"/>
      <c r="O558" s="88"/>
      <c r="P558" s="8"/>
      <c r="Q558" s="8"/>
      <c r="R558" s="89"/>
      <c r="S558" s="89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</row>
    <row r="559" spans="1:107" ht="12.75" x14ac:dyDescent="0.2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8"/>
      <c r="O559" s="88"/>
      <c r="P559" s="8"/>
      <c r="Q559" s="8"/>
      <c r="R559" s="89"/>
      <c r="S559" s="89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C559" s="8"/>
    </row>
    <row r="560" spans="1:107" ht="12.75" x14ac:dyDescent="0.2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8"/>
      <c r="O560" s="88"/>
      <c r="P560" s="8"/>
      <c r="Q560" s="8"/>
      <c r="R560" s="89"/>
      <c r="S560" s="89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</row>
    <row r="561" spans="1:107" ht="12.75" x14ac:dyDescent="0.2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8"/>
      <c r="O561" s="88"/>
      <c r="P561" s="8"/>
      <c r="Q561" s="8"/>
      <c r="R561" s="89"/>
      <c r="S561" s="89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</row>
    <row r="562" spans="1:107" ht="12.75" x14ac:dyDescent="0.2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8"/>
      <c r="O562" s="88"/>
      <c r="P562" s="8"/>
      <c r="Q562" s="8"/>
      <c r="R562" s="89"/>
      <c r="S562" s="89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</row>
    <row r="563" spans="1:107" ht="12.75" x14ac:dyDescent="0.2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8"/>
      <c r="O563" s="88"/>
      <c r="P563" s="8"/>
      <c r="Q563" s="8"/>
      <c r="R563" s="89"/>
      <c r="S563" s="89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</row>
    <row r="564" spans="1:107" ht="12.75" x14ac:dyDescent="0.2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8"/>
      <c r="O564" s="88"/>
      <c r="P564" s="8"/>
      <c r="Q564" s="8"/>
      <c r="R564" s="89"/>
      <c r="S564" s="89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</row>
    <row r="565" spans="1:107" ht="12.75" x14ac:dyDescent="0.2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8"/>
      <c r="O565" s="88"/>
      <c r="P565" s="8"/>
      <c r="Q565" s="8"/>
      <c r="R565" s="89"/>
      <c r="S565" s="89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</row>
    <row r="566" spans="1:107" ht="12.75" x14ac:dyDescent="0.2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8"/>
      <c r="O566" s="88"/>
      <c r="P566" s="8"/>
      <c r="Q566" s="8"/>
      <c r="R566" s="89"/>
      <c r="S566" s="89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</row>
    <row r="567" spans="1:107" ht="12.75" x14ac:dyDescent="0.2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8"/>
      <c r="O567" s="88"/>
      <c r="P567" s="8"/>
      <c r="Q567" s="8"/>
      <c r="R567" s="89"/>
      <c r="S567" s="89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</row>
    <row r="568" spans="1:107" ht="12.75" x14ac:dyDescent="0.2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8"/>
      <c r="O568" s="88"/>
      <c r="P568" s="8"/>
      <c r="Q568" s="8"/>
      <c r="R568" s="89"/>
      <c r="S568" s="89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</row>
    <row r="569" spans="1:107" ht="12.75" x14ac:dyDescent="0.2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8"/>
      <c r="O569" s="88"/>
      <c r="P569" s="8"/>
      <c r="Q569" s="8"/>
      <c r="R569" s="89"/>
      <c r="S569" s="89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</row>
    <row r="570" spans="1:107" ht="12.75" x14ac:dyDescent="0.2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8"/>
      <c r="O570" s="88"/>
      <c r="P570" s="8"/>
      <c r="Q570" s="8"/>
      <c r="R570" s="89"/>
      <c r="S570" s="89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</row>
    <row r="571" spans="1:107" ht="12.75" x14ac:dyDescent="0.2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8"/>
      <c r="O571" s="88"/>
      <c r="P571" s="8"/>
      <c r="Q571" s="8"/>
      <c r="R571" s="89"/>
      <c r="S571" s="89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</row>
    <row r="572" spans="1:107" ht="12.75" x14ac:dyDescent="0.2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8"/>
      <c r="O572" s="88"/>
      <c r="P572" s="8"/>
      <c r="Q572" s="8"/>
      <c r="R572" s="89"/>
      <c r="S572" s="89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</row>
    <row r="573" spans="1:107" ht="12.75" x14ac:dyDescent="0.2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8"/>
      <c r="O573" s="88"/>
      <c r="P573" s="8"/>
      <c r="Q573" s="8"/>
      <c r="R573" s="89"/>
      <c r="S573" s="89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</row>
    <row r="574" spans="1:107" ht="12.75" x14ac:dyDescent="0.2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8"/>
      <c r="O574" s="88"/>
      <c r="P574" s="8"/>
      <c r="Q574" s="8"/>
      <c r="R574" s="89"/>
      <c r="S574" s="89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</row>
    <row r="575" spans="1:107" ht="12.75" x14ac:dyDescent="0.2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8"/>
      <c r="O575" s="88"/>
      <c r="P575" s="8"/>
      <c r="Q575" s="8"/>
      <c r="R575" s="89"/>
      <c r="S575" s="89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</row>
    <row r="576" spans="1:107" ht="12.75" x14ac:dyDescent="0.2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8"/>
      <c r="O576" s="88"/>
      <c r="P576" s="8"/>
      <c r="Q576" s="8"/>
      <c r="R576" s="89"/>
      <c r="S576" s="89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</row>
    <row r="577" spans="1:107" ht="12.75" x14ac:dyDescent="0.2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8"/>
      <c r="O577" s="88"/>
      <c r="P577" s="8"/>
      <c r="Q577" s="8"/>
      <c r="R577" s="89"/>
      <c r="S577" s="89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</row>
    <row r="578" spans="1:107" ht="12.75" x14ac:dyDescent="0.2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8"/>
      <c r="O578" s="88"/>
      <c r="P578" s="8"/>
      <c r="Q578" s="8"/>
      <c r="R578" s="89"/>
      <c r="S578" s="89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</row>
    <row r="579" spans="1:107" ht="12.75" x14ac:dyDescent="0.2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8"/>
      <c r="O579" s="88"/>
      <c r="P579" s="8"/>
      <c r="Q579" s="8"/>
      <c r="R579" s="89"/>
      <c r="S579" s="89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</row>
    <row r="580" spans="1:107" ht="12.75" x14ac:dyDescent="0.2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8"/>
      <c r="O580" s="88"/>
      <c r="P580" s="8"/>
      <c r="Q580" s="8"/>
      <c r="R580" s="89"/>
      <c r="S580" s="89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</row>
    <row r="581" spans="1:107" ht="12.75" x14ac:dyDescent="0.2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8"/>
      <c r="O581" s="88"/>
      <c r="P581" s="8"/>
      <c r="Q581" s="8"/>
      <c r="R581" s="89"/>
      <c r="S581" s="89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</row>
    <row r="582" spans="1:107" ht="12.75" x14ac:dyDescent="0.2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8"/>
      <c r="O582" s="88"/>
      <c r="P582" s="8"/>
      <c r="Q582" s="8"/>
      <c r="R582" s="89"/>
      <c r="S582" s="89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</row>
    <row r="583" spans="1:107" ht="12.75" x14ac:dyDescent="0.2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8"/>
      <c r="O583" s="88"/>
      <c r="P583" s="8"/>
      <c r="Q583" s="8"/>
      <c r="R583" s="89"/>
      <c r="S583" s="89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</row>
    <row r="584" spans="1:107" ht="12.75" x14ac:dyDescent="0.2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8"/>
      <c r="O584" s="88"/>
      <c r="P584" s="8"/>
      <c r="Q584" s="8"/>
      <c r="R584" s="89"/>
      <c r="S584" s="89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</row>
    <row r="585" spans="1:107" ht="12.75" x14ac:dyDescent="0.2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8"/>
      <c r="O585" s="88"/>
      <c r="P585" s="8"/>
      <c r="Q585" s="8"/>
      <c r="R585" s="89"/>
      <c r="S585" s="89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</row>
    <row r="586" spans="1:107" ht="12.75" x14ac:dyDescent="0.2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8"/>
      <c r="O586" s="88"/>
      <c r="P586" s="8"/>
      <c r="Q586" s="8"/>
      <c r="R586" s="89"/>
      <c r="S586" s="89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</row>
    <row r="587" spans="1:107" ht="12.75" x14ac:dyDescent="0.2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8"/>
      <c r="O587" s="88"/>
      <c r="P587" s="8"/>
      <c r="Q587" s="8"/>
      <c r="R587" s="89"/>
      <c r="S587" s="89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</row>
    <row r="588" spans="1:107" ht="12.75" x14ac:dyDescent="0.2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8"/>
      <c r="O588" s="88"/>
      <c r="P588" s="8"/>
      <c r="Q588" s="8"/>
      <c r="R588" s="89"/>
      <c r="S588" s="89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</row>
    <row r="589" spans="1:107" ht="12.75" x14ac:dyDescent="0.2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8"/>
      <c r="O589" s="88"/>
      <c r="P589" s="8"/>
      <c r="Q589" s="8"/>
      <c r="R589" s="89"/>
      <c r="S589" s="89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</row>
    <row r="590" spans="1:107" ht="12.75" x14ac:dyDescent="0.2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8"/>
      <c r="O590" s="88"/>
      <c r="P590" s="8"/>
      <c r="Q590" s="8"/>
      <c r="R590" s="89"/>
      <c r="S590" s="89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</row>
    <row r="591" spans="1:107" ht="12.75" x14ac:dyDescent="0.2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8"/>
      <c r="O591" s="88"/>
      <c r="P591" s="8"/>
      <c r="Q591" s="8"/>
      <c r="R591" s="89"/>
      <c r="S591" s="89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</row>
    <row r="592" spans="1:107" ht="12.75" x14ac:dyDescent="0.2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8"/>
      <c r="O592" s="88"/>
      <c r="P592" s="8"/>
      <c r="Q592" s="8"/>
      <c r="R592" s="89"/>
      <c r="S592" s="89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</row>
    <row r="593" spans="1:107" ht="12.75" x14ac:dyDescent="0.2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8"/>
      <c r="O593" s="88"/>
      <c r="P593" s="8"/>
      <c r="Q593" s="8"/>
      <c r="R593" s="89"/>
      <c r="S593" s="89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</row>
    <row r="594" spans="1:107" ht="12.75" x14ac:dyDescent="0.2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8"/>
      <c r="O594" s="88"/>
      <c r="P594" s="8"/>
      <c r="Q594" s="8"/>
      <c r="R594" s="89"/>
      <c r="S594" s="89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</row>
    <row r="595" spans="1:107" ht="12.75" x14ac:dyDescent="0.2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8"/>
      <c r="O595" s="88"/>
      <c r="P595" s="8"/>
      <c r="Q595" s="8"/>
      <c r="R595" s="89"/>
      <c r="S595" s="89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</row>
    <row r="596" spans="1:107" ht="12.75" x14ac:dyDescent="0.2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8"/>
      <c r="O596" s="88"/>
      <c r="P596" s="8"/>
      <c r="Q596" s="8"/>
      <c r="R596" s="89"/>
      <c r="S596" s="89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</row>
    <row r="597" spans="1:107" ht="12.75" x14ac:dyDescent="0.2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8"/>
      <c r="O597" s="88"/>
      <c r="P597" s="8"/>
      <c r="Q597" s="8"/>
      <c r="R597" s="89"/>
      <c r="S597" s="89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</row>
    <row r="598" spans="1:107" ht="12.75" x14ac:dyDescent="0.2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8"/>
      <c r="O598" s="88"/>
      <c r="P598" s="8"/>
      <c r="Q598" s="8"/>
      <c r="R598" s="89"/>
      <c r="S598" s="89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</row>
    <row r="599" spans="1:107" ht="12.75" x14ac:dyDescent="0.2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8"/>
      <c r="O599" s="88"/>
      <c r="P599" s="8"/>
      <c r="Q599" s="8"/>
      <c r="R599" s="89"/>
      <c r="S599" s="89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</row>
    <row r="600" spans="1:107" ht="12.75" x14ac:dyDescent="0.2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8"/>
      <c r="O600" s="88"/>
      <c r="P600" s="8"/>
      <c r="Q600" s="8"/>
      <c r="R600" s="89"/>
      <c r="S600" s="89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</row>
    <row r="601" spans="1:107" ht="12.75" x14ac:dyDescent="0.2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8"/>
      <c r="O601" s="88"/>
      <c r="P601" s="8"/>
      <c r="Q601" s="8"/>
      <c r="R601" s="89"/>
      <c r="S601" s="89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</row>
    <row r="602" spans="1:107" ht="12.75" x14ac:dyDescent="0.2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8"/>
      <c r="O602" s="88"/>
      <c r="P602" s="8"/>
      <c r="Q602" s="8"/>
      <c r="R602" s="89"/>
      <c r="S602" s="89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</row>
    <row r="603" spans="1:107" ht="12.75" x14ac:dyDescent="0.2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8"/>
      <c r="O603" s="88"/>
      <c r="P603" s="8"/>
      <c r="Q603" s="8"/>
      <c r="R603" s="89"/>
      <c r="S603" s="89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</row>
    <row r="604" spans="1:107" ht="12.75" x14ac:dyDescent="0.2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8"/>
      <c r="O604" s="88"/>
      <c r="P604" s="8"/>
      <c r="Q604" s="8"/>
      <c r="R604" s="89"/>
      <c r="S604" s="89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</row>
    <row r="605" spans="1:107" ht="12.75" x14ac:dyDescent="0.2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8"/>
      <c r="O605" s="88"/>
      <c r="P605" s="8"/>
      <c r="Q605" s="8"/>
      <c r="R605" s="89"/>
      <c r="S605" s="89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</row>
    <row r="606" spans="1:107" ht="12.75" x14ac:dyDescent="0.2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8"/>
      <c r="O606" s="88"/>
      <c r="P606" s="8"/>
      <c r="Q606" s="8"/>
      <c r="R606" s="89"/>
      <c r="S606" s="89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</row>
    <row r="607" spans="1:107" ht="12.75" x14ac:dyDescent="0.2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8"/>
      <c r="O607" s="88"/>
      <c r="P607" s="8"/>
      <c r="Q607" s="8"/>
      <c r="R607" s="89"/>
      <c r="S607" s="89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</row>
    <row r="608" spans="1:107" ht="12.75" x14ac:dyDescent="0.2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8"/>
      <c r="O608" s="88"/>
      <c r="P608" s="8"/>
      <c r="Q608" s="8"/>
      <c r="R608" s="89"/>
      <c r="S608" s="89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</row>
    <row r="609" spans="1:107" ht="12.75" x14ac:dyDescent="0.2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8"/>
      <c r="O609" s="88"/>
      <c r="P609" s="8"/>
      <c r="Q609" s="8"/>
      <c r="R609" s="89"/>
      <c r="S609" s="89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</row>
    <row r="610" spans="1:107" ht="12.75" x14ac:dyDescent="0.2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8"/>
      <c r="O610" s="88"/>
      <c r="P610" s="8"/>
      <c r="Q610" s="8"/>
      <c r="R610" s="89"/>
      <c r="S610" s="89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</row>
    <row r="611" spans="1:107" ht="12.75" x14ac:dyDescent="0.2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8"/>
      <c r="O611" s="88"/>
      <c r="P611" s="8"/>
      <c r="Q611" s="8"/>
      <c r="R611" s="89"/>
      <c r="S611" s="89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</row>
    <row r="612" spans="1:107" ht="12.75" x14ac:dyDescent="0.2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8"/>
      <c r="O612" s="88"/>
      <c r="P612" s="8"/>
      <c r="Q612" s="8"/>
      <c r="R612" s="89"/>
      <c r="S612" s="89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</row>
    <row r="613" spans="1:107" ht="12.75" x14ac:dyDescent="0.2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8"/>
      <c r="O613" s="88"/>
      <c r="P613" s="8"/>
      <c r="Q613" s="8"/>
      <c r="R613" s="89"/>
      <c r="S613" s="89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</row>
    <row r="614" spans="1:107" ht="12.75" x14ac:dyDescent="0.2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8"/>
      <c r="O614" s="88"/>
      <c r="P614" s="8"/>
      <c r="Q614" s="8"/>
      <c r="R614" s="89"/>
      <c r="S614" s="89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</row>
    <row r="615" spans="1:107" ht="12.75" x14ac:dyDescent="0.2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8"/>
      <c r="O615" s="88"/>
      <c r="P615" s="8"/>
      <c r="Q615" s="8"/>
      <c r="R615" s="89"/>
      <c r="S615" s="89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</row>
    <row r="616" spans="1:107" ht="12.75" x14ac:dyDescent="0.2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8"/>
      <c r="O616" s="88"/>
      <c r="P616" s="8"/>
      <c r="Q616" s="8"/>
      <c r="R616" s="89"/>
      <c r="S616" s="89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</row>
    <row r="617" spans="1:107" ht="12.75" x14ac:dyDescent="0.2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8"/>
      <c r="O617" s="88"/>
      <c r="P617" s="8"/>
      <c r="Q617" s="8"/>
      <c r="R617" s="89"/>
      <c r="S617" s="89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</row>
    <row r="618" spans="1:107" ht="12.75" x14ac:dyDescent="0.2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8"/>
      <c r="O618" s="88"/>
      <c r="P618" s="8"/>
      <c r="Q618" s="8"/>
      <c r="R618" s="89"/>
      <c r="S618" s="89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</row>
    <row r="619" spans="1:107" ht="12.75" x14ac:dyDescent="0.2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8"/>
      <c r="O619" s="88"/>
      <c r="P619" s="8"/>
      <c r="Q619" s="8"/>
      <c r="R619" s="89"/>
      <c r="S619" s="89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</row>
    <row r="620" spans="1:107" ht="12.75" x14ac:dyDescent="0.2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8"/>
      <c r="O620" s="88"/>
      <c r="P620" s="8"/>
      <c r="Q620" s="8"/>
      <c r="R620" s="89"/>
      <c r="S620" s="89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</row>
    <row r="621" spans="1:107" ht="12.75" x14ac:dyDescent="0.2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8"/>
      <c r="O621" s="88"/>
      <c r="P621" s="8"/>
      <c r="Q621" s="8"/>
      <c r="R621" s="89"/>
      <c r="S621" s="89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</row>
    <row r="622" spans="1:107" ht="12.75" x14ac:dyDescent="0.2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8"/>
      <c r="O622" s="88"/>
      <c r="P622" s="8"/>
      <c r="Q622" s="8"/>
      <c r="R622" s="89"/>
      <c r="S622" s="89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</row>
    <row r="623" spans="1:107" ht="12.75" x14ac:dyDescent="0.2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8"/>
      <c r="O623" s="88"/>
      <c r="P623" s="8"/>
      <c r="Q623" s="8"/>
      <c r="R623" s="89"/>
      <c r="S623" s="89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</row>
    <row r="624" spans="1:107" ht="12.75" x14ac:dyDescent="0.2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8"/>
      <c r="O624" s="88"/>
      <c r="P624" s="8"/>
      <c r="Q624" s="8"/>
      <c r="R624" s="89"/>
      <c r="S624" s="89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</row>
    <row r="625" spans="1:107" ht="12.75" x14ac:dyDescent="0.2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8"/>
      <c r="O625" s="88"/>
      <c r="P625" s="8"/>
      <c r="Q625" s="8"/>
      <c r="R625" s="89"/>
      <c r="S625" s="89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</row>
    <row r="626" spans="1:107" ht="12.75" x14ac:dyDescent="0.2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8"/>
      <c r="O626" s="88"/>
      <c r="P626" s="8"/>
      <c r="Q626" s="8"/>
      <c r="R626" s="89"/>
      <c r="S626" s="89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</row>
    <row r="627" spans="1:107" ht="12.75" x14ac:dyDescent="0.2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8"/>
      <c r="O627" s="88"/>
      <c r="P627" s="8"/>
      <c r="Q627" s="8"/>
      <c r="R627" s="89"/>
      <c r="S627" s="89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</row>
    <row r="628" spans="1:107" ht="12.75" x14ac:dyDescent="0.2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8"/>
      <c r="O628" s="88"/>
      <c r="P628" s="8"/>
      <c r="Q628" s="8"/>
      <c r="R628" s="89"/>
      <c r="S628" s="89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</row>
    <row r="629" spans="1:107" ht="12.75" x14ac:dyDescent="0.2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8"/>
      <c r="O629" s="88"/>
      <c r="P629" s="8"/>
      <c r="Q629" s="8"/>
      <c r="R629" s="89"/>
      <c r="S629" s="89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</row>
    <row r="630" spans="1:107" ht="12.75" x14ac:dyDescent="0.2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8"/>
      <c r="O630" s="88"/>
      <c r="P630" s="8"/>
      <c r="Q630" s="8"/>
      <c r="R630" s="89"/>
      <c r="S630" s="89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</row>
    <row r="631" spans="1:107" ht="12.75" x14ac:dyDescent="0.2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8"/>
      <c r="O631" s="88"/>
      <c r="P631" s="8"/>
      <c r="Q631" s="8"/>
      <c r="R631" s="89"/>
      <c r="S631" s="89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</row>
    <row r="632" spans="1:107" ht="12.75" x14ac:dyDescent="0.2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8"/>
      <c r="O632" s="88"/>
      <c r="P632" s="8"/>
      <c r="Q632" s="8"/>
      <c r="R632" s="89"/>
      <c r="S632" s="89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</row>
    <row r="633" spans="1:107" ht="12.75" x14ac:dyDescent="0.2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8"/>
      <c r="O633" s="88"/>
      <c r="P633" s="8"/>
      <c r="Q633" s="8"/>
      <c r="R633" s="89"/>
      <c r="S633" s="89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</row>
    <row r="634" spans="1:107" ht="12.75" x14ac:dyDescent="0.2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8"/>
      <c r="O634" s="88"/>
      <c r="P634" s="8"/>
      <c r="Q634" s="8"/>
      <c r="R634" s="89"/>
      <c r="S634" s="89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</row>
    <row r="635" spans="1:107" ht="12.75" x14ac:dyDescent="0.2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8"/>
      <c r="O635" s="88"/>
      <c r="P635" s="8"/>
      <c r="Q635" s="8"/>
      <c r="R635" s="89"/>
      <c r="S635" s="89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</row>
    <row r="636" spans="1:107" ht="12.75" x14ac:dyDescent="0.2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8"/>
      <c r="O636" s="88"/>
      <c r="P636" s="8"/>
      <c r="Q636" s="8"/>
      <c r="R636" s="89"/>
      <c r="S636" s="89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</row>
    <row r="637" spans="1:107" ht="12.75" x14ac:dyDescent="0.2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8"/>
      <c r="O637" s="88"/>
      <c r="P637" s="8"/>
      <c r="Q637" s="8"/>
      <c r="R637" s="89"/>
      <c r="S637" s="89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</row>
    <row r="638" spans="1:107" ht="12.75" x14ac:dyDescent="0.2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8"/>
      <c r="O638" s="88"/>
      <c r="P638" s="8"/>
      <c r="Q638" s="8"/>
      <c r="R638" s="89"/>
      <c r="S638" s="89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</row>
    <row r="639" spans="1:107" ht="12.75" x14ac:dyDescent="0.2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8"/>
      <c r="O639" s="88"/>
      <c r="P639" s="8"/>
      <c r="Q639" s="8"/>
      <c r="R639" s="89"/>
      <c r="S639" s="89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</row>
    <row r="640" spans="1:107" ht="12.75" x14ac:dyDescent="0.2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8"/>
      <c r="O640" s="88"/>
      <c r="P640" s="8"/>
      <c r="Q640" s="8"/>
      <c r="R640" s="89"/>
      <c r="S640" s="89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</row>
    <row r="641" spans="1:107" ht="12.75" x14ac:dyDescent="0.2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8"/>
      <c r="O641" s="88"/>
      <c r="P641" s="8"/>
      <c r="Q641" s="8"/>
      <c r="R641" s="89"/>
      <c r="S641" s="89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</row>
    <row r="642" spans="1:107" ht="12.75" x14ac:dyDescent="0.2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8"/>
      <c r="O642" s="88"/>
      <c r="P642" s="8"/>
      <c r="Q642" s="8"/>
      <c r="R642" s="89"/>
      <c r="S642" s="89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</row>
    <row r="643" spans="1:107" ht="12.75" x14ac:dyDescent="0.2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8"/>
      <c r="O643" s="88"/>
      <c r="P643" s="8"/>
      <c r="Q643" s="8"/>
      <c r="R643" s="89"/>
      <c r="S643" s="89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</row>
    <row r="644" spans="1:107" ht="12.75" x14ac:dyDescent="0.2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8"/>
      <c r="O644" s="88"/>
      <c r="P644" s="8"/>
      <c r="Q644" s="8"/>
      <c r="R644" s="89"/>
      <c r="S644" s="89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</row>
    <row r="645" spans="1:107" ht="12.75" x14ac:dyDescent="0.2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8"/>
      <c r="O645" s="88"/>
      <c r="P645" s="8"/>
      <c r="Q645" s="8"/>
      <c r="R645" s="89"/>
      <c r="S645" s="89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</row>
    <row r="646" spans="1:107" ht="12.75" x14ac:dyDescent="0.2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8"/>
      <c r="O646" s="88"/>
      <c r="P646" s="8"/>
      <c r="Q646" s="8"/>
      <c r="R646" s="89"/>
      <c r="S646" s="89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</row>
    <row r="647" spans="1:107" ht="12.75" x14ac:dyDescent="0.2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8"/>
      <c r="O647" s="88"/>
      <c r="P647" s="8"/>
      <c r="Q647" s="8"/>
      <c r="R647" s="89"/>
      <c r="S647" s="89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</row>
    <row r="648" spans="1:107" ht="12.75" x14ac:dyDescent="0.2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8"/>
      <c r="O648" s="88"/>
      <c r="P648" s="8"/>
      <c r="Q648" s="8"/>
      <c r="R648" s="89"/>
      <c r="S648" s="89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</row>
    <row r="649" spans="1:107" ht="12.75" x14ac:dyDescent="0.2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8"/>
      <c r="O649" s="88"/>
      <c r="P649" s="8"/>
      <c r="Q649" s="8"/>
      <c r="R649" s="89"/>
      <c r="S649" s="89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</row>
    <row r="650" spans="1:107" ht="12.75" x14ac:dyDescent="0.2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8"/>
      <c r="O650" s="88"/>
      <c r="P650" s="8"/>
      <c r="Q650" s="8"/>
      <c r="R650" s="89"/>
      <c r="S650" s="89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</row>
    <row r="651" spans="1:107" ht="12.75" x14ac:dyDescent="0.2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8"/>
      <c r="O651" s="88"/>
      <c r="P651" s="8"/>
      <c r="Q651" s="8"/>
      <c r="R651" s="89"/>
      <c r="S651" s="89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</row>
    <row r="652" spans="1:107" ht="12.75" x14ac:dyDescent="0.2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8"/>
      <c r="O652" s="88"/>
      <c r="P652" s="8"/>
      <c r="Q652" s="8"/>
      <c r="R652" s="89"/>
      <c r="S652" s="89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</row>
    <row r="653" spans="1:107" ht="12.75" x14ac:dyDescent="0.2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8"/>
      <c r="O653" s="88"/>
      <c r="P653" s="8"/>
      <c r="Q653" s="8"/>
      <c r="R653" s="89"/>
      <c r="S653" s="89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</row>
    <row r="654" spans="1:107" ht="12.75" x14ac:dyDescent="0.2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8"/>
      <c r="O654" s="88"/>
      <c r="P654" s="8"/>
      <c r="Q654" s="8"/>
      <c r="R654" s="89"/>
      <c r="S654" s="89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</row>
    <row r="655" spans="1:107" ht="12.75" x14ac:dyDescent="0.2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8"/>
      <c r="O655" s="88"/>
      <c r="P655" s="8"/>
      <c r="Q655" s="8"/>
      <c r="R655" s="89"/>
      <c r="S655" s="89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</row>
    <row r="656" spans="1:107" ht="12.75" x14ac:dyDescent="0.2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8"/>
      <c r="O656" s="88"/>
      <c r="P656" s="8"/>
      <c r="Q656" s="8"/>
      <c r="R656" s="89"/>
      <c r="S656" s="89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</row>
    <row r="657" spans="1:107" ht="12.75" x14ac:dyDescent="0.2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8"/>
      <c r="O657" s="88"/>
      <c r="P657" s="8"/>
      <c r="Q657" s="8"/>
      <c r="R657" s="89"/>
      <c r="S657" s="89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</row>
    <row r="658" spans="1:107" ht="12.75" x14ac:dyDescent="0.2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8"/>
      <c r="O658" s="88"/>
      <c r="P658" s="8"/>
      <c r="Q658" s="8"/>
      <c r="R658" s="89"/>
      <c r="S658" s="89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</row>
    <row r="659" spans="1:107" ht="12.75" x14ac:dyDescent="0.2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8"/>
      <c r="O659" s="88"/>
      <c r="P659" s="8"/>
      <c r="Q659" s="8"/>
      <c r="R659" s="89"/>
      <c r="S659" s="89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</row>
    <row r="660" spans="1:107" ht="12.75" x14ac:dyDescent="0.2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8"/>
      <c r="O660" s="88"/>
      <c r="P660" s="8"/>
      <c r="Q660" s="8"/>
      <c r="R660" s="89"/>
      <c r="S660" s="89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</row>
    <row r="661" spans="1:107" ht="12.75" x14ac:dyDescent="0.2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8"/>
      <c r="O661" s="88"/>
      <c r="P661" s="8"/>
      <c r="Q661" s="8"/>
      <c r="R661" s="89"/>
      <c r="S661" s="89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</row>
    <row r="662" spans="1:107" ht="12.75" x14ac:dyDescent="0.2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8"/>
      <c r="O662" s="88"/>
      <c r="P662" s="8"/>
      <c r="Q662" s="8"/>
      <c r="R662" s="89"/>
      <c r="S662" s="89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</row>
    <row r="663" spans="1:107" ht="12.75" x14ac:dyDescent="0.2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8"/>
      <c r="O663" s="88"/>
      <c r="P663" s="8"/>
      <c r="Q663" s="8"/>
      <c r="R663" s="89"/>
      <c r="S663" s="89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</row>
    <row r="664" spans="1:107" ht="12.75" x14ac:dyDescent="0.2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8"/>
      <c r="O664" s="88"/>
      <c r="P664" s="8"/>
      <c r="Q664" s="8"/>
      <c r="R664" s="89"/>
      <c r="S664" s="89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</row>
    <row r="665" spans="1:107" ht="12.75" x14ac:dyDescent="0.2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8"/>
      <c r="O665" s="88"/>
      <c r="P665" s="8"/>
      <c r="Q665" s="8"/>
      <c r="R665" s="89"/>
      <c r="S665" s="89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</row>
    <row r="666" spans="1:107" ht="12.75" x14ac:dyDescent="0.2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8"/>
      <c r="O666" s="88"/>
      <c r="P666" s="8"/>
      <c r="Q666" s="8"/>
      <c r="R666" s="89"/>
      <c r="S666" s="89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</row>
    <row r="667" spans="1:107" ht="12.75" x14ac:dyDescent="0.2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8"/>
      <c r="O667" s="88"/>
      <c r="P667" s="8"/>
      <c r="Q667" s="8"/>
      <c r="R667" s="89"/>
      <c r="S667" s="89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</row>
    <row r="668" spans="1:107" ht="12.75" x14ac:dyDescent="0.2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8"/>
      <c r="O668" s="88"/>
      <c r="P668" s="8"/>
      <c r="Q668" s="8"/>
      <c r="R668" s="89"/>
      <c r="S668" s="89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</row>
    <row r="669" spans="1:107" ht="12.75" x14ac:dyDescent="0.2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8"/>
      <c r="O669" s="88"/>
      <c r="P669" s="8"/>
      <c r="Q669" s="8"/>
      <c r="R669" s="89"/>
      <c r="S669" s="89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</row>
    <row r="670" spans="1:107" ht="12.75" x14ac:dyDescent="0.2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8"/>
      <c r="O670" s="88"/>
      <c r="P670" s="8"/>
      <c r="Q670" s="8"/>
      <c r="R670" s="89"/>
      <c r="S670" s="89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</row>
    <row r="671" spans="1:107" ht="12.75" x14ac:dyDescent="0.2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8"/>
      <c r="O671" s="88"/>
      <c r="P671" s="8"/>
      <c r="Q671" s="8"/>
      <c r="R671" s="89"/>
      <c r="S671" s="89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</row>
    <row r="672" spans="1:107" ht="12.75" x14ac:dyDescent="0.2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8"/>
      <c r="O672" s="88"/>
      <c r="P672" s="8"/>
      <c r="Q672" s="8"/>
      <c r="R672" s="89"/>
      <c r="S672" s="89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</row>
    <row r="673" spans="1:107" ht="12.75" x14ac:dyDescent="0.2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8"/>
      <c r="O673" s="88"/>
      <c r="P673" s="8"/>
      <c r="Q673" s="8"/>
      <c r="R673" s="89"/>
      <c r="S673" s="89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</row>
    <row r="674" spans="1:107" ht="12.75" x14ac:dyDescent="0.2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8"/>
      <c r="O674" s="88"/>
      <c r="P674" s="8"/>
      <c r="Q674" s="8"/>
      <c r="R674" s="89"/>
      <c r="S674" s="89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</row>
    <row r="675" spans="1:107" ht="12.75" x14ac:dyDescent="0.2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8"/>
      <c r="O675" s="88"/>
      <c r="P675" s="8"/>
      <c r="Q675" s="8"/>
      <c r="R675" s="89"/>
      <c r="S675" s="89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</row>
    <row r="676" spans="1:107" ht="12.75" x14ac:dyDescent="0.2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8"/>
      <c r="O676" s="88"/>
      <c r="P676" s="8"/>
      <c r="Q676" s="8"/>
      <c r="R676" s="89"/>
      <c r="S676" s="89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</row>
    <row r="677" spans="1:107" ht="12.75" x14ac:dyDescent="0.2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8"/>
      <c r="O677" s="88"/>
      <c r="P677" s="8"/>
      <c r="Q677" s="8"/>
      <c r="R677" s="89"/>
      <c r="S677" s="89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</row>
    <row r="678" spans="1:107" ht="12.75" x14ac:dyDescent="0.2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8"/>
      <c r="O678" s="88"/>
      <c r="P678" s="8"/>
      <c r="Q678" s="8"/>
      <c r="R678" s="89"/>
      <c r="S678" s="89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</row>
    <row r="679" spans="1:107" ht="12.75" x14ac:dyDescent="0.2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8"/>
      <c r="O679" s="88"/>
      <c r="P679" s="8"/>
      <c r="Q679" s="8"/>
      <c r="R679" s="89"/>
      <c r="S679" s="89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</row>
    <row r="680" spans="1:107" ht="12.75" x14ac:dyDescent="0.2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8"/>
      <c r="O680" s="88"/>
      <c r="P680" s="8"/>
      <c r="Q680" s="8"/>
      <c r="R680" s="89"/>
      <c r="S680" s="89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</row>
    <row r="681" spans="1:107" ht="12.75" x14ac:dyDescent="0.2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8"/>
      <c r="O681" s="88"/>
      <c r="P681" s="8"/>
      <c r="Q681" s="8"/>
      <c r="R681" s="89"/>
      <c r="S681" s="89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</row>
    <row r="682" spans="1:107" ht="12.75" x14ac:dyDescent="0.2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8"/>
      <c r="O682" s="88"/>
      <c r="P682" s="8"/>
      <c r="Q682" s="8"/>
      <c r="R682" s="89"/>
      <c r="S682" s="89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</row>
    <row r="683" spans="1:107" ht="12.75" x14ac:dyDescent="0.2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8"/>
      <c r="O683" s="88"/>
      <c r="P683" s="8"/>
      <c r="Q683" s="8"/>
      <c r="R683" s="89"/>
      <c r="S683" s="89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</row>
    <row r="684" spans="1:107" ht="12.75" x14ac:dyDescent="0.2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8"/>
      <c r="O684" s="88"/>
      <c r="P684" s="8"/>
      <c r="Q684" s="8"/>
      <c r="R684" s="89"/>
      <c r="S684" s="89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</row>
    <row r="685" spans="1:107" ht="12.75" x14ac:dyDescent="0.2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8"/>
      <c r="O685" s="88"/>
      <c r="P685" s="8"/>
      <c r="Q685" s="8"/>
      <c r="R685" s="89"/>
      <c r="S685" s="89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</row>
    <row r="686" spans="1:107" ht="12.75" x14ac:dyDescent="0.2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8"/>
      <c r="O686" s="88"/>
      <c r="P686" s="8"/>
      <c r="Q686" s="8"/>
      <c r="R686" s="89"/>
      <c r="S686" s="89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</row>
    <row r="687" spans="1:107" ht="12.75" x14ac:dyDescent="0.2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8"/>
      <c r="O687" s="88"/>
      <c r="P687" s="8"/>
      <c r="Q687" s="8"/>
      <c r="R687" s="89"/>
      <c r="S687" s="89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</row>
    <row r="688" spans="1:107" ht="12.75" x14ac:dyDescent="0.2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8"/>
      <c r="O688" s="88"/>
      <c r="P688" s="8"/>
      <c r="Q688" s="8"/>
      <c r="R688" s="89"/>
      <c r="S688" s="89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</row>
    <row r="689" spans="1:107" ht="12.75" x14ac:dyDescent="0.2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8"/>
      <c r="O689" s="88"/>
      <c r="P689" s="8"/>
      <c r="Q689" s="8"/>
      <c r="R689" s="89"/>
      <c r="S689" s="89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</row>
    <row r="690" spans="1:107" ht="12.75" x14ac:dyDescent="0.2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8"/>
      <c r="O690" s="88"/>
      <c r="P690" s="8"/>
      <c r="Q690" s="8"/>
      <c r="R690" s="89"/>
      <c r="S690" s="89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</row>
    <row r="691" spans="1:107" ht="12.75" x14ac:dyDescent="0.2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8"/>
      <c r="O691" s="88"/>
      <c r="P691" s="8"/>
      <c r="Q691" s="8"/>
      <c r="R691" s="89"/>
      <c r="S691" s="89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</row>
    <row r="692" spans="1:107" ht="12.75" x14ac:dyDescent="0.2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8"/>
      <c r="O692" s="88"/>
      <c r="P692" s="8"/>
      <c r="Q692" s="8"/>
      <c r="R692" s="89"/>
      <c r="S692" s="89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</row>
    <row r="693" spans="1:107" ht="12.75" x14ac:dyDescent="0.2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8"/>
      <c r="O693" s="88"/>
      <c r="P693" s="8"/>
      <c r="Q693" s="8"/>
      <c r="R693" s="89"/>
      <c r="S693" s="89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</row>
    <row r="694" spans="1:107" ht="12.75" x14ac:dyDescent="0.2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8"/>
      <c r="O694" s="88"/>
      <c r="P694" s="8"/>
      <c r="Q694" s="8"/>
      <c r="R694" s="89"/>
      <c r="S694" s="89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</row>
    <row r="695" spans="1:107" ht="12.75" x14ac:dyDescent="0.2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8"/>
      <c r="O695" s="88"/>
      <c r="P695" s="8"/>
      <c r="Q695" s="8"/>
      <c r="R695" s="89"/>
      <c r="S695" s="89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</row>
    <row r="696" spans="1:107" ht="12.75" x14ac:dyDescent="0.2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8"/>
      <c r="O696" s="88"/>
      <c r="P696" s="8"/>
      <c r="Q696" s="8"/>
      <c r="R696" s="89"/>
      <c r="S696" s="89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</row>
    <row r="697" spans="1:107" ht="12.75" x14ac:dyDescent="0.2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8"/>
      <c r="O697" s="88"/>
      <c r="P697" s="8"/>
      <c r="Q697" s="8"/>
      <c r="R697" s="89"/>
      <c r="S697" s="89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</row>
    <row r="698" spans="1:107" ht="12.75" x14ac:dyDescent="0.2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8"/>
      <c r="O698" s="88"/>
      <c r="P698" s="8"/>
      <c r="Q698" s="8"/>
      <c r="R698" s="89"/>
      <c r="S698" s="89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</row>
    <row r="699" spans="1:107" ht="12.75" x14ac:dyDescent="0.2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8"/>
      <c r="O699" s="88"/>
      <c r="P699" s="8"/>
      <c r="Q699" s="8"/>
      <c r="R699" s="89"/>
      <c r="S699" s="89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</row>
    <row r="700" spans="1:107" ht="12.75" x14ac:dyDescent="0.2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8"/>
      <c r="O700" s="88"/>
      <c r="P700" s="8"/>
      <c r="Q700" s="8"/>
      <c r="R700" s="89"/>
      <c r="S700" s="89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</row>
    <row r="701" spans="1:107" ht="12.75" x14ac:dyDescent="0.2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8"/>
      <c r="O701" s="88"/>
      <c r="P701" s="8"/>
      <c r="Q701" s="8"/>
      <c r="R701" s="89"/>
      <c r="S701" s="89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</row>
    <row r="702" spans="1:107" ht="12.75" x14ac:dyDescent="0.2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8"/>
      <c r="O702" s="88"/>
      <c r="P702" s="8"/>
      <c r="Q702" s="8"/>
      <c r="R702" s="89"/>
      <c r="S702" s="89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</row>
    <row r="703" spans="1:107" ht="12.75" x14ac:dyDescent="0.2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8"/>
      <c r="O703" s="88"/>
      <c r="P703" s="8"/>
      <c r="Q703" s="8"/>
      <c r="R703" s="89"/>
      <c r="S703" s="89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</row>
    <row r="704" spans="1:107" ht="12.75" x14ac:dyDescent="0.2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8"/>
      <c r="O704" s="88"/>
      <c r="P704" s="8"/>
      <c r="Q704" s="8"/>
      <c r="R704" s="89"/>
      <c r="S704" s="89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</row>
    <row r="705" spans="1:107" ht="12.75" x14ac:dyDescent="0.2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8"/>
      <c r="O705" s="88"/>
      <c r="P705" s="8"/>
      <c r="Q705" s="8"/>
      <c r="R705" s="89"/>
      <c r="S705" s="89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</row>
    <row r="706" spans="1:107" ht="12.75" x14ac:dyDescent="0.2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8"/>
      <c r="O706" s="88"/>
      <c r="P706" s="8"/>
      <c r="Q706" s="8"/>
      <c r="R706" s="89"/>
      <c r="S706" s="89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</row>
    <row r="707" spans="1:107" ht="12.75" x14ac:dyDescent="0.2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8"/>
      <c r="O707" s="88"/>
      <c r="P707" s="8"/>
      <c r="Q707" s="8"/>
      <c r="R707" s="89"/>
      <c r="S707" s="89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</row>
    <row r="708" spans="1:107" ht="12.75" x14ac:dyDescent="0.2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8"/>
      <c r="O708" s="88"/>
      <c r="P708" s="8"/>
      <c r="Q708" s="8"/>
      <c r="R708" s="89"/>
      <c r="S708" s="89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</row>
    <row r="709" spans="1:107" ht="12.75" x14ac:dyDescent="0.2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8"/>
      <c r="O709" s="88"/>
      <c r="P709" s="8"/>
      <c r="Q709" s="8"/>
      <c r="R709" s="89"/>
      <c r="S709" s="89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</row>
    <row r="710" spans="1:107" ht="12.75" x14ac:dyDescent="0.2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8"/>
      <c r="O710" s="88"/>
      <c r="P710" s="8"/>
      <c r="Q710" s="8"/>
      <c r="R710" s="89"/>
      <c r="S710" s="89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</row>
    <row r="711" spans="1:107" ht="12.75" x14ac:dyDescent="0.2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8"/>
      <c r="O711" s="88"/>
      <c r="P711" s="8"/>
      <c r="Q711" s="8"/>
      <c r="R711" s="89"/>
      <c r="S711" s="89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</row>
    <row r="712" spans="1:107" ht="12.75" x14ac:dyDescent="0.2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8"/>
      <c r="O712" s="88"/>
      <c r="P712" s="8"/>
      <c r="Q712" s="8"/>
      <c r="R712" s="89"/>
      <c r="S712" s="89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</row>
    <row r="713" spans="1:107" ht="12.75" x14ac:dyDescent="0.2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8"/>
      <c r="O713" s="88"/>
      <c r="P713" s="8"/>
      <c r="Q713" s="8"/>
      <c r="R713" s="89"/>
      <c r="S713" s="89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</row>
    <row r="714" spans="1:107" ht="12.75" x14ac:dyDescent="0.2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8"/>
      <c r="O714" s="88"/>
      <c r="P714" s="8"/>
      <c r="Q714" s="8"/>
      <c r="R714" s="89"/>
      <c r="S714" s="89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</row>
    <row r="715" spans="1:107" ht="12.75" x14ac:dyDescent="0.2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8"/>
      <c r="O715" s="88"/>
      <c r="P715" s="8"/>
      <c r="Q715" s="8"/>
      <c r="R715" s="89"/>
      <c r="S715" s="89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</row>
    <row r="716" spans="1:107" ht="12.75" x14ac:dyDescent="0.2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8"/>
      <c r="O716" s="88"/>
      <c r="P716" s="8"/>
      <c r="Q716" s="8"/>
      <c r="R716" s="89"/>
      <c r="S716" s="89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</row>
    <row r="717" spans="1:107" ht="12.75" x14ac:dyDescent="0.2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8"/>
      <c r="O717" s="88"/>
      <c r="P717" s="8"/>
      <c r="Q717" s="8"/>
      <c r="R717" s="89"/>
      <c r="S717" s="89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</row>
    <row r="718" spans="1:107" ht="12.75" x14ac:dyDescent="0.2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8"/>
      <c r="O718" s="88"/>
      <c r="P718" s="8"/>
      <c r="Q718" s="8"/>
      <c r="R718" s="89"/>
      <c r="S718" s="89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</row>
    <row r="719" spans="1:107" ht="12.75" x14ac:dyDescent="0.2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8"/>
      <c r="O719" s="88"/>
      <c r="P719" s="8"/>
      <c r="Q719" s="8"/>
      <c r="R719" s="89"/>
      <c r="S719" s="89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</row>
    <row r="720" spans="1:107" ht="12.75" x14ac:dyDescent="0.2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8"/>
      <c r="O720" s="88"/>
      <c r="P720" s="8"/>
      <c r="Q720" s="8"/>
      <c r="R720" s="89"/>
      <c r="S720" s="89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</row>
    <row r="721" spans="1:107" ht="12.75" x14ac:dyDescent="0.2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8"/>
      <c r="O721" s="88"/>
      <c r="P721" s="8"/>
      <c r="Q721" s="8"/>
      <c r="R721" s="89"/>
      <c r="S721" s="89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</row>
    <row r="722" spans="1:107" ht="12.75" x14ac:dyDescent="0.2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8"/>
      <c r="O722" s="88"/>
      <c r="P722" s="8"/>
      <c r="Q722" s="8"/>
      <c r="R722" s="89"/>
      <c r="S722" s="89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</row>
    <row r="723" spans="1:107" ht="12.75" x14ac:dyDescent="0.2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8"/>
      <c r="O723" s="88"/>
      <c r="P723" s="8"/>
      <c r="Q723" s="8"/>
      <c r="R723" s="89"/>
      <c r="S723" s="89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</row>
    <row r="724" spans="1:107" ht="12.75" x14ac:dyDescent="0.2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8"/>
      <c r="O724" s="88"/>
      <c r="P724" s="8"/>
      <c r="Q724" s="8"/>
      <c r="R724" s="89"/>
      <c r="S724" s="89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</row>
    <row r="725" spans="1:107" ht="12.75" x14ac:dyDescent="0.2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8"/>
      <c r="O725" s="88"/>
      <c r="P725" s="8"/>
      <c r="Q725" s="8"/>
      <c r="R725" s="89"/>
      <c r="S725" s="89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</row>
    <row r="726" spans="1:107" ht="12.75" x14ac:dyDescent="0.2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8"/>
      <c r="O726" s="88"/>
      <c r="P726" s="8"/>
      <c r="Q726" s="8"/>
      <c r="R726" s="89"/>
      <c r="S726" s="89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</row>
    <row r="727" spans="1:107" ht="12.75" x14ac:dyDescent="0.2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8"/>
      <c r="O727" s="88"/>
      <c r="P727" s="8"/>
      <c r="Q727" s="8"/>
      <c r="R727" s="89"/>
      <c r="S727" s="89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</row>
    <row r="728" spans="1:107" ht="12.75" x14ac:dyDescent="0.2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8"/>
      <c r="O728" s="88"/>
      <c r="P728" s="8"/>
      <c r="Q728" s="8"/>
      <c r="R728" s="89"/>
      <c r="S728" s="89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</row>
    <row r="729" spans="1:107" ht="12.75" x14ac:dyDescent="0.2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8"/>
      <c r="O729" s="88"/>
      <c r="P729" s="8"/>
      <c r="Q729" s="8"/>
      <c r="R729" s="89"/>
      <c r="S729" s="89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</row>
    <row r="730" spans="1:107" ht="12.75" x14ac:dyDescent="0.2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8"/>
      <c r="O730" s="88"/>
      <c r="P730" s="8"/>
      <c r="Q730" s="8"/>
      <c r="R730" s="89"/>
      <c r="S730" s="89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</row>
    <row r="731" spans="1:107" ht="12.75" x14ac:dyDescent="0.2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8"/>
      <c r="O731" s="88"/>
      <c r="P731" s="8"/>
      <c r="Q731" s="8"/>
      <c r="R731" s="89"/>
      <c r="S731" s="89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</row>
    <row r="732" spans="1:107" ht="12.75" x14ac:dyDescent="0.2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8"/>
      <c r="O732" s="88"/>
      <c r="P732" s="8"/>
      <c r="Q732" s="8"/>
      <c r="R732" s="89"/>
      <c r="S732" s="89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</row>
    <row r="733" spans="1:107" ht="12.75" x14ac:dyDescent="0.2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8"/>
      <c r="O733" s="88"/>
      <c r="P733" s="8"/>
      <c r="Q733" s="8"/>
      <c r="R733" s="89"/>
      <c r="S733" s="89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</row>
    <row r="734" spans="1:107" ht="12.75" x14ac:dyDescent="0.2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8"/>
      <c r="O734" s="88"/>
      <c r="P734" s="8"/>
      <c r="Q734" s="8"/>
      <c r="R734" s="89"/>
      <c r="S734" s="89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</row>
    <row r="735" spans="1:107" ht="12.75" x14ac:dyDescent="0.2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8"/>
      <c r="O735" s="88"/>
      <c r="P735" s="8"/>
      <c r="Q735" s="8"/>
      <c r="R735" s="89"/>
      <c r="S735" s="89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</row>
    <row r="736" spans="1:107" ht="12.75" x14ac:dyDescent="0.2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8"/>
      <c r="O736" s="88"/>
      <c r="P736" s="8"/>
      <c r="Q736" s="8"/>
      <c r="R736" s="89"/>
      <c r="S736" s="89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</row>
    <row r="737" spans="1:107" ht="12.75" x14ac:dyDescent="0.2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8"/>
      <c r="O737" s="88"/>
      <c r="P737" s="8"/>
      <c r="Q737" s="8"/>
      <c r="R737" s="89"/>
      <c r="S737" s="89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</row>
    <row r="738" spans="1:107" ht="12.75" x14ac:dyDescent="0.2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8"/>
      <c r="O738" s="88"/>
      <c r="P738" s="8"/>
      <c r="Q738" s="8"/>
      <c r="R738" s="89"/>
      <c r="S738" s="89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</row>
    <row r="739" spans="1:107" ht="12.75" x14ac:dyDescent="0.2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8"/>
      <c r="O739" s="88"/>
      <c r="P739" s="8"/>
      <c r="Q739" s="8"/>
      <c r="R739" s="89"/>
      <c r="S739" s="89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</row>
    <row r="740" spans="1:107" ht="12.75" x14ac:dyDescent="0.2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8"/>
      <c r="O740" s="88"/>
      <c r="P740" s="8"/>
      <c r="Q740" s="8"/>
      <c r="R740" s="89"/>
      <c r="S740" s="89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</row>
    <row r="741" spans="1:107" ht="12.75" x14ac:dyDescent="0.2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8"/>
      <c r="O741" s="88"/>
      <c r="P741" s="8"/>
      <c r="Q741" s="8"/>
      <c r="R741" s="89"/>
      <c r="S741" s="89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</row>
    <row r="742" spans="1:107" ht="12.75" x14ac:dyDescent="0.2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8"/>
      <c r="O742" s="88"/>
      <c r="P742" s="8"/>
      <c r="Q742" s="8"/>
      <c r="R742" s="89"/>
      <c r="S742" s="89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</row>
    <row r="743" spans="1:107" ht="12.75" x14ac:dyDescent="0.2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8"/>
      <c r="O743" s="88"/>
      <c r="P743" s="8"/>
      <c r="Q743" s="8"/>
      <c r="R743" s="89"/>
      <c r="S743" s="89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</row>
    <row r="744" spans="1:107" ht="12.75" x14ac:dyDescent="0.2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8"/>
      <c r="O744" s="88"/>
      <c r="P744" s="8"/>
      <c r="Q744" s="8"/>
      <c r="R744" s="89"/>
      <c r="S744" s="89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</row>
    <row r="745" spans="1:107" ht="12.75" x14ac:dyDescent="0.2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8"/>
      <c r="O745" s="88"/>
      <c r="P745" s="8"/>
      <c r="Q745" s="8"/>
      <c r="R745" s="89"/>
      <c r="S745" s="89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</row>
    <row r="746" spans="1:107" ht="12.75" x14ac:dyDescent="0.2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8"/>
      <c r="O746" s="88"/>
      <c r="P746" s="8"/>
      <c r="Q746" s="8"/>
      <c r="R746" s="89"/>
      <c r="S746" s="89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</row>
    <row r="747" spans="1:107" ht="12.75" x14ac:dyDescent="0.2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8"/>
      <c r="O747" s="88"/>
      <c r="P747" s="8"/>
      <c r="Q747" s="8"/>
      <c r="R747" s="89"/>
      <c r="S747" s="89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</row>
    <row r="748" spans="1:107" ht="12.75" x14ac:dyDescent="0.2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8"/>
      <c r="O748" s="88"/>
      <c r="P748" s="8"/>
      <c r="Q748" s="8"/>
      <c r="R748" s="89"/>
      <c r="S748" s="89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</row>
    <row r="749" spans="1:107" ht="12.75" x14ac:dyDescent="0.2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8"/>
      <c r="O749" s="88"/>
      <c r="P749" s="8"/>
      <c r="Q749" s="8"/>
      <c r="R749" s="89"/>
      <c r="S749" s="89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</row>
    <row r="750" spans="1:107" ht="12.75" x14ac:dyDescent="0.2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8"/>
      <c r="O750" s="88"/>
      <c r="P750" s="8"/>
      <c r="Q750" s="8"/>
      <c r="R750" s="89"/>
      <c r="S750" s="89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</row>
    <row r="751" spans="1:107" ht="12.75" x14ac:dyDescent="0.2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8"/>
      <c r="O751" s="88"/>
      <c r="P751" s="8"/>
      <c r="Q751" s="8"/>
      <c r="R751" s="89"/>
      <c r="S751" s="89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</row>
    <row r="752" spans="1:107" ht="12.75" x14ac:dyDescent="0.2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8"/>
      <c r="O752" s="88"/>
      <c r="P752" s="8"/>
      <c r="Q752" s="8"/>
      <c r="R752" s="89"/>
      <c r="S752" s="89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</row>
    <row r="753" spans="1:107" ht="12.75" x14ac:dyDescent="0.2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8"/>
      <c r="O753" s="88"/>
      <c r="P753" s="8"/>
      <c r="Q753" s="8"/>
      <c r="R753" s="89"/>
      <c r="S753" s="89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</row>
    <row r="754" spans="1:107" ht="12.75" x14ac:dyDescent="0.2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8"/>
      <c r="O754" s="88"/>
      <c r="P754" s="8"/>
      <c r="Q754" s="8"/>
      <c r="R754" s="89"/>
      <c r="S754" s="89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</row>
    <row r="755" spans="1:107" ht="12.75" x14ac:dyDescent="0.2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8"/>
      <c r="O755" s="88"/>
      <c r="P755" s="8"/>
      <c r="Q755" s="8"/>
      <c r="R755" s="89"/>
      <c r="S755" s="89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</row>
    <row r="756" spans="1:107" ht="12.75" x14ac:dyDescent="0.2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8"/>
      <c r="O756" s="88"/>
      <c r="P756" s="8"/>
      <c r="Q756" s="8"/>
      <c r="R756" s="89"/>
      <c r="S756" s="89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</row>
    <row r="757" spans="1:107" ht="12.75" x14ac:dyDescent="0.2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8"/>
      <c r="O757" s="88"/>
      <c r="P757" s="8"/>
      <c r="Q757" s="8"/>
      <c r="R757" s="89"/>
      <c r="S757" s="89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</row>
    <row r="758" spans="1:107" ht="12.75" x14ac:dyDescent="0.2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8"/>
      <c r="O758" s="88"/>
      <c r="P758" s="8"/>
      <c r="Q758" s="8"/>
      <c r="R758" s="89"/>
      <c r="S758" s="89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</row>
    <row r="759" spans="1:107" ht="12.75" x14ac:dyDescent="0.2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8"/>
      <c r="O759" s="88"/>
      <c r="P759" s="8"/>
      <c r="Q759" s="8"/>
      <c r="R759" s="89"/>
      <c r="S759" s="89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</row>
    <row r="760" spans="1:107" ht="12.75" x14ac:dyDescent="0.2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8"/>
      <c r="O760" s="88"/>
      <c r="P760" s="8"/>
      <c r="Q760" s="8"/>
      <c r="R760" s="89"/>
      <c r="S760" s="89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</row>
    <row r="761" spans="1:107" ht="12.75" x14ac:dyDescent="0.2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8"/>
      <c r="O761" s="88"/>
      <c r="P761" s="8"/>
      <c r="Q761" s="8"/>
      <c r="R761" s="89"/>
      <c r="S761" s="89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</row>
    <row r="762" spans="1:107" ht="12.75" x14ac:dyDescent="0.2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8"/>
      <c r="O762" s="88"/>
      <c r="P762" s="8"/>
      <c r="Q762" s="8"/>
      <c r="R762" s="89"/>
      <c r="S762" s="89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</row>
    <row r="763" spans="1:107" ht="12.75" x14ac:dyDescent="0.2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8"/>
      <c r="O763" s="88"/>
      <c r="P763" s="8"/>
      <c r="Q763" s="8"/>
      <c r="R763" s="89"/>
      <c r="S763" s="89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</row>
    <row r="764" spans="1:107" ht="12.75" x14ac:dyDescent="0.2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8"/>
      <c r="O764" s="88"/>
      <c r="P764" s="8"/>
      <c r="Q764" s="8"/>
      <c r="R764" s="89"/>
      <c r="S764" s="89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</row>
    <row r="765" spans="1:107" ht="12.75" x14ac:dyDescent="0.2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8"/>
      <c r="O765" s="88"/>
      <c r="P765" s="8"/>
      <c r="Q765" s="8"/>
      <c r="R765" s="89"/>
      <c r="S765" s="89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</row>
    <row r="766" spans="1:107" ht="12.75" x14ac:dyDescent="0.2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8"/>
      <c r="O766" s="88"/>
      <c r="P766" s="8"/>
      <c r="Q766" s="8"/>
      <c r="R766" s="89"/>
      <c r="S766" s="89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</row>
    <row r="767" spans="1:107" ht="12.75" x14ac:dyDescent="0.2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8"/>
      <c r="O767" s="88"/>
      <c r="P767" s="8"/>
      <c r="Q767" s="8"/>
      <c r="R767" s="89"/>
      <c r="S767" s="89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</row>
    <row r="768" spans="1:107" ht="12.75" x14ac:dyDescent="0.2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8"/>
      <c r="O768" s="88"/>
      <c r="P768" s="8"/>
      <c r="Q768" s="8"/>
      <c r="R768" s="89"/>
      <c r="S768" s="89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</row>
    <row r="769" spans="1:107" ht="12.75" x14ac:dyDescent="0.2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8"/>
      <c r="O769" s="88"/>
      <c r="P769" s="8"/>
      <c r="Q769" s="8"/>
      <c r="R769" s="89"/>
      <c r="S769" s="89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</row>
    <row r="770" spans="1:107" ht="12.75" x14ac:dyDescent="0.2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8"/>
      <c r="O770" s="88"/>
      <c r="P770" s="8"/>
      <c r="Q770" s="8"/>
      <c r="R770" s="89"/>
      <c r="S770" s="89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</row>
    <row r="771" spans="1:107" ht="12.75" x14ac:dyDescent="0.2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8"/>
      <c r="O771" s="88"/>
      <c r="P771" s="8"/>
      <c r="Q771" s="8"/>
      <c r="R771" s="89"/>
      <c r="S771" s="89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</row>
    <row r="772" spans="1:107" ht="12.75" x14ac:dyDescent="0.2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8"/>
      <c r="O772" s="88"/>
      <c r="P772" s="8"/>
      <c r="Q772" s="8"/>
      <c r="R772" s="89"/>
      <c r="S772" s="89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</row>
    <row r="773" spans="1:107" ht="12.75" x14ac:dyDescent="0.2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8"/>
      <c r="O773" s="88"/>
      <c r="P773" s="8"/>
      <c r="Q773" s="8"/>
      <c r="R773" s="89"/>
      <c r="S773" s="89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</row>
    <row r="774" spans="1:107" ht="12.75" x14ac:dyDescent="0.2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8"/>
      <c r="O774" s="88"/>
      <c r="P774" s="8"/>
      <c r="Q774" s="8"/>
      <c r="R774" s="89"/>
      <c r="S774" s="89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</row>
    <row r="775" spans="1:107" ht="12.75" x14ac:dyDescent="0.2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8"/>
      <c r="O775" s="88"/>
      <c r="P775" s="8"/>
      <c r="Q775" s="8"/>
      <c r="R775" s="89"/>
      <c r="S775" s="89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</row>
    <row r="776" spans="1:107" ht="12.75" x14ac:dyDescent="0.2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8"/>
      <c r="O776" s="88"/>
      <c r="P776" s="8"/>
      <c r="Q776" s="8"/>
      <c r="R776" s="89"/>
      <c r="S776" s="89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</row>
    <row r="777" spans="1:107" ht="12.75" x14ac:dyDescent="0.2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8"/>
      <c r="O777" s="88"/>
      <c r="P777" s="8"/>
      <c r="Q777" s="8"/>
      <c r="R777" s="89"/>
      <c r="S777" s="89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</row>
    <row r="778" spans="1:107" ht="12.75" x14ac:dyDescent="0.2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8"/>
      <c r="O778" s="88"/>
      <c r="P778" s="8"/>
      <c r="Q778" s="8"/>
      <c r="R778" s="89"/>
      <c r="S778" s="89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</row>
    <row r="779" spans="1:107" ht="12.75" x14ac:dyDescent="0.2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8"/>
      <c r="O779" s="88"/>
      <c r="P779" s="8"/>
      <c r="Q779" s="8"/>
      <c r="R779" s="89"/>
      <c r="S779" s="89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</row>
    <row r="780" spans="1:107" ht="12.75" x14ac:dyDescent="0.2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8"/>
      <c r="O780" s="88"/>
      <c r="P780" s="8"/>
      <c r="Q780" s="8"/>
      <c r="R780" s="89"/>
      <c r="S780" s="89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</row>
    <row r="781" spans="1:107" ht="12.75" x14ac:dyDescent="0.2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8"/>
      <c r="O781" s="88"/>
      <c r="P781" s="8"/>
      <c r="Q781" s="8"/>
      <c r="R781" s="89"/>
      <c r="S781" s="89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</row>
    <row r="782" spans="1:107" ht="12.75" x14ac:dyDescent="0.2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8"/>
      <c r="O782" s="88"/>
      <c r="P782" s="8"/>
      <c r="Q782" s="8"/>
      <c r="R782" s="89"/>
      <c r="S782" s="89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</row>
    <row r="783" spans="1:107" ht="12.75" x14ac:dyDescent="0.2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8"/>
      <c r="O783" s="88"/>
      <c r="P783" s="8"/>
      <c r="Q783" s="8"/>
      <c r="R783" s="89"/>
      <c r="S783" s="89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</row>
    <row r="784" spans="1:107" ht="12.75" x14ac:dyDescent="0.2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8"/>
      <c r="O784" s="88"/>
      <c r="P784" s="8"/>
      <c r="Q784" s="8"/>
      <c r="R784" s="89"/>
      <c r="S784" s="89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</row>
    <row r="785" spans="1:107" ht="12.75" x14ac:dyDescent="0.2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8"/>
      <c r="O785" s="88"/>
      <c r="P785" s="8"/>
      <c r="Q785" s="8"/>
      <c r="R785" s="89"/>
      <c r="S785" s="89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</row>
    <row r="786" spans="1:107" ht="12.75" x14ac:dyDescent="0.2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8"/>
      <c r="O786" s="88"/>
      <c r="P786" s="8"/>
      <c r="Q786" s="8"/>
      <c r="R786" s="89"/>
      <c r="S786" s="89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</row>
    <row r="787" spans="1:107" ht="12.75" x14ac:dyDescent="0.2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8"/>
      <c r="O787" s="88"/>
      <c r="P787" s="8"/>
      <c r="Q787" s="8"/>
      <c r="R787" s="89"/>
      <c r="S787" s="89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</row>
    <row r="788" spans="1:107" ht="12.75" x14ac:dyDescent="0.2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8"/>
      <c r="O788" s="88"/>
      <c r="P788" s="8"/>
      <c r="Q788" s="8"/>
      <c r="R788" s="89"/>
      <c r="S788" s="89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</row>
    <row r="789" spans="1:107" ht="12.75" x14ac:dyDescent="0.2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8"/>
      <c r="O789" s="88"/>
      <c r="P789" s="8"/>
      <c r="Q789" s="8"/>
      <c r="R789" s="89"/>
      <c r="S789" s="89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</row>
    <row r="790" spans="1:107" ht="12.75" x14ac:dyDescent="0.2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8"/>
      <c r="O790" s="88"/>
      <c r="P790" s="8"/>
      <c r="Q790" s="8"/>
      <c r="R790" s="89"/>
      <c r="S790" s="89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</row>
    <row r="791" spans="1:107" ht="12.75" x14ac:dyDescent="0.2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8"/>
      <c r="O791" s="88"/>
      <c r="P791" s="8"/>
      <c r="Q791" s="8"/>
      <c r="R791" s="89"/>
      <c r="S791" s="89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</row>
    <row r="792" spans="1:107" ht="12.75" x14ac:dyDescent="0.2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8"/>
      <c r="O792" s="88"/>
      <c r="P792" s="8"/>
      <c r="Q792" s="8"/>
      <c r="R792" s="89"/>
      <c r="S792" s="89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</row>
    <row r="793" spans="1:107" ht="12.75" x14ac:dyDescent="0.2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8"/>
      <c r="O793" s="88"/>
      <c r="P793" s="8"/>
      <c r="Q793" s="8"/>
      <c r="R793" s="89"/>
      <c r="S793" s="89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</row>
    <row r="794" spans="1:107" ht="12.75" x14ac:dyDescent="0.2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8"/>
      <c r="O794" s="88"/>
      <c r="P794" s="8"/>
      <c r="Q794" s="8"/>
      <c r="R794" s="89"/>
      <c r="S794" s="89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</row>
    <row r="795" spans="1:107" ht="12.75" x14ac:dyDescent="0.2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8"/>
      <c r="O795" s="88"/>
      <c r="P795" s="8"/>
      <c r="Q795" s="8"/>
      <c r="R795" s="89"/>
      <c r="S795" s="89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</row>
    <row r="796" spans="1:107" ht="12.75" x14ac:dyDescent="0.2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8"/>
      <c r="O796" s="88"/>
      <c r="P796" s="8"/>
      <c r="Q796" s="8"/>
      <c r="R796" s="89"/>
      <c r="S796" s="89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</row>
    <row r="797" spans="1:107" ht="12.75" x14ac:dyDescent="0.2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8"/>
      <c r="O797" s="88"/>
      <c r="P797" s="8"/>
      <c r="Q797" s="8"/>
      <c r="R797" s="89"/>
      <c r="S797" s="89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</row>
    <row r="798" spans="1:107" ht="12.75" x14ac:dyDescent="0.2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8"/>
      <c r="O798" s="88"/>
      <c r="P798" s="8"/>
      <c r="Q798" s="8"/>
      <c r="R798" s="89"/>
      <c r="S798" s="89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</row>
    <row r="799" spans="1:107" ht="12.75" x14ac:dyDescent="0.2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8"/>
      <c r="O799" s="88"/>
      <c r="P799" s="8"/>
      <c r="Q799" s="8"/>
      <c r="R799" s="89"/>
      <c r="S799" s="89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</row>
    <row r="800" spans="1:107" ht="12.75" x14ac:dyDescent="0.2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8"/>
      <c r="O800" s="88"/>
      <c r="P800" s="8"/>
      <c r="Q800" s="8"/>
      <c r="R800" s="89"/>
      <c r="S800" s="89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</row>
    <row r="801" spans="1:107" ht="12.75" x14ac:dyDescent="0.2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8"/>
      <c r="O801" s="88"/>
      <c r="P801" s="8"/>
      <c r="Q801" s="8"/>
      <c r="R801" s="89"/>
      <c r="S801" s="89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</row>
    <row r="802" spans="1:107" ht="12.75" x14ac:dyDescent="0.2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8"/>
      <c r="O802" s="88"/>
      <c r="P802" s="8"/>
      <c r="Q802" s="8"/>
      <c r="R802" s="89"/>
      <c r="S802" s="89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</row>
    <row r="803" spans="1:107" ht="12.75" x14ac:dyDescent="0.2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8"/>
      <c r="O803" s="88"/>
      <c r="P803" s="8"/>
      <c r="Q803" s="8"/>
      <c r="R803" s="89"/>
      <c r="S803" s="89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</row>
    <row r="804" spans="1:107" ht="12.75" x14ac:dyDescent="0.2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8"/>
      <c r="O804" s="88"/>
      <c r="P804" s="8"/>
      <c r="Q804" s="8"/>
      <c r="R804" s="89"/>
      <c r="S804" s="89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</row>
    <row r="805" spans="1:107" ht="12.75" x14ac:dyDescent="0.2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8"/>
      <c r="O805" s="88"/>
      <c r="P805" s="8"/>
      <c r="Q805" s="8"/>
      <c r="R805" s="89"/>
      <c r="S805" s="89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</row>
    <row r="806" spans="1:107" ht="12.75" x14ac:dyDescent="0.2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8"/>
      <c r="O806" s="88"/>
      <c r="P806" s="8"/>
      <c r="Q806" s="8"/>
      <c r="R806" s="89"/>
      <c r="S806" s="89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</row>
    <row r="807" spans="1:107" ht="12.75" x14ac:dyDescent="0.2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8"/>
      <c r="O807" s="88"/>
      <c r="P807" s="8"/>
      <c r="Q807" s="8"/>
      <c r="R807" s="89"/>
      <c r="S807" s="89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</row>
    <row r="808" spans="1:107" ht="12.75" x14ac:dyDescent="0.2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8"/>
      <c r="O808" s="88"/>
      <c r="P808" s="8"/>
      <c r="Q808" s="8"/>
      <c r="R808" s="89"/>
      <c r="S808" s="89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</row>
    <row r="809" spans="1:107" ht="12.75" x14ac:dyDescent="0.2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8"/>
      <c r="O809" s="88"/>
      <c r="P809" s="8"/>
      <c r="Q809" s="8"/>
      <c r="R809" s="89"/>
      <c r="S809" s="89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</row>
    <row r="810" spans="1:107" ht="12.75" x14ac:dyDescent="0.2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8"/>
      <c r="O810" s="88"/>
      <c r="P810" s="8"/>
      <c r="Q810" s="8"/>
      <c r="R810" s="89"/>
      <c r="S810" s="89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</row>
    <row r="811" spans="1:107" ht="12.75" x14ac:dyDescent="0.2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8"/>
      <c r="O811" s="88"/>
      <c r="P811" s="8"/>
      <c r="Q811" s="8"/>
      <c r="R811" s="89"/>
      <c r="S811" s="89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</row>
    <row r="812" spans="1:107" ht="12.75" x14ac:dyDescent="0.2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8"/>
      <c r="O812" s="88"/>
      <c r="P812" s="8"/>
      <c r="Q812" s="8"/>
      <c r="R812" s="89"/>
      <c r="S812" s="89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</row>
    <row r="813" spans="1:107" ht="12.75" x14ac:dyDescent="0.2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8"/>
      <c r="O813" s="88"/>
      <c r="P813" s="8"/>
      <c r="Q813" s="8"/>
      <c r="R813" s="89"/>
      <c r="S813" s="89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</row>
    <row r="814" spans="1:107" ht="12.75" x14ac:dyDescent="0.2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8"/>
      <c r="O814" s="88"/>
      <c r="P814" s="8"/>
      <c r="Q814" s="8"/>
      <c r="R814" s="89"/>
      <c r="S814" s="89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</row>
    <row r="815" spans="1:107" ht="12.75" x14ac:dyDescent="0.2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8"/>
      <c r="O815" s="88"/>
      <c r="P815" s="8"/>
      <c r="Q815" s="8"/>
      <c r="R815" s="89"/>
      <c r="S815" s="89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</row>
    <row r="816" spans="1:107" ht="12.75" x14ac:dyDescent="0.2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8"/>
      <c r="O816" s="88"/>
      <c r="P816" s="8"/>
      <c r="Q816" s="8"/>
      <c r="R816" s="89"/>
      <c r="S816" s="89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</row>
    <row r="817" spans="1:107" ht="12.75" x14ac:dyDescent="0.2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8"/>
      <c r="O817" s="88"/>
      <c r="P817" s="8"/>
      <c r="Q817" s="8"/>
      <c r="R817" s="89"/>
      <c r="S817" s="89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</row>
    <row r="818" spans="1:107" ht="12.75" x14ac:dyDescent="0.2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8"/>
      <c r="O818" s="88"/>
      <c r="P818" s="8"/>
      <c r="Q818" s="8"/>
      <c r="R818" s="89"/>
      <c r="S818" s="89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</row>
    <row r="819" spans="1:107" ht="12.75" x14ac:dyDescent="0.2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8"/>
      <c r="O819" s="88"/>
      <c r="P819" s="8"/>
      <c r="Q819" s="8"/>
      <c r="R819" s="89"/>
      <c r="S819" s="89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</row>
    <row r="820" spans="1:107" ht="12.75" x14ac:dyDescent="0.2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8"/>
      <c r="O820" s="88"/>
      <c r="P820" s="8"/>
      <c r="Q820" s="8"/>
      <c r="R820" s="89"/>
      <c r="S820" s="89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</row>
    <row r="821" spans="1:107" ht="12.75" x14ac:dyDescent="0.2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8"/>
      <c r="O821" s="88"/>
      <c r="P821" s="8"/>
      <c r="Q821" s="8"/>
      <c r="R821" s="89"/>
      <c r="S821" s="89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</row>
    <row r="822" spans="1:107" ht="12.75" x14ac:dyDescent="0.2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8"/>
      <c r="O822" s="88"/>
      <c r="P822" s="8"/>
      <c r="Q822" s="8"/>
      <c r="R822" s="89"/>
      <c r="S822" s="89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</row>
    <row r="823" spans="1:107" ht="12.75" x14ac:dyDescent="0.2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8"/>
      <c r="O823" s="88"/>
      <c r="P823" s="8"/>
      <c r="Q823" s="8"/>
      <c r="R823" s="89"/>
      <c r="S823" s="89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</row>
    <row r="824" spans="1:107" ht="12.75" x14ac:dyDescent="0.2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8"/>
      <c r="O824" s="88"/>
      <c r="P824" s="8"/>
      <c r="Q824" s="8"/>
      <c r="R824" s="89"/>
      <c r="S824" s="89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</row>
    <row r="825" spans="1:107" ht="12.75" x14ac:dyDescent="0.2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8"/>
      <c r="O825" s="88"/>
      <c r="P825" s="8"/>
      <c r="Q825" s="8"/>
      <c r="R825" s="89"/>
      <c r="S825" s="89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</row>
    <row r="826" spans="1:107" ht="12.75" x14ac:dyDescent="0.2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8"/>
      <c r="O826" s="88"/>
      <c r="P826" s="8"/>
      <c r="Q826" s="8"/>
      <c r="R826" s="89"/>
      <c r="S826" s="89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</row>
    <row r="827" spans="1:107" ht="12.75" x14ac:dyDescent="0.2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8"/>
      <c r="O827" s="88"/>
      <c r="P827" s="8"/>
      <c r="Q827" s="8"/>
      <c r="R827" s="89"/>
      <c r="S827" s="89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</row>
    <row r="828" spans="1:107" ht="12.75" x14ac:dyDescent="0.2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8"/>
      <c r="O828" s="88"/>
      <c r="P828" s="8"/>
      <c r="Q828" s="8"/>
      <c r="R828" s="89"/>
      <c r="S828" s="89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</row>
    <row r="829" spans="1:107" ht="12.75" x14ac:dyDescent="0.2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8"/>
      <c r="O829" s="88"/>
      <c r="P829" s="8"/>
      <c r="Q829" s="8"/>
      <c r="R829" s="89"/>
      <c r="S829" s="89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</row>
    <row r="830" spans="1:107" ht="12.75" x14ac:dyDescent="0.2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8"/>
      <c r="O830" s="88"/>
      <c r="P830" s="8"/>
      <c r="Q830" s="8"/>
      <c r="R830" s="89"/>
      <c r="S830" s="89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</row>
    <row r="831" spans="1:107" ht="12.75" x14ac:dyDescent="0.2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8"/>
      <c r="O831" s="88"/>
      <c r="P831" s="8"/>
      <c r="Q831" s="8"/>
      <c r="R831" s="89"/>
      <c r="S831" s="89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</row>
    <row r="832" spans="1:107" ht="12.75" x14ac:dyDescent="0.2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8"/>
      <c r="O832" s="88"/>
      <c r="P832" s="8"/>
      <c r="Q832" s="8"/>
      <c r="R832" s="89"/>
      <c r="S832" s="89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</row>
    <row r="833" spans="1:107" ht="12.75" x14ac:dyDescent="0.2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8"/>
      <c r="O833" s="88"/>
      <c r="P833" s="8"/>
      <c r="Q833" s="8"/>
      <c r="R833" s="89"/>
      <c r="S833" s="89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</row>
    <row r="834" spans="1:107" ht="12.75" x14ac:dyDescent="0.2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8"/>
      <c r="O834" s="88"/>
      <c r="P834" s="8"/>
      <c r="Q834" s="8"/>
      <c r="R834" s="89"/>
      <c r="S834" s="89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</row>
    <row r="835" spans="1:107" ht="12.75" x14ac:dyDescent="0.2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8"/>
      <c r="O835" s="88"/>
      <c r="P835" s="8"/>
      <c r="Q835" s="8"/>
      <c r="R835" s="89"/>
      <c r="S835" s="89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</row>
    <row r="836" spans="1:107" ht="12.75" x14ac:dyDescent="0.2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8"/>
      <c r="O836" s="88"/>
      <c r="P836" s="8"/>
      <c r="Q836" s="8"/>
      <c r="R836" s="89"/>
      <c r="S836" s="89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</row>
    <row r="837" spans="1:107" ht="12.75" x14ac:dyDescent="0.2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8"/>
      <c r="O837" s="88"/>
      <c r="P837" s="8"/>
      <c r="Q837" s="8"/>
      <c r="R837" s="89"/>
      <c r="S837" s="89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</row>
    <row r="838" spans="1:107" ht="12.75" x14ac:dyDescent="0.2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8"/>
      <c r="O838" s="88"/>
      <c r="P838" s="8"/>
      <c r="Q838" s="8"/>
      <c r="R838" s="89"/>
      <c r="S838" s="89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</row>
    <row r="839" spans="1:107" ht="12.75" x14ac:dyDescent="0.2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8"/>
      <c r="O839" s="88"/>
      <c r="P839" s="8"/>
      <c r="Q839" s="8"/>
      <c r="R839" s="89"/>
      <c r="S839" s="89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</row>
    <row r="840" spans="1:107" ht="12.75" x14ac:dyDescent="0.2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8"/>
      <c r="O840" s="88"/>
      <c r="P840" s="8"/>
      <c r="Q840" s="8"/>
      <c r="R840" s="89"/>
      <c r="S840" s="89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</row>
    <row r="841" spans="1:107" ht="12.75" x14ac:dyDescent="0.2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8"/>
      <c r="O841" s="88"/>
      <c r="P841" s="8"/>
      <c r="Q841" s="8"/>
      <c r="R841" s="89"/>
      <c r="S841" s="89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</row>
    <row r="842" spans="1:107" ht="12.75" x14ac:dyDescent="0.2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8"/>
      <c r="O842" s="88"/>
      <c r="P842" s="8"/>
      <c r="Q842" s="8"/>
      <c r="R842" s="89"/>
      <c r="S842" s="89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</row>
    <row r="843" spans="1:107" ht="12.75" x14ac:dyDescent="0.2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8"/>
      <c r="O843" s="88"/>
      <c r="P843" s="8"/>
      <c r="Q843" s="8"/>
      <c r="R843" s="89"/>
      <c r="S843" s="89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</row>
    <row r="844" spans="1:107" ht="12.75" x14ac:dyDescent="0.2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8"/>
      <c r="O844" s="88"/>
      <c r="P844" s="8"/>
      <c r="Q844" s="8"/>
      <c r="R844" s="89"/>
      <c r="S844" s="89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</row>
    <row r="845" spans="1:107" ht="12.75" x14ac:dyDescent="0.2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8"/>
      <c r="O845" s="88"/>
      <c r="P845" s="8"/>
      <c r="Q845" s="8"/>
      <c r="R845" s="89"/>
      <c r="S845" s="89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</row>
    <row r="846" spans="1:107" ht="12.75" x14ac:dyDescent="0.2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8"/>
      <c r="O846" s="88"/>
      <c r="P846" s="8"/>
      <c r="Q846" s="8"/>
      <c r="R846" s="89"/>
      <c r="S846" s="89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</row>
    <row r="847" spans="1:107" ht="12.75" x14ac:dyDescent="0.2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8"/>
      <c r="O847" s="88"/>
      <c r="P847" s="8"/>
      <c r="Q847" s="8"/>
      <c r="R847" s="89"/>
      <c r="S847" s="89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</row>
    <row r="848" spans="1:107" ht="12.75" x14ac:dyDescent="0.2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8"/>
      <c r="O848" s="88"/>
      <c r="P848" s="8"/>
      <c r="Q848" s="8"/>
      <c r="R848" s="89"/>
      <c r="S848" s="89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</row>
    <row r="849" spans="1:107" ht="12.75" x14ac:dyDescent="0.2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8"/>
      <c r="O849" s="88"/>
      <c r="P849" s="8"/>
      <c r="Q849" s="8"/>
      <c r="R849" s="89"/>
      <c r="S849" s="89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</row>
    <row r="850" spans="1:107" ht="12.75" x14ac:dyDescent="0.2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8"/>
      <c r="O850" s="88"/>
      <c r="P850" s="8"/>
      <c r="Q850" s="8"/>
      <c r="R850" s="89"/>
      <c r="S850" s="89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</row>
    <row r="851" spans="1:107" ht="12.75" x14ac:dyDescent="0.2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8"/>
      <c r="O851" s="88"/>
      <c r="P851" s="8"/>
      <c r="Q851" s="8"/>
      <c r="R851" s="89"/>
      <c r="S851" s="89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</row>
    <row r="852" spans="1:107" ht="12.75" x14ac:dyDescent="0.2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8"/>
      <c r="O852" s="88"/>
      <c r="P852" s="8"/>
      <c r="Q852" s="8"/>
      <c r="R852" s="89"/>
      <c r="S852" s="89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</row>
    <row r="853" spans="1:107" ht="12.75" x14ac:dyDescent="0.2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8"/>
      <c r="O853" s="88"/>
      <c r="P853" s="8"/>
      <c r="Q853" s="8"/>
      <c r="R853" s="89"/>
      <c r="S853" s="89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</row>
    <row r="854" spans="1:107" ht="12.75" x14ac:dyDescent="0.2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8"/>
      <c r="O854" s="88"/>
      <c r="P854" s="8"/>
      <c r="Q854" s="8"/>
      <c r="R854" s="89"/>
      <c r="S854" s="89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</row>
    <row r="855" spans="1:107" ht="12.75" x14ac:dyDescent="0.2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8"/>
      <c r="O855" s="88"/>
      <c r="P855" s="8"/>
      <c r="Q855" s="8"/>
      <c r="R855" s="89"/>
      <c r="S855" s="89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</row>
    <row r="856" spans="1:107" ht="12.75" x14ac:dyDescent="0.2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8"/>
      <c r="O856" s="88"/>
      <c r="P856" s="8"/>
      <c r="Q856" s="8"/>
      <c r="R856" s="89"/>
      <c r="S856" s="89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</row>
    <row r="857" spans="1:107" ht="12.75" x14ac:dyDescent="0.2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8"/>
      <c r="O857" s="88"/>
      <c r="P857" s="8"/>
      <c r="Q857" s="8"/>
      <c r="R857" s="89"/>
      <c r="S857" s="89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</row>
    <row r="858" spans="1:107" ht="12.75" x14ac:dyDescent="0.2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8"/>
      <c r="O858" s="88"/>
      <c r="P858" s="8"/>
      <c r="Q858" s="8"/>
      <c r="R858" s="89"/>
      <c r="S858" s="89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</row>
    <row r="859" spans="1:107" ht="12.75" x14ac:dyDescent="0.2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8"/>
      <c r="O859" s="88"/>
      <c r="P859" s="8"/>
      <c r="Q859" s="8"/>
      <c r="R859" s="89"/>
      <c r="S859" s="89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</row>
    <row r="860" spans="1:107" ht="12.75" x14ac:dyDescent="0.2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8"/>
      <c r="O860" s="88"/>
      <c r="P860" s="8"/>
      <c r="Q860" s="8"/>
      <c r="R860" s="89"/>
      <c r="S860" s="89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</row>
    <row r="861" spans="1:107" ht="12.75" x14ac:dyDescent="0.2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8"/>
      <c r="O861" s="88"/>
      <c r="P861" s="8"/>
      <c r="Q861" s="8"/>
      <c r="R861" s="89"/>
      <c r="S861" s="89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</row>
    <row r="862" spans="1:107" ht="12.75" x14ac:dyDescent="0.2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8"/>
      <c r="O862" s="88"/>
      <c r="P862" s="8"/>
      <c r="Q862" s="8"/>
      <c r="R862" s="89"/>
      <c r="S862" s="89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</row>
    <row r="863" spans="1:107" ht="12.75" x14ac:dyDescent="0.2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8"/>
      <c r="O863" s="88"/>
      <c r="P863" s="8"/>
      <c r="Q863" s="8"/>
      <c r="R863" s="89"/>
      <c r="S863" s="89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</row>
    <row r="864" spans="1:107" ht="12.75" x14ac:dyDescent="0.2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8"/>
      <c r="O864" s="88"/>
      <c r="P864" s="8"/>
      <c r="Q864" s="8"/>
      <c r="R864" s="89"/>
      <c r="S864" s="89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</row>
    <row r="865" spans="1:107" ht="12.75" x14ac:dyDescent="0.2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8"/>
      <c r="O865" s="88"/>
      <c r="P865" s="8"/>
      <c r="Q865" s="8"/>
      <c r="R865" s="89"/>
      <c r="S865" s="89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</row>
    <row r="866" spans="1:107" ht="12.75" x14ac:dyDescent="0.2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8"/>
      <c r="O866" s="88"/>
      <c r="P866" s="8"/>
      <c r="Q866" s="8"/>
      <c r="R866" s="89"/>
      <c r="S866" s="89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</row>
    <row r="867" spans="1:107" ht="12.75" x14ac:dyDescent="0.2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8"/>
      <c r="O867" s="88"/>
      <c r="P867" s="8"/>
      <c r="Q867" s="8"/>
      <c r="R867" s="89"/>
      <c r="S867" s="89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</row>
    <row r="868" spans="1:107" ht="12.75" x14ac:dyDescent="0.2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8"/>
      <c r="O868" s="88"/>
      <c r="P868" s="8"/>
      <c r="Q868" s="8"/>
      <c r="R868" s="89"/>
      <c r="S868" s="89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</row>
    <row r="869" spans="1:107" ht="12.75" x14ac:dyDescent="0.2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8"/>
      <c r="O869" s="88"/>
      <c r="P869" s="8"/>
      <c r="Q869" s="8"/>
      <c r="R869" s="89"/>
      <c r="S869" s="89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</row>
    <row r="870" spans="1:107" ht="12.75" x14ac:dyDescent="0.2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8"/>
      <c r="O870" s="88"/>
      <c r="P870" s="8"/>
      <c r="Q870" s="8"/>
      <c r="R870" s="89"/>
      <c r="S870" s="89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</row>
    <row r="871" spans="1:107" ht="12.75" x14ac:dyDescent="0.2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8"/>
      <c r="O871" s="88"/>
      <c r="P871" s="8"/>
      <c r="Q871" s="8"/>
      <c r="R871" s="89"/>
      <c r="S871" s="89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</row>
    <row r="872" spans="1:107" ht="12.75" x14ac:dyDescent="0.2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8"/>
      <c r="O872" s="88"/>
      <c r="P872" s="8"/>
      <c r="Q872" s="8"/>
      <c r="R872" s="89"/>
      <c r="S872" s="89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</row>
    <row r="873" spans="1:107" ht="12.75" x14ac:dyDescent="0.2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8"/>
      <c r="O873" s="88"/>
      <c r="P873" s="8"/>
      <c r="Q873" s="8"/>
      <c r="R873" s="89"/>
      <c r="S873" s="89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</row>
    <row r="874" spans="1:107" ht="12.75" x14ac:dyDescent="0.2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8"/>
      <c r="O874" s="88"/>
      <c r="P874" s="8"/>
      <c r="Q874" s="8"/>
      <c r="R874" s="89"/>
      <c r="S874" s="89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</row>
    <row r="875" spans="1:107" ht="12.75" x14ac:dyDescent="0.2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8"/>
      <c r="O875" s="88"/>
      <c r="P875" s="8"/>
      <c r="Q875" s="8"/>
      <c r="R875" s="89"/>
      <c r="S875" s="89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</row>
    <row r="876" spans="1:107" ht="12.75" x14ac:dyDescent="0.2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8"/>
      <c r="O876" s="88"/>
      <c r="P876" s="8"/>
      <c r="Q876" s="8"/>
      <c r="R876" s="89"/>
      <c r="S876" s="89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</row>
    <row r="877" spans="1:107" ht="12.75" x14ac:dyDescent="0.2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8"/>
      <c r="O877" s="88"/>
      <c r="P877" s="8"/>
      <c r="Q877" s="8"/>
      <c r="R877" s="89"/>
      <c r="S877" s="89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</row>
    <row r="878" spans="1:107" ht="12.75" x14ac:dyDescent="0.2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8"/>
      <c r="O878" s="88"/>
      <c r="P878" s="8"/>
      <c r="Q878" s="8"/>
      <c r="R878" s="89"/>
      <c r="S878" s="89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</row>
    <row r="879" spans="1:107" ht="12.75" x14ac:dyDescent="0.2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8"/>
      <c r="O879" s="88"/>
      <c r="P879" s="8"/>
      <c r="Q879" s="8"/>
      <c r="R879" s="89"/>
      <c r="S879" s="89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</row>
    <row r="880" spans="1:107" ht="12.75" x14ac:dyDescent="0.2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8"/>
      <c r="O880" s="88"/>
      <c r="P880" s="8"/>
      <c r="Q880" s="8"/>
      <c r="R880" s="89"/>
      <c r="S880" s="89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</row>
    <row r="881" spans="1:107" ht="12.75" x14ac:dyDescent="0.2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8"/>
      <c r="O881" s="88"/>
      <c r="P881" s="8"/>
      <c r="Q881" s="8"/>
      <c r="R881" s="89"/>
      <c r="S881" s="89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</row>
    <row r="882" spans="1:107" ht="12.75" x14ac:dyDescent="0.2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8"/>
      <c r="O882" s="88"/>
      <c r="P882" s="8"/>
      <c r="Q882" s="8"/>
      <c r="R882" s="89"/>
      <c r="S882" s="89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</row>
    <row r="883" spans="1:107" ht="12.75" x14ac:dyDescent="0.2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8"/>
      <c r="O883" s="88"/>
      <c r="P883" s="8"/>
      <c r="Q883" s="8"/>
      <c r="R883" s="89"/>
      <c r="S883" s="89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</row>
    <row r="884" spans="1:107" ht="12.75" x14ac:dyDescent="0.2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8"/>
      <c r="O884" s="88"/>
      <c r="P884" s="8"/>
      <c r="Q884" s="8"/>
      <c r="R884" s="89"/>
      <c r="S884" s="89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</row>
    <row r="885" spans="1:107" ht="12.75" x14ac:dyDescent="0.2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8"/>
      <c r="O885" s="88"/>
      <c r="P885" s="8"/>
      <c r="Q885" s="8"/>
      <c r="R885" s="89"/>
      <c r="S885" s="89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</row>
    <row r="886" spans="1:107" ht="12.75" x14ac:dyDescent="0.2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8"/>
      <c r="O886" s="88"/>
      <c r="P886" s="8"/>
      <c r="Q886" s="8"/>
      <c r="R886" s="89"/>
      <c r="S886" s="89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</row>
    <row r="887" spans="1:107" ht="12.75" x14ac:dyDescent="0.2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8"/>
      <c r="O887" s="88"/>
      <c r="P887" s="8"/>
      <c r="Q887" s="8"/>
      <c r="R887" s="89"/>
      <c r="S887" s="89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</row>
    <row r="888" spans="1:107" ht="12.75" x14ac:dyDescent="0.2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8"/>
      <c r="O888" s="88"/>
      <c r="P888" s="8"/>
      <c r="Q888" s="8"/>
      <c r="R888" s="89"/>
      <c r="S888" s="89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</row>
    <row r="889" spans="1:107" ht="12.75" x14ac:dyDescent="0.2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8"/>
      <c r="O889" s="88"/>
      <c r="P889" s="8"/>
      <c r="Q889" s="8"/>
      <c r="R889" s="89"/>
      <c r="S889" s="89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</row>
    <row r="890" spans="1:107" ht="12.75" x14ac:dyDescent="0.2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8"/>
      <c r="O890" s="88"/>
      <c r="P890" s="8"/>
      <c r="Q890" s="8"/>
      <c r="R890" s="89"/>
      <c r="S890" s="89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</row>
    <row r="891" spans="1:107" ht="12.75" x14ac:dyDescent="0.2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8"/>
      <c r="O891" s="88"/>
      <c r="P891" s="8"/>
      <c r="Q891" s="8"/>
      <c r="R891" s="89"/>
      <c r="S891" s="89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</row>
    <row r="892" spans="1:107" ht="12.75" x14ac:dyDescent="0.2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8"/>
      <c r="O892" s="88"/>
      <c r="P892" s="8"/>
      <c r="Q892" s="8"/>
      <c r="R892" s="89"/>
      <c r="S892" s="89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</row>
    <row r="893" spans="1:107" ht="12.75" x14ac:dyDescent="0.2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8"/>
      <c r="O893" s="88"/>
      <c r="P893" s="8"/>
      <c r="Q893" s="8"/>
      <c r="R893" s="89"/>
      <c r="S893" s="89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</row>
    <row r="894" spans="1:107" ht="12.75" x14ac:dyDescent="0.2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8"/>
      <c r="O894" s="88"/>
      <c r="P894" s="8"/>
      <c r="Q894" s="8"/>
      <c r="R894" s="89"/>
      <c r="S894" s="89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</row>
    <row r="895" spans="1:107" ht="12.75" x14ac:dyDescent="0.2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8"/>
      <c r="O895" s="88"/>
      <c r="P895" s="8"/>
      <c r="Q895" s="8"/>
      <c r="R895" s="89"/>
      <c r="S895" s="89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</row>
    <row r="896" spans="1:107" ht="12.75" x14ac:dyDescent="0.2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8"/>
      <c r="O896" s="88"/>
      <c r="P896" s="8"/>
      <c r="Q896" s="8"/>
      <c r="R896" s="89"/>
      <c r="S896" s="89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</row>
    <row r="897" spans="1:107" ht="12.75" x14ac:dyDescent="0.2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8"/>
      <c r="O897" s="88"/>
      <c r="P897" s="8"/>
      <c r="Q897" s="8"/>
      <c r="R897" s="89"/>
      <c r="S897" s="89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</row>
    <row r="898" spans="1:107" ht="12.75" x14ac:dyDescent="0.2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8"/>
      <c r="O898" s="88"/>
      <c r="P898" s="8"/>
      <c r="Q898" s="8"/>
      <c r="R898" s="89"/>
      <c r="S898" s="89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</row>
    <row r="899" spans="1:107" ht="12.75" x14ac:dyDescent="0.2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8"/>
      <c r="O899" s="88"/>
      <c r="P899" s="8"/>
      <c r="Q899" s="8"/>
      <c r="R899" s="89"/>
      <c r="S899" s="89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</row>
    <row r="900" spans="1:107" ht="12.75" x14ac:dyDescent="0.2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8"/>
      <c r="O900" s="88"/>
      <c r="P900" s="8"/>
      <c r="Q900" s="8"/>
      <c r="R900" s="89"/>
      <c r="S900" s="89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</row>
    <row r="901" spans="1:107" ht="12.75" x14ac:dyDescent="0.2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8"/>
      <c r="O901" s="88"/>
      <c r="P901" s="8"/>
      <c r="Q901" s="8"/>
      <c r="R901" s="89"/>
      <c r="S901" s="89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</row>
    <row r="902" spans="1:107" ht="12.75" x14ac:dyDescent="0.2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8"/>
      <c r="O902" s="88"/>
      <c r="P902" s="8"/>
      <c r="Q902" s="8"/>
      <c r="R902" s="89"/>
      <c r="S902" s="89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</row>
    <row r="903" spans="1:107" ht="12.75" x14ac:dyDescent="0.2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8"/>
      <c r="O903" s="88"/>
      <c r="P903" s="8"/>
      <c r="Q903" s="8"/>
      <c r="R903" s="89"/>
      <c r="S903" s="89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</row>
    <row r="904" spans="1:107" ht="12.75" x14ac:dyDescent="0.2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8"/>
      <c r="O904" s="88"/>
      <c r="P904" s="8"/>
      <c r="Q904" s="8"/>
      <c r="R904" s="89"/>
      <c r="S904" s="89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</row>
    <row r="905" spans="1:107" ht="12.75" x14ac:dyDescent="0.2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8"/>
      <c r="O905" s="88"/>
      <c r="P905" s="8"/>
      <c r="Q905" s="8"/>
      <c r="R905" s="89"/>
      <c r="S905" s="89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</row>
    <row r="906" spans="1:107" ht="12.75" x14ac:dyDescent="0.2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8"/>
      <c r="O906" s="88"/>
      <c r="P906" s="8"/>
      <c r="Q906" s="8"/>
      <c r="R906" s="89"/>
      <c r="S906" s="89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</row>
    <row r="907" spans="1:107" ht="12.75" x14ac:dyDescent="0.2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8"/>
      <c r="O907" s="88"/>
      <c r="P907" s="8"/>
      <c r="Q907" s="8"/>
      <c r="R907" s="89"/>
      <c r="S907" s="89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</row>
    <row r="908" spans="1:107" ht="12.75" x14ac:dyDescent="0.2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8"/>
      <c r="O908" s="88"/>
      <c r="P908" s="8"/>
      <c r="Q908" s="8"/>
      <c r="R908" s="89"/>
      <c r="S908" s="89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</row>
    <row r="909" spans="1:107" ht="12.75" x14ac:dyDescent="0.2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8"/>
      <c r="O909" s="88"/>
      <c r="P909" s="8"/>
      <c r="Q909" s="8"/>
      <c r="R909" s="89"/>
      <c r="S909" s="89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</row>
    <row r="910" spans="1:107" ht="12.75" x14ac:dyDescent="0.2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8"/>
      <c r="O910" s="88"/>
      <c r="P910" s="8"/>
      <c r="Q910" s="8"/>
      <c r="R910" s="89"/>
      <c r="S910" s="89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</row>
    <row r="911" spans="1:107" ht="12.75" x14ac:dyDescent="0.2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8"/>
      <c r="O911" s="88"/>
      <c r="P911" s="8"/>
      <c r="Q911" s="8"/>
      <c r="R911" s="89"/>
      <c r="S911" s="89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</row>
    <row r="912" spans="1:107" ht="12.75" x14ac:dyDescent="0.2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8"/>
      <c r="O912" s="88"/>
      <c r="P912" s="8"/>
      <c r="Q912" s="8"/>
      <c r="R912" s="89"/>
      <c r="S912" s="89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</row>
    <row r="913" spans="1:107" ht="12.75" x14ac:dyDescent="0.2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8"/>
      <c r="O913" s="88"/>
      <c r="P913" s="8"/>
      <c r="Q913" s="8"/>
      <c r="R913" s="89"/>
      <c r="S913" s="89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</row>
    <row r="914" spans="1:107" ht="12.75" x14ac:dyDescent="0.2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8"/>
      <c r="O914" s="88"/>
      <c r="P914" s="8"/>
      <c r="Q914" s="8"/>
      <c r="R914" s="89"/>
      <c r="S914" s="89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</row>
    <row r="915" spans="1:107" ht="12.75" x14ac:dyDescent="0.2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8"/>
      <c r="O915" s="88"/>
      <c r="P915" s="8"/>
      <c r="Q915" s="8"/>
      <c r="R915" s="89"/>
      <c r="S915" s="89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</row>
    <row r="916" spans="1:107" ht="12.75" x14ac:dyDescent="0.2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8"/>
      <c r="O916" s="88"/>
      <c r="P916" s="8"/>
      <c r="Q916" s="8"/>
      <c r="R916" s="89"/>
      <c r="S916" s="89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</row>
    <row r="917" spans="1:107" ht="12.75" x14ac:dyDescent="0.2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8"/>
      <c r="O917" s="88"/>
      <c r="P917" s="8"/>
      <c r="Q917" s="8"/>
      <c r="R917" s="89"/>
      <c r="S917" s="89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</row>
    <row r="918" spans="1:107" ht="12.75" x14ac:dyDescent="0.2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8"/>
      <c r="O918" s="88"/>
      <c r="P918" s="8"/>
      <c r="Q918" s="8"/>
      <c r="R918" s="89"/>
      <c r="S918" s="89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</row>
    <row r="919" spans="1:107" ht="12.75" x14ac:dyDescent="0.2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8"/>
      <c r="O919" s="88"/>
      <c r="P919" s="8"/>
      <c r="Q919" s="8"/>
      <c r="R919" s="89"/>
      <c r="S919" s="89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</row>
    <row r="920" spans="1:107" ht="12.75" x14ac:dyDescent="0.2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8"/>
      <c r="O920" s="88"/>
      <c r="P920" s="8"/>
      <c r="Q920" s="8"/>
      <c r="R920" s="89"/>
      <c r="S920" s="89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</row>
    <row r="921" spans="1:107" ht="12.75" x14ac:dyDescent="0.2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8"/>
      <c r="O921" s="88"/>
      <c r="P921" s="8"/>
      <c r="Q921" s="8"/>
      <c r="R921" s="89"/>
      <c r="S921" s="89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</row>
    <row r="922" spans="1:107" ht="12.75" x14ac:dyDescent="0.2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8"/>
      <c r="O922" s="88"/>
      <c r="P922" s="8"/>
      <c r="Q922" s="8"/>
      <c r="R922" s="89"/>
      <c r="S922" s="89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</row>
    <row r="923" spans="1:107" ht="12.75" x14ac:dyDescent="0.2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8"/>
      <c r="O923" s="88"/>
      <c r="P923" s="8"/>
      <c r="Q923" s="8"/>
      <c r="R923" s="89"/>
      <c r="S923" s="89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</row>
    <row r="924" spans="1:107" ht="12.75" x14ac:dyDescent="0.2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8"/>
      <c r="O924" s="88"/>
      <c r="P924" s="8"/>
      <c r="Q924" s="8"/>
      <c r="R924" s="89"/>
      <c r="S924" s="89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</row>
    <row r="925" spans="1:107" ht="12.75" x14ac:dyDescent="0.2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8"/>
      <c r="O925" s="88"/>
      <c r="P925" s="8"/>
      <c r="Q925" s="8"/>
      <c r="R925" s="89"/>
      <c r="S925" s="89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</row>
    <row r="926" spans="1:107" ht="12.75" x14ac:dyDescent="0.2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8"/>
      <c r="O926" s="88"/>
      <c r="P926" s="8"/>
      <c r="Q926" s="8"/>
      <c r="R926" s="89"/>
      <c r="S926" s="89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</row>
    <row r="927" spans="1:107" ht="12.75" x14ac:dyDescent="0.2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8"/>
      <c r="O927" s="88"/>
      <c r="P927" s="8"/>
      <c r="Q927" s="8"/>
      <c r="R927" s="89"/>
      <c r="S927" s="89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</row>
    <row r="928" spans="1:107" ht="12.75" x14ac:dyDescent="0.2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8"/>
      <c r="O928" s="88"/>
      <c r="P928" s="8"/>
      <c r="Q928" s="8"/>
      <c r="R928" s="89"/>
      <c r="S928" s="89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</row>
    <row r="929" spans="1:107" ht="12.75" x14ac:dyDescent="0.2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8"/>
      <c r="O929" s="88"/>
      <c r="P929" s="8"/>
      <c r="Q929" s="8"/>
      <c r="R929" s="89"/>
      <c r="S929" s="89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</row>
    <row r="930" spans="1:107" ht="12.75" x14ac:dyDescent="0.2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8"/>
      <c r="O930" s="88"/>
      <c r="P930" s="8"/>
      <c r="Q930" s="8"/>
      <c r="R930" s="89"/>
      <c r="S930" s="89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</row>
    <row r="931" spans="1:107" ht="12.75" x14ac:dyDescent="0.2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8"/>
      <c r="O931" s="88"/>
      <c r="P931" s="8"/>
      <c r="Q931" s="8"/>
      <c r="R931" s="89"/>
      <c r="S931" s="89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</row>
    <row r="932" spans="1:107" ht="12.75" x14ac:dyDescent="0.2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8"/>
      <c r="O932" s="88"/>
      <c r="P932" s="8"/>
      <c r="Q932" s="8"/>
      <c r="R932" s="89"/>
      <c r="S932" s="89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</row>
    <row r="933" spans="1:107" ht="12.75" x14ac:dyDescent="0.2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8"/>
      <c r="O933" s="88"/>
      <c r="P933" s="8"/>
      <c r="Q933" s="8"/>
      <c r="R933" s="89"/>
      <c r="S933" s="89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</row>
    <row r="934" spans="1:107" ht="12.75" x14ac:dyDescent="0.2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8"/>
      <c r="O934" s="88"/>
      <c r="P934" s="8"/>
      <c r="Q934" s="8"/>
      <c r="R934" s="89"/>
      <c r="S934" s="89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</row>
    <row r="935" spans="1:107" ht="12.75" x14ac:dyDescent="0.2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8"/>
      <c r="O935" s="88"/>
      <c r="P935" s="8"/>
      <c r="Q935" s="8"/>
      <c r="R935" s="89"/>
      <c r="S935" s="89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</row>
    <row r="936" spans="1:107" ht="12.75" x14ac:dyDescent="0.2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8"/>
      <c r="O936" s="88"/>
      <c r="P936" s="8"/>
      <c r="Q936" s="8"/>
      <c r="R936" s="89"/>
      <c r="S936" s="89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</row>
    <row r="937" spans="1:107" ht="12.75" x14ac:dyDescent="0.2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8"/>
      <c r="O937" s="88"/>
      <c r="P937" s="8"/>
      <c r="Q937" s="8"/>
      <c r="R937" s="89"/>
      <c r="S937" s="89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</row>
    <row r="938" spans="1:107" ht="12.75" x14ac:dyDescent="0.2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8"/>
      <c r="O938" s="88"/>
      <c r="P938" s="8"/>
      <c r="Q938" s="8"/>
      <c r="R938" s="89"/>
      <c r="S938" s="89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</row>
    <row r="939" spans="1:107" ht="12.75" x14ac:dyDescent="0.2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8"/>
      <c r="O939" s="88"/>
      <c r="P939" s="8"/>
      <c r="Q939" s="8"/>
      <c r="R939" s="89"/>
      <c r="S939" s="89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</row>
    <row r="940" spans="1:107" ht="12.75" x14ac:dyDescent="0.2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8"/>
      <c r="O940" s="88"/>
      <c r="P940" s="8"/>
      <c r="Q940" s="8"/>
      <c r="R940" s="89"/>
      <c r="S940" s="89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</row>
    <row r="941" spans="1:107" ht="12.75" x14ac:dyDescent="0.2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8"/>
      <c r="O941" s="88"/>
      <c r="P941" s="8"/>
      <c r="Q941" s="8"/>
      <c r="R941" s="89"/>
      <c r="S941" s="89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</row>
    <row r="942" spans="1:107" ht="12.75" x14ac:dyDescent="0.2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8"/>
      <c r="O942" s="88"/>
      <c r="P942" s="8"/>
      <c r="Q942" s="8"/>
      <c r="R942" s="89"/>
      <c r="S942" s="89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</row>
    <row r="943" spans="1:107" ht="12.75" x14ac:dyDescent="0.2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8"/>
      <c r="O943" s="88"/>
      <c r="P943" s="8"/>
      <c r="Q943" s="8"/>
      <c r="R943" s="89"/>
      <c r="S943" s="89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</row>
    <row r="944" spans="1:107" ht="12.75" x14ac:dyDescent="0.2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8"/>
      <c r="O944" s="88"/>
      <c r="P944" s="8"/>
      <c r="Q944" s="8"/>
      <c r="R944" s="89"/>
      <c r="S944" s="89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</row>
    <row r="945" spans="1:107" ht="12.75" x14ac:dyDescent="0.2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8"/>
      <c r="O945" s="88"/>
      <c r="P945" s="8"/>
      <c r="Q945" s="8"/>
      <c r="R945" s="89"/>
      <c r="S945" s="89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</row>
    <row r="946" spans="1:107" ht="12.75" x14ac:dyDescent="0.2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8"/>
      <c r="O946" s="88"/>
      <c r="P946" s="8"/>
      <c r="Q946" s="8"/>
      <c r="R946" s="89"/>
      <c r="S946" s="89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</row>
    <row r="947" spans="1:107" ht="12.75" x14ac:dyDescent="0.2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8"/>
      <c r="O947" s="88"/>
      <c r="P947" s="8"/>
      <c r="Q947" s="8"/>
      <c r="R947" s="89"/>
      <c r="S947" s="89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</row>
    <row r="948" spans="1:107" ht="12.75" x14ac:dyDescent="0.2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8"/>
      <c r="O948" s="88"/>
      <c r="P948" s="8"/>
      <c r="Q948" s="8"/>
      <c r="R948" s="89"/>
      <c r="S948" s="89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</row>
    <row r="949" spans="1:107" ht="12.75" x14ac:dyDescent="0.2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8"/>
      <c r="O949" s="88"/>
      <c r="P949" s="8"/>
      <c r="Q949" s="8"/>
      <c r="R949" s="89"/>
      <c r="S949" s="89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</row>
    <row r="950" spans="1:107" ht="12.75" x14ac:dyDescent="0.2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8"/>
      <c r="O950" s="88"/>
      <c r="P950" s="8"/>
      <c r="Q950" s="8"/>
      <c r="R950" s="89"/>
      <c r="S950" s="89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</row>
    <row r="951" spans="1:107" ht="12.75" x14ac:dyDescent="0.2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8"/>
      <c r="O951" s="88"/>
      <c r="P951" s="8"/>
      <c r="Q951" s="8"/>
      <c r="R951" s="89"/>
      <c r="S951" s="89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</row>
    <row r="952" spans="1:107" ht="12.75" x14ac:dyDescent="0.2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8"/>
      <c r="O952" s="88"/>
      <c r="P952" s="8"/>
      <c r="Q952" s="8"/>
      <c r="R952" s="89"/>
      <c r="S952" s="89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</row>
    <row r="953" spans="1:107" ht="12.75" x14ac:dyDescent="0.2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8"/>
      <c r="O953" s="88"/>
      <c r="P953" s="8"/>
      <c r="Q953" s="8"/>
      <c r="R953" s="89"/>
      <c r="S953" s="89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</row>
    <row r="954" spans="1:107" ht="12.75" x14ac:dyDescent="0.2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8"/>
      <c r="O954" s="88"/>
      <c r="P954" s="8"/>
      <c r="Q954" s="8"/>
      <c r="R954" s="89"/>
      <c r="S954" s="89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</row>
    <row r="955" spans="1:107" ht="12.75" x14ac:dyDescent="0.2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8"/>
      <c r="O955" s="88"/>
      <c r="P955" s="8"/>
      <c r="Q955" s="8"/>
      <c r="R955" s="89"/>
      <c r="S955" s="89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</row>
    <row r="956" spans="1:107" ht="12.75" x14ac:dyDescent="0.2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8"/>
      <c r="O956" s="88"/>
      <c r="P956" s="8"/>
      <c r="Q956" s="8"/>
      <c r="R956" s="89"/>
      <c r="S956" s="89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</row>
    <row r="957" spans="1:107" ht="12.75" x14ac:dyDescent="0.2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8"/>
      <c r="O957" s="88"/>
      <c r="P957" s="8"/>
      <c r="Q957" s="8"/>
      <c r="R957" s="89"/>
      <c r="S957" s="89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</row>
    <row r="958" spans="1:107" ht="12.75" x14ac:dyDescent="0.2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8"/>
      <c r="O958" s="88"/>
      <c r="P958" s="8"/>
      <c r="Q958" s="8"/>
      <c r="R958" s="89"/>
      <c r="S958" s="89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</row>
    <row r="959" spans="1:107" ht="12.75" x14ac:dyDescent="0.2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8"/>
      <c r="O959" s="88"/>
      <c r="P959" s="8"/>
      <c r="Q959" s="8"/>
      <c r="R959" s="89"/>
      <c r="S959" s="89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</row>
    <row r="960" spans="1:107" ht="12.75" x14ac:dyDescent="0.2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8"/>
      <c r="O960" s="88"/>
      <c r="P960" s="8"/>
      <c r="Q960" s="8"/>
      <c r="R960" s="89"/>
      <c r="S960" s="89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</row>
    <row r="961" spans="1:107" ht="12.75" x14ac:dyDescent="0.2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8"/>
      <c r="O961" s="88"/>
      <c r="P961" s="8"/>
      <c r="Q961" s="8"/>
      <c r="R961" s="89"/>
      <c r="S961" s="89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</row>
    <row r="962" spans="1:107" ht="12.75" x14ac:dyDescent="0.2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8"/>
      <c r="O962" s="88"/>
      <c r="P962" s="8"/>
      <c r="Q962" s="8"/>
      <c r="R962" s="89"/>
      <c r="S962" s="89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</row>
    <row r="963" spans="1:107" ht="12.75" x14ac:dyDescent="0.2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8"/>
      <c r="O963" s="88"/>
      <c r="P963" s="8"/>
      <c r="Q963" s="8"/>
      <c r="R963" s="89"/>
      <c r="S963" s="89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</row>
    <row r="964" spans="1:107" ht="12.75" x14ac:dyDescent="0.2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8"/>
      <c r="O964" s="88"/>
      <c r="P964" s="8"/>
      <c r="Q964" s="8"/>
      <c r="R964" s="89"/>
      <c r="S964" s="89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</row>
    <row r="965" spans="1:107" ht="12.75" x14ac:dyDescent="0.2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8"/>
      <c r="O965" s="88"/>
      <c r="P965" s="8"/>
      <c r="Q965" s="8"/>
      <c r="R965" s="89"/>
      <c r="S965" s="89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</row>
    <row r="966" spans="1:107" ht="12.75" x14ac:dyDescent="0.2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8"/>
      <c r="O966" s="88"/>
      <c r="P966" s="8"/>
      <c r="Q966" s="8"/>
      <c r="R966" s="89"/>
      <c r="S966" s="89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</row>
    <row r="967" spans="1:107" ht="12.75" x14ac:dyDescent="0.2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8"/>
      <c r="O967" s="88"/>
      <c r="P967" s="8"/>
      <c r="Q967" s="8"/>
      <c r="R967" s="89"/>
      <c r="S967" s="89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</row>
    <row r="968" spans="1:107" ht="12.75" x14ac:dyDescent="0.2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8"/>
      <c r="O968" s="88"/>
      <c r="P968" s="8"/>
      <c r="Q968" s="8"/>
      <c r="R968" s="89"/>
      <c r="S968" s="89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</row>
    <row r="969" spans="1:107" ht="12.75" x14ac:dyDescent="0.2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8"/>
      <c r="O969" s="88"/>
      <c r="P969" s="8"/>
      <c r="Q969" s="8"/>
      <c r="R969" s="89"/>
      <c r="S969" s="89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</row>
    <row r="970" spans="1:107" ht="12.75" x14ac:dyDescent="0.2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8"/>
      <c r="O970" s="88"/>
      <c r="P970" s="8"/>
      <c r="Q970" s="8"/>
      <c r="R970" s="89"/>
      <c r="S970" s="89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</row>
    <row r="971" spans="1:107" ht="12.75" x14ac:dyDescent="0.2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8"/>
      <c r="O971" s="88"/>
      <c r="P971" s="8"/>
      <c r="Q971" s="8"/>
      <c r="R971" s="89"/>
      <c r="S971" s="89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</row>
    <row r="972" spans="1:107" ht="12.75" x14ac:dyDescent="0.2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8"/>
      <c r="O972" s="88"/>
      <c r="P972" s="8"/>
      <c r="Q972" s="8"/>
      <c r="R972" s="89"/>
      <c r="S972" s="89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</row>
    <row r="973" spans="1:107" ht="12.75" x14ac:dyDescent="0.2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8"/>
      <c r="O973" s="88"/>
      <c r="P973" s="8"/>
      <c r="Q973" s="8"/>
      <c r="R973" s="89"/>
      <c r="S973" s="89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</row>
    <row r="974" spans="1:107" ht="12.75" x14ac:dyDescent="0.2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8"/>
      <c r="O974" s="88"/>
      <c r="P974" s="8"/>
      <c r="Q974" s="8"/>
      <c r="R974" s="89"/>
      <c r="S974" s="89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</row>
    <row r="975" spans="1:107" ht="12.75" x14ac:dyDescent="0.2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8"/>
      <c r="O975" s="88"/>
      <c r="P975" s="8"/>
      <c r="Q975" s="8"/>
      <c r="R975" s="89"/>
      <c r="S975" s="89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</row>
    <row r="976" spans="1:107" ht="12.75" x14ac:dyDescent="0.2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8"/>
      <c r="O976" s="88"/>
      <c r="P976" s="8"/>
      <c r="Q976" s="8"/>
      <c r="R976" s="89"/>
      <c r="S976" s="89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</row>
    <row r="977" spans="1:107" ht="12.75" x14ac:dyDescent="0.2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8"/>
      <c r="O977" s="88"/>
      <c r="P977" s="8"/>
      <c r="Q977" s="8"/>
      <c r="R977" s="89"/>
      <c r="S977" s="89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</row>
    <row r="978" spans="1:107" ht="12.75" x14ac:dyDescent="0.2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8"/>
      <c r="O978" s="88"/>
      <c r="P978" s="8"/>
      <c r="Q978" s="8"/>
      <c r="R978" s="89"/>
      <c r="S978" s="89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</row>
    <row r="979" spans="1:107" ht="12.75" x14ac:dyDescent="0.2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8"/>
      <c r="O979" s="88"/>
      <c r="P979" s="8"/>
      <c r="Q979" s="8"/>
      <c r="R979" s="89"/>
      <c r="S979" s="89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</row>
    <row r="980" spans="1:107" ht="12.75" x14ac:dyDescent="0.2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8"/>
      <c r="O980" s="88"/>
      <c r="P980" s="8"/>
      <c r="Q980" s="8"/>
      <c r="R980" s="89"/>
      <c r="S980" s="89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</row>
    <row r="981" spans="1:107" ht="12.75" x14ac:dyDescent="0.2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8"/>
      <c r="O981" s="88"/>
      <c r="P981" s="8"/>
      <c r="Q981" s="8"/>
      <c r="R981" s="89"/>
      <c r="S981" s="89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</row>
    <row r="982" spans="1:107" ht="12.75" x14ac:dyDescent="0.2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8"/>
      <c r="O982" s="88"/>
      <c r="P982" s="8"/>
      <c r="Q982" s="8"/>
      <c r="R982" s="89"/>
      <c r="S982" s="89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</row>
    <row r="983" spans="1:107" ht="12.75" x14ac:dyDescent="0.2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8"/>
      <c r="O983" s="88"/>
      <c r="P983" s="8"/>
      <c r="Q983" s="8"/>
      <c r="R983" s="89"/>
      <c r="S983" s="89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</row>
    <row r="984" spans="1:107" ht="12.75" x14ac:dyDescent="0.2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7"/>
      <c r="N984" s="88"/>
      <c r="O984" s="88"/>
      <c r="P984" s="8"/>
      <c r="Q984" s="8"/>
      <c r="R984" s="89"/>
      <c r="S984" s="89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</row>
    <row r="985" spans="1:107" ht="12.75" x14ac:dyDescent="0.2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7"/>
      <c r="N985" s="88"/>
      <c r="O985" s="88"/>
      <c r="P985" s="8"/>
      <c r="Q985" s="8"/>
      <c r="R985" s="89"/>
      <c r="S985" s="89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</row>
    <row r="986" spans="1:107" ht="12.75" x14ac:dyDescent="0.2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7"/>
      <c r="N986" s="88"/>
      <c r="O986" s="88"/>
      <c r="P986" s="8"/>
      <c r="Q986" s="8"/>
      <c r="R986" s="89"/>
      <c r="S986" s="89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</row>
    <row r="987" spans="1:107" ht="12.75" x14ac:dyDescent="0.2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7"/>
      <c r="N987" s="88"/>
      <c r="O987" s="88"/>
      <c r="P987" s="8"/>
      <c r="Q987" s="8"/>
      <c r="R987" s="89"/>
      <c r="S987" s="89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</row>
    <row r="988" spans="1:107" ht="12.75" x14ac:dyDescent="0.2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7"/>
      <c r="N988" s="88"/>
      <c r="O988" s="88"/>
      <c r="P988" s="8"/>
      <c r="Q988" s="8"/>
      <c r="R988" s="89"/>
      <c r="S988" s="89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</row>
    <row r="989" spans="1:107" ht="12.75" x14ac:dyDescent="0.2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7"/>
      <c r="N989" s="88"/>
      <c r="O989" s="88"/>
      <c r="P989" s="8"/>
      <c r="Q989" s="8"/>
      <c r="R989" s="89"/>
      <c r="S989" s="89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</row>
    <row r="990" spans="1:107" ht="12.75" x14ac:dyDescent="0.2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7"/>
      <c r="N990" s="88"/>
      <c r="O990" s="88"/>
      <c r="P990" s="8"/>
      <c r="Q990" s="8"/>
      <c r="R990" s="89"/>
      <c r="S990" s="89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</row>
    <row r="991" spans="1:107" ht="12.75" x14ac:dyDescent="0.2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7"/>
      <c r="N991" s="88"/>
      <c r="O991" s="88"/>
      <c r="P991" s="8"/>
      <c r="Q991" s="8"/>
      <c r="R991" s="89"/>
      <c r="S991" s="89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</row>
    <row r="992" spans="1:107" ht="12.75" x14ac:dyDescent="0.2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7"/>
      <c r="N992" s="88"/>
      <c r="O992" s="88"/>
      <c r="P992" s="8"/>
      <c r="Q992" s="8"/>
      <c r="R992" s="89"/>
      <c r="S992" s="89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</row>
    <row r="993" spans="1:107" ht="12.75" x14ac:dyDescent="0.2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7"/>
      <c r="N993" s="88"/>
      <c r="O993" s="88"/>
      <c r="P993" s="8"/>
      <c r="Q993" s="8"/>
      <c r="R993" s="89"/>
      <c r="S993" s="89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</row>
    <row r="994" spans="1:107" ht="12.75" x14ac:dyDescent="0.2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7"/>
      <c r="N994" s="88"/>
      <c r="O994" s="88"/>
      <c r="P994" s="8"/>
      <c r="Q994" s="8"/>
      <c r="R994" s="89"/>
      <c r="S994" s="89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</row>
    <row r="995" spans="1:107" ht="12.75" x14ac:dyDescent="0.2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7"/>
      <c r="N995" s="88"/>
      <c r="O995" s="88"/>
      <c r="P995" s="8"/>
      <c r="Q995" s="8"/>
      <c r="R995" s="89"/>
      <c r="S995" s="89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</row>
    <row r="996" spans="1:107" ht="12.75" x14ac:dyDescent="0.2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7"/>
      <c r="N996" s="88"/>
      <c r="O996" s="88"/>
      <c r="P996" s="8"/>
      <c r="Q996" s="8"/>
      <c r="R996" s="89"/>
      <c r="S996" s="89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</row>
    <row r="997" spans="1:107" ht="12.75" x14ac:dyDescent="0.2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7"/>
      <c r="N997" s="88"/>
      <c r="O997" s="88"/>
      <c r="P997" s="8"/>
      <c r="Q997" s="8"/>
      <c r="R997" s="89"/>
      <c r="S997" s="89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</row>
    <row r="998" spans="1:107" ht="12.75" x14ac:dyDescent="0.2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7"/>
      <c r="N998" s="88"/>
      <c r="O998" s="88"/>
      <c r="P998" s="8"/>
      <c r="Q998" s="8"/>
      <c r="R998" s="89"/>
      <c r="S998" s="89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</row>
    <row r="999" spans="1:107" ht="12.75" x14ac:dyDescent="0.2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7"/>
      <c r="N999" s="88"/>
      <c r="O999" s="88"/>
      <c r="P999" s="8"/>
      <c r="Q999" s="8"/>
      <c r="R999" s="89"/>
      <c r="S999" s="89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</row>
    <row r="1000" spans="1:107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</row>
  </sheetData>
  <mergeCells count="94">
    <mergeCell ref="A74:B74"/>
    <mergeCell ref="A89:B89"/>
    <mergeCell ref="A104:B104"/>
    <mergeCell ref="T5:U5"/>
    <mergeCell ref="V5:Y5"/>
    <mergeCell ref="A7:B7"/>
    <mergeCell ref="C5:C6"/>
    <mergeCell ref="D5:D6"/>
    <mergeCell ref="J5:L5"/>
    <mergeCell ref="R5:S5"/>
    <mergeCell ref="A13:B13"/>
    <mergeCell ref="A31:B31"/>
    <mergeCell ref="A52:B52"/>
    <mergeCell ref="A2:B6"/>
    <mergeCell ref="C4:E4"/>
    <mergeCell ref="H4:S4"/>
    <mergeCell ref="T4:Y4"/>
    <mergeCell ref="Z4:AA4"/>
    <mergeCell ref="E5:E6"/>
    <mergeCell ref="C2:DC2"/>
    <mergeCell ref="C3:S3"/>
    <mergeCell ref="T3:AE3"/>
    <mergeCell ref="AF3:AQ3"/>
    <mergeCell ref="AR3:BK3"/>
    <mergeCell ref="BL3:CG3"/>
    <mergeCell ref="CH3:DC3"/>
    <mergeCell ref="AT5:AW5"/>
    <mergeCell ref="AX5:AY5"/>
    <mergeCell ref="AD5:AE5"/>
    <mergeCell ref="AF5:AG5"/>
    <mergeCell ref="AH5:AK5"/>
    <mergeCell ref="AL5:AM5"/>
    <mergeCell ref="AN5:AO5"/>
    <mergeCell ref="AP5:AQ5"/>
    <mergeCell ref="AR5:AS5"/>
    <mergeCell ref="BN5:BQ5"/>
    <mergeCell ref="BR5:BS5"/>
    <mergeCell ref="AZ5:BA5"/>
    <mergeCell ref="BB5:BC5"/>
    <mergeCell ref="BD5:BE5"/>
    <mergeCell ref="BF5:BG5"/>
    <mergeCell ref="BH5:BI5"/>
    <mergeCell ref="BJ5:BK5"/>
    <mergeCell ref="BL5:BM5"/>
    <mergeCell ref="BT5:BU5"/>
    <mergeCell ref="BV5:BW5"/>
    <mergeCell ref="BX5:BY5"/>
    <mergeCell ref="BZ5:CA5"/>
    <mergeCell ref="CB5:CC5"/>
    <mergeCell ref="F4:G4"/>
    <mergeCell ref="H5:I5"/>
    <mergeCell ref="AD4:AE4"/>
    <mergeCell ref="AF4:AK4"/>
    <mergeCell ref="AL4:AM4"/>
    <mergeCell ref="Z5:AA5"/>
    <mergeCell ref="AB5:AC5"/>
    <mergeCell ref="AB4:AC4"/>
    <mergeCell ref="AN4:AO4"/>
    <mergeCell ref="AP4:AQ4"/>
    <mergeCell ref="AR4:AW4"/>
    <mergeCell ref="AX4:AY4"/>
    <mergeCell ref="AZ4:BA4"/>
    <mergeCell ref="BB4:BC4"/>
    <mergeCell ref="BD4:BE4"/>
    <mergeCell ref="BF4:BG4"/>
    <mergeCell ref="BH4:BI4"/>
    <mergeCell ref="BJ4:BK4"/>
    <mergeCell ref="BL4:BQ4"/>
    <mergeCell ref="BR4:BS4"/>
    <mergeCell ref="BT4:BU4"/>
    <mergeCell ref="BV4:BW4"/>
    <mergeCell ref="BX4:BY4"/>
    <mergeCell ref="BZ4:CA4"/>
    <mergeCell ref="CB4:CC4"/>
    <mergeCell ref="CD4:CE4"/>
    <mergeCell ref="CN4:CO4"/>
    <mergeCell ref="CN5:CO5"/>
    <mergeCell ref="CH5:CI5"/>
    <mergeCell ref="CJ5:CM5"/>
    <mergeCell ref="CD5:CE5"/>
    <mergeCell ref="CF5:CG5"/>
    <mergeCell ref="DB5:DC5"/>
    <mergeCell ref="CF4:CG4"/>
    <mergeCell ref="CH4:CM4"/>
    <mergeCell ref="CP4:CQ4"/>
    <mergeCell ref="CR4:CW4"/>
    <mergeCell ref="CX4:CY4"/>
    <mergeCell ref="CZ4:DA4"/>
    <mergeCell ref="DB4:DC4"/>
    <mergeCell ref="CP5:CQ5"/>
    <mergeCell ref="CR5:CS5"/>
    <mergeCell ref="CT5:CW5"/>
    <mergeCell ref="CX5:CY5"/>
    <mergeCell ref="CZ5:DA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5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5" manualBreakCount="5">
    <brk id="19" max="1048575" man="1"/>
    <brk id="31" max="1048575" man="1"/>
    <brk id="43" max="1048575" man="1"/>
    <brk id="63" max="1048575" man="1"/>
    <brk id="85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AL1000"/>
  <sheetViews>
    <sheetView view="pageBreakPreview" zoomScale="60" zoomScaleNormal="70" workbookViewId="0">
      <pane xSplit="2" ySplit="7" topLeftCell="M44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22.5703125" bestFit="1" customWidth="1"/>
    <col min="4" max="4" width="19.7109375" bestFit="1" customWidth="1"/>
    <col min="5" max="5" width="13.42578125" bestFit="1" customWidth="1"/>
    <col min="6" max="6" width="20.140625" bestFit="1" customWidth="1"/>
    <col min="7" max="7" width="13.85546875" bestFit="1" customWidth="1"/>
    <col min="8" max="8" width="16.7109375" bestFit="1" customWidth="1"/>
    <col min="9" max="9" width="13.140625" bestFit="1" customWidth="1"/>
    <col min="10" max="10" width="16.7109375" bestFit="1" customWidth="1"/>
    <col min="11" max="11" width="11.5703125" bestFit="1" customWidth="1"/>
    <col min="12" max="12" width="12" bestFit="1" customWidth="1"/>
    <col min="13" max="13" width="14.7109375" bestFit="1" customWidth="1"/>
    <col min="14" max="14" width="18.85546875" bestFit="1" customWidth="1"/>
    <col min="15" max="15" width="19" bestFit="1" customWidth="1"/>
    <col min="16" max="16" width="16.85546875" bestFit="1" customWidth="1"/>
    <col min="17" max="17" width="8" bestFit="1" customWidth="1"/>
    <col min="18" max="18" width="10.85546875" bestFit="1" customWidth="1"/>
    <col min="19" max="19" width="13.42578125" bestFit="1" customWidth="1"/>
    <col min="20" max="20" width="10.28515625" bestFit="1" customWidth="1"/>
    <col min="21" max="21" width="12.42578125" bestFit="1" customWidth="1"/>
    <col min="22" max="22" width="13.42578125" bestFit="1" customWidth="1"/>
    <col min="23" max="23" width="10.28515625" bestFit="1" customWidth="1"/>
    <col min="24" max="24" width="12.42578125" bestFit="1" customWidth="1"/>
    <col min="25" max="25" width="10.7109375" bestFit="1" customWidth="1"/>
    <col min="26" max="26" width="15" bestFit="1" customWidth="1"/>
    <col min="27" max="27" width="13.42578125" bestFit="1" customWidth="1"/>
    <col min="28" max="28" width="10.7109375" bestFit="1" customWidth="1"/>
    <col min="29" max="29" width="15" bestFit="1" customWidth="1"/>
    <col min="30" max="30" width="12.42578125" bestFit="1" customWidth="1"/>
    <col min="31" max="31" width="13.42578125" bestFit="1" customWidth="1"/>
    <col min="32" max="32" width="10.7109375" bestFit="1" customWidth="1"/>
    <col min="33" max="33" width="15" bestFit="1" customWidth="1"/>
    <col min="34" max="34" width="12.42578125" bestFit="1" customWidth="1"/>
    <col min="35" max="35" width="13.42578125" bestFit="1" customWidth="1"/>
    <col min="36" max="36" width="10.7109375" bestFit="1" customWidth="1"/>
    <col min="37" max="37" width="15" bestFit="1" customWidth="1"/>
    <col min="38" max="38" width="12.42578125" bestFit="1" customWidth="1"/>
  </cols>
  <sheetData>
    <row r="1" spans="1:38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</row>
    <row r="2" spans="1:38" ht="24" customHeight="1" x14ac:dyDescent="0.2">
      <c r="A2" s="198" t="s">
        <v>1</v>
      </c>
      <c r="B2" s="199"/>
      <c r="C2" s="193" t="s">
        <v>205</v>
      </c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3"/>
    </row>
    <row r="3" spans="1:38" ht="30" customHeight="1" x14ac:dyDescent="0.2">
      <c r="A3" s="200"/>
      <c r="B3" s="199"/>
      <c r="C3" s="194" t="s">
        <v>3</v>
      </c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3"/>
      <c r="S3" s="230" t="s">
        <v>206</v>
      </c>
      <c r="T3" s="191"/>
      <c r="U3" s="231"/>
      <c r="V3" s="230" t="s">
        <v>207</v>
      </c>
      <c r="W3" s="191"/>
      <c r="X3" s="231"/>
      <c r="Y3" s="232" t="s">
        <v>208</v>
      </c>
      <c r="Z3" s="233"/>
      <c r="AA3" s="233"/>
      <c r="AB3" s="233"/>
      <c r="AC3" s="233"/>
      <c r="AD3" s="233"/>
      <c r="AE3" s="233"/>
      <c r="AF3" s="233"/>
      <c r="AG3" s="233"/>
      <c r="AH3" s="233"/>
      <c r="AI3" s="233"/>
      <c r="AJ3" s="233"/>
      <c r="AK3" s="233"/>
      <c r="AL3" s="176"/>
    </row>
    <row r="4" spans="1:38" ht="60" customHeight="1" x14ac:dyDescent="0.3">
      <c r="A4" s="200"/>
      <c r="B4" s="199"/>
      <c r="C4" s="184" t="s">
        <v>8</v>
      </c>
      <c r="D4" s="185"/>
      <c r="E4" s="183"/>
      <c r="F4" s="195" t="s">
        <v>9</v>
      </c>
      <c r="G4" s="183"/>
      <c r="H4" s="196" t="s">
        <v>10</v>
      </c>
      <c r="I4" s="185"/>
      <c r="J4" s="185"/>
      <c r="K4" s="185"/>
      <c r="L4" s="185"/>
      <c r="M4" s="185"/>
      <c r="N4" s="185"/>
      <c r="O4" s="185"/>
      <c r="P4" s="185"/>
      <c r="Q4" s="185"/>
      <c r="R4" s="183"/>
      <c r="S4" s="185"/>
      <c r="T4" s="185"/>
      <c r="U4" s="178"/>
      <c r="V4" s="185"/>
      <c r="W4" s="185"/>
      <c r="X4" s="178"/>
      <c r="Y4" s="205" t="s">
        <v>209</v>
      </c>
      <c r="Z4" s="183"/>
      <c r="AA4" s="205" t="s">
        <v>210</v>
      </c>
      <c r="AB4" s="185"/>
      <c r="AC4" s="185"/>
      <c r="AD4" s="183"/>
      <c r="AE4" s="205" t="s">
        <v>211</v>
      </c>
      <c r="AF4" s="185"/>
      <c r="AG4" s="185"/>
      <c r="AH4" s="183"/>
      <c r="AI4" s="205" t="s">
        <v>212</v>
      </c>
      <c r="AJ4" s="185"/>
      <c r="AK4" s="185"/>
      <c r="AL4" s="183"/>
    </row>
    <row r="5" spans="1:38" ht="37.5" customHeight="1" x14ac:dyDescent="0.3">
      <c r="A5" s="200"/>
      <c r="B5" s="199"/>
      <c r="C5" s="242" t="s">
        <v>11</v>
      </c>
      <c r="D5" s="243" t="s">
        <v>12</v>
      </c>
      <c r="E5" s="244" t="s">
        <v>13</v>
      </c>
      <c r="F5" s="92" t="s">
        <v>14</v>
      </c>
      <c r="G5" s="92" t="s">
        <v>15</v>
      </c>
      <c r="H5" s="246" t="s">
        <v>16</v>
      </c>
      <c r="I5" s="245"/>
      <c r="J5" s="247" t="s">
        <v>202</v>
      </c>
      <c r="K5" s="248"/>
      <c r="L5" s="245"/>
      <c r="M5" s="249" t="s">
        <v>18</v>
      </c>
      <c r="N5" s="249" t="s">
        <v>19</v>
      </c>
      <c r="O5" s="249" t="s">
        <v>20</v>
      </c>
      <c r="P5" s="249" t="s">
        <v>21</v>
      </c>
      <c r="Q5" s="250" t="s">
        <v>15</v>
      </c>
      <c r="R5" s="245"/>
      <c r="S5" s="118" t="s">
        <v>22</v>
      </c>
      <c r="T5" s="192" t="s">
        <v>23</v>
      </c>
      <c r="U5" s="183"/>
      <c r="V5" s="118" t="s">
        <v>22</v>
      </c>
      <c r="W5" s="192" t="s">
        <v>23</v>
      </c>
      <c r="X5" s="183"/>
      <c r="Y5" s="192" t="s">
        <v>23</v>
      </c>
      <c r="Z5" s="183"/>
      <c r="AA5" s="119" t="s">
        <v>22</v>
      </c>
      <c r="AB5" s="192" t="s">
        <v>23</v>
      </c>
      <c r="AC5" s="185"/>
      <c r="AD5" s="183"/>
      <c r="AE5" s="119" t="s">
        <v>22</v>
      </c>
      <c r="AF5" s="192" t="s">
        <v>23</v>
      </c>
      <c r="AG5" s="185"/>
      <c r="AH5" s="183"/>
      <c r="AI5" s="119" t="s">
        <v>22</v>
      </c>
      <c r="AJ5" s="192" t="s">
        <v>23</v>
      </c>
      <c r="AK5" s="185"/>
      <c r="AL5" s="183"/>
    </row>
    <row r="6" spans="1:38" ht="40.5" customHeight="1" x14ac:dyDescent="0.3">
      <c r="A6" s="201"/>
      <c r="B6" s="202"/>
      <c r="C6" s="245"/>
      <c r="D6" s="245"/>
      <c r="E6" s="245"/>
      <c r="F6" s="161"/>
      <c r="G6" s="161"/>
      <c r="H6" s="14" t="s">
        <v>24</v>
      </c>
      <c r="I6" s="15" t="s">
        <v>27</v>
      </c>
      <c r="J6" s="93" t="s">
        <v>24</v>
      </c>
      <c r="K6" s="255" t="s">
        <v>25</v>
      </c>
      <c r="L6" s="255" t="s">
        <v>26</v>
      </c>
      <c r="M6" s="17" t="s">
        <v>24</v>
      </c>
      <c r="N6" s="17" t="s">
        <v>24</v>
      </c>
      <c r="O6" s="17" t="s">
        <v>24</v>
      </c>
      <c r="P6" s="17" t="s">
        <v>24</v>
      </c>
      <c r="Q6" s="18" t="s">
        <v>24</v>
      </c>
      <c r="R6" s="19" t="s">
        <v>27</v>
      </c>
      <c r="S6" s="122" t="s">
        <v>213</v>
      </c>
      <c r="T6" s="21" t="s">
        <v>213</v>
      </c>
      <c r="U6" s="22" t="s">
        <v>27</v>
      </c>
      <c r="V6" s="122" t="s">
        <v>213</v>
      </c>
      <c r="W6" s="21" t="s">
        <v>213</v>
      </c>
      <c r="X6" s="22" t="s">
        <v>27</v>
      </c>
      <c r="Y6" s="21" t="s">
        <v>204</v>
      </c>
      <c r="Z6" s="21" t="s">
        <v>143</v>
      </c>
      <c r="AA6" s="119" t="s">
        <v>28</v>
      </c>
      <c r="AB6" s="21" t="s">
        <v>28</v>
      </c>
      <c r="AC6" s="21" t="s">
        <v>143</v>
      </c>
      <c r="AD6" s="22" t="s">
        <v>27</v>
      </c>
      <c r="AE6" s="124" t="s">
        <v>28</v>
      </c>
      <c r="AF6" s="21" t="s">
        <v>28</v>
      </c>
      <c r="AG6" s="21" t="s">
        <v>143</v>
      </c>
      <c r="AH6" s="22" t="s">
        <v>27</v>
      </c>
      <c r="AI6" s="124" t="s">
        <v>28</v>
      </c>
      <c r="AJ6" s="21" t="s">
        <v>28</v>
      </c>
      <c r="AK6" s="21" t="s">
        <v>143</v>
      </c>
      <c r="AL6" s="22" t="s">
        <v>27</v>
      </c>
    </row>
    <row r="7" spans="1:38" ht="24" customHeight="1" x14ac:dyDescent="0.3">
      <c r="A7" s="175" t="s">
        <v>252</v>
      </c>
      <c r="B7" s="176"/>
      <c r="C7" s="23">
        <f t="shared" ref="C7:H7" ca="1" si="0">C8+C9</f>
        <v>32903300</v>
      </c>
      <c r="D7" s="24">
        <f t="shared" ca="1" si="0"/>
        <v>32903300</v>
      </c>
      <c r="E7" s="25">
        <f t="shared" ca="1" si="0"/>
        <v>0</v>
      </c>
      <c r="F7" s="25">
        <f t="shared" ca="1" si="0"/>
        <v>32903300</v>
      </c>
      <c r="G7" s="25">
        <f t="shared" ca="1" si="0"/>
        <v>0</v>
      </c>
      <c r="H7" s="26">
        <f t="shared" ca="1" si="0"/>
        <v>9410038.9999999981</v>
      </c>
      <c r="I7" s="27">
        <f t="shared" ref="I7:I116" ca="1" si="1">IF(D7&gt;0,H7*100/D7,0)</f>
        <v>28.599073649147648</v>
      </c>
      <c r="J7" s="26">
        <f ca="1">J8+J9</f>
        <v>9410038.9999999981</v>
      </c>
      <c r="K7" s="27">
        <f t="shared" ref="K7:K10" ca="1" si="2">IF(D7&gt;0,J7*100/D7,0)</f>
        <v>28.599073649147648</v>
      </c>
      <c r="L7" s="27">
        <f t="shared" ref="L7:L10" ca="1" si="3">IF(F7&gt;0,J7*100/F7,0)</f>
        <v>28.599073649147648</v>
      </c>
      <c r="M7" s="26">
        <f t="shared" ref="M7:Q7" ca="1" si="4">M8+M9</f>
        <v>26080</v>
      </c>
      <c r="N7" s="26">
        <f t="shared" ca="1" si="4"/>
        <v>104490</v>
      </c>
      <c r="O7" s="26">
        <f t="shared" ca="1" si="4"/>
        <v>2813278.93</v>
      </c>
      <c r="P7" s="26">
        <f t="shared" ca="1" si="4"/>
        <v>6466190.0700000003</v>
      </c>
      <c r="Q7" s="28">
        <f t="shared" ca="1" si="4"/>
        <v>0</v>
      </c>
      <c r="R7" s="28">
        <f ca="1">IF(E7&gt;0,Q7*100/E7,0)</f>
        <v>0</v>
      </c>
      <c r="S7" s="128">
        <f t="shared" ref="S7:T7" ca="1" si="5">S8</f>
        <v>36</v>
      </c>
      <c r="T7" s="30">
        <f t="shared" ca="1" si="5"/>
        <v>21</v>
      </c>
      <c r="U7" s="31">
        <f t="shared" ref="U7:U8" ca="1" si="6">IF(S7&gt;0,T7*100/S7,0)</f>
        <v>58.333333333333336</v>
      </c>
      <c r="V7" s="128">
        <f t="shared" ref="V7:W7" ca="1" si="7">V8</f>
        <v>36</v>
      </c>
      <c r="W7" s="30">
        <f t="shared" ca="1" si="7"/>
        <v>13</v>
      </c>
      <c r="X7" s="31">
        <f t="shared" ref="X7:X8" ca="1" si="8">IF(V7&gt;0,W7*100/V7,0)</f>
        <v>36.111111111111114</v>
      </c>
      <c r="Y7" s="30">
        <f t="shared" ref="Y7:AC7" ca="1" si="9">Y8</f>
        <v>6490</v>
      </c>
      <c r="Z7" s="31">
        <f t="shared" ca="1" si="9"/>
        <v>4164.04</v>
      </c>
      <c r="AA7" s="130">
        <f t="shared" ca="1" si="9"/>
        <v>13000</v>
      </c>
      <c r="AB7" s="30">
        <f t="shared" ca="1" si="9"/>
        <v>7148</v>
      </c>
      <c r="AC7" s="31">
        <f t="shared" ca="1" si="9"/>
        <v>4209.8300000000008</v>
      </c>
      <c r="AD7" s="31">
        <f t="shared" ref="AD7:AD8" ca="1" si="10">IF(AA7&gt;0,AB7*100/AA7,0)</f>
        <v>54.984615384615381</v>
      </c>
      <c r="AE7" s="131">
        <f t="shared" ref="AE7:AG7" ca="1" si="11">AE8</f>
        <v>13000</v>
      </c>
      <c r="AF7" s="30">
        <f t="shared" ca="1" si="11"/>
        <v>5996</v>
      </c>
      <c r="AG7" s="31">
        <f t="shared" ca="1" si="11"/>
        <v>3418.7700000000004</v>
      </c>
      <c r="AH7" s="31">
        <f t="shared" ref="AH7:AH8" ca="1" si="12">IF(AE7&gt;0,AF7*100/AE7,0)</f>
        <v>46.123076923076923</v>
      </c>
      <c r="AI7" s="131">
        <f t="shared" ref="AI7:AK7" ca="1" si="13">AI8</f>
        <v>13000</v>
      </c>
      <c r="AJ7" s="30">
        <f t="shared" ca="1" si="13"/>
        <v>3549</v>
      </c>
      <c r="AK7" s="31">
        <f t="shared" ca="1" si="13"/>
        <v>1999.4500000000005</v>
      </c>
      <c r="AL7" s="31">
        <f t="shared" ref="AL7:AL8" ca="1" si="14">IF(AI7&gt;0,AJ7*100/AI7,0)</f>
        <v>27.3</v>
      </c>
    </row>
    <row r="8" spans="1:38" ht="28.5" customHeight="1" x14ac:dyDescent="0.3">
      <c r="A8" s="32" t="s">
        <v>30</v>
      </c>
      <c r="B8" s="33"/>
      <c r="C8" s="34">
        <f t="shared" ref="C8:H8" ca="1" si="15">+C13+C31+C52+C74</f>
        <v>22857440</v>
      </c>
      <c r="D8" s="34">
        <f t="shared" ca="1" si="15"/>
        <v>22857440</v>
      </c>
      <c r="E8" s="34">
        <f t="shared" ca="1" si="15"/>
        <v>0</v>
      </c>
      <c r="F8" s="34">
        <f t="shared" ca="1" si="15"/>
        <v>22857440</v>
      </c>
      <c r="G8" s="34">
        <f t="shared" ca="1" si="15"/>
        <v>0</v>
      </c>
      <c r="H8" s="34">
        <f t="shared" ca="1" si="15"/>
        <v>8867223.5499999989</v>
      </c>
      <c r="I8" s="35">
        <f t="shared" ca="1" si="1"/>
        <v>38.793598714466704</v>
      </c>
      <c r="J8" s="34">
        <f ca="1">+J13+J31+J52+J74</f>
        <v>8867223.5499999989</v>
      </c>
      <c r="K8" s="35">
        <f t="shared" ca="1" si="2"/>
        <v>38.793598714466704</v>
      </c>
      <c r="L8" s="35">
        <f t="shared" ca="1" si="3"/>
        <v>38.793598714466704</v>
      </c>
      <c r="M8" s="34">
        <f t="shared" ref="M8:T8" ca="1" si="16">+M13+M31+M52+M74</f>
        <v>26080</v>
      </c>
      <c r="N8" s="34">
        <f t="shared" ca="1" si="16"/>
        <v>104490</v>
      </c>
      <c r="O8" s="34">
        <f t="shared" ca="1" si="16"/>
        <v>2813278.93</v>
      </c>
      <c r="P8" s="34">
        <f t="shared" ca="1" si="16"/>
        <v>5923374.6200000001</v>
      </c>
      <c r="Q8" s="36">
        <f t="shared" ca="1" si="16"/>
        <v>0</v>
      </c>
      <c r="R8" s="36">
        <f t="shared" ca="1" si="16"/>
        <v>0</v>
      </c>
      <c r="S8" s="34">
        <f t="shared" ca="1" si="16"/>
        <v>36</v>
      </c>
      <c r="T8" s="34">
        <f t="shared" ca="1" si="16"/>
        <v>21</v>
      </c>
      <c r="U8" s="37">
        <f t="shared" ca="1" si="6"/>
        <v>58.333333333333336</v>
      </c>
      <c r="V8" s="34">
        <f t="shared" ref="V8:W8" ca="1" si="17">+V13+V31+V52+V74</f>
        <v>36</v>
      </c>
      <c r="W8" s="34">
        <f t="shared" ca="1" si="17"/>
        <v>13</v>
      </c>
      <c r="X8" s="37">
        <f t="shared" ca="1" si="8"/>
        <v>36.111111111111114</v>
      </c>
      <c r="Y8" s="34">
        <f t="shared" ref="Y8:AC8" ca="1" si="18">+Y13+Y31+Y52+Y74</f>
        <v>6490</v>
      </c>
      <c r="Z8" s="37">
        <f t="shared" ca="1" si="18"/>
        <v>4164.04</v>
      </c>
      <c r="AA8" s="34">
        <f t="shared" ca="1" si="18"/>
        <v>13000</v>
      </c>
      <c r="AB8" s="34">
        <f t="shared" ca="1" si="18"/>
        <v>7148</v>
      </c>
      <c r="AC8" s="37">
        <f t="shared" ca="1" si="18"/>
        <v>4209.8300000000008</v>
      </c>
      <c r="AD8" s="37">
        <f t="shared" ca="1" si="10"/>
        <v>54.984615384615381</v>
      </c>
      <c r="AE8" s="113">
        <f t="shared" ref="AE8:AG8" ca="1" si="19">+AE13+AE31+AE52+AE74</f>
        <v>13000</v>
      </c>
      <c r="AF8" s="34">
        <f t="shared" ca="1" si="19"/>
        <v>5996</v>
      </c>
      <c r="AG8" s="37">
        <f t="shared" ca="1" si="19"/>
        <v>3418.7700000000004</v>
      </c>
      <c r="AH8" s="37">
        <f t="shared" ca="1" si="12"/>
        <v>46.123076923076923</v>
      </c>
      <c r="AI8" s="113">
        <f t="shared" ref="AI8:AK8" ca="1" si="20">+AI13+AI31+AI52+AI74</f>
        <v>13000</v>
      </c>
      <c r="AJ8" s="34">
        <f t="shared" ca="1" si="20"/>
        <v>3549</v>
      </c>
      <c r="AK8" s="37">
        <f t="shared" ca="1" si="20"/>
        <v>1999.4500000000005</v>
      </c>
      <c r="AL8" s="37">
        <f t="shared" ca="1" si="14"/>
        <v>27.3</v>
      </c>
    </row>
    <row r="9" spans="1:38" ht="28.5" customHeight="1" x14ac:dyDescent="0.3">
      <c r="A9" s="38" t="s">
        <v>253</v>
      </c>
      <c r="B9" s="45"/>
      <c r="C9" s="40">
        <f t="shared" ref="C9:F9" ca="1" si="21">+C10+C11</f>
        <v>10045860</v>
      </c>
      <c r="D9" s="40">
        <f t="shared" ca="1" si="21"/>
        <v>10045860</v>
      </c>
      <c r="E9" s="40">
        <f t="shared" si="21"/>
        <v>0</v>
      </c>
      <c r="F9" s="40">
        <f t="shared" ca="1" si="21"/>
        <v>10045860</v>
      </c>
      <c r="G9" s="40">
        <v>0</v>
      </c>
      <c r="H9" s="40">
        <f ca="1">H10+H11</f>
        <v>542815.44999999995</v>
      </c>
      <c r="I9" s="41">
        <f t="shared" ca="1" si="1"/>
        <v>5.403374623974452</v>
      </c>
      <c r="J9" s="40">
        <f ca="1">J10+J11</f>
        <v>542815.44999999995</v>
      </c>
      <c r="K9" s="41">
        <f t="shared" ca="1" si="2"/>
        <v>5.403374623974452</v>
      </c>
      <c r="L9" s="41">
        <f t="shared" ca="1" si="3"/>
        <v>5.403374623974452</v>
      </c>
      <c r="M9" s="40">
        <v>0</v>
      </c>
      <c r="N9" s="40">
        <v>0</v>
      </c>
      <c r="O9" s="40">
        <v>0</v>
      </c>
      <c r="P9" s="40">
        <f ca="1">P10+P11</f>
        <v>542815.44999999995</v>
      </c>
      <c r="Q9" s="42">
        <v>0</v>
      </c>
      <c r="R9" s="42">
        <f t="shared" ref="R9:R11" si="22">IF(E9&gt;0,Q9*100/E9,0)</f>
        <v>0</v>
      </c>
      <c r="S9" s="43"/>
      <c r="T9" s="43"/>
      <c r="U9" s="44"/>
      <c r="V9" s="43"/>
      <c r="W9" s="43"/>
      <c r="X9" s="44"/>
      <c r="Y9" s="43"/>
      <c r="Z9" s="44"/>
      <c r="AA9" s="43"/>
      <c r="AB9" s="43"/>
      <c r="AC9" s="44"/>
      <c r="AD9" s="44"/>
      <c r="AE9" s="144"/>
      <c r="AF9" s="43"/>
      <c r="AG9" s="44"/>
      <c r="AH9" s="44"/>
      <c r="AI9" s="144"/>
      <c r="AJ9" s="43"/>
      <c r="AK9" s="44"/>
      <c r="AL9" s="44"/>
    </row>
    <row r="10" spans="1:38" ht="28.5" hidden="1" customHeight="1" x14ac:dyDescent="0.3">
      <c r="A10" s="38" t="s">
        <v>31</v>
      </c>
      <c r="B10" s="45"/>
      <c r="C10" s="40">
        <f t="shared" ref="C10:C11" ca="1" si="23">D10+E10</f>
        <v>10045860</v>
      </c>
      <c r="D10" s="40">
        <f ca="1">IFERROR(__xludf.DUMMYFUNCTION("IMPORTRANGE(""https://docs.google.com/spreadsheets/d/1QqKyyYR6Q21VydFLVH3TRQUabQu_ym0Zz7PgGX0-kHA/edit?usp=sharing"",""แผน!HM11"")"),10045860)</f>
        <v>10045860</v>
      </c>
      <c r="E10" s="40">
        <v>0</v>
      </c>
      <c r="F10" s="40">
        <f ca="1">IFERROR(__xludf.DUMMYFUNCTION("IMPORTRANGE(""https://docs.google.com/spreadsheets/d/1vlyYR5_sXdhqA0JyobsBDu7xVmIqJT30I2qHLqWgZQ4/edit?usp=sharing"",""ทั้งประเทศ!M633"")"),10045860)</f>
        <v>10045860</v>
      </c>
      <c r="G10" s="40">
        <v>0</v>
      </c>
      <c r="H10" s="40">
        <f t="shared" ref="H10:H116" ca="1" si="24">J10+Q10</f>
        <v>542815.44999999995</v>
      </c>
      <c r="I10" s="41">
        <f t="shared" ca="1" si="1"/>
        <v>5.403374623974452</v>
      </c>
      <c r="J10" s="40">
        <f ca="1">M10+N10+O10+P10</f>
        <v>542815.44999999995</v>
      </c>
      <c r="K10" s="41">
        <f t="shared" ca="1" si="2"/>
        <v>5.403374623974452</v>
      </c>
      <c r="L10" s="41">
        <f t="shared" ca="1" si="3"/>
        <v>5.403374623974452</v>
      </c>
      <c r="M10" s="40">
        <v>0</v>
      </c>
      <c r="N10" s="40">
        <v>0</v>
      </c>
      <c r="O10" s="40">
        <v>0</v>
      </c>
      <c r="P10" s="40">
        <f ca="1">IFERROR(__xludf.DUMMYFUNCTION("IMPORTRANGE(""https://docs.google.com/spreadsheets/d/1WhzDrMlrZfqSjGYJh0xYjRtGVhp5LiCqlO7EaAHfOOk/edit?usp=sharing"",""sheet1!AY6"")"),542815.45)</f>
        <v>542815.44999999995</v>
      </c>
      <c r="Q10" s="42">
        <v>0</v>
      </c>
      <c r="R10" s="42">
        <f t="shared" si="22"/>
        <v>0</v>
      </c>
      <c r="S10" s="43"/>
      <c r="T10" s="43"/>
      <c r="U10" s="44"/>
      <c r="V10" s="43"/>
      <c r="W10" s="43"/>
      <c r="X10" s="44"/>
      <c r="Y10" s="43"/>
      <c r="Z10" s="44"/>
      <c r="AA10" s="43"/>
      <c r="AB10" s="43"/>
      <c r="AC10" s="44"/>
      <c r="AD10" s="44"/>
      <c r="AE10" s="144"/>
      <c r="AF10" s="43"/>
      <c r="AG10" s="44"/>
      <c r="AH10" s="44"/>
      <c r="AI10" s="144"/>
      <c r="AJ10" s="43"/>
      <c r="AK10" s="44"/>
      <c r="AL10" s="44"/>
    </row>
    <row r="11" spans="1:38" ht="28.5" hidden="1" customHeight="1" x14ac:dyDescent="0.3">
      <c r="A11" s="46" t="s">
        <v>32</v>
      </c>
      <c r="B11" s="45"/>
      <c r="C11" s="40">
        <f t="shared" ca="1" si="23"/>
        <v>0</v>
      </c>
      <c r="D11" s="40">
        <f ca="1">IFERROR(__xludf.DUMMYFUNCTION("IMPORTRANGE(""https://docs.google.com/spreadsheets/d/1QqKyyYR6Q21VydFLVH3TRQUabQu_ym0Zz7PgGX0-kHA/edit?usp=sharing"",""แผน!HM10"")"),0)</f>
        <v>0</v>
      </c>
      <c r="E11" s="40">
        <v>0</v>
      </c>
      <c r="F11" s="40">
        <v>0</v>
      </c>
      <c r="G11" s="40">
        <v>0</v>
      </c>
      <c r="H11" s="40">
        <f t="shared" si="24"/>
        <v>0</v>
      </c>
      <c r="I11" s="41">
        <f t="shared" ca="1" si="1"/>
        <v>0</v>
      </c>
      <c r="J11" s="40">
        <v>0</v>
      </c>
      <c r="K11" s="41">
        <v>0</v>
      </c>
      <c r="L11" s="41">
        <v>0</v>
      </c>
      <c r="M11" s="40">
        <v>0</v>
      </c>
      <c r="N11" s="40">
        <v>0</v>
      </c>
      <c r="O11" s="40">
        <v>0</v>
      </c>
      <c r="P11" s="40">
        <v>0</v>
      </c>
      <c r="Q11" s="42">
        <v>0</v>
      </c>
      <c r="R11" s="42">
        <f t="shared" si="22"/>
        <v>0</v>
      </c>
      <c r="S11" s="43"/>
      <c r="T11" s="43"/>
      <c r="U11" s="44"/>
      <c r="V11" s="43"/>
      <c r="W11" s="43"/>
      <c r="X11" s="44"/>
      <c r="Y11" s="43"/>
      <c r="Z11" s="44"/>
      <c r="AA11" s="43"/>
      <c r="AB11" s="43"/>
      <c r="AC11" s="44"/>
      <c r="AD11" s="44"/>
      <c r="AE11" s="144"/>
      <c r="AF11" s="43"/>
      <c r="AG11" s="44"/>
      <c r="AH11" s="44"/>
      <c r="AI11" s="144"/>
      <c r="AJ11" s="43"/>
      <c r="AK11" s="44"/>
      <c r="AL11" s="44"/>
    </row>
    <row r="12" spans="1:38" ht="28.5" hidden="1" customHeight="1" x14ac:dyDescent="0.3">
      <c r="A12" s="47" t="s">
        <v>33</v>
      </c>
      <c r="B12" s="48"/>
      <c r="C12" s="49">
        <v>0</v>
      </c>
      <c r="D12" s="49">
        <v>0</v>
      </c>
      <c r="E12" s="49">
        <v>0</v>
      </c>
      <c r="F12" s="50"/>
      <c r="G12" s="50"/>
      <c r="H12" s="49">
        <f t="shared" si="24"/>
        <v>0</v>
      </c>
      <c r="I12" s="51">
        <f t="shared" si="1"/>
        <v>0</v>
      </c>
      <c r="J12" s="49">
        <v>0</v>
      </c>
      <c r="K12" s="97"/>
      <c r="L12" s="97"/>
      <c r="M12" s="49">
        <v>0</v>
      </c>
      <c r="N12" s="49">
        <v>0</v>
      </c>
      <c r="O12" s="49">
        <v>0</v>
      </c>
      <c r="P12" s="49">
        <v>0</v>
      </c>
      <c r="Q12" s="52">
        <v>0</v>
      </c>
      <c r="R12" s="52"/>
      <c r="S12" s="49">
        <v>0</v>
      </c>
      <c r="T12" s="49">
        <v>0</v>
      </c>
      <c r="U12" s="53">
        <f t="shared" ref="U12:U88" si="25">IF(S12&gt;0,T12*100/S12,0)</f>
        <v>0</v>
      </c>
      <c r="V12" s="49">
        <v>0</v>
      </c>
      <c r="W12" s="49">
        <v>0</v>
      </c>
      <c r="X12" s="53">
        <f t="shared" ref="X12:X88" si="26">IF(V12&gt;0,W12*100/V12,0)</f>
        <v>0</v>
      </c>
      <c r="Y12" s="49">
        <v>0</v>
      </c>
      <c r="Z12" s="53">
        <v>0</v>
      </c>
      <c r="AA12" s="49">
        <v>0</v>
      </c>
      <c r="AB12" s="49">
        <v>0</v>
      </c>
      <c r="AC12" s="53">
        <v>0</v>
      </c>
      <c r="AD12" s="53">
        <f t="shared" ref="AD12:AD88" si="27">IF(AA12&gt;0,AB12*100/AA12,0)</f>
        <v>0</v>
      </c>
      <c r="AE12" s="138">
        <v>0</v>
      </c>
      <c r="AF12" s="49">
        <v>0</v>
      </c>
      <c r="AG12" s="53">
        <v>0</v>
      </c>
      <c r="AH12" s="53">
        <f t="shared" ref="AH12:AH88" si="28">IF(AE12&gt;0,AF12*100/AE12,0)</f>
        <v>0</v>
      </c>
      <c r="AI12" s="138">
        <v>0</v>
      </c>
      <c r="AJ12" s="49">
        <v>0</v>
      </c>
      <c r="AK12" s="53">
        <v>0</v>
      </c>
      <c r="AL12" s="53">
        <f t="shared" ref="AL12:AL88" si="29">IF(AI12&gt;0,AJ12*100/AI12,0)</f>
        <v>0</v>
      </c>
    </row>
    <row r="13" spans="1:38" ht="28.5" customHeight="1" x14ac:dyDescent="0.3">
      <c r="A13" s="177" t="s">
        <v>34</v>
      </c>
      <c r="B13" s="178"/>
      <c r="C13" s="34">
        <f t="shared" ref="C13:G13" ca="1" si="30">SUM(C14:C30)</f>
        <v>5684995</v>
      </c>
      <c r="D13" s="34">
        <f t="shared" ca="1" si="30"/>
        <v>5684995</v>
      </c>
      <c r="E13" s="34">
        <f t="shared" ca="1" si="30"/>
        <v>0</v>
      </c>
      <c r="F13" s="34">
        <f t="shared" ca="1" si="30"/>
        <v>5684995</v>
      </c>
      <c r="G13" s="34">
        <f t="shared" ca="1" si="30"/>
        <v>0</v>
      </c>
      <c r="H13" s="34">
        <f t="shared" ca="1" si="24"/>
        <v>1592242.8599999999</v>
      </c>
      <c r="I13" s="35">
        <f t="shared" ca="1" si="1"/>
        <v>28.007814606697103</v>
      </c>
      <c r="J13" s="34">
        <f ca="1">SUM(J14:J30)</f>
        <v>1592242.8599999999</v>
      </c>
      <c r="K13" s="35">
        <f t="shared" ref="K13:K88" ca="1" si="31">IF(D13&gt;0,J13*100/D13,0)</f>
        <v>28.007814606697103</v>
      </c>
      <c r="L13" s="35">
        <f t="shared" ref="L13:L88" ca="1" si="32">IF(F13&gt;0,J13*100/F13,0)</f>
        <v>28.007814606697103</v>
      </c>
      <c r="M13" s="34">
        <f t="shared" ref="M13:Q13" ca="1" si="33">SUM(M14:M30)</f>
        <v>0</v>
      </c>
      <c r="N13" s="34">
        <f t="shared" ca="1" si="33"/>
        <v>16330</v>
      </c>
      <c r="O13" s="34">
        <f t="shared" ca="1" si="33"/>
        <v>542514.58000000007</v>
      </c>
      <c r="P13" s="34">
        <f t="shared" ca="1" si="33"/>
        <v>1033398.28</v>
      </c>
      <c r="Q13" s="36">
        <f t="shared" ca="1" si="33"/>
        <v>0</v>
      </c>
      <c r="R13" s="36">
        <f t="shared" ref="R13:R116" ca="1" si="34">IF(E13&gt;0,Q13*100/E13,0)</f>
        <v>0</v>
      </c>
      <c r="S13" s="34">
        <f t="shared" ref="S13:T13" ca="1" si="35">SUM(S14:S30)</f>
        <v>14</v>
      </c>
      <c r="T13" s="34">
        <f t="shared" ca="1" si="35"/>
        <v>5</v>
      </c>
      <c r="U13" s="37">
        <f t="shared" ca="1" si="25"/>
        <v>35.714285714285715</v>
      </c>
      <c r="V13" s="34">
        <f t="shared" ref="V13:W13" ca="1" si="36">SUM(V14:V30)</f>
        <v>14</v>
      </c>
      <c r="W13" s="34">
        <f t="shared" ca="1" si="36"/>
        <v>5</v>
      </c>
      <c r="X13" s="37">
        <f t="shared" ca="1" si="26"/>
        <v>35.714285714285715</v>
      </c>
      <c r="Y13" s="34">
        <f t="shared" ref="Y13:AC13" ca="1" si="37">SUM(Y14:Y30)</f>
        <v>1069</v>
      </c>
      <c r="Z13" s="37">
        <f t="shared" ca="1" si="37"/>
        <v>733.82999999999993</v>
      </c>
      <c r="AA13" s="34">
        <f t="shared" ca="1" si="37"/>
        <v>2481</v>
      </c>
      <c r="AB13" s="34">
        <f t="shared" ca="1" si="37"/>
        <v>912</v>
      </c>
      <c r="AC13" s="37">
        <f t="shared" ca="1" si="37"/>
        <v>577.92000000000007</v>
      </c>
      <c r="AD13" s="37">
        <f t="shared" ca="1" si="27"/>
        <v>36.759371221281739</v>
      </c>
      <c r="AE13" s="113">
        <f t="shared" ref="AE13:AG13" ca="1" si="38">SUM(AE14:AE30)</f>
        <v>2481</v>
      </c>
      <c r="AF13" s="34">
        <f t="shared" ca="1" si="38"/>
        <v>708</v>
      </c>
      <c r="AG13" s="37">
        <f t="shared" ca="1" si="38"/>
        <v>425.55</v>
      </c>
      <c r="AH13" s="37">
        <f t="shared" ca="1" si="28"/>
        <v>28.536880290205563</v>
      </c>
      <c r="AI13" s="113">
        <f t="shared" ref="AI13:AK13" ca="1" si="39">SUM(AI14:AI30)</f>
        <v>2481</v>
      </c>
      <c r="AJ13" s="34">
        <f t="shared" ca="1" si="39"/>
        <v>548</v>
      </c>
      <c r="AK13" s="37">
        <f t="shared" ca="1" si="39"/>
        <v>306.41250000000002</v>
      </c>
      <c r="AL13" s="37">
        <f t="shared" ca="1" si="29"/>
        <v>22.087867795243852</v>
      </c>
    </row>
    <row r="14" spans="1:38" ht="24" customHeight="1" x14ac:dyDescent="0.3">
      <c r="A14" s="54">
        <v>1</v>
      </c>
      <c r="B14" s="55" t="s">
        <v>35</v>
      </c>
      <c r="C14" s="56">
        <f t="shared" ref="C14:C30" ca="1" si="40">D14+E14</f>
        <v>509340</v>
      </c>
      <c r="D14" s="57">
        <f ca="1">IFERROR(__xludf.DUMMYFUNCTION("IMPORTRANGE(""https://docs.google.com/spreadsheets/d/1KxicF4apzSqm0-jIpmueT4kyZtE-Cwn5zskl7GD4loQ/edit?usp=sharing"",""กำแพงเพชร!L634"")"),509340)</f>
        <v>509340</v>
      </c>
      <c r="E14" s="57">
        <f ca="1">IFERROR(__xludf.DUMMYFUNCTION("IMPORTRANGE(""https://docs.google.com/spreadsheets/d/1KxicF4apzSqm0-jIpmueT4kyZtE-Cwn5zskl7GD4loQ/edit?usp=sharing"",""กำแพงเพชร!L641"")"),0)</f>
        <v>0</v>
      </c>
      <c r="F14" s="57">
        <f ca="1">IFERROR(__xludf.DUMMYFUNCTION("IMPORTRANGE(""https://docs.google.com/spreadsheets/d/1KxicF4apzSqm0-jIpmueT4kyZtE-Cwn5zskl7GD4loQ/edit?usp=sharing"",""กำแพงเพชร!M634"")"),509340)</f>
        <v>509340</v>
      </c>
      <c r="G14" s="57">
        <f ca="1">IFERROR(__xludf.DUMMYFUNCTION("IMPORTRANGE(""https://docs.google.com/spreadsheets/d/1KxicF4apzSqm0-jIpmueT4kyZtE-Cwn5zskl7GD4loQ/edit?usp=sharing"",""กำแพงเพชร!M641"")"),0)</f>
        <v>0</v>
      </c>
      <c r="H14" s="58">
        <f t="shared" ca="1" si="24"/>
        <v>293560</v>
      </c>
      <c r="I14" s="59">
        <f t="shared" ca="1" si="1"/>
        <v>57.635371264774022</v>
      </c>
      <c r="J14" s="60">
        <f t="shared" ref="J14:J30" ca="1" si="41">M14+N14+O14+P14</f>
        <v>293560</v>
      </c>
      <c r="K14" s="61">
        <f t="shared" ca="1" si="31"/>
        <v>57.635371264774022</v>
      </c>
      <c r="L14" s="61">
        <f t="shared" ca="1" si="32"/>
        <v>57.635371264774022</v>
      </c>
      <c r="M14" s="57">
        <f ca="1">IFERROR(__xludf.DUMMYFUNCTION("IMPORTRANGE(""https://docs.google.com/spreadsheets/d/1KxicF4apzSqm0-jIpmueT4kyZtE-Cwn5zskl7GD4loQ/edit?usp=sharing"",""กำแพงเพชร!N635"")"),0)</f>
        <v>0</v>
      </c>
      <c r="N14" s="57">
        <f ca="1">IFERROR(__xludf.DUMMYFUNCTION("IMPORTRANGE(""https://docs.google.com/spreadsheets/d/1KxicF4apzSqm0-jIpmueT4kyZtE-Cwn5zskl7GD4loQ/edit?usp=sharing"",""กำแพงเพชร!N636"")"),0)</f>
        <v>0</v>
      </c>
      <c r="O14" s="57">
        <f ca="1">IFERROR(__xludf.DUMMYFUNCTION("IMPORTRANGE(""https://docs.google.com/spreadsheets/d/1KxicF4apzSqm0-jIpmueT4kyZtE-Cwn5zskl7GD4loQ/edit?usp=sharing"",""กำแพงเพชร!N637"")"),65000)</f>
        <v>65000</v>
      </c>
      <c r="P14" s="57">
        <f ca="1">IFERROR(__xludf.DUMMYFUNCTION("IMPORTRANGE(""https://docs.google.com/spreadsheets/d/1KxicF4apzSqm0-jIpmueT4kyZtE-Cwn5zskl7GD4loQ/edit?usp=sharing"",""กำแพงเพชร!N638"")"),228560)</f>
        <v>228560</v>
      </c>
      <c r="Q14" s="62">
        <f ca="1">IFERROR(__xludf.DUMMYFUNCTION("IMPORTRANGE(""https://docs.google.com/spreadsheets/d/1KxicF4apzSqm0-jIpmueT4kyZtE-Cwn5zskl7GD4loQ/edit?usp=sharing"",""กำแพงเพชร!N641"")"),0)</f>
        <v>0</v>
      </c>
      <c r="R14" s="62">
        <f t="shared" ca="1" si="34"/>
        <v>0</v>
      </c>
      <c r="S14" s="57">
        <f ca="1">IFERROR(__xludf.DUMMYFUNCTION("IMPORTRANGE(""https://docs.google.com/spreadsheets/d/1KxicF4apzSqm0-jIpmueT4kyZtE-Cwn5zskl7GD4loQ/edit?usp=sharing"",""กำแพงเพชร!I643"")"),0)</f>
        <v>0</v>
      </c>
      <c r="T14" s="57">
        <f ca="1">IFERROR(__xludf.DUMMYFUNCTION("IMPORTRANGE(""https://docs.google.com/spreadsheets/d/1KxicF4apzSqm0-jIpmueT4kyZtE-Cwn5zskl7GD4loQ/edit?usp=sharing"",""กำแพงเพชร!J643"")"),0)</f>
        <v>0</v>
      </c>
      <c r="U14" s="63">
        <f t="shared" ca="1" si="25"/>
        <v>0</v>
      </c>
      <c r="V14" s="57">
        <f ca="1">IFERROR(__xludf.DUMMYFUNCTION("IMPORTRANGE(""https://docs.google.com/spreadsheets/d/1KxicF4apzSqm0-jIpmueT4kyZtE-Cwn5zskl7GD4loQ/edit?usp=sharing"",""กำแพงเพชร!I644"")"),0)</f>
        <v>0</v>
      </c>
      <c r="W14" s="57">
        <f ca="1">IFERROR(__xludf.DUMMYFUNCTION("IMPORTRANGE(""https://docs.google.com/spreadsheets/d/1KxicF4apzSqm0-jIpmueT4kyZtE-Cwn5zskl7GD4loQ/edit?usp=sharing"",""กำแพงเพชร!J644"")"),0)</f>
        <v>0</v>
      </c>
      <c r="X14" s="63">
        <f t="shared" ca="1" si="26"/>
        <v>0</v>
      </c>
      <c r="Y14" s="57">
        <f ca="1">IFERROR(__xludf.DUMMYFUNCTION("IMPORTRANGE(""https://docs.google.com/spreadsheets/d/1KxicF4apzSqm0-jIpmueT4kyZtE-Cwn5zskl7GD4loQ/edit?usp=sharing"",""กำแพงเพชร!J645"")"),55)</f>
        <v>55</v>
      </c>
      <c r="Z14" s="63">
        <f ca="1">IFERROR(__xludf.DUMMYFUNCTION("IMPORTRANGE(""https://docs.google.com/spreadsheets/d/1KxicF4apzSqm0-jIpmueT4kyZtE-Cwn5zskl7GD4loQ/edit?usp=sharing"",""กำแพงเพชร!J646"")"),60.32)</f>
        <v>60.32</v>
      </c>
      <c r="AA14" s="57">
        <f ca="1">IFERROR(__xludf.DUMMYFUNCTION("IMPORTRANGE(""https://docs.google.com/spreadsheets/d/1KxicF4apzSqm0-jIpmueT4kyZtE-Cwn5zskl7GD4loQ/edit?usp=sharing"",""กำแพงเพชร!I647"")"),350)</f>
        <v>350</v>
      </c>
      <c r="AB14" s="57">
        <f ca="1">IFERROR(__xludf.DUMMYFUNCTION("IMPORTRANGE(""https://docs.google.com/spreadsheets/d/1KxicF4apzSqm0-jIpmueT4kyZtE-Cwn5zskl7GD4loQ/edit?usp=sharing"",""กำแพงเพชร!J647"")"),53)</f>
        <v>53</v>
      </c>
      <c r="AC14" s="63">
        <f ca="1">IFERROR(__xludf.DUMMYFUNCTION("IMPORTRANGE(""https://docs.google.com/spreadsheets/d/1KxicF4apzSqm0-jIpmueT4kyZtE-Cwn5zskl7GD4loQ/edit?usp=sharing"",""กำแพงเพชร!J648"")"),60.32)</f>
        <v>60.32</v>
      </c>
      <c r="AD14" s="63">
        <f t="shared" ca="1" si="27"/>
        <v>15.142857142857142</v>
      </c>
      <c r="AE14" s="140">
        <f ca="1">IFERROR(__xludf.DUMMYFUNCTION("IMPORTRANGE(""https://docs.google.com/spreadsheets/d/1KxicF4apzSqm0-jIpmueT4kyZtE-Cwn5zskl7GD4loQ/edit?usp=sharing"",""กำแพงเพชร!I649"")"),350)</f>
        <v>350</v>
      </c>
      <c r="AF14" s="57">
        <f ca="1">IFERROR(__xludf.DUMMYFUNCTION("IMPORTRANGE(""https://docs.google.com/spreadsheets/d/1KxicF4apzSqm0-jIpmueT4kyZtE-Cwn5zskl7GD4loQ/edit?usp=sharing"",""กำแพงเพชร!J649"")"),0)</f>
        <v>0</v>
      </c>
      <c r="AG14" s="63">
        <f ca="1">IFERROR(__xludf.DUMMYFUNCTION("IMPORTRANGE(""https://docs.google.com/spreadsheets/d/1KxicF4apzSqm0-jIpmueT4kyZtE-Cwn5zskl7GD4loQ/edit?usp=sharing"",""กำแพงเพชร!J650"")"),0)</f>
        <v>0</v>
      </c>
      <c r="AH14" s="63">
        <f t="shared" ca="1" si="28"/>
        <v>0</v>
      </c>
      <c r="AI14" s="140">
        <f ca="1">IFERROR(__xludf.DUMMYFUNCTION("IMPORTRANGE(""https://docs.google.com/spreadsheets/d/1KxicF4apzSqm0-jIpmueT4kyZtE-Cwn5zskl7GD4loQ/edit?usp=sharing"",""กำแพงเพชร!I651"")"),350)</f>
        <v>350</v>
      </c>
      <c r="AJ14" s="57">
        <f ca="1">IFERROR(__xludf.DUMMYFUNCTION("IMPORTRANGE(""https://docs.google.com/spreadsheets/d/1KxicF4apzSqm0-jIpmueT4kyZtE-Cwn5zskl7GD4loQ/edit?usp=sharing"",""กำแพงเพชร!J651"")"),0)</f>
        <v>0</v>
      </c>
      <c r="AK14" s="63">
        <f ca="1">IFERROR(__xludf.DUMMYFUNCTION("IMPORTRANGE(""https://docs.google.com/spreadsheets/d/1KxicF4apzSqm0-jIpmueT4kyZtE-Cwn5zskl7GD4loQ/edit?usp=sharing"",""กำแพงเพชร!J652"")"),0)</f>
        <v>0</v>
      </c>
      <c r="AL14" s="63">
        <f t="shared" ca="1" si="29"/>
        <v>0</v>
      </c>
    </row>
    <row r="15" spans="1:38" ht="24" customHeight="1" x14ac:dyDescent="0.3">
      <c r="A15" s="54">
        <v>2</v>
      </c>
      <c r="B15" s="55" t="s">
        <v>36</v>
      </c>
      <c r="C15" s="56">
        <f t="shared" ca="1" si="40"/>
        <v>400230</v>
      </c>
      <c r="D15" s="57">
        <f ca="1">IFERROR(__xludf.DUMMYFUNCTION("IMPORTRANGE(""https://docs.google.com/spreadsheets/d/1ZNYWeiFoFA1K1U4xKWqRX29MBvEyRHXORjo734Gnq_c/edit?usp=sharing"",""เชียงราย!L634"")"),400230)</f>
        <v>400230</v>
      </c>
      <c r="E15" s="64">
        <f ca="1">IFERROR(__xludf.DUMMYFUNCTION("IMPORTRANGE(""https://docs.google.com/spreadsheets/d/1ZNYWeiFoFA1K1U4xKWqRX29MBvEyRHXORjo734Gnq_c/edit?usp=sharing"",""เชียงราย!L641"")"),0)</f>
        <v>0</v>
      </c>
      <c r="F15" s="64">
        <f ca="1">IFERROR(__xludf.DUMMYFUNCTION("IMPORTRANGE(""https://docs.google.com/spreadsheets/d/1ZNYWeiFoFA1K1U4xKWqRX29MBvEyRHXORjo734Gnq_c/edit?usp=sharing"",""เชียงราย!M634"")"),400230)</f>
        <v>400230</v>
      </c>
      <c r="G15" s="64">
        <f ca="1">IFERROR(__xludf.DUMMYFUNCTION("IMPORTRANGE(""https://docs.google.com/spreadsheets/d/1ZNYWeiFoFA1K1U4xKWqRX29MBvEyRHXORjo734Gnq_c/edit?usp=sharing"",""เชียงราย!M641"")"),0)</f>
        <v>0</v>
      </c>
      <c r="H15" s="58">
        <f t="shared" ca="1" si="24"/>
        <v>3420</v>
      </c>
      <c r="I15" s="59">
        <f t="shared" ca="1" si="1"/>
        <v>0.85450865752192484</v>
      </c>
      <c r="J15" s="60">
        <f t="shared" ca="1" si="41"/>
        <v>3420</v>
      </c>
      <c r="K15" s="61">
        <f t="shared" ca="1" si="31"/>
        <v>0.85450865752192484</v>
      </c>
      <c r="L15" s="61">
        <f t="shared" ca="1" si="32"/>
        <v>0.85450865752192484</v>
      </c>
      <c r="M15" s="64">
        <f ca="1">IFERROR(__xludf.DUMMYFUNCTION("IMPORTRANGE(""https://docs.google.com/spreadsheets/d/1ZNYWeiFoFA1K1U4xKWqRX29MBvEyRHXORjo734Gnq_c/edit?usp=sharing"",""เชียงราย!N635"")"),0)</f>
        <v>0</v>
      </c>
      <c r="N15" s="64">
        <f ca="1">IFERROR(__xludf.DUMMYFUNCTION("IMPORTRANGE(""https://docs.google.com/spreadsheets/d/1ZNYWeiFoFA1K1U4xKWqRX29MBvEyRHXORjo734Gnq_c/edit?usp=sharing"",""เชียงราย!N636"")"),0)</f>
        <v>0</v>
      </c>
      <c r="O15" s="64">
        <f ca="1">IFERROR(__xludf.DUMMYFUNCTION("IMPORTRANGE(""https://docs.google.com/spreadsheets/d/1ZNYWeiFoFA1K1U4xKWqRX29MBvEyRHXORjo734Gnq_c/edit?usp=sharing"",""เชียงราย!N637"")"),0)</f>
        <v>0</v>
      </c>
      <c r="P15" s="64">
        <f ca="1">IFERROR(__xludf.DUMMYFUNCTION("IMPORTRANGE(""https://docs.google.com/spreadsheets/d/1ZNYWeiFoFA1K1U4xKWqRX29MBvEyRHXORjo734Gnq_c/edit?usp=sharing"",""เชียงราย!N638"")"),3420)</f>
        <v>3420</v>
      </c>
      <c r="Q15" s="62">
        <f ca="1">IFERROR(__xludf.DUMMYFUNCTION("IMPORTRANGE(""https://docs.google.com/spreadsheets/d/1ZNYWeiFoFA1K1U4xKWqRX29MBvEyRHXORjo734Gnq_c/edit?usp=sharing"",""เชียงราย!N641"")"),0)</f>
        <v>0</v>
      </c>
      <c r="R15" s="62">
        <f t="shared" ca="1" si="34"/>
        <v>0</v>
      </c>
      <c r="S15" s="57">
        <f ca="1">IFERROR(__xludf.DUMMYFUNCTION("IMPORTRANGE(""https://docs.google.com/spreadsheets/d/1ZNYWeiFoFA1K1U4xKWqRX29MBvEyRHXORjo734Gnq_c/edit?usp=sharing"",""เชียงราย!I643"")"),0)</f>
        <v>0</v>
      </c>
      <c r="T15" s="57">
        <f ca="1">IFERROR(__xludf.DUMMYFUNCTION("IMPORTRANGE(""https://docs.google.com/spreadsheets/d/1ZNYWeiFoFA1K1U4xKWqRX29MBvEyRHXORjo734Gnq_c/edit?usp=sharing"",""เชียงราย!J643"")"),0)</f>
        <v>0</v>
      </c>
      <c r="U15" s="63">
        <f t="shared" ca="1" si="25"/>
        <v>0</v>
      </c>
      <c r="V15" s="57">
        <f ca="1">IFERROR(__xludf.DUMMYFUNCTION("IMPORTRANGE(""https://docs.google.com/spreadsheets/d/1ZNYWeiFoFA1K1U4xKWqRX29MBvEyRHXORjo734Gnq_c/edit?usp=sharing"",""เชียงราย!I644"")"),0)</f>
        <v>0</v>
      </c>
      <c r="W15" s="57">
        <f ca="1">IFERROR(__xludf.DUMMYFUNCTION("IMPORTRANGE(""https://docs.google.com/spreadsheets/d/1ZNYWeiFoFA1K1U4xKWqRX29MBvEyRHXORjo734Gnq_c/edit?usp=sharing"",""เชียงราย!J644"")"),0)</f>
        <v>0</v>
      </c>
      <c r="X15" s="63">
        <f t="shared" ca="1" si="26"/>
        <v>0</v>
      </c>
      <c r="Y15" s="57">
        <f ca="1">IFERROR(__xludf.DUMMYFUNCTION("IMPORTRANGE(""https://docs.google.com/spreadsheets/d/1ZNYWeiFoFA1K1U4xKWqRX29MBvEyRHXORjo734Gnq_c/edit?usp=sharing"",""เชียงราย!J645"")"),12)</f>
        <v>12</v>
      </c>
      <c r="Z15" s="63">
        <f ca="1">IFERROR(__xludf.DUMMYFUNCTION("IMPORTRANGE(""https://docs.google.com/spreadsheets/d/1ZNYWeiFoFA1K1U4xKWqRX29MBvEyRHXORjo734Gnq_c/edit?usp=sharing"",""เชียงราย!J646"")"),6.5)</f>
        <v>6.5</v>
      </c>
      <c r="AA15" s="57">
        <f ca="1">IFERROR(__xludf.DUMMYFUNCTION("IMPORTRANGE(""https://docs.google.com/spreadsheets/d/1ZNYWeiFoFA1K1U4xKWqRX29MBvEyRHXORjo734Gnq_c/edit?usp=sharing"",""เชียงราย!I647"")"),140)</f>
        <v>140</v>
      </c>
      <c r="AB15" s="57">
        <f ca="1">IFERROR(__xludf.DUMMYFUNCTION("IMPORTRANGE(""https://docs.google.com/spreadsheets/d/1ZNYWeiFoFA1K1U4xKWqRX29MBvEyRHXORjo734Gnq_c/edit?usp=sharing"",""เชียงราย!J647"")"),48)</f>
        <v>48</v>
      </c>
      <c r="AC15" s="63">
        <f ca="1">IFERROR(__xludf.DUMMYFUNCTION("IMPORTRANGE(""https://docs.google.com/spreadsheets/d/1ZNYWeiFoFA1K1U4xKWqRX29MBvEyRHXORjo734Gnq_c/edit?usp=sharing"",""เชียงราย!J648"")"),27.64)</f>
        <v>27.64</v>
      </c>
      <c r="AD15" s="63">
        <f t="shared" ca="1" si="27"/>
        <v>34.285714285714285</v>
      </c>
      <c r="AE15" s="140">
        <f ca="1">IFERROR(__xludf.DUMMYFUNCTION("IMPORTRANGE(""https://docs.google.com/spreadsheets/d/1ZNYWeiFoFA1K1U4xKWqRX29MBvEyRHXORjo734Gnq_c/edit?usp=sharing"",""เชียงราย!I649"")"),140)</f>
        <v>140</v>
      </c>
      <c r="AF15" s="57">
        <f ca="1">IFERROR(__xludf.DUMMYFUNCTION("IMPORTRANGE(""https://docs.google.com/spreadsheets/d/1ZNYWeiFoFA1K1U4xKWqRX29MBvEyRHXORjo734Gnq_c/edit?usp=sharing"",""เชียงราย!J649"")"),51)</f>
        <v>51</v>
      </c>
      <c r="AG15" s="63">
        <f ca="1">IFERROR(__xludf.DUMMYFUNCTION("IMPORTRANGE(""https://docs.google.com/spreadsheets/d/1ZNYWeiFoFA1K1U4xKWqRX29MBvEyRHXORjo734Gnq_c/edit?usp=sharing"",""เชียงราย!J650"")"),29.41)</f>
        <v>29.41</v>
      </c>
      <c r="AH15" s="63">
        <f t="shared" ca="1" si="28"/>
        <v>36.428571428571431</v>
      </c>
      <c r="AI15" s="140">
        <f ca="1">IFERROR(__xludf.DUMMYFUNCTION("IMPORTRANGE(""https://docs.google.com/spreadsheets/d/1ZNYWeiFoFA1K1U4xKWqRX29MBvEyRHXORjo734Gnq_c/edit?usp=sharing"",""เชียงราย!I651"")"),140)</f>
        <v>140</v>
      </c>
      <c r="AJ15" s="57">
        <f ca="1">IFERROR(__xludf.DUMMYFUNCTION("IMPORTRANGE(""https://docs.google.com/spreadsheets/d/1ZNYWeiFoFA1K1U4xKWqRX29MBvEyRHXORjo734Gnq_c/edit?usp=sharing"",""เชียงราย!J651"")"),35)</f>
        <v>35</v>
      </c>
      <c r="AK15" s="63">
        <f ca="1">IFERROR(__xludf.DUMMYFUNCTION("IMPORTRANGE(""https://docs.google.com/spreadsheets/d/1ZNYWeiFoFA1K1U4xKWqRX29MBvEyRHXORjo734Gnq_c/edit?usp=sharing"",""เชียงราย!J652"")"),21.5075)</f>
        <v>21.5075</v>
      </c>
      <c r="AL15" s="63">
        <f t="shared" ca="1" si="29"/>
        <v>25</v>
      </c>
    </row>
    <row r="16" spans="1:38" ht="24" customHeight="1" x14ac:dyDescent="0.3">
      <c r="A16" s="54">
        <v>3</v>
      </c>
      <c r="B16" s="55" t="s">
        <v>37</v>
      </c>
      <c r="C16" s="56">
        <f t="shared" ca="1" si="40"/>
        <v>233605</v>
      </c>
      <c r="D16" s="57">
        <f ca="1">IFERROR(__xludf.DUMMYFUNCTION("IMPORTRANGE(""https://docs.google.com/spreadsheets/d/1Jgv0Y7YlHDtsiDawwp-uvifEJ8HVaSn0k2aGHG8-hwM/edit?usp=sharing"",""เชียงใหม่!L634"")"),233605)</f>
        <v>233605</v>
      </c>
      <c r="E16" s="64">
        <f ca="1">IFERROR(__xludf.DUMMYFUNCTION("IMPORTRANGE(""https://docs.google.com/spreadsheets/d/1Jgv0Y7YlHDtsiDawwp-uvifEJ8HVaSn0k2aGHG8-hwM/edit?usp=sharing"",""เชียงใหม่!L641"")"),0)</f>
        <v>0</v>
      </c>
      <c r="F16" s="64">
        <f ca="1">IFERROR(__xludf.DUMMYFUNCTION("IMPORTRANGE(""https://docs.google.com/spreadsheets/d/1Jgv0Y7YlHDtsiDawwp-uvifEJ8HVaSn0k2aGHG8-hwM/edit?usp=sharing"",""เชียงใหม่!M634"")"),233605)</f>
        <v>233605</v>
      </c>
      <c r="G16" s="64">
        <f ca="1">IFERROR(__xludf.DUMMYFUNCTION("IMPORTRANGE(""https://docs.google.com/spreadsheets/d/1Jgv0Y7YlHDtsiDawwp-uvifEJ8HVaSn0k2aGHG8-hwM/edit?usp=sharing"",""เชียงใหม่!M641"")"),0)</f>
        <v>0</v>
      </c>
      <c r="H16" s="58">
        <f t="shared" ca="1" si="24"/>
        <v>0</v>
      </c>
      <c r="I16" s="59">
        <f t="shared" ca="1" si="1"/>
        <v>0</v>
      </c>
      <c r="J16" s="60">
        <f t="shared" ca="1" si="41"/>
        <v>0</v>
      </c>
      <c r="K16" s="61">
        <f t="shared" ca="1" si="31"/>
        <v>0</v>
      </c>
      <c r="L16" s="61">
        <f t="shared" ca="1" si="32"/>
        <v>0</v>
      </c>
      <c r="M16" s="64">
        <f ca="1">IFERROR(__xludf.DUMMYFUNCTION("IMPORTRANGE(""https://docs.google.com/spreadsheets/d/1Jgv0Y7YlHDtsiDawwp-uvifEJ8HVaSn0k2aGHG8-hwM/edit?usp=sharing"",""เชียงใหม่!N635"")"),0)</f>
        <v>0</v>
      </c>
      <c r="N16" s="64">
        <f ca="1">IFERROR(__xludf.DUMMYFUNCTION("IMPORTRANGE(""https://docs.google.com/spreadsheets/d/1Jgv0Y7YlHDtsiDawwp-uvifEJ8HVaSn0k2aGHG8-hwM/edit?usp=sharing"",""เชียงใหม่!N636"")"),0)</f>
        <v>0</v>
      </c>
      <c r="O16" s="64">
        <f ca="1">IFERROR(__xludf.DUMMYFUNCTION("IMPORTRANGE(""https://docs.google.com/spreadsheets/d/1Jgv0Y7YlHDtsiDawwp-uvifEJ8HVaSn0k2aGHG8-hwM/edit?usp=sharing"",""เชียงใหม่!N637"")"),0)</f>
        <v>0</v>
      </c>
      <c r="P16" s="64">
        <f ca="1">IFERROR(__xludf.DUMMYFUNCTION("IMPORTRANGE(""https://docs.google.com/spreadsheets/d/1Jgv0Y7YlHDtsiDawwp-uvifEJ8HVaSn0k2aGHG8-hwM/edit?usp=sharing"",""เชียงใหม่!N638"")"),0)</f>
        <v>0</v>
      </c>
      <c r="Q16" s="62">
        <f ca="1">IFERROR(__xludf.DUMMYFUNCTION("IMPORTRANGE(""https://docs.google.com/spreadsheets/d/1Jgv0Y7YlHDtsiDawwp-uvifEJ8HVaSn0k2aGHG8-hwM/edit?usp=sharing"",""เชียงใหม่!N641"")"),0)</f>
        <v>0</v>
      </c>
      <c r="R16" s="62">
        <f t="shared" ca="1" si="34"/>
        <v>0</v>
      </c>
      <c r="S16" s="57">
        <f ca="1">IFERROR(__xludf.DUMMYFUNCTION("IMPORTRANGE(""https://docs.google.com/spreadsheets/d/1Jgv0Y7YlHDtsiDawwp-uvifEJ8HVaSn0k2aGHG8-hwM/edit?usp=sharing"",""เชียงใหม่!I643"")"),2)</f>
        <v>2</v>
      </c>
      <c r="T16" s="57">
        <f ca="1">IFERROR(__xludf.DUMMYFUNCTION("IMPORTRANGE(""https://docs.google.com/spreadsheets/d/1Jgv0Y7YlHDtsiDawwp-uvifEJ8HVaSn0k2aGHG8-hwM/edit?usp=sharing"",""เชียงใหม่!J643"")"),0)</f>
        <v>0</v>
      </c>
      <c r="U16" s="63">
        <f t="shared" ca="1" si="25"/>
        <v>0</v>
      </c>
      <c r="V16" s="57">
        <f ca="1">IFERROR(__xludf.DUMMYFUNCTION("IMPORTRANGE(""https://docs.google.com/spreadsheets/d/1Jgv0Y7YlHDtsiDawwp-uvifEJ8HVaSn0k2aGHG8-hwM/edit?usp=sharing"",""เชียงใหม่!I644"")"),2)</f>
        <v>2</v>
      </c>
      <c r="W16" s="57">
        <f ca="1">IFERROR(__xludf.DUMMYFUNCTION("IMPORTRANGE(""https://docs.google.com/spreadsheets/d/1Jgv0Y7YlHDtsiDawwp-uvifEJ8HVaSn0k2aGHG8-hwM/edit?usp=sharing"",""เชียงใหม่!J644"")"),0)</f>
        <v>0</v>
      </c>
      <c r="X16" s="63">
        <f t="shared" ca="1" si="26"/>
        <v>0</v>
      </c>
      <c r="Y16" s="57">
        <f ca="1">IFERROR(__xludf.DUMMYFUNCTION("IMPORTRANGE(""https://docs.google.com/spreadsheets/d/1Jgv0Y7YlHDtsiDawwp-uvifEJ8HVaSn0k2aGHG8-hwM/edit?usp=sharing"",""เชียงใหม่!J645"")"),0)</f>
        <v>0</v>
      </c>
      <c r="Z16" s="63">
        <f ca="1">IFERROR(__xludf.DUMMYFUNCTION("IMPORTRANGE(""https://docs.google.com/spreadsheets/d/1Jgv0Y7YlHDtsiDawwp-uvifEJ8HVaSn0k2aGHG8-hwM/edit?usp=sharing"",""เชียงใหม่!J646"")"),0)</f>
        <v>0</v>
      </c>
      <c r="AA16" s="57">
        <f ca="1">IFERROR(__xludf.DUMMYFUNCTION("IMPORTRANGE(""https://docs.google.com/spreadsheets/d/1Jgv0Y7YlHDtsiDawwp-uvifEJ8HVaSn0k2aGHG8-hwM/edit?usp=sharing"",""เชียงใหม่!I647"")"),21)</f>
        <v>21</v>
      </c>
      <c r="AB16" s="57">
        <f ca="1">IFERROR(__xludf.DUMMYFUNCTION("IMPORTRANGE(""https://docs.google.com/spreadsheets/d/1Jgv0Y7YlHDtsiDawwp-uvifEJ8HVaSn0k2aGHG8-hwM/edit?usp=sharing"",""เชียงใหม่!J647"")"),0)</f>
        <v>0</v>
      </c>
      <c r="AC16" s="63">
        <f ca="1">IFERROR(__xludf.DUMMYFUNCTION("IMPORTRANGE(""https://docs.google.com/spreadsheets/d/1Jgv0Y7YlHDtsiDawwp-uvifEJ8HVaSn0k2aGHG8-hwM/edit?usp=sharing"",""เชียงใหม่!J648"")"),0)</f>
        <v>0</v>
      </c>
      <c r="AD16" s="63">
        <f t="shared" ca="1" si="27"/>
        <v>0</v>
      </c>
      <c r="AE16" s="140">
        <f ca="1">IFERROR(__xludf.DUMMYFUNCTION("IMPORTRANGE(""https://docs.google.com/spreadsheets/d/1Jgv0Y7YlHDtsiDawwp-uvifEJ8HVaSn0k2aGHG8-hwM/edit?usp=sharing"",""เชียงใหม่!I649"")"),21)</f>
        <v>21</v>
      </c>
      <c r="AF16" s="57">
        <f ca="1">IFERROR(__xludf.DUMMYFUNCTION("IMPORTRANGE(""https://docs.google.com/spreadsheets/d/1Jgv0Y7YlHDtsiDawwp-uvifEJ8HVaSn0k2aGHG8-hwM/edit?usp=sharing"",""เชียงใหม่!J649"")"),0)</f>
        <v>0</v>
      </c>
      <c r="AG16" s="63">
        <f ca="1">IFERROR(__xludf.DUMMYFUNCTION("IMPORTRANGE(""https://docs.google.com/spreadsheets/d/1Jgv0Y7YlHDtsiDawwp-uvifEJ8HVaSn0k2aGHG8-hwM/edit?usp=sharing"",""เชียงใหม่!J650"")"),0)</f>
        <v>0</v>
      </c>
      <c r="AH16" s="63">
        <f t="shared" ca="1" si="28"/>
        <v>0</v>
      </c>
      <c r="AI16" s="140">
        <f ca="1">IFERROR(__xludf.DUMMYFUNCTION("IMPORTRANGE(""https://docs.google.com/spreadsheets/d/1Jgv0Y7YlHDtsiDawwp-uvifEJ8HVaSn0k2aGHG8-hwM/edit?usp=sharing"",""เชียงใหม่!I651"")"),21)</f>
        <v>21</v>
      </c>
      <c r="AJ16" s="57">
        <f ca="1">IFERROR(__xludf.DUMMYFUNCTION("IMPORTRANGE(""https://docs.google.com/spreadsheets/d/1Jgv0Y7YlHDtsiDawwp-uvifEJ8HVaSn0k2aGHG8-hwM/edit?usp=sharing"",""เชียงใหม่!J651"")"),0)</f>
        <v>0</v>
      </c>
      <c r="AK16" s="63">
        <f ca="1">IFERROR(__xludf.DUMMYFUNCTION("IMPORTRANGE(""https://docs.google.com/spreadsheets/d/1Jgv0Y7YlHDtsiDawwp-uvifEJ8HVaSn0k2aGHG8-hwM/edit?usp=sharing"",""เชียงใหม่!J652"")"),0)</f>
        <v>0</v>
      </c>
      <c r="AL16" s="63">
        <f t="shared" ca="1" si="29"/>
        <v>0</v>
      </c>
    </row>
    <row r="17" spans="1:38" ht="24" customHeight="1" x14ac:dyDescent="0.3">
      <c r="A17" s="54">
        <v>4</v>
      </c>
      <c r="B17" s="55" t="s">
        <v>38</v>
      </c>
      <c r="C17" s="56">
        <f t="shared" ca="1" si="40"/>
        <v>440980</v>
      </c>
      <c r="D17" s="57">
        <f ca="1">IFERROR(__xludf.DUMMYFUNCTION("IMPORTRANGE(""https://docs.google.com/spreadsheets/d/1JWG2rZePOz9pe-f-ObA-yDr0VoOX2kSb0qIix2mTUo8/edit?usp=sharing"",""ตาก!L634"")"),440980)</f>
        <v>440980</v>
      </c>
      <c r="E17" s="64">
        <f ca="1">IFERROR(__xludf.DUMMYFUNCTION("IMPORTRANGE(""https://docs.google.com/spreadsheets/d/1JWG2rZePOz9pe-f-ObA-yDr0VoOX2kSb0qIix2mTUo8/edit?usp=sharing"",""ตาก!L641"")"),0)</f>
        <v>0</v>
      </c>
      <c r="F17" s="64">
        <f ca="1">IFERROR(__xludf.DUMMYFUNCTION("IMPORTRANGE(""https://docs.google.com/spreadsheets/d/1JWG2rZePOz9pe-f-ObA-yDr0VoOX2kSb0qIix2mTUo8/edit?usp=sharing"",""ตาก!M634"")"),440980)</f>
        <v>440980</v>
      </c>
      <c r="G17" s="64">
        <f ca="1">IFERROR(__xludf.DUMMYFUNCTION("IMPORTRANGE(""https://docs.google.com/spreadsheets/d/1JWG2rZePOz9pe-f-ObA-yDr0VoOX2kSb0qIix2mTUo8/edit?usp=sharing"",""ตาก!M641"")"),0)</f>
        <v>0</v>
      </c>
      <c r="H17" s="58">
        <f t="shared" ca="1" si="24"/>
        <v>115200</v>
      </c>
      <c r="I17" s="59">
        <f t="shared" ca="1" si="1"/>
        <v>26.123633724885483</v>
      </c>
      <c r="J17" s="60">
        <f t="shared" ca="1" si="41"/>
        <v>115200</v>
      </c>
      <c r="K17" s="61">
        <f t="shared" ca="1" si="31"/>
        <v>26.123633724885483</v>
      </c>
      <c r="L17" s="61">
        <f t="shared" ca="1" si="32"/>
        <v>26.123633724885483</v>
      </c>
      <c r="M17" s="64">
        <f ca="1">IFERROR(__xludf.DUMMYFUNCTION("IMPORTRANGE(""https://docs.google.com/spreadsheets/d/1JWG2rZePOz9pe-f-ObA-yDr0VoOX2kSb0qIix2mTUo8/edit?usp=sharing"",""ตาก!N635"")"),0)</f>
        <v>0</v>
      </c>
      <c r="N17" s="64">
        <f ca="1">IFERROR(__xludf.DUMMYFUNCTION("IMPORTRANGE(""https://docs.google.com/spreadsheets/d/1JWG2rZePOz9pe-f-ObA-yDr0VoOX2kSb0qIix2mTUo8/edit?usp=sharing"",""ตาก!N636"")"),0)</f>
        <v>0</v>
      </c>
      <c r="O17" s="64">
        <f ca="1">IFERROR(__xludf.DUMMYFUNCTION("IMPORTRANGE(""https://docs.google.com/spreadsheets/d/1JWG2rZePOz9pe-f-ObA-yDr0VoOX2kSb0qIix2mTUo8/edit?usp=sharing"",""ตาก!N637"")"),52000)</f>
        <v>52000</v>
      </c>
      <c r="P17" s="64">
        <f ca="1">IFERROR(__xludf.DUMMYFUNCTION("IMPORTRANGE(""https://docs.google.com/spreadsheets/d/1JWG2rZePOz9pe-f-ObA-yDr0VoOX2kSb0qIix2mTUo8/edit?usp=sharing"",""ตาก!N638"")"),63200)</f>
        <v>63200</v>
      </c>
      <c r="Q17" s="62">
        <f ca="1">IFERROR(__xludf.DUMMYFUNCTION("IMPORTRANGE(""https://docs.google.com/spreadsheets/d/1JWG2rZePOz9pe-f-ObA-yDr0VoOX2kSb0qIix2mTUo8/edit?usp=sharing"",""ตาก!N641"")"),0)</f>
        <v>0</v>
      </c>
      <c r="R17" s="62">
        <f t="shared" ca="1" si="34"/>
        <v>0</v>
      </c>
      <c r="S17" s="57">
        <f ca="1">IFERROR(__xludf.DUMMYFUNCTION("IMPORTRANGE(""https://docs.google.com/spreadsheets/d/1JWG2rZePOz9pe-f-ObA-yDr0VoOX2kSb0qIix2mTUo8/edit?usp=sharing"",""ตาก!I643"")"),0)</f>
        <v>0</v>
      </c>
      <c r="T17" s="57">
        <f ca="1">IFERROR(__xludf.DUMMYFUNCTION("IMPORTRANGE(""https://docs.google.com/spreadsheets/d/1JWG2rZePOz9pe-f-ObA-yDr0VoOX2kSb0qIix2mTUo8/edit?usp=sharing"",""ตาก!J643"")"),0)</f>
        <v>0</v>
      </c>
      <c r="U17" s="63">
        <f t="shared" ca="1" si="25"/>
        <v>0</v>
      </c>
      <c r="V17" s="57">
        <f ca="1">IFERROR(__xludf.DUMMYFUNCTION("IMPORTRANGE(""https://docs.google.com/spreadsheets/d/1JWG2rZePOz9pe-f-ObA-yDr0VoOX2kSb0qIix2mTUo8/edit?usp=sharing"",""ตาก!I644"")"),0)</f>
        <v>0</v>
      </c>
      <c r="W17" s="57">
        <f ca="1">IFERROR(__xludf.DUMMYFUNCTION("IMPORTRANGE(""https://docs.google.com/spreadsheets/d/1JWG2rZePOz9pe-f-ObA-yDr0VoOX2kSb0qIix2mTUo8/edit?usp=sharing"",""ตาก!J644"")"),0)</f>
        <v>0</v>
      </c>
      <c r="X17" s="63">
        <f t="shared" ca="1" si="26"/>
        <v>0</v>
      </c>
      <c r="Y17" s="57">
        <f ca="1">IFERROR(__xludf.DUMMYFUNCTION("IMPORTRANGE(""https://docs.google.com/spreadsheets/d/1JWG2rZePOz9pe-f-ObA-yDr0VoOX2kSb0qIix2mTUo8/edit?usp=sharing"",""ตาก!J645"")"),95)</f>
        <v>95</v>
      </c>
      <c r="Z17" s="63">
        <f ca="1">IFERROR(__xludf.DUMMYFUNCTION("IMPORTRANGE(""https://docs.google.com/spreadsheets/d/1JWG2rZePOz9pe-f-ObA-yDr0VoOX2kSb0qIix2mTUo8/edit?usp=sharing"",""ตาก!J646"")"),49.8)</f>
        <v>49.8</v>
      </c>
      <c r="AA17" s="57">
        <f ca="1">IFERROR(__xludf.DUMMYFUNCTION("IMPORTRANGE(""https://docs.google.com/spreadsheets/d/1JWG2rZePOz9pe-f-ObA-yDr0VoOX2kSb0qIix2mTUo8/edit?usp=sharing"",""ตาก!I647"")"),250)</f>
        <v>250</v>
      </c>
      <c r="AB17" s="57">
        <f ca="1">IFERROR(__xludf.DUMMYFUNCTION("IMPORTRANGE(""https://docs.google.com/spreadsheets/d/1JWG2rZePOz9pe-f-ObA-yDr0VoOX2kSb0qIix2mTUo8/edit?usp=sharing"",""ตาก!J647"")"),63)</f>
        <v>63</v>
      </c>
      <c r="AC17" s="63">
        <f ca="1">IFERROR(__xludf.DUMMYFUNCTION("IMPORTRANGE(""https://docs.google.com/spreadsheets/d/1JWG2rZePOz9pe-f-ObA-yDr0VoOX2kSb0qIix2mTUo8/edit?usp=sharing"",""ตาก!J648"")"),35.12)</f>
        <v>35.119999999999997</v>
      </c>
      <c r="AD17" s="63">
        <f t="shared" ca="1" si="27"/>
        <v>25.2</v>
      </c>
      <c r="AE17" s="140">
        <f ca="1">IFERROR(__xludf.DUMMYFUNCTION("IMPORTRANGE(""https://docs.google.com/spreadsheets/d/1JWG2rZePOz9pe-f-ObA-yDr0VoOX2kSb0qIix2mTUo8/edit?usp=sharing"",""ตาก!I649"")"),250)</f>
        <v>250</v>
      </c>
      <c r="AF17" s="57">
        <f ca="1">IFERROR(__xludf.DUMMYFUNCTION("IMPORTRANGE(""https://docs.google.com/spreadsheets/d/1JWG2rZePOz9pe-f-ObA-yDr0VoOX2kSb0qIix2mTUo8/edit?usp=sharing"",""ตาก!J649"")"),64)</f>
        <v>64</v>
      </c>
      <c r="AG17" s="63">
        <f ca="1">IFERROR(__xludf.DUMMYFUNCTION("IMPORTRANGE(""https://docs.google.com/spreadsheets/d/1JWG2rZePOz9pe-f-ObA-yDr0VoOX2kSb0qIix2mTUo8/edit?usp=sharing"",""ตาก!J650"")"),35.37)</f>
        <v>35.369999999999997</v>
      </c>
      <c r="AH17" s="63">
        <f t="shared" ca="1" si="28"/>
        <v>25.6</v>
      </c>
      <c r="AI17" s="140">
        <f ca="1">IFERROR(__xludf.DUMMYFUNCTION("IMPORTRANGE(""https://docs.google.com/spreadsheets/d/1JWG2rZePOz9pe-f-ObA-yDr0VoOX2kSb0qIix2mTUo8/edit?usp=sharing"",""ตาก!I651"")"),250)</f>
        <v>250</v>
      </c>
      <c r="AJ17" s="57">
        <f ca="1">IFERROR(__xludf.DUMMYFUNCTION("IMPORTRANGE(""https://docs.google.com/spreadsheets/d/1JWG2rZePOz9pe-f-ObA-yDr0VoOX2kSb0qIix2mTUo8/edit?usp=sharing"",""ตาก!J651"")"),63)</f>
        <v>63</v>
      </c>
      <c r="AK17" s="63">
        <f ca="1">IFERROR(__xludf.DUMMYFUNCTION("IMPORTRANGE(""https://docs.google.com/spreadsheets/d/1JWG2rZePOz9pe-f-ObA-yDr0VoOX2kSb0qIix2mTUo8/edit?usp=sharing"",""ตาก!J652"")"),34.1425)</f>
        <v>34.142499999999998</v>
      </c>
      <c r="AL17" s="63">
        <f t="shared" ca="1" si="29"/>
        <v>25.2</v>
      </c>
    </row>
    <row r="18" spans="1:38" ht="24" customHeight="1" x14ac:dyDescent="0.3">
      <c r="A18" s="54">
        <v>5</v>
      </c>
      <c r="B18" s="55" t="s">
        <v>39</v>
      </c>
      <c r="C18" s="56">
        <f t="shared" ca="1" si="40"/>
        <v>1015785</v>
      </c>
      <c r="D18" s="57">
        <f ca="1">IFERROR(__xludf.DUMMYFUNCTION("IMPORTRANGE(""https://docs.google.com/spreadsheets/d/10nSRjK08hx8Y6HgSOQKNw81lyY46Zc7U_Cj72hBMp9U/edit?usp=sharing"",""นครสวรรค์!L634"")"),1015785)</f>
        <v>1015785</v>
      </c>
      <c r="E18" s="64">
        <f ca="1">IFERROR(__xludf.DUMMYFUNCTION("IMPORTRANGE(""https://docs.google.com/spreadsheets/d/10nSRjK08hx8Y6HgSOQKNw81lyY46Zc7U_Cj72hBMp9U/edit?usp=sharing"",""นครสวรรค์!L641"")"),0)</f>
        <v>0</v>
      </c>
      <c r="F18" s="64">
        <f ca="1">IFERROR(__xludf.DUMMYFUNCTION("IMPORTRANGE(""https://docs.google.com/spreadsheets/d/10nSRjK08hx8Y6HgSOQKNw81lyY46Zc7U_Cj72hBMp9U/edit?usp=sharing"",""นครสวรรค์!M634"")"),1015785)</f>
        <v>1015785</v>
      </c>
      <c r="G18" s="64">
        <f ca="1">IFERROR(__xludf.DUMMYFUNCTION("IMPORTRANGE(""https://docs.google.com/spreadsheets/d/10nSRjK08hx8Y6HgSOQKNw81lyY46Zc7U_Cj72hBMp9U/edit?usp=sharing"",""นครสวรรค์!M641"")"),0)</f>
        <v>0</v>
      </c>
      <c r="H18" s="58">
        <f t="shared" ca="1" si="24"/>
        <v>120541.7</v>
      </c>
      <c r="I18" s="59">
        <f t="shared" ca="1" si="1"/>
        <v>11.866851745201986</v>
      </c>
      <c r="J18" s="60">
        <f t="shared" ca="1" si="41"/>
        <v>120541.7</v>
      </c>
      <c r="K18" s="61">
        <f t="shared" ca="1" si="31"/>
        <v>11.866851745201986</v>
      </c>
      <c r="L18" s="61">
        <f t="shared" ca="1" si="32"/>
        <v>11.866851745201986</v>
      </c>
      <c r="M18" s="64">
        <f ca="1">IFERROR(__xludf.DUMMYFUNCTION("IMPORTRANGE(""https://docs.google.com/spreadsheets/d/10nSRjK08hx8Y6HgSOQKNw81lyY46Zc7U_Cj72hBMp9U/edit?usp=sharing"",""นครสวรรค์!N635"")"),0)</f>
        <v>0</v>
      </c>
      <c r="N18" s="64">
        <f ca="1">IFERROR(__xludf.DUMMYFUNCTION("IMPORTRANGE(""https://docs.google.com/spreadsheets/d/10nSRjK08hx8Y6HgSOQKNw81lyY46Zc7U_Cj72hBMp9U/edit?usp=sharing"",""นครสวรรค์!N636"")"),0)</f>
        <v>0</v>
      </c>
      <c r="O18" s="64">
        <f ca="1">IFERROR(__xludf.DUMMYFUNCTION("IMPORTRANGE(""https://docs.google.com/spreadsheets/d/10nSRjK08hx8Y6HgSOQKNw81lyY46Zc7U_Cj72hBMp9U/edit?usp=sharing"",""นครสวรรค์!N637"")"),13000)</f>
        <v>13000</v>
      </c>
      <c r="P18" s="64">
        <f ca="1">IFERROR(__xludf.DUMMYFUNCTION("IMPORTRANGE(""https://docs.google.com/spreadsheets/d/10nSRjK08hx8Y6HgSOQKNw81lyY46Zc7U_Cj72hBMp9U/edit?usp=sharing"",""นครสวรรค์!N638"")"),107541.7)</f>
        <v>107541.7</v>
      </c>
      <c r="Q18" s="62">
        <f ca="1">IFERROR(__xludf.DUMMYFUNCTION("IMPORTRANGE(""https://docs.google.com/spreadsheets/d/10nSRjK08hx8Y6HgSOQKNw81lyY46Zc7U_Cj72hBMp9U/edit?usp=sharing"",""นครสวรรค์!N641"")"),0)</f>
        <v>0</v>
      </c>
      <c r="R18" s="62">
        <f t="shared" ca="1" si="34"/>
        <v>0</v>
      </c>
      <c r="S18" s="57">
        <f ca="1">IFERROR(__xludf.DUMMYFUNCTION("IMPORTRANGE(""https://docs.google.com/spreadsheets/d/10nSRjK08hx8Y6HgSOQKNw81lyY46Zc7U_Cj72hBMp9U/edit?usp=sharing"",""นครสวรรค์!I643"")"),9)</f>
        <v>9</v>
      </c>
      <c r="T18" s="57">
        <f ca="1">IFERROR(__xludf.DUMMYFUNCTION("IMPORTRANGE(""https://docs.google.com/spreadsheets/d/10nSRjK08hx8Y6HgSOQKNw81lyY46Zc7U_Cj72hBMp9U/edit?usp=sharing"",""นครสวรรค์!J643"")"),0)</f>
        <v>0</v>
      </c>
      <c r="U18" s="63">
        <f t="shared" ca="1" si="25"/>
        <v>0</v>
      </c>
      <c r="V18" s="57">
        <f ca="1">IFERROR(__xludf.DUMMYFUNCTION("IMPORTRANGE(""https://docs.google.com/spreadsheets/d/10nSRjK08hx8Y6HgSOQKNw81lyY46Zc7U_Cj72hBMp9U/edit?usp=sharing"",""นครสวรรค์!I644"")"),9)</f>
        <v>9</v>
      </c>
      <c r="W18" s="57">
        <f ca="1">IFERROR(__xludf.DUMMYFUNCTION("IMPORTRANGE(""https://docs.google.com/spreadsheets/d/10nSRjK08hx8Y6HgSOQKNw81lyY46Zc7U_Cj72hBMp9U/edit?usp=sharing"",""นครสวรรค์!J644"")"),0)</f>
        <v>0</v>
      </c>
      <c r="X18" s="63">
        <f t="shared" ca="1" si="26"/>
        <v>0</v>
      </c>
      <c r="Y18" s="57">
        <f ca="1">IFERROR(__xludf.DUMMYFUNCTION("IMPORTRANGE(""https://docs.google.com/spreadsheets/d/10nSRjK08hx8Y6HgSOQKNw81lyY46Zc7U_Cj72hBMp9U/edit?usp=sharing"",""นครสวรรค์!J645"")"),227)</f>
        <v>227</v>
      </c>
      <c r="Z18" s="63">
        <f ca="1">IFERROR(__xludf.DUMMYFUNCTION("IMPORTRANGE(""https://docs.google.com/spreadsheets/d/10nSRjK08hx8Y6HgSOQKNw81lyY46Zc7U_Cj72hBMp9U/edit?usp=sharing"",""นครสวรรค์!J646"")"),115.48)</f>
        <v>115.48</v>
      </c>
      <c r="AA18" s="57">
        <f ca="1">IFERROR(__xludf.DUMMYFUNCTION("IMPORTRANGE(""https://docs.google.com/spreadsheets/d/10nSRjK08hx8Y6HgSOQKNw81lyY46Zc7U_Cj72hBMp9U/edit?usp=sharing"",""นครสวรรค์!I647"")"),715)</f>
        <v>715</v>
      </c>
      <c r="AB18" s="57">
        <f ca="1">IFERROR(__xludf.DUMMYFUNCTION("IMPORTRANGE(""https://docs.google.com/spreadsheets/d/10nSRjK08hx8Y6HgSOQKNw81lyY46Zc7U_Cj72hBMp9U/edit?usp=sharing"",""นครสวรรค์!J647"")"),140)</f>
        <v>140</v>
      </c>
      <c r="AC18" s="63">
        <f ca="1">IFERROR(__xludf.DUMMYFUNCTION("IMPORTRANGE(""https://docs.google.com/spreadsheets/d/10nSRjK08hx8Y6HgSOQKNw81lyY46Zc7U_Cj72hBMp9U/edit?usp=sharing"",""นครสวรรค์!J648"")"),68.86)</f>
        <v>68.86</v>
      </c>
      <c r="AD18" s="63">
        <f t="shared" ca="1" si="27"/>
        <v>19.58041958041958</v>
      </c>
      <c r="AE18" s="140">
        <f ca="1">IFERROR(__xludf.DUMMYFUNCTION("IMPORTRANGE(""https://docs.google.com/spreadsheets/d/10nSRjK08hx8Y6HgSOQKNw81lyY46Zc7U_Cj72hBMp9U/edit?usp=sharing"",""นครสวรรค์!I649"")"),715)</f>
        <v>715</v>
      </c>
      <c r="AF18" s="57">
        <f ca="1">IFERROR(__xludf.DUMMYFUNCTION("IMPORTRANGE(""https://docs.google.com/spreadsheets/d/10nSRjK08hx8Y6HgSOQKNw81lyY46Zc7U_Cj72hBMp9U/edit?usp=sharing"",""นครสวรรค์!J649"")"),2)</f>
        <v>2</v>
      </c>
      <c r="AG18" s="63">
        <f ca="1">IFERROR(__xludf.DUMMYFUNCTION("IMPORTRANGE(""https://docs.google.com/spreadsheets/d/10nSRjK08hx8Y6HgSOQKNw81lyY46Zc7U_Cj72hBMp9U/edit?usp=sharing"",""นครสวรรค์!J650"")"),0.42)</f>
        <v>0.42</v>
      </c>
      <c r="AH18" s="63">
        <f t="shared" ca="1" si="28"/>
        <v>0.27972027972027974</v>
      </c>
      <c r="AI18" s="140">
        <f ca="1">IFERROR(__xludf.DUMMYFUNCTION("IMPORTRANGE(""https://docs.google.com/spreadsheets/d/10nSRjK08hx8Y6HgSOQKNw81lyY46Zc7U_Cj72hBMp9U/edit?usp=sharing"",""นครสวรรค์!I651"")"),715)</f>
        <v>715</v>
      </c>
      <c r="AJ18" s="57">
        <f ca="1">IFERROR(__xludf.DUMMYFUNCTION("IMPORTRANGE(""https://docs.google.com/spreadsheets/d/10nSRjK08hx8Y6HgSOQKNw81lyY46Zc7U_Cj72hBMp9U/edit?usp=sharing"",""นครสวรรค์!J651"")"),0)</f>
        <v>0</v>
      </c>
      <c r="AK18" s="63">
        <f ca="1">IFERROR(__xludf.DUMMYFUNCTION("IMPORTRANGE(""https://docs.google.com/spreadsheets/d/10nSRjK08hx8Y6HgSOQKNw81lyY46Zc7U_Cj72hBMp9U/edit?usp=sharing"",""นครสวรรค์!J652"")"),0)</f>
        <v>0</v>
      </c>
      <c r="AL18" s="63">
        <f t="shared" ca="1" si="29"/>
        <v>0</v>
      </c>
    </row>
    <row r="19" spans="1:38" ht="24" customHeight="1" x14ac:dyDescent="0.3">
      <c r="A19" s="54">
        <v>6</v>
      </c>
      <c r="B19" s="55" t="s">
        <v>40</v>
      </c>
      <c r="C19" s="56">
        <f t="shared" ca="1" si="40"/>
        <v>374345</v>
      </c>
      <c r="D19" s="57">
        <f ca="1">IFERROR(__xludf.DUMMYFUNCTION("IMPORTRANGE(""https://docs.google.com/spreadsheets/d/1gFVb7qd7amutrIxAAoM7lcy35hllxznovot8lyOfvDo/edit?usp=sharing"",""น่าน!L634"")"),374345)</f>
        <v>374345</v>
      </c>
      <c r="E19" s="64">
        <f ca="1">IFERROR(__xludf.DUMMYFUNCTION("IMPORTRANGE(""https://docs.google.com/spreadsheets/d/1gFVb7qd7amutrIxAAoM7lcy35hllxznovot8lyOfvDo/edit?usp=sharing"",""น่าน!L641"")"),0)</f>
        <v>0</v>
      </c>
      <c r="F19" s="64">
        <f ca="1">IFERROR(__xludf.DUMMYFUNCTION("IMPORTRANGE(""https://docs.google.com/spreadsheets/d/1gFVb7qd7amutrIxAAoM7lcy35hllxznovot8lyOfvDo/edit?usp=sharing"",""น่าน!M634"")"),374345)</f>
        <v>374345</v>
      </c>
      <c r="G19" s="64">
        <f ca="1">IFERROR(__xludf.DUMMYFUNCTION("IMPORTRANGE(""https://docs.google.com/spreadsheets/d/1gFVb7qd7amutrIxAAoM7lcy35hllxznovot8lyOfvDo/edit?usp=sharing"",""น่าน!M641"")"),0)</f>
        <v>0</v>
      </c>
      <c r="H19" s="58">
        <f t="shared" ca="1" si="24"/>
        <v>84084</v>
      </c>
      <c r="I19" s="59">
        <f t="shared" ca="1" si="1"/>
        <v>22.461632985614873</v>
      </c>
      <c r="J19" s="60">
        <f t="shared" ca="1" si="41"/>
        <v>84084</v>
      </c>
      <c r="K19" s="61">
        <f t="shared" ca="1" si="31"/>
        <v>22.461632985614873</v>
      </c>
      <c r="L19" s="61">
        <f t="shared" ca="1" si="32"/>
        <v>22.461632985614873</v>
      </c>
      <c r="M19" s="64">
        <f ca="1">IFERROR(__xludf.DUMMYFUNCTION("IMPORTRANGE(""https://docs.google.com/spreadsheets/d/1gFVb7qd7amutrIxAAoM7lcy35hllxznovot8lyOfvDo/edit?usp=sharing"",""น่าน!N635"")"),0)</f>
        <v>0</v>
      </c>
      <c r="N19" s="64">
        <f ca="1">IFERROR(__xludf.DUMMYFUNCTION("IMPORTRANGE(""https://docs.google.com/spreadsheets/d/1gFVb7qd7amutrIxAAoM7lcy35hllxznovot8lyOfvDo/edit?usp=sharing"",""น่าน!N636"")"),0)</f>
        <v>0</v>
      </c>
      <c r="O19" s="64">
        <f ca="1">IFERROR(__xludf.DUMMYFUNCTION("IMPORTRANGE(""https://docs.google.com/spreadsheets/d/1gFVb7qd7amutrIxAAoM7lcy35hllxznovot8lyOfvDo/edit?usp=sharing"",""น่าน!N637"")"),77124)</f>
        <v>77124</v>
      </c>
      <c r="P19" s="64">
        <f ca="1">IFERROR(__xludf.DUMMYFUNCTION("IMPORTRANGE(""https://docs.google.com/spreadsheets/d/1gFVb7qd7amutrIxAAoM7lcy35hllxznovot8lyOfvDo/edit?usp=sharing"",""น่าน!N638"")"),6960)</f>
        <v>6960</v>
      </c>
      <c r="Q19" s="62">
        <f ca="1">IFERROR(__xludf.DUMMYFUNCTION("IMPORTRANGE(""https://docs.google.com/spreadsheets/d/1gFVb7qd7amutrIxAAoM7lcy35hllxznovot8lyOfvDo/edit?usp=sharing"",""น่าน!N641"")"),0)</f>
        <v>0</v>
      </c>
      <c r="R19" s="62">
        <f t="shared" ca="1" si="34"/>
        <v>0</v>
      </c>
      <c r="S19" s="57">
        <f ca="1">IFERROR(__xludf.DUMMYFUNCTION("IMPORTRANGE(""https://docs.google.com/spreadsheets/d/1gFVb7qd7amutrIxAAoM7lcy35hllxznovot8lyOfvDo/edit?usp=sharing"",""น่าน!I643"")"),1)</f>
        <v>1</v>
      </c>
      <c r="T19" s="57">
        <f ca="1">IFERROR(__xludf.DUMMYFUNCTION("IMPORTRANGE(""https://docs.google.com/spreadsheets/d/1gFVb7qd7amutrIxAAoM7lcy35hllxznovot8lyOfvDo/edit?usp=sharing"",""น่าน!J643"")"),0)</f>
        <v>0</v>
      </c>
      <c r="U19" s="63">
        <f t="shared" ca="1" si="25"/>
        <v>0</v>
      </c>
      <c r="V19" s="57">
        <f ca="1">IFERROR(__xludf.DUMMYFUNCTION("IMPORTRANGE(""https://docs.google.com/spreadsheets/d/1gFVb7qd7amutrIxAAoM7lcy35hllxznovot8lyOfvDo/edit?usp=sharing"",""น่าน!I644"")"),1)</f>
        <v>1</v>
      </c>
      <c r="W19" s="57">
        <f ca="1">IFERROR(__xludf.DUMMYFUNCTION("IMPORTRANGE(""https://docs.google.com/spreadsheets/d/1gFVb7qd7amutrIxAAoM7lcy35hllxznovot8lyOfvDo/edit?usp=sharing"",""น่าน!J644"")"),0)</f>
        <v>0</v>
      </c>
      <c r="X19" s="63">
        <f t="shared" ca="1" si="26"/>
        <v>0</v>
      </c>
      <c r="Y19" s="57">
        <f ca="1">IFERROR(__xludf.DUMMYFUNCTION("IMPORTRANGE(""https://docs.google.com/spreadsheets/d/1gFVb7qd7amutrIxAAoM7lcy35hllxznovot8lyOfvDo/edit?usp=sharing"",""น่าน!J645"")"),17)</f>
        <v>17</v>
      </c>
      <c r="Z19" s="63">
        <f ca="1">IFERROR(__xludf.DUMMYFUNCTION("IMPORTRANGE(""https://docs.google.com/spreadsheets/d/1gFVb7qd7amutrIxAAoM7lcy35hllxznovot8lyOfvDo/edit?usp=sharing"",""น่าน!J646"")"),3.87)</f>
        <v>3.87</v>
      </c>
      <c r="AA19" s="57">
        <f ca="1">IFERROR(__xludf.DUMMYFUNCTION("IMPORTRANGE(""https://docs.google.com/spreadsheets/d/1gFVb7qd7amutrIxAAoM7lcy35hllxznovot8lyOfvDo/edit?usp=sharing"",""น่าน!I647"")"),70)</f>
        <v>70</v>
      </c>
      <c r="AB19" s="57">
        <f ca="1">IFERROR(__xludf.DUMMYFUNCTION("IMPORTRANGE(""https://docs.google.com/spreadsheets/d/1gFVb7qd7amutrIxAAoM7lcy35hllxznovot8lyOfvDo/edit?usp=sharing"",""น่าน!J647"")"),51)</f>
        <v>51</v>
      </c>
      <c r="AC19" s="63">
        <f ca="1">IFERROR(__xludf.DUMMYFUNCTION("IMPORTRANGE(""https://docs.google.com/spreadsheets/d/1gFVb7qd7amutrIxAAoM7lcy35hllxznovot8lyOfvDo/edit?usp=sharing"",""น่าน!J648"")"),20.25)</f>
        <v>20.25</v>
      </c>
      <c r="AD19" s="63">
        <f t="shared" ca="1" si="27"/>
        <v>72.857142857142861</v>
      </c>
      <c r="AE19" s="140">
        <f ca="1">IFERROR(__xludf.DUMMYFUNCTION("IMPORTRANGE(""https://docs.google.com/spreadsheets/d/1gFVb7qd7amutrIxAAoM7lcy35hllxznovot8lyOfvDo/edit?usp=sharing"",""น่าน!I649"")"),70)</f>
        <v>70</v>
      </c>
      <c r="AF19" s="57">
        <f ca="1">IFERROR(__xludf.DUMMYFUNCTION("IMPORTRANGE(""https://docs.google.com/spreadsheets/d/1gFVb7qd7amutrIxAAoM7lcy35hllxznovot8lyOfvDo/edit?usp=sharing"",""น่าน!J649"")"),49)</f>
        <v>49</v>
      </c>
      <c r="AG19" s="63">
        <f ca="1">IFERROR(__xludf.DUMMYFUNCTION("IMPORTRANGE(""https://docs.google.com/spreadsheets/d/1gFVb7qd7amutrIxAAoM7lcy35hllxznovot8lyOfvDo/edit?usp=sharing"",""น่าน!J650"")"),19.57)</f>
        <v>19.57</v>
      </c>
      <c r="AH19" s="63">
        <f t="shared" ca="1" si="28"/>
        <v>70</v>
      </c>
      <c r="AI19" s="140">
        <f ca="1">IFERROR(__xludf.DUMMYFUNCTION("IMPORTRANGE(""https://docs.google.com/spreadsheets/d/1gFVb7qd7amutrIxAAoM7lcy35hllxznovot8lyOfvDo/edit?usp=sharing"",""น่าน!I651"")"),70)</f>
        <v>70</v>
      </c>
      <c r="AJ19" s="57">
        <f ca="1">IFERROR(__xludf.DUMMYFUNCTION("IMPORTRANGE(""https://docs.google.com/spreadsheets/d/1gFVb7qd7amutrIxAAoM7lcy35hllxznovot8lyOfvDo/edit?usp=sharing"",""น่าน!J651"")"),48)</f>
        <v>48</v>
      </c>
      <c r="AK19" s="63">
        <f ca="1">IFERROR(__xludf.DUMMYFUNCTION("IMPORTRANGE(""https://docs.google.com/spreadsheets/d/1gFVb7qd7amutrIxAAoM7lcy35hllxznovot8lyOfvDo/edit?usp=sharing"",""น่าน!J652"")"),19.3675)</f>
        <v>19.3675</v>
      </c>
      <c r="AL19" s="63">
        <f t="shared" ca="1" si="29"/>
        <v>68.571428571428569</v>
      </c>
    </row>
    <row r="20" spans="1:38" ht="24" customHeight="1" x14ac:dyDescent="0.3">
      <c r="A20" s="54">
        <v>7</v>
      </c>
      <c r="B20" s="55" t="s">
        <v>41</v>
      </c>
      <c r="C20" s="56">
        <f t="shared" ca="1" si="40"/>
        <v>336260</v>
      </c>
      <c r="D20" s="57">
        <f ca="1">IFERROR(__xludf.DUMMYFUNCTION("IMPORTRANGE(""https://docs.google.com/spreadsheets/d/1K0Aa9s-6EuHE5M0FG1F9aHLXRCOV917xvycTdLdct0w/edit?usp=sharing"",""พะเยา!L634"")"),336260)</f>
        <v>336260</v>
      </c>
      <c r="E20" s="64">
        <f ca="1">IFERROR(__xludf.DUMMYFUNCTION("IMPORTRANGE(""https://docs.google.com/spreadsheets/d/1K0Aa9s-6EuHE5M0FG1F9aHLXRCOV917xvycTdLdct0w/edit?usp=sharing"",""พะเยา!L641"")"),0)</f>
        <v>0</v>
      </c>
      <c r="F20" s="64">
        <f ca="1">IFERROR(__xludf.DUMMYFUNCTION("IMPORTRANGE(""https://docs.google.com/spreadsheets/d/1K0Aa9s-6EuHE5M0FG1F9aHLXRCOV917xvycTdLdct0w/edit?usp=sharing"",""พะเยา!M634"")"),336260)</f>
        <v>336260</v>
      </c>
      <c r="G20" s="64">
        <f ca="1">IFERROR(__xludf.DUMMYFUNCTION("IMPORTRANGE(""https://docs.google.com/spreadsheets/d/1K0Aa9s-6EuHE5M0FG1F9aHLXRCOV917xvycTdLdct0w/edit?usp=sharing"",""พะเยา!M641"")"),0)</f>
        <v>0</v>
      </c>
      <c r="H20" s="58">
        <f t="shared" ca="1" si="24"/>
        <v>191785</v>
      </c>
      <c r="I20" s="59">
        <f t="shared" ca="1" si="1"/>
        <v>57.034735026467615</v>
      </c>
      <c r="J20" s="60">
        <f t="shared" ca="1" si="41"/>
        <v>191785</v>
      </c>
      <c r="K20" s="61">
        <f t="shared" ca="1" si="31"/>
        <v>57.034735026467615</v>
      </c>
      <c r="L20" s="61">
        <f t="shared" ca="1" si="32"/>
        <v>57.034735026467615</v>
      </c>
      <c r="M20" s="64">
        <f ca="1">IFERROR(__xludf.DUMMYFUNCTION("IMPORTRANGE(""https://docs.google.com/spreadsheets/d/1K0Aa9s-6EuHE5M0FG1F9aHLXRCOV917xvycTdLdct0w/edit?usp=sharing"",""พะเยา!N635"")"),0)</f>
        <v>0</v>
      </c>
      <c r="N20" s="64">
        <f ca="1">IFERROR(__xludf.DUMMYFUNCTION("IMPORTRANGE(""https://docs.google.com/spreadsheets/d/1K0Aa9s-6EuHE5M0FG1F9aHLXRCOV917xvycTdLdct0w/edit?usp=sharing"",""พะเยา!N636"")"),0)</f>
        <v>0</v>
      </c>
      <c r="O20" s="64">
        <f ca="1">IFERROR(__xludf.DUMMYFUNCTION("IMPORTRANGE(""https://docs.google.com/spreadsheets/d/1K0Aa9s-6EuHE5M0FG1F9aHLXRCOV917xvycTdLdct0w/edit?usp=sharing"",""พะเยา!N637"")"),78000)</f>
        <v>78000</v>
      </c>
      <c r="P20" s="64">
        <f ca="1">IFERROR(__xludf.DUMMYFUNCTION("IMPORTRANGE(""https://docs.google.com/spreadsheets/d/1K0Aa9s-6EuHE5M0FG1F9aHLXRCOV917xvycTdLdct0w/edit?usp=sharing"",""พะเยา!N638"")"),113785)</f>
        <v>113785</v>
      </c>
      <c r="Q20" s="62">
        <f ca="1">IFERROR(__xludf.DUMMYFUNCTION("IMPORTRANGE(""https://docs.google.com/spreadsheets/d/1K0Aa9s-6EuHE5M0FG1F9aHLXRCOV917xvycTdLdct0w/edit?usp=sharing"",""พะเยา!N641"")"),0)</f>
        <v>0</v>
      </c>
      <c r="R20" s="62">
        <f t="shared" ca="1" si="34"/>
        <v>0</v>
      </c>
      <c r="S20" s="57">
        <f ca="1">IFERROR(__xludf.DUMMYFUNCTION("IMPORTRANGE(""https://docs.google.com/spreadsheets/d/1K0Aa9s-6EuHE5M0FG1F9aHLXRCOV917xvycTdLdct0w/edit?usp=sharing"",""พะเยา!I643"")"),0)</f>
        <v>0</v>
      </c>
      <c r="T20" s="57">
        <f ca="1">IFERROR(__xludf.DUMMYFUNCTION("IMPORTRANGE(""https://docs.google.com/spreadsheets/d/1K0Aa9s-6EuHE5M0FG1F9aHLXRCOV917xvycTdLdct0w/edit?usp=sharing"",""พะเยา!J643"")"),0)</f>
        <v>0</v>
      </c>
      <c r="U20" s="63">
        <f t="shared" ca="1" si="25"/>
        <v>0</v>
      </c>
      <c r="V20" s="57">
        <f ca="1">IFERROR(__xludf.DUMMYFUNCTION("IMPORTRANGE(""https://docs.google.com/spreadsheets/d/1K0Aa9s-6EuHE5M0FG1F9aHLXRCOV917xvycTdLdct0w/edit?usp=sharing"",""พะเยา!I644"")"),0)</f>
        <v>0</v>
      </c>
      <c r="W20" s="57">
        <f ca="1">IFERROR(__xludf.DUMMYFUNCTION("IMPORTRANGE(""https://docs.google.com/spreadsheets/d/1K0Aa9s-6EuHE5M0FG1F9aHLXRCOV917xvycTdLdct0w/edit?usp=sharing"",""พะเยา!J644"")"),0)</f>
        <v>0</v>
      </c>
      <c r="X20" s="63">
        <f t="shared" ca="1" si="26"/>
        <v>0</v>
      </c>
      <c r="Y20" s="57">
        <f ca="1">IFERROR(__xludf.DUMMYFUNCTION("IMPORTRANGE(""https://docs.google.com/spreadsheets/d/1K0Aa9s-6EuHE5M0FG1F9aHLXRCOV917xvycTdLdct0w/edit?usp=sharing"",""พะเยา!J645"")"),126)</f>
        <v>126</v>
      </c>
      <c r="Z20" s="63">
        <f ca="1">IFERROR(__xludf.DUMMYFUNCTION("IMPORTRANGE(""https://docs.google.com/spreadsheets/d/1K0Aa9s-6EuHE5M0FG1F9aHLXRCOV917xvycTdLdct0w/edit?usp=sharing"",""พะเยา!J646"")"),64.6)</f>
        <v>64.599999999999994</v>
      </c>
      <c r="AA20" s="57">
        <f ca="1">IFERROR(__xludf.DUMMYFUNCTION("IMPORTRANGE(""https://docs.google.com/spreadsheets/d/1K0Aa9s-6EuHE5M0FG1F9aHLXRCOV917xvycTdLdct0w/edit?usp=sharing"",""พะเยา!I647"")"),60)</f>
        <v>60</v>
      </c>
      <c r="AB20" s="57">
        <f ca="1">IFERROR(__xludf.DUMMYFUNCTION("IMPORTRANGE(""https://docs.google.com/spreadsheets/d/1K0Aa9s-6EuHE5M0FG1F9aHLXRCOV917xvycTdLdct0w/edit?usp=sharing"",""พะเยา!J647"")"),104)</f>
        <v>104</v>
      </c>
      <c r="AC20" s="63">
        <f ca="1">IFERROR(__xludf.DUMMYFUNCTION("IMPORTRANGE(""https://docs.google.com/spreadsheets/d/1K0Aa9s-6EuHE5M0FG1F9aHLXRCOV917xvycTdLdct0w/edit?usp=sharing"",""พะเยา!J648"")"),56)</f>
        <v>56</v>
      </c>
      <c r="AD20" s="63">
        <f t="shared" ca="1" si="27"/>
        <v>173.33333333333334</v>
      </c>
      <c r="AE20" s="140">
        <f ca="1">IFERROR(__xludf.DUMMYFUNCTION("IMPORTRANGE(""https://docs.google.com/spreadsheets/d/1K0Aa9s-6EuHE5M0FG1F9aHLXRCOV917xvycTdLdct0w/edit?usp=sharing"",""พะเยา!I649"")"),60)</f>
        <v>60</v>
      </c>
      <c r="AF20" s="57">
        <f ca="1">IFERROR(__xludf.DUMMYFUNCTION("IMPORTRANGE(""https://docs.google.com/spreadsheets/d/1K0Aa9s-6EuHE5M0FG1F9aHLXRCOV917xvycTdLdct0w/edit?usp=sharing"",""พะเยา!J649"")"),71)</f>
        <v>71</v>
      </c>
      <c r="AG20" s="63">
        <f ca="1">IFERROR(__xludf.DUMMYFUNCTION("IMPORTRANGE(""https://docs.google.com/spreadsheets/d/1K0Aa9s-6EuHE5M0FG1F9aHLXRCOV917xvycTdLdct0w/edit?usp=sharing"",""พะเยา!J650"")"),38.06)</f>
        <v>38.06</v>
      </c>
      <c r="AH20" s="63">
        <f t="shared" ca="1" si="28"/>
        <v>118.33333333333333</v>
      </c>
      <c r="AI20" s="140">
        <f ca="1">IFERROR(__xludf.DUMMYFUNCTION("IMPORTRANGE(""https://docs.google.com/spreadsheets/d/1K0Aa9s-6EuHE5M0FG1F9aHLXRCOV917xvycTdLdct0w/edit?usp=sharing"",""พะเยา!I651"")"),60)</f>
        <v>60</v>
      </c>
      <c r="AJ20" s="57">
        <f ca="1">IFERROR(__xludf.DUMMYFUNCTION("IMPORTRANGE(""https://docs.google.com/spreadsheets/d/1K0Aa9s-6EuHE5M0FG1F9aHLXRCOV917xvycTdLdct0w/edit?usp=sharing"",""พะเยา!J651"")"),64)</f>
        <v>64</v>
      </c>
      <c r="AK20" s="63">
        <f ca="1">IFERROR(__xludf.DUMMYFUNCTION("IMPORTRANGE(""https://docs.google.com/spreadsheets/d/1K0Aa9s-6EuHE5M0FG1F9aHLXRCOV917xvycTdLdct0w/edit?usp=sharing"",""พะเยา!J652"")"),29.9425)</f>
        <v>29.942499999999999</v>
      </c>
      <c r="AL20" s="63">
        <f t="shared" ca="1" si="29"/>
        <v>106.66666666666667</v>
      </c>
    </row>
    <row r="21" spans="1:38" ht="24" customHeight="1" x14ac:dyDescent="0.3">
      <c r="A21" s="54">
        <v>8</v>
      </c>
      <c r="B21" s="55" t="s">
        <v>42</v>
      </c>
      <c r="C21" s="56">
        <f t="shared" ca="1" si="40"/>
        <v>342855</v>
      </c>
      <c r="D21" s="57">
        <f ca="1">IFERROR(__xludf.DUMMYFUNCTION("IMPORTRANGE(""https://docs.google.com/spreadsheets/d/1Y9LPKx95PyL5OKy09d-KbKJSuuEZCFdkhYjwC0XQjBA/edit?usp=sharing"",""พิจิตร!L634"")"),342855)</f>
        <v>342855</v>
      </c>
      <c r="E21" s="64">
        <f ca="1">IFERROR(__xludf.DUMMYFUNCTION("IMPORTRANGE(""https://docs.google.com/spreadsheets/d/1Y9LPKx95PyL5OKy09d-KbKJSuuEZCFdkhYjwC0XQjBA/edit?usp=sharing"",""พิจิตร!L641"")"),0)</f>
        <v>0</v>
      </c>
      <c r="F21" s="64">
        <f ca="1">IFERROR(__xludf.DUMMYFUNCTION("IMPORTRANGE(""https://docs.google.com/spreadsheets/d/1Y9LPKx95PyL5OKy09d-KbKJSuuEZCFdkhYjwC0XQjBA/edit?usp=sharing"",""พิจิตร!M634"")"),342855)</f>
        <v>342855</v>
      </c>
      <c r="G21" s="64">
        <f ca="1">IFERROR(__xludf.DUMMYFUNCTION("IMPORTRANGE(""https://docs.google.com/spreadsheets/d/1Y9LPKx95PyL5OKy09d-KbKJSuuEZCFdkhYjwC0XQjBA/edit?usp=sharing"",""พิจิตร!M641"")"),0)</f>
        <v>0</v>
      </c>
      <c r="H21" s="58">
        <f t="shared" ca="1" si="24"/>
        <v>157989.91</v>
      </c>
      <c r="I21" s="59">
        <f t="shared" ca="1" si="1"/>
        <v>46.0806784209068</v>
      </c>
      <c r="J21" s="60">
        <f t="shared" ca="1" si="41"/>
        <v>157989.91</v>
      </c>
      <c r="K21" s="61">
        <f t="shared" ca="1" si="31"/>
        <v>46.0806784209068</v>
      </c>
      <c r="L21" s="61">
        <f t="shared" ca="1" si="32"/>
        <v>46.0806784209068</v>
      </c>
      <c r="M21" s="64">
        <f ca="1">IFERROR(__xludf.DUMMYFUNCTION("IMPORTRANGE(""https://docs.google.com/spreadsheets/d/1Y9LPKx95PyL5OKy09d-KbKJSuuEZCFdkhYjwC0XQjBA/edit?usp=sharing"",""พิจิตร!N635"")"),0)</f>
        <v>0</v>
      </c>
      <c r="N21" s="64">
        <f ca="1">IFERROR(__xludf.DUMMYFUNCTION("IMPORTRANGE(""https://docs.google.com/spreadsheets/d/1Y9LPKx95PyL5OKy09d-KbKJSuuEZCFdkhYjwC0XQjBA/edit?usp=sharing"",""พิจิตร!N636"")"),0)</f>
        <v>0</v>
      </c>
      <c r="O21" s="64">
        <f ca="1">IFERROR(__xludf.DUMMYFUNCTION("IMPORTRANGE(""https://docs.google.com/spreadsheets/d/1Y9LPKx95PyL5OKy09d-KbKJSuuEZCFdkhYjwC0XQjBA/edit?usp=sharing"",""พิจิตร!N637"")"),63699.91)</f>
        <v>63699.91</v>
      </c>
      <c r="P21" s="64">
        <f ca="1">IFERROR(__xludf.DUMMYFUNCTION("IMPORTRANGE(""https://docs.google.com/spreadsheets/d/1Y9LPKx95PyL5OKy09d-KbKJSuuEZCFdkhYjwC0XQjBA/edit?usp=sharing"",""พิจิตร!N638"")"),94290)</f>
        <v>94290</v>
      </c>
      <c r="Q21" s="62">
        <f ca="1">IFERROR(__xludf.DUMMYFUNCTION("IMPORTRANGE(""https://docs.google.com/spreadsheets/d/1Y9LPKx95PyL5OKy09d-KbKJSuuEZCFdkhYjwC0XQjBA/edit?usp=sharing"",""พิจิตร!N641"")"),0)</f>
        <v>0</v>
      </c>
      <c r="R21" s="62">
        <f t="shared" ca="1" si="34"/>
        <v>0</v>
      </c>
      <c r="S21" s="57">
        <f ca="1">IFERROR(__xludf.DUMMYFUNCTION("IMPORTRANGE(""https://docs.google.com/spreadsheets/d/1Y9LPKx95PyL5OKy09d-KbKJSuuEZCFdkhYjwC0XQjBA/edit?usp=sharing"",""พิจิตร!I643"")"),0)</f>
        <v>0</v>
      </c>
      <c r="T21" s="57">
        <f ca="1">IFERROR(__xludf.DUMMYFUNCTION("IMPORTRANGE(""https://docs.google.com/spreadsheets/d/1Y9LPKx95PyL5OKy09d-KbKJSuuEZCFdkhYjwC0XQjBA/edit?usp=sharing"",""พิจิตร!J643"")"),0)</f>
        <v>0</v>
      </c>
      <c r="U21" s="63">
        <f t="shared" ca="1" si="25"/>
        <v>0</v>
      </c>
      <c r="V21" s="57">
        <f ca="1">IFERROR(__xludf.DUMMYFUNCTION("IMPORTRANGE(""https://docs.google.com/spreadsheets/d/1Y9LPKx95PyL5OKy09d-KbKJSuuEZCFdkhYjwC0XQjBA/edit?usp=sharing"",""พิจิตร!I644"")"),0)</f>
        <v>0</v>
      </c>
      <c r="W21" s="57">
        <f ca="1">IFERROR(__xludf.DUMMYFUNCTION("IMPORTRANGE(""https://docs.google.com/spreadsheets/d/1Y9LPKx95PyL5OKy09d-KbKJSuuEZCFdkhYjwC0XQjBA/edit?usp=sharing"",""พิจิตร!J644"")"),0)</f>
        <v>0</v>
      </c>
      <c r="X21" s="63">
        <f t="shared" ca="1" si="26"/>
        <v>0</v>
      </c>
      <c r="Y21" s="57">
        <f ca="1">IFERROR(__xludf.DUMMYFUNCTION("IMPORTRANGE(""https://docs.google.com/spreadsheets/d/1Y9LPKx95PyL5OKy09d-KbKJSuuEZCFdkhYjwC0XQjBA/edit?usp=sharing"",""พิจิตร!J645"")"),108)</f>
        <v>108</v>
      </c>
      <c r="Z21" s="63">
        <f ca="1">IFERROR(__xludf.DUMMYFUNCTION("IMPORTRANGE(""https://docs.google.com/spreadsheets/d/1Y9LPKx95PyL5OKy09d-KbKJSuuEZCFdkhYjwC0XQjBA/edit?usp=sharing"",""พิจิตร!J646"")"),66.68)</f>
        <v>66.680000000000007</v>
      </c>
      <c r="AA21" s="57">
        <f ca="1">IFERROR(__xludf.DUMMYFUNCTION("IMPORTRANGE(""https://docs.google.com/spreadsheets/d/1Y9LPKx95PyL5OKy09d-KbKJSuuEZCFdkhYjwC0XQjBA/edit?usp=sharing"",""พิจิตร!I647"")"),90)</f>
        <v>90</v>
      </c>
      <c r="AB21" s="57">
        <f ca="1">IFERROR(__xludf.DUMMYFUNCTION("IMPORTRANGE(""https://docs.google.com/spreadsheets/d/1Y9LPKx95PyL5OKy09d-KbKJSuuEZCFdkhYjwC0XQjBA/edit?usp=sharing"",""พิจิตร!J647"")"),125)</f>
        <v>125</v>
      </c>
      <c r="AC21" s="63">
        <f ca="1">IFERROR(__xludf.DUMMYFUNCTION("IMPORTRANGE(""https://docs.google.com/spreadsheets/d/1Y9LPKx95PyL5OKy09d-KbKJSuuEZCFdkhYjwC0XQjBA/edit?usp=sharing"",""พิจิตร!J648"")"),74.83)</f>
        <v>74.83</v>
      </c>
      <c r="AD21" s="63">
        <f t="shared" ca="1" si="27"/>
        <v>138.88888888888889</v>
      </c>
      <c r="AE21" s="140">
        <f ca="1">IFERROR(__xludf.DUMMYFUNCTION("IMPORTRANGE(""https://docs.google.com/spreadsheets/d/1Y9LPKx95PyL5OKy09d-KbKJSuuEZCFdkhYjwC0XQjBA/edit?usp=sharing"",""พิจิตร!I649"")"),90)</f>
        <v>90</v>
      </c>
      <c r="AF21" s="57">
        <f ca="1">IFERROR(__xludf.DUMMYFUNCTION("IMPORTRANGE(""https://docs.google.com/spreadsheets/d/1Y9LPKx95PyL5OKy09d-KbKJSuuEZCFdkhYjwC0XQjBA/edit?usp=sharing"",""พิจิตร!J649"")"),95)</f>
        <v>95</v>
      </c>
      <c r="AG21" s="63">
        <f ca="1">IFERROR(__xludf.DUMMYFUNCTION("IMPORTRANGE(""https://docs.google.com/spreadsheets/d/1Y9LPKx95PyL5OKy09d-KbKJSuuEZCFdkhYjwC0XQjBA/edit?usp=sharing"",""พิจิตร!J650"")"),58.18)</f>
        <v>58.18</v>
      </c>
      <c r="AH21" s="63">
        <f t="shared" ca="1" si="28"/>
        <v>105.55555555555556</v>
      </c>
      <c r="AI21" s="140">
        <f ca="1">IFERROR(__xludf.DUMMYFUNCTION("IMPORTRANGE(""https://docs.google.com/spreadsheets/d/1Y9LPKx95PyL5OKy09d-KbKJSuuEZCFdkhYjwC0XQjBA/edit?usp=sharing"",""พิจิตร!I651"")"),90)</f>
        <v>90</v>
      </c>
      <c r="AJ21" s="57">
        <f ca="1">IFERROR(__xludf.DUMMYFUNCTION("IMPORTRANGE(""https://docs.google.com/spreadsheets/d/1Y9LPKx95PyL5OKy09d-KbKJSuuEZCFdkhYjwC0XQjBA/edit?usp=sharing"",""พิจิตร!J651"")"),88)</f>
        <v>88</v>
      </c>
      <c r="AK21" s="63">
        <f ca="1">IFERROR(__xludf.DUMMYFUNCTION("IMPORTRANGE(""https://docs.google.com/spreadsheets/d/1Y9LPKx95PyL5OKy09d-KbKJSuuEZCFdkhYjwC0XQjBA/edit?usp=sharing"",""พิจิตร!J652"")"),55.78)</f>
        <v>55.78</v>
      </c>
      <c r="AL21" s="63">
        <f t="shared" ca="1" si="29"/>
        <v>97.777777777777771</v>
      </c>
    </row>
    <row r="22" spans="1:38" ht="24" customHeight="1" x14ac:dyDescent="0.3">
      <c r="A22" s="54">
        <v>9</v>
      </c>
      <c r="B22" s="55" t="s">
        <v>43</v>
      </c>
      <c r="C22" s="56">
        <f t="shared" ca="1" si="40"/>
        <v>354995</v>
      </c>
      <c r="D22" s="57">
        <f ca="1">IFERROR(__xludf.DUMMYFUNCTION("IMPORTRANGE(""https://docs.google.com/spreadsheets/d/16OMuOwy2eVqZcYWOouQtTpa8X1L23h4660uVHc0C8os/edit?usp=sharing"",""พิษณุโลก!L634"")"),354995)</f>
        <v>354995</v>
      </c>
      <c r="E22" s="64">
        <f ca="1">IFERROR(__xludf.DUMMYFUNCTION("IMPORTRANGE(""https://docs.google.com/spreadsheets/d/16OMuOwy2eVqZcYWOouQtTpa8X1L23h4660uVHc0C8os/edit?usp=sharing"",""พิษณุโลก!L641"")"),0)</f>
        <v>0</v>
      </c>
      <c r="F22" s="64">
        <f ca="1">IFERROR(__xludf.DUMMYFUNCTION("IMPORTRANGE(""https://docs.google.com/spreadsheets/d/16OMuOwy2eVqZcYWOouQtTpa8X1L23h4660uVHc0C8os/edit?usp=sharing"",""พิษณุโลก!M634"")"),354995)</f>
        <v>354995</v>
      </c>
      <c r="G22" s="64">
        <f ca="1">IFERROR(__xludf.DUMMYFUNCTION("IMPORTRANGE(""https://docs.google.com/spreadsheets/d/16OMuOwy2eVqZcYWOouQtTpa8X1L23h4660uVHc0C8os/edit?usp=sharing"",""พิษณุโลก!M641"")"),0)</f>
        <v>0</v>
      </c>
      <c r="H22" s="58">
        <f t="shared" ca="1" si="24"/>
        <v>113637.6</v>
      </c>
      <c r="I22" s="59">
        <f t="shared" ca="1" si="1"/>
        <v>32.011042409048017</v>
      </c>
      <c r="J22" s="60">
        <f t="shared" ca="1" si="41"/>
        <v>113637.6</v>
      </c>
      <c r="K22" s="61">
        <f t="shared" ca="1" si="31"/>
        <v>32.011042409048017</v>
      </c>
      <c r="L22" s="61">
        <f t="shared" ca="1" si="32"/>
        <v>32.011042409048017</v>
      </c>
      <c r="M22" s="64">
        <f ca="1">IFERROR(__xludf.DUMMYFUNCTION("IMPORTRANGE(""https://docs.google.com/spreadsheets/d/16OMuOwy2eVqZcYWOouQtTpa8X1L23h4660uVHc0C8os/edit?usp=sharing"",""พิษณุโลก!N635"")"),0)</f>
        <v>0</v>
      </c>
      <c r="N22" s="64">
        <f ca="1">IFERROR(__xludf.DUMMYFUNCTION("IMPORTRANGE(""https://docs.google.com/spreadsheets/d/16OMuOwy2eVqZcYWOouQtTpa8X1L23h4660uVHc0C8os/edit?usp=sharing"",""พิษณุโลก!N636"")"),0)</f>
        <v>0</v>
      </c>
      <c r="O22" s="64">
        <f ca="1">IFERROR(__xludf.DUMMYFUNCTION("IMPORTRANGE(""https://docs.google.com/spreadsheets/d/16OMuOwy2eVqZcYWOouQtTpa8X1L23h4660uVHc0C8os/edit?usp=sharing"",""พิษณุโลก!N637"")"),64566.67)</f>
        <v>64566.67</v>
      </c>
      <c r="P22" s="64">
        <f ca="1">IFERROR(__xludf.DUMMYFUNCTION("IMPORTRANGE(""https://docs.google.com/spreadsheets/d/16OMuOwy2eVqZcYWOouQtTpa8X1L23h4660uVHc0C8os/edit?usp=sharing"",""พิษณุโลก!N638"")"),49070.93)</f>
        <v>49070.93</v>
      </c>
      <c r="Q22" s="62">
        <f ca="1">IFERROR(__xludf.DUMMYFUNCTION("IMPORTRANGE(""https://docs.google.com/spreadsheets/d/16OMuOwy2eVqZcYWOouQtTpa8X1L23h4660uVHc0C8os/edit?usp=sharing"",""พิษณุโลก!N641"")"),0)</f>
        <v>0</v>
      </c>
      <c r="R22" s="62">
        <f t="shared" ca="1" si="34"/>
        <v>0</v>
      </c>
      <c r="S22" s="57">
        <f ca="1">IFERROR(__xludf.DUMMYFUNCTION("IMPORTRANGE(""https://docs.google.com/spreadsheets/d/16OMuOwy2eVqZcYWOouQtTpa8X1L23h4660uVHc0C8os/edit?usp=sharing"",""พิษณุโลก!I643"")"),0)</f>
        <v>0</v>
      </c>
      <c r="T22" s="57">
        <f ca="1">IFERROR(__xludf.DUMMYFUNCTION("IMPORTRANGE(""https://docs.google.com/spreadsheets/d/16OMuOwy2eVqZcYWOouQtTpa8X1L23h4660uVHc0C8os/edit?usp=sharing"",""พิษณุโลก!J643"")"),0)</f>
        <v>0</v>
      </c>
      <c r="U22" s="63">
        <f t="shared" ca="1" si="25"/>
        <v>0</v>
      </c>
      <c r="V22" s="57">
        <f ca="1">IFERROR(__xludf.DUMMYFUNCTION("IMPORTRANGE(""https://docs.google.com/spreadsheets/d/16OMuOwy2eVqZcYWOouQtTpa8X1L23h4660uVHc0C8os/edit?usp=sharing"",""พิษณุโลก!I644"")"),0)</f>
        <v>0</v>
      </c>
      <c r="W22" s="57">
        <f ca="1">IFERROR(__xludf.DUMMYFUNCTION("IMPORTRANGE(""https://docs.google.com/spreadsheets/d/16OMuOwy2eVqZcYWOouQtTpa8X1L23h4660uVHc0C8os/edit?usp=sharing"",""พิษณุโลก!J644"")"),0)</f>
        <v>0</v>
      </c>
      <c r="X22" s="63">
        <f t="shared" ca="1" si="26"/>
        <v>0</v>
      </c>
      <c r="Y22" s="57">
        <f ca="1">IFERROR(__xludf.DUMMYFUNCTION("IMPORTRANGE(""https://docs.google.com/spreadsheets/d/16OMuOwy2eVqZcYWOouQtTpa8X1L23h4660uVHc0C8os/edit?usp=sharing"",""พิษณุโลก!J645"")"),0)</f>
        <v>0</v>
      </c>
      <c r="Z22" s="63">
        <f ca="1">IFERROR(__xludf.DUMMYFUNCTION("IMPORTRANGE(""https://docs.google.com/spreadsheets/d/16OMuOwy2eVqZcYWOouQtTpa8X1L23h4660uVHc0C8os/edit?usp=sharing"",""พิษณุโลก!J646"")"),0)</f>
        <v>0</v>
      </c>
      <c r="AA22" s="57">
        <f ca="1">IFERROR(__xludf.DUMMYFUNCTION("IMPORTRANGE(""https://docs.google.com/spreadsheets/d/16OMuOwy2eVqZcYWOouQtTpa8X1L23h4660uVHc0C8os/edit?usp=sharing"",""พิษณุโลก!I647"")"),100)</f>
        <v>100</v>
      </c>
      <c r="AB22" s="57">
        <f ca="1">IFERROR(__xludf.DUMMYFUNCTION("IMPORTRANGE(""https://docs.google.com/spreadsheets/d/16OMuOwy2eVqZcYWOouQtTpa8X1L23h4660uVHc0C8os/edit?usp=sharing"",""พิษณุโลก!J647"")"),32)</f>
        <v>32</v>
      </c>
      <c r="AC22" s="63">
        <f ca="1">IFERROR(__xludf.DUMMYFUNCTION("IMPORTRANGE(""https://docs.google.com/spreadsheets/d/16OMuOwy2eVqZcYWOouQtTpa8X1L23h4660uVHc0C8os/edit?usp=sharing"",""พิษณุโลก!J648"")"),41.46)</f>
        <v>41.46</v>
      </c>
      <c r="AD22" s="63">
        <f t="shared" ca="1" si="27"/>
        <v>32</v>
      </c>
      <c r="AE22" s="140">
        <f ca="1">IFERROR(__xludf.DUMMYFUNCTION("IMPORTRANGE(""https://docs.google.com/spreadsheets/d/16OMuOwy2eVqZcYWOouQtTpa8X1L23h4660uVHc0C8os/edit?usp=sharing"",""พิษณุโลก!I649"")"),100)</f>
        <v>100</v>
      </c>
      <c r="AF22" s="57">
        <f ca="1">IFERROR(__xludf.DUMMYFUNCTION("IMPORTRANGE(""https://docs.google.com/spreadsheets/d/16OMuOwy2eVqZcYWOouQtTpa8X1L23h4660uVHc0C8os/edit?usp=sharing"",""พิษณุโลก!J649"")"),32)</f>
        <v>32</v>
      </c>
      <c r="AG22" s="63">
        <f ca="1">IFERROR(__xludf.DUMMYFUNCTION("IMPORTRANGE(""https://docs.google.com/spreadsheets/d/16OMuOwy2eVqZcYWOouQtTpa8X1L23h4660uVHc0C8os/edit?usp=sharing"",""พิษณุโลก!J650"")"),41.46)</f>
        <v>41.46</v>
      </c>
      <c r="AH22" s="63">
        <f t="shared" ca="1" si="28"/>
        <v>32</v>
      </c>
      <c r="AI22" s="140">
        <f ca="1">IFERROR(__xludf.DUMMYFUNCTION("IMPORTRANGE(""https://docs.google.com/spreadsheets/d/16OMuOwy2eVqZcYWOouQtTpa8X1L23h4660uVHc0C8os/edit?usp=sharing"",""พิษณุโลก!I651"")"),100)</f>
        <v>100</v>
      </c>
      <c r="AJ22" s="57">
        <f ca="1">IFERROR(__xludf.DUMMYFUNCTION("IMPORTRANGE(""https://docs.google.com/spreadsheets/d/16OMuOwy2eVqZcYWOouQtTpa8X1L23h4660uVHc0C8os/edit?usp=sharing"",""พิษณุโลก!J651"")"),27)</f>
        <v>27</v>
      </c>
      <c r="AK22" s="63">
        <f ca="1">IFERROR(__xludf.DUMMYFUNCTION("IMPORTRANGE(""https://docs.google.com/spreadsheets/d/16OMuOwy2eVqZcYWOouQtTpa8X1L23h4660uVHc0C8os/edit?usp=sharing"",""พิษณุโลก!J652"")"),37.235)</f>
        <v>37.234999999999999</v>
      </c>
      <c r="AL22" s="63">
        <f t="shared" ca="1" si="29"/>
        <v>27</v>
      </c>
    </row>
    <row r="23" spans="1:38" ht="24" customHeight="1" x14ac:dyDescent="0.3">
      <c r="A23" s="54">
        <v>10</v>
      </c>
      <c r="B23" s="55" t="s">
        <v>44</v>
      </c>
      <c r="C23" s="56">
        <f t="shared" ca="1" si="40"/>
        <v>595365</v>
      </c>
      <c r="D23" s="57">
        <f ca="1">IFERROR(__xludf.DUMMYFUNCTION("IMPORTRANGE(""https://docs.google.com/spreadsheets/d/1GfgTldLG6k77HXaMQzaafODklYuucJZQNs_GAPEfZyY/edit?usp=sharing"",""เพชรบูรณ์!L634"")"),595365)</f>
        <v>595365</v>
      </c>
      <c r="E23" s="64">
        <f ca="1">IFERROR(__xludf.DUMMYFUNCTION("IMPORTRANGE(""https://docs.google.com/spreadsheets/d/1GfgTldLG6k77HXaMQzaafODklYuucJZQNs_GAPEfZyY/edit?usp=sharing"",""เพชรบูรณ์!L641"")"),0)</f>
        <v>0</v>
      </c>
      <c r="F23" s="64">
        <f ca="1">IFERROR(__xludf.DUMMYFUNCTION("IMPORTRANGE(""https://docs.google.com/spreadsheets/d/1GfgTldLG6k77HXaMQzaafODklYuucJZQNs_GAPEfZyY/edit?usp=sharing"",""เพชรบูรณ์!M634"")"),595365)</f>
        <v>595365</v>
      </c>
      <c r="G23" s="64">
        <f ca="1">IFERROR(__xludf.DUMMYFUNCTION("IMPORTRANGE(""https://docs.google.com/spreadsheets/d/1GfgTldLG6k77HXaMQzaafODklYuucJZQNs_GAPEfZyY/edit?usp=sharing"",""เพชรบูรณ์!M641"")"),0)</f>
        <v>0</v>
      </c>
      <c r="H23" s="58">
        <f t="shared" ca="1" si="24"/>
        <v>269350.95</v>
      </c>
      <c r="I23" s="59">
        <f t="shared" ca="1" si="1"/>
        <v>45.241314151822834</v>
      </c>
      <c r="J23" s="60">
        <f t="shared" ca="1" si="41"/>
        <v>269350.95</v>
      </c>
      <c r="K23" s="61">
        <f t="shared" ca="1" si="31"/>
        <v>45.241314151822834</v>
      </c>
      <c r="L23" s="61">
        <f t="shared" ca="1" si="32"/>
        <v>45.241314151822834</v>
      </c>
      <c r="M23" s="64">
        <f ca="1">IFERROR(__xludf.DUMMYFUNCTION("IMPORTRANGE(""https://docs.google.com/spreadsheets/d/1GfgTldLG6k77HXaMQzaafODklYuucJZQNs_GAPEfZyY/edit?usp=sharing"",""เพชรบูรณ์!N635"")"),0)</f>
        <v>0</v>
      </c>
      <c r="N23" s="64">
        <f ca="1">IFERROR(__xludf.DUMMYFUNCTION("IMPORTRANGE(""https://docs.google.com/spreadsheets/d/1GfgTldLG6k77HXaMQzaafODklYuucJZQNs_GAPEfZyY/edit?usp=sharing"",""เพชรบูรณ์!N636"")"),16330)</f>
        <v>16330</v>
      </c>
      <c r="O23" s="64">
        <f ca="1">IFERROR(__xludf.DUMMYFUNCTION("IMPORTRANGE(""https://docs.google.com/spreadsheets/d/1GfgTldLG6k77HXaMQzaafODklYuucJZQNs_GAPEfZyY/edit?usp=sharing"",""เพชรบูรณ์!N637"")"),77124)</f>
        <v>77124</v>
      </c>
      <c r="P23" s="64">
        <f ca="1">IFERROR(__xludf.DUMMYFUNCTION("IMPORTRANGE(""https://docs.google.com/spreadsheets/d/1GfgTldLG6k77HXaMQzaafODklYuucJZQNs_GAPEfZyY/edit?usp=sharing"",""เพชรบูรณ์!N638"")"),175896.95)</f>
        <v>175896.95</v>
      </c>
      <c r="Q23" s="62">
        <f ca="1">IFERROR(__xludf.DUMMYFUNCTION("IMPORTRANGE(""https://docs.google.com/spreadsheets/d/1GfgTldLG6k77HXaMQzaafODklYuucJZQNs_GAPEfZyY/edit?usp=sharing"",""เพชรบูรณ์!N641"")"),0)</f>
        <v>0</v>
      </c>
      <c r="R23" s="62">
        <f t="shared" ca="1" si="34"/>
        <v>0</v>
      </c>
      <c r="S23" s="57">
        <f ca="1">IFERROR(__xludf.DUMMYFUNCTION("IMPORTRANGE(""https://docs.google.com/spreadsheets/d/1GfgTldLG6k77HXaMQzaafODklYuucJZQNs_GAPEfZyY/edit?usp=sharing"",""เพชรบูรณ์!I643"")"),2)</f>
        <v>2</v>
      </c>
      <c r="T23" s="57">
        <f ca="1">IFERROR(__xludf.DUMMYFUNCTION("IMPORTRANGE(""https://docs.google.com/spreadsheets/d/1GfgTldLG6k77HXaMQzaafODklYuucJZQNs_GAPEfZyY/edit?usp=sharing"",""เพชรบูรณ์!J643"")"),5)</f>
        <v>5</v>
      </c>
      <c r="U23" s="63">
        <f t="shared" ca="1" si="25"/>
        <v>250</v>
      </c>
      <c r="V23" s="57">
        <f ca="1">IFERROR(__xludf.DUMMYFUNCTION("IMPORTRANGE(""https://docs.google.com/spreadsheets/d/1GfgTldLG6k77HXaMQzaafODklYuucJZQNs_GAPEfZyY/edit?usp=sharing"",""เพชรบูรณ์!I644"")"),2)</f>
        <v>2</v>
      </c>
      <c r="W23" s="57">
        <f ca="1">IFERROR(__xludf.DUMMYFUNCTION("IMPORTRANGE(""https://docs.google.com/spreadsheets/d/1GfgTldLG6k77HXaMQzaafODklYuucJZQNs_GAPEfZyY/edit?usp=sharing"",""เพชรบูรณ์!J644"")"),5)</f>
        <v>5</v>
      </c>
      <c r="X23" s="63">
        <f t="shared" ca="1" si="26"/>
        <v>250</v>
      </c>
      <c r="Y23" s="57">
        <f ca="1">IFERROR(__xludf.DUMMYFUNCTION("IMPORTRANGE(""https://docs.google.com/spreadsheets/d/1GfgTldLG6k77HXaMQzaafODklYuucJZQNs_GAPEfZyY/edit?usp=sharing"",""เพชรบูรณ์!J645"")"),213)</f>
        <v>213</v>
      </c>
      <c r="Z23" s="63">
        <f ca="1">IFERROR(__xludf.DUMMYFUNCTION("IMPORTRANGE(""https://docs.google.com/spreadsheets/d/1GfgTldLG6k77HXaMQzaafODklYuucJZQNs_GAPEfZyY/edit?usp=sharing"",""เพชรบูรณ์!J646"")"),141.5)</f>
        <v>141.5</v>
      </c>
      <c r="AA23" s="57">
        <f ca="1">IFERROR(__xludf.DUMMYFUNCTION("IMPORTRANGE(""https://docs.google.com/spreadsheets/d/1GfgTldLG6k77HXaMQzaafODklYuucJZQNs_GAPEfZyY/edit?usp=sharing"",""เพชรบูรณ์!I647"")"),430)</f>
        <v>430</v>
      </c>
      <c r="AB23" s="57">
        <f ca="1">IFERROR(__xludf.DUMMYFUNCTION("IMPORTRANGE(""https://docs.google.com/spreadsheets/d/1GfgTldLG6k77HXaMQzaafODklYuucJZQNs_GAPEfZyY/edit?usp=sharing"",""เพชรบูรณ์!J647"")"),242)</f>
        <v>242</v>
      </c>
      <c r="AC23" s="63">
        <f ca="1">IFERROR(__xludf.DUMMYFUNCTION("IMPORTRANGE(""https://docs.google.com/spreadsheets/d/1GfgTldLG6k77HXaMQzaafODklYuucJZQNs_GAPEfZyY/edit?usp=sharing"",""เพชรบูรณ์!J648"")"),160.17)</f>
        <v>160.16999999999999</v>
      </c>
      <c r="AD23" s="63">
        <f t="shared" ca="1" si="27"/>
        <v>56.279069767441861</v>
      </c>
      <c r="AE23" s="140">
        <f ca="1">IFERROR(__xludf.DUMMYFUNCTION("IMPORTRANGE(""https://docs.google.com/spreadsheets/d/1GfgTldLG6k77HXaMQzaafODklYuucJZQNs_GAPEfZyY/edit?usp=sharing"",""เพชรบูรณ์!I649"")"),430)</f>
        <v>430</v>
      </c>
      <c r="AF23" s="57">
        <f ca="1">IFERROR(__xludf.DUMMYFUNCTION("IMPORTRANGE(""https://docs.google.com/spreadsheets/d/1GfgTldLG6k77HXaMQzaafODklYuucJZQNs_GAPEfZyY/edit?usp=sharing"",""เพชรบูรณ์!J649"")"),322)</f>
        <v>322</v>
      </c>
      <c r="AG23" s="63">
        <f ca="1">IFERROR(__xludf.DUMMYFUNCTION("IMPORTRANGE(""https://docs.google.com/spreadsheets/d/1GfgTldLG6k77HXaMQzaafODklYuucJZQNs_GAPEfZyY/edit?usp=sharing"",""เพชรบูรณ์!J650"")"),189.54)</f>
        <v>189.54</v>
      </c>
      <c r="AH23" s="63">
        <f t="shared" ca="1" si="28"/>
        <v>74.883720930232556</v>
      </c>
      <c r="AI23" s="140">
        <f ca="1">IFERROR(__xludf.DUMMYFUNCTION("IMPORTRANGE(""https://docs.google.com/spreadsheets/d/1GfgTldLG6k77HXaMQzaafODklYuucJZQNs_GAPEfZyY/edit?usp=sharing"",""เพชรบูรณ์!I651"")"),430)</f>
        <v>430</v>
      </c>
      <c r="AJ23" s="57">
        <f ca="1">IFERROR(__xludf.DUMMYFUNCTION("IMPORTRANGE(""https://docs.google.com/spreadsheets/d/1GfgTldLG6k77HXaMQzaafODklYuucJZQNs_GAPEfZyY/edit?usp=sharing"",""เพชรบูรณ์!J651"")"),202)</f>
        <v>202</v>
      </c>
      <c r="AK23" s="63">
        <f ca="1">IFERROR(__xludf.DUMMYFUNCTION("IMPORTRANGE(""https://docs.google.com/spreadsheets/d/1GfgTldLG6k77HXaMQzaafODklYuucJZQNs_GAPEfZyY/edit?usp=sharing"",""เพชรบูรณ์!J652"")"),95.25)</f>
        <v>95.25</v>
      </c>
      <c r="AL23" s="63">
        <f t="shared" ca="1" si="29"/>
        <v>46.97674418604651</v>
      </c>
    </row>
    <row r="24" spans="1:38" ht="24" customHeight="1" x14ac:dyDescent="0.3">
      <c r="A24" s="54">
        <v>11</v>
      </c>
      <c r="B24" s="55" t="s">
        <v>45</v>
      </c>
      <c r="C24" s="56">
        <f t="shared" ca="1" si="40"/>
        <v>170675</v>
      </c>
      <c r="D24" s="57">
        <f ca="1">IFERROR(__xludf.DUMMYFUNCTION("IMPORTRANGE(""https://docs.google.com/spreadsheets/d/1gvTMYAnm7v1yG1BKWFtr0DnaTsq59oW9dwWvFgq6hs0/edit?usp=sharing"",""แพร่!L634"")"),170675)</f>
        <v>170675</v>
      </c>
      <c r="E24" s="64">
        <f ca="1">IFERROR(__xludf.DUMMYFUNCTION("IMPORTRANGE(""https://docs.google.com/spreadsheets/d/1gvTMYAnm7v1yG1BKWFtr0DnaTsq59oW9dwWvFgq6hs0/edit?usp=sharing"",""แพร่!L641"")"),0)</f>
        <v>0</v>
      </c>
      <c r="F24" s="64">
        <f ca="1">IFERROR(__xludf.DUMMYFUNCTION("IMPORTRANGE(""https://docs.google.com/spreadsheets/d/1gvTMYAnm7v1yG1BKWFtr0DnaTsq59oW9dwWvFgq6hs0/edit?usp=sharing"",""แพร่!M634"")"),170675)</f>
        <v>170675</v>
      </c>
      <c r="G24" s="64">
        <f ca="1">IFERROR(__xludf.DUMMYFUNCTION("IMPORTRANGE(""https://docs.google.com/spreadsheets/d/1gvTMYAnm7v1yG1BKWFtr0DnaTsq59oW9dwWvFgq6hs0/edit?usp=sharing"",""แพร่!M641"")"),0)</f>
        <v>0</v>
      </c>
      <c r="H24" s="58">
        <f t="shared" ca="1" si="24"/>
        <v>69618</v>
      </c>
      <c r="I24" s="59">
        <f t="shared" ca="1" si="1"/>
        <v>40.789805185293687</v>
      </c>
      <c r="J24" s="60">
        <f t="shared" ca="1" si="41"/>
        <v>69618</v>
      </c>
      <c r="K24" s="61">
        <f t="shared" ca="1" si="31"/>
        <v>40.789805185293687</v>
      </c>
      <c r="L24" s="61">
        <f t="shared" ca="1" si="32"/>
        <v>40.789805185293687</v>
      </c>
      <c r="M24" s="64">
        <f ca="1">IFERROR(__xludf.DUMMYFUNCTION("IMPORTRANGE(""https://docs.google.com/spreadsheets/d/1gvTMYAnm7v1yG1BKWFtr0DnaTsq59oW9dwWvFgq6hs0/edit?usp=sharing"",""แพร่!N635"")"),0)</f>
        <v>0</v>
      </c>
      <c r="N24" s="64">
        <f ca="1">IFERROR(__xludf.DUMMYFUNCTION("IMPORTRANGE(""https://docs.google.com/spreadsheets/d/1gvTMYAnm7v1yG1BKWFtr0DnaTsq59oW9dwWvFgq6hs0/edit?usp=sharing"",""แพร่!N636"")"),0)</f>
        <v>0</v>
      </c>
      <c r="O24" s="64">
        <f ca="1">IFERROR(__xludf.DUMMYFUNCTION("IMPORTRANGE(""https://docs.google.com/spreadsheets/d/1gvTMYAnm7v1yG1BKWFtr0DnaTsq59oW9dwWvFgq6hs0/edit?usp=sharing"",""แพร่!N637"")"),0)</f>
        <v>0</v>
      </c>
      <c r="P24" s="64">
        <f ca="1">IFERROR(__xludf.DUMMYFUNCTION("IMPORTRANGE(""https://docs.google.com/spreadsheets/d/1gvTMYAnm7v1yG1BKWFtr0DnaTsq59oW9dwWvFgq6hs0/edit?usp=sharing"",""แพร่!N638"")"),69618)</f>
        <v>69618</v>
      </c>
      <c r="Q24" s="62">
        <f ca="1">IFERROR(__xludf.DUMMYFUNCTION("IMPORTRANGE(""https://docs.google.com/spreadsheets/d/1gvTMYAnm7v1yG1BKWFtr0DnaTsq59oW9dwWvFgq6hs0/edit?usp=sharing"",""แพร่!N641"")"),0)</f>
        <v>0</v>
      </c>
      <c r="R24" s="62">
        <f t="shared" ca="1" si="34"/>
        <v>0</v>
      </c>
      <c r="S24" s="57">
        <f ca="1">IFERROR(__xludf.DUMMYFUNCTION("IMPORTRANGE(""https://docs.google.com/spreadsheets/d/1gvTMYAnm7v1yG1BKWFtr0DnaTsq59oW9dwWvFgq6hs0/edit?usp=sharing"",""แพร่!I643"")"),0)</f>
        <v>0</v>
      </c>
      <c r="T24" s="57">
        <f ca="1">IFERROR(__xludf.DUMMYFUNCTION("IMPORTRANGE(""https://docs.google.com/spreadsheets/d/1gvTMYAnm7v1yG1BKWFtr0DnaTsq59oW9dwWvFgq6hs0/edit?usp=sharing"",""แพร่!J643"")"),0)</f>
        <v>0</v>
      </c>
      <c r="U24" s="63">
        <f t="shared" ca="1" si="25"/>
        <v>0</v>
      </c>
      <c r="V24" s="57">
        <f ca="1">IFERROR(__xludf.DUMMYFUNCTION("IMPORTRANGE(""https://docs.google.com/spreadsheets/d/1gvTMYAnm7v1yG1BKWFtr0DnaTsq59oW9dwWvFgq6hs0/edit?usp=sharing"",""แพร่!I644"")"),0)</f>
        <v>0</v>
      </c>
      <c r="W24" s="57">
        <f ca="1">IFERROR(__xludf.DUMMYFUNCTION("IMPORTRANGE(""https://docs.google.com/spreadsheets/d/1gvTMYAnm7v1yG1BKWFtr0DnaTsq59oW9dwWvFgq6hs0/edit?usp=sharing"",""แพร่!J644"")"),0)</f>
        <v>0</v>
      </c>
      <c r="X24" s="63">
        <f t="shared" ca="1" si="26"/>
        <v>0</v>
      </c>
      <c r="Y24" s="57">
        <f ca="1">IFERROR(__xludf.DUMMYFUNCTION("IMPORTRANGE(""https://docs.google.com/spreadsheets/d/1gvTMYAnm7v1yG1BKWFtr0DnaTsq59oW9dwWvFgq6hs0/edit?usp=sharing"",""แพร่!J645"")"),0)</f>
        <v>0</v>
      </c>
      <c r="Z24" s="63">
        <f ca="1">IFERROR(__xludf.DUMMYFUNCTION("IMPORTRANGE(""https://docs.google.com/spreadsheets/d/1gvTMYAnm7v1yG1BKWFtr0DnaTsq59oW9dwWvFgq6hs0/edit?usp=sharing"",""แพร่!J646"")"),0)</f>
        <v>0</v>
      </c>
      <c r="AA24" s="57">
        <f ca="1">IFERROR(__xludf.DUMMYFUNCTION("IMPORTRANGE(""https://docs.google.com/spreadsheets/d/1gvTMYAnm7v1yG1BKWFtr0DnaTsq59oW9dwWvFgq6hs0/edit?usp=sharing"",""แพร่!I647"")"),25)</f>
        <v>25</v>
      </c>
      <c r="AB24" s="57">
        <f ca="1">IFERROR(__xludf.DUMMYFUNCTION("IMPORTRANGE(""https://docs.google.com/spreadsheets/d/1gvTMYAnm7v1yG1BKWFtr0DnaTsq59oW9dwWvFgq6hs0/edit?usp=sharing"",""แพร่!J647"")"),0)</f>
        <v>0</v>
      </c>
      <c r="AC24" s="63">
        <f ca="1">IFERROR(__xludf.DUMMYFUNCTION("IMPORTRANGE(""https://docs.google.com/spreadsheets/d/1gvTMYAnm7v1yG1BKWFtr0DnaTsq59oW9dwWvFgq6hs0/edit?usp=sharing"",""แพร่!J648"")"),0)</f>
        <v>0</v>
      </c>
      <c r="AD24" s="63">
        <f t="shared" ca="1" si="27"/>
        <v>0</v>
      </c>
      <c r="AE24" s="140">
        <f ca="1">IFERROR(__xludf.DUMMYFUNCTION("IMPORTRANGE(""https://docs.google.com/spreadsheets/d/1gvTMYAnm7v1yG1BKWFtr0DnaTsq59oW9dwWvFgq6hs0/edit?usp=sharing"",""แพร่!I649"")"),25)</f>
        <v>25</v>
      </c>
      <c r="AF24" s="57">
        <f ca="1">IFERROR(__xludf.DUMMYFUNCTION("IMPORTRANGE(""https://docs.google.com/spreadsheets/d/1gvTMYAnm7v1yG1BKWFtr0DnaTsq59oW9dwWvFgq6hs0/edit?usp=sharing"",""แพร่!J649"")"),0)</f>
        <v>0</v>
      </c>
      <c r="AG24" s="63">
        <f ca="1">IFERROR(__xludf.DUMMYFUNCTION("IMPORTRANGE(""https://docs.google.com/spreadsheets/d/1gvTMYAnm7v1yG1BKWFtr0DnaTsq59oW9dwWvFgq6hs0/edit?usp=sharing"",""แพร่!J650"")"),0)</f>
        <v>0</v>
      </c>
      <c r="AH24" s="63">
        <f t="shared" ca="1" si="28"/>
        <v>0</v>
      </c>
      <c r="AI24" s="140">
        <f ca="1">IFERROR(__xludf.DUMMYFUNCTION("IMPORTRANGE(""https://docs.google.com/spreadsheets/d/1gvTMYAnm7v1yG1BKWFtr0DnaTsq59oW9dwWvFgq6hs0/edit?usp=sharing"",""แพร่!I651"")"),25)</f>
        <v>25</v>
      </c>
      <c r="AJ24" s="57">
        <f ca="1">IFERROR(__xludf.DUMMYFUNCTION("IMPORTRANGE(""https://docs.google.com/spreadsheets/d/1gvTMYAnm7v1yG1BKWFtr0DnaTsq59oW9dwWvFgq6hs0/edit?usp=sharing"",""แพร่!J651"")"),0)</f>
        <v>0</v>
      </c>
      <c r="AK24" s="63">
        <f ca="1">IFERROR(__xludf.DUMMYFUNCTION("IMPORTRANGE(""https://docs.google.com/spreadsheets/d/1gvTMYAnm7v1yG1BKWFtr0DnaTsq59oW9dwWvFgq6hs0/edit?usp=sharing"",""แพร่!J652"")"),0)</f>
        <v>0</v>
      </c>
      <c r="AL24" s="63">
        <f t="shared" ca="1" si="29"/>
        <v>0</v>
      </c>
    </row>
    <row r="25" spans="1:38" ht="24" customHeight="1" x14ac:dyDescent="0.3">
      <c r="A25" s="54">
        <v>12</v>
      </c>
      <c r="B25" s="55" t="s">
        <v>46</v>
      </c>
      <c r="C25" s="56">
        <f t="shared" ca="1" si="40"/>
        <v>0</v>
      </c>
      <c r="D25" s="57">
        <f ca="1">IFERROR(__xludf.DUMMYFUNCTION("IMPORTRANGE(""https://docs.google.com/spreadsheets/d/1Wbcosgy-Xa1xXUArJSOenub6EfZHUSzc_bpJFWwQUf0/edit?usp=sharing"",""แม่ฮ่องสอน!L634"")"),0)</f>
        <v>0</v>
      </c>
      <c r="E25" s="64">
        <f ca="1">IFERROR(__xludf.DUMMYFUNCTION("IMPORTRANGE(""https://docs.google.com/spreadsheets/d/1Wbcosgy-Xa1xXUArJSOenub6EfZHUSzc_bpJFWwQUf0/edit?usp=sharing"",""แม่ฮ่องสอน!L641"")"),0)</f>
        <v>0</v>
      </c>
      <c r="F25" s="64">
        <f ca="1">IFERROR(__xludf.DUMMYFUNCTION("IMPORTRANGE(""https://docs.google.com/spreadsheets/d/1Wbcosgy-Xa1xXUArJSOenub6EfZHUSzc_bpJFWwQUf0/edit?usp=sharing"",""แม่ฮ่องสอน!M634"")"),0)</f>
        <v>0</v>
      </c>
      <c r="G25" s="64">
        <f ca="1">IFERROR(__xludf.DUMMYFUNCTION("IMPORTRANGE(""https://docs.google.com/spreadsheets/d/1Wbcosgy-Xa1xXUArJSOenub6EfZHUSzc_bpJFWwQUf0/edit?usp=sharing"",""แม่ฮ่องสอน!M641"")"),0)</f>
        <v>0</v>
      </c>
      <c r="H25" s="58">
        <f t="shared" ca="1" si="24"/>
        <v>0</v>
      </c>
      <c r="I25" s="59">
        <f t="shared" ca="1" si="1"/>
        <v>0</v>
      </c>
      <c r="J25" s="60">
        <f t="shared" ca="1" si="41"/>
        <v>0</v>
      </c>
      <c r="K25" s="61">
        <f t="shared" ca="1" si="31"/>
        <v>0</v>
      </c>
      <c r="L25" s="61">
        <f t="shared" ca="1" si="32"/>
        <v>0</v>
      </c>
      <c r="M25" s="64">
        <f ca="1">IFERROR(__xludf.DUMMYFUNCTION("IMPORTRANGE(""https://docs.google.com/spreadsheets/d/1Wbcosgy-Xa1xXUArJSOenub6EfZHUSzc_bpJFWwQUf0/edit?usp=sharing"",""แม่ฮ่องสอน!N635"")"),0)</f>
        <v>0</v>
      </c>
      <c r="N25" s="64">
        <f ca="1">IFERROR(__xludf.DUMMYFUNCTION("IMPORTRANGE(""https://docs.google.com/spreadsheets/d/1Wbcosgy-Xa1xXUArJSOenub6EfZHUSzc_bpJFWwQUf0/edit?usp=sharing"",""แม่ฮ่องสอน!N636"")"),0)</f>
        <v>0</v>
      </c>
      <c r="O25" s="64">
        <f ca="1">IFERROR(__xludf.DUMMYFUNCTION("IMPORTRANGE(""https://docs.google.com/spreadsheets/d/1Wbcosgy-Xa1xXUArJSOenub6EfZHUSzc_bpJFWwQUf0/edit?usp=sharing"",""แม่ฮ่องสอน!N637"")"),0)</f>
        <v>0</v>
      </c>
      <c r="P25" s="64">
        <f ca="1">IFERROR(__xludf.DUMMYFUNCTION("IMPORTRANGE(""https://docs.google.com/spreadsheets/d/1Wbcosgy-Xa1xXUArJSOenub6EfZHUSzc_bpJFWwQUf0/edit?usp=sharing"",""แม่ฮ่องสอน!N638"")"),0)</f>
        <v>0</v>
      </c>
      <c r="Q25" s="62">
        <f ca="1">IFERROR(__xludf.DUMMYFUNCTION("IMPORTRANGE(""https://docs.google.com/spreadsheets/d/1Wbcosgy-Xa1xXUArJSOenub6EfZHUSzc_bpJFWwQUf0/edit?usp=sharing"",""แม่ฮ่องสอน!N641"")"),0)</f>
        <v>0</v>
      </c>
      <c r="R25" s="62">
        <f t="shared" ca="1" si="34"/>
        <v>0</v>
      </c>
      <c r="S25" s="57">
        <f ca="1">IFERROR(__xludf.DUMMYFUNCTION("IMPORTRANGE(""https://docs.google.com/spreadsheets/d/1Wbcosgy-Xa1xXUArJSOenub6EfZHUSzc_bpJFWwQUf0/edit?usp=sharing"",""แม่ฮ่องสอน!I643"")"),0)</f>
        <v>0</v>
      </c>
      <c r="T25" s="57">
        <f ca="1">IFERROR(__xludf.DUMMYFUNCTION("IMPORTRANGE(""https://docs.google.com/spreadsheets/d/1Wbcosgy-Xa1xXUArJSOenub6EfZHUSzc_bpJFWwQUf0/edit?usp=sharing"",""แม่ฮ่องสอน!J643"")"),0)</f>
        <v>0</v>
      </c>
      <c r="U25" s="63">
        <f t="shared" ca="1" si="25"/>
        <v>0</v>
      </c>
      <c r="V25" s="57">
        <f ca="1">IFERROR(__xludf.DUMMYFUNCTION("IMPORTRANGE(""https://docs.google.com/spreadsheets/d/1Wbcosgy-Xa1xXUArJSOenub6EfZHUSzc_bpJFWwQUf0/edit?usp=sharing"",""แม่ฮ่องสอน!I644"")"),0)</f>
        <v>0</v>
      </c>
      <c r="W25" s="57">
        <f ca="1">IFERROR(__xludf.DUMMYFUNCTION("IMPORTRANGE(""https://docs.google.com/spreadsheets/d/1Wbcosgy-Xa1xXUArJSOenub6EfZHUSzc_bpJFWwQUf0/edit?usp=sharing"",""แม่ฮ่องสอน!J644"")"),0)</f>
        <v>0</v>
      </c>
      <c r="X25" s="63">
        <f t="shared" ca="1" si="26"/>
        <v>0</v>
      </c>
      <c r="Y25" s="57">
        <f ca="1">IFERROR(__xludf.DUMMYFUNCTION("IMPORTRANGE(""https://docs.google.com/spreadsheets/d/1Wbcosgy-Xa1xXUArJSOenub6EfZHUSzc_bpJFWwQUf0/edit?usp=sharing"",""แม่ฮ่องสอน!J645"")"),0)</f>
        <v>0</v>
      </c>
      <c r="Z25" s="63">
        <f ca="1">IFERROR(__xludf.DUMMYFUNCTION("IMPORTRANGE(""https://docs.google.com/spreadsheets/d/1Wbcosgy-Xa1xXUArJSOenub6EfZHUSzc_bpJFWwQUf0/edit?usp=sharing"",""แม่ฮ่องสอน!J646"")"),0)</f>
        <v>0</v>
      </c>
      <c r="AA25" s="57">
        <f ca="1">IFERROR(__xludf.DUMMYFUNCTION("IMPORTRANGE(""https://docs.google.com/spreadsheets/d/1Wbcosgy-Xa1xXUArJSOenub6EfZHUSzc_bpJFWwQUf0/edit?usp=sharing"",""แม่ฮ่องสอน!I647"")"),0)</f>
        <v>0</v>
      </c>
      <c r="AB25" s="57">
        <f ca="1">IFERROR(__xludf.DUMMYFUNCTION("IMPORTRANGE(""https://docs.google.com/spreadsheets/d/1Wbcosgy-Xa1xXUArJSOenub6EfZHUSzc_bpJFWwQUf0/edit?usp=sharing"",""แม่ฮ่องสอน!J647"")"),0)</f>
        <v>0</v>
      </c>
      <c r="AC25" s="63">
        <f ca="1">IFERROR(__xludf.DUMMYFUNCTION("IMPORTRANGE(""https://docs.google.com/spreadsheets/d/1Wbcosgy-Xa1xXUArJSOenub6EfZHUSzc_bpJFWwQUf0/edit?usp=sharing"",""แม่ฮ่องสอน!J648"")"),0)</f>
        <v>0</v>
      </c>
      <c r="AD25" s="63">
        <f t="shared" ca="1" si="27"/>
        <v>0</v>
      </c>
      <c r="AE25" s="140">
        <f ca="1">IFERROR(__xludf.DUMMYFUNCTION("IMPORTRANGE(""https://docs.google.com/spreadsheets/d/1Wbcosgy-Xa1xXUArJSOenub6EfZHUSzc_bpJFWwQUf0/edit?usp=sharing"",""แม่ฮ่องสอน!I649"")"),0)</f>
        <v>0</v>
      </c>
      <c r="AF25" s="57">
        <f ca="1">IFERROR(__xludf.DUMMYFUNCTION("IMPORTRANGE(""https://docs.google.com/spreadsheets/d/1Wbcosgy-Xa1xXUArJSOenub6EfZHUSzc_bpJFWwQUf0/edit?usp=sharing"",""แม่ฮ่องสอน!J649"")"),0)</f>
        <v>0</v>
      </c>
      <c r="AG25" s="63">
        <f ca="1">IFERROR(__xludf.DUMMYFUNCTION("IMPORTRANGE(""https://docs.google.com/spreadsheets/d/1Wbcosgy-Xa1xXUArJSOenub6EfZHUSzc_bpJFWwQUf0/edit?usp=sharing"",""แม่ฮ่องสอน!J650"")"),0)</f>
        <v>0</v>
      </c>
      <c r="AH25" s="63">
        <f t="shared" ca="1" si="28"/>
        <v>0</v>
      </c>
      <c r="AI25" s="140">
        <f ca="1">IFERROR(__xludf.DUMMYFUNCTION("IMPORTRANGE(""https://docs.google.com/spreadsheets/d/1Wbcosgy-Xa1xXUArJSOenub6EfZHUSzc_bpJFWwQUf0/edit?usp=sharing"",""แม่ฮ่องสอน!I651"")"),0)</f>
        <v>0</v>
      </c>
      <c r="AJ25" s="57">
        <f ca="1">IFERROR(__xludf.DUMMYFUNCTION("IMPORTRANGE(""https://docs.google.com/spreadsheets/d/1Wbcosgy-Xa1xXUArJSOenub6EfZHUSzc_bpJFWwQUf0/edit?usp=sharing"",""แม่ฮ่องสอน!J651"")"),0)</f>
        <v>0</v>
      </c>
      <c r="AK25" s="63">
        <f ca="1">IFERROR(__xludf.DUMMYFUNCTION("IMPORTRANGE(""https://docs.google.com/spreadsheets/d/1Wbcosgy-Xa1xXUArJSOenub6EfZHUSzc_bpJFWwQUf0/edit?usp=sharing"",""แม่ฮ่องสอน!J652"")"),0)</f>
        <v>0</v>
      </c>
      <c r="AL25" s="63">
        <f t="shared" ca="1" si="29"/>
        <v>0</v>
      </c>
    </row>
    <row r="26" spans="1:38" ht="24" customHeight="1" x14ac:dyDescent="0.3">
      <c r="A26" s="54">
        <v>13</v>
      </c>
      <c r="B26" s="55" t="s">
        <v>47</v>
      </c>
      <c r="C26" s="56">
        <f t="shared" ca="1" si="40"/>
        <v>187805</v>
      </c>
      <c r="D26" s="57">
        <f ca="1">IFERROR(__xludf.DUMMYFUNCTION("IMPORTRANGE(""https://docs.google.com/spreadsheets/d/1p7ERhsr0qZeSn-KSOdeHS9r0heI-lHtkcn2OH7hP0jQ/edit?usp=sharing"",""ลำปาง!L634"")"),187805)</f>
        <v>187805</v>
      </c>
      <c r="E26" s="64">
        <f ca="1">IFERROR(__xludf.DUMMYFUNCTION("IMPORTRANGE(""https://docs.google.com/spreadsheets/d/1p7ERhsr0qZeSn-KSOdeHS9r0heI-lHtkcn2OH7hP0jQ/edit?usp=sharing"",""ลำปาง!L641"")"),0)</f>
        <v>0</v>
      </c>
      <c r="F26" s="64">
        <f ca="1">IFERROR(__xludf.DUMMYFUNCTION("IMPORTRANGE(""https://docs.google.com/spreadsheets/d/1p7ERhsr0qZeSn-KSOdeHS9r0heI-lHtkcn2OH7hP0jQ/edit?usp=sharing"",""ลำปาง!M634"")"),187805)</f>
        <v>187805</v>
      </c>
      <c r="G26" s="64">
        <f ca="1">IFERROR(__xludf.DUMMYFUNCTION("IMPORTRANGE(""https://docs.google.com/spreadsheets/d/1p7ERhsr0qZeSn-KSOdeHS9r0heI-lHtkcn2OH7hP0jQ/edit?usp=sharing"",""ลำปาง!M641"")"),0)</f>
        <v>0</v>
      </c>
      <c r="H26" s="58">
        <f t="shared" ca="1" si="24"/>
        <v>100156</v>
      </c>
      <c r="I26" s="59">
        <f t="shared" ca="1" si="1"/>
        <v>53.3297835520886</v>
      </c>
      <c r="J26" s="60">
        <f t="shared" ca="1" si="41"/>
        <v>100156</v>
      </c>
      <c r="K26" s="61">
        <f t="shared" ca="1" si="31"/>
        <v>53.3297835520886</v>
      </c>
      <c r="L26" s="61">
        <f t="shared" ca="1" si="32"/>
        <v>53.3297835520886</v>
      </c>
      <c r="M26" s="64">
        <f ca="1">IFERROR(__xludf.DUMMYFUNCTION("IMPORTRANGE(""https://docs.google.com/spreadsheets/d/1p7ERhsr0qZeSn-KSOdeHS9r0heI-lHtkcn2OH7hP0jQ/edit?usp=sharing"",""ลำปาง!N635"")"),0)</f>
        <v>0</v>
      </c>
      <c r="N26" s="64">
        <f ca="1">IFERROR(__xludf.DUMMYFUNCTION("IMPORTRANGE(""https://docs.google.com/spreadsheets/d/1p7ERhsr0qZeSn-KSOdeHS9r0heI-lHtkcn2OH7hP0jQ/edit?usp=sharing"",""ลำปาง!N636"")"),0)</f>
        <v>0</v>
      </c>
      <c r="O26" s="64">
        <f ca="1">IFERROR(__xludf.DUMMYFUNCTION("IMPORTRANGE(""https://docs.google.com/spreadsheets/d/1p7ERhsr0qZeSn-KSOdeHS9r0heI-lHtkcn2OH7hP0jQ/edit?usp=sharing"",""ลำปาง!N637"")"),0)</f>
        <v>0</v>
      </c>
      <c r="P26" s="64">
        <f ca="1">IFERROR(__xludf.DUMMYFUNCTION("IMPORTRANGE(""https://docs.google.com/spreadsheets/d/1p7ERhsr0qZeSn-KSOdeHS9r0heI-lHtkcn2OH7hP0jQ/edit?usp=sharing"",""ลำปาง!N638"")"),100156)</f>
        <v>100156</v>
      </c>
      <c r="Q26" s="62">
        <f ca="1">IFERROR(__xludf.DUMMYFUNCTION("IMPORTRANGE(""https://docs.google.com/spreadsheets/d/1p7ERhsr0qZeSn-KSOdeHS9r0heI-lHtkcn2OH7hP0jQ/edit?usp=sharing"",""ลำปาง!N641"")"),0)</f>
        <v>0</v>
      </c>
      <c r="R26" s="62">
        <f t="shared" ca="1" si="34"/>
        <v>0</v>
      </c>
      <c r="S26" s="57">
        <f ca="1">IFERROR(__xludf.DUMMYFUNCTION("IMPORTRANGE(""https://docs.google.com/spreadsheets/d/1p7ERhsr0qZeSn-KSOdeHS9r0heI-lHtkcn2OH7hP0jQ/edit?usp=sharing"",""ลำปาง!I643"")"),0)</f>
        <v>0</v>
      </c>
      <c r="T26" s="57">
        <f ca="1">IFERROR(__xludf.DUMMYFUNCTION("IMPORTRANGE(""https://docs.google.com/spreadsheets/d/1p7ERhsr0qZeSn-KSOdeHS9r0heI-lHtkcn2OH7hP0jQ/edit?usp=sharing"",""ลำปาง!J643"")"),0)</f>
        <v>0</v>
      </c>
      <c r="U26" s="63">
        <f t="shared" ca="1" si="25"/>
        <v>0</v>
      </c>
      <c r="V26" s="57">
        <f ca="1">IFERROR(__xludf.DUMMYFUNCTION("IMPORTRANGE(""https://docs.google.com/spreadsheets/d/1p7ERhsr0qZeSn-KSOdeHS9r0heI-lHtkcn2OH7hP0jQ/edit?usp=sharing"",""ลำปาง!I644"")"),0)</f>
        <v>0</v>
      </c>
      <c r="W26" s="57">
        <f ca="1">IFERROR(__xludf.DUMMYFUNCTION("IMPORTRANGE(""https://docs.google.com/spreadsheets/d/1p7ERhsr0qZeSn-KSOdeHS9r0heI-lHtkcn2OH7hP0jQ/edit?usp=sharing"",""ลำปาง!J644"")"),0)</f>
        <v>0</v>
      </c>
      <c r="X26" s="63">
        <f t="shared" ca="1" si="26"/>
        <v>0</v>
      </c>
      <c r="Y26" s="57">
        <f ca="1">IFERROR(__xludf.DUMMYFUNCTION("IMPORTRANGE(""https://docs.google.com/spreadsheets/d/1p7ERhsr0qZeSn-KSOdeHS9r0heI-lHtkcn2OH7hP0jQ/edit?usp=sharing"",""ลำปาง!J645"")"),23)</f>
        <v>23</v>
      </c>
      <c r="Z26" s="63">
        <f ca="1">IFERROR(__xludf.DUMMYFUNCTION("IMPORTRANGE(""https://docs.google.com/spreadsheets/d/1p7ERhsr0qZeSn-KSOdeHS9r0heI-lHtkcn2OH7hP0jQ/edit?usp=sharing"",""ลำปาง!J646"")"),16.14)</f>
        <v>16.14</v>
      </c>
      <c r="AA26" s="57">
        <f ca="1">IFERROR(__xludf.DUMMYFUNCTION("IMPORTRANGE(""https://docs.google.com/spreadsheets/d/1p7ERhsr0qZeSn-KSOdeHS9r0heI-lHtkcn2OH7hP0jQ/edit?usp=sharing"",""ลำปาง!I647"")"),20)</f>
        <v>20</v>
      </c>
      <c r="AB26" s="57">
        <f ca="1">IFERROR(__xludf.DUMMYFUNCTION("IMPORTRANGE(""https://docs.google.com/spreadsheets/d/1p7ERhsr0qZeSn-KSOdeHS9r0heI-lHtkcn2OH7hP0jQ/edit?usp=sharing"",""ลำปาง!J647"")"),18)</f>
        <v>18</v>
      </c>
      <c r="AC26" s="63">
        <f ca="1">IFERROR(__xludf.DUMMYFUNCTION("IMPORTRANGE(""https://docs.google.com/spreadsheets/d/1p7ERhsr0qZeSn-KSOdeHS9r0heI-lHtkcn2OH7hP0jQ/edit?usp=sharing"",""ลำปาง!J648"")"),11.32)</f>
        <v>11.32</v>
      </c>
      <c r="AD26" s="63">
        <f t="shared" ca="1" si="27"/>
        <v>90</v>
      </c>
      <c r="AE26" s="140">
        <f ca="1">IFERROR(__xludf.DUMMYFUNCTION("IMPORTRANGE(""https://docs.google.com/spreadsheets/d/1p7ERhsr0qZeSn-KSOdeHS9r0heI-lHtkcn2OH7hP0jQ/edit?usp=sharing"",""ลำปาง!I649"")"),20)</f>
        <v>20</v>
      </c>
      <c r="AF26" s="57">
        <f ca="1">IFERROR(__xludf.DUMMYFUNCTION("IMPORTRANGE(""https://docs.google.com/spreadsheets/d/1p7ERhsr0qZeSn-KSOdeHS9r0heI-lHtkcn2OH7hP0jQ/edit?usp=sharing"",""ลำปาง!J649"")"),21)</f>
        <v>21</v>
      </c>
      <c r="AG26" s="63">
        <f ca="1">IFERROR(__xludf.DUMMYFUNCTION("IMPORTRANGE(""https://docs.google.com/spreadsheets/d/1p7ERhsr0qZeSn-KSOdeHS9r0heI-lHtkcn2OH7hP0jQ/edit?usp=sharing"",""ลำปาง!J650"")"),13.19)</f>
        <v>13.19</v>
      </c>
      <c r="AH26" s="63">
        <f t="shared" ca="1" si="28"/>
        <v>105</v>
      </c>
      <c r="AI26" s="140">
        <f ca="1">IFERROR(__xludf.DUMMYFUNCTION("IMPORTRANGE(""https://docs.google.com/spreadsheets/d/1p7ERhsr0qZeSn-KSOdeHS9r0heI-lHtkcn2OH7hP0jQ/edit?usp=sharing"",""ลำปาง!I651"")"),20)</f>
        <v>20</v>
      </c>
      <c r="AJ26" s="57">
        <f ca="1">IFERROR(__xludf.DUMMYFUNCTION("IMPORTRANGE(""https://docs.google.com/spreadsheets/d/1p7ERhsr0qZeSn-KSOdeHS9r0heI-lHtkcn2OH7hP0jQ/edit?usp=sharing"",""ลำปาง!J651"")"),21)</f>
        <v>21</v>
      </c>
      <c r="AK26" s="63">
        <f ca="1">IFERROR(__xludf.DUMMYFUNCTION("IMPORTRANGE(""https://docs.google.com/spreadsheets/d/1p7ERhsr0qZeSn-KSOdeHS9r0heI-lHtkcn2OH7hP0jQ/edit?usp=sharing"",""ลำปาง!J652"")"),13.1875)</f>
        <v>13.1875</v>
      </c>
      <c r="AL26" s="63">
        <f t="shared" ca="1" si="29"/>
        <v>105</v>
      </c>
    </row>
    <row r="27" spans="1:38" ht="24" customHeight="1" x14ac:dyDescent="0.3">
      <c r="A27" s="54">
        <v>14</v>
      </c>
      <c r="B27" s="55" t="s">
        <v>48</v>
      </c>
      <c r="C27" s="56">
        <f t="shared" ca="1" si="40"/>
        <v>0</v>
      </c>
      <c r="D27" s="57">
        <f ca="1">IFERROR(__xludf.DUMMYFUNCTION("IMPORTRANGE(""https://docs.google.com/spreadsheets/d/1-uUXvimVhiU2U0bMN-xi2te0tS4X7DI2GLPnMjzl8cA/edit?usp=sharing"",""ลำพูน!L634"")"),0)</f>
        <v>0</v>
      </c>
      <c r="E27" s="64">
        <f ca="1">IFERROR(__xludf.DUMMYFUNCTION("IMPORTRANGE(""https://docs.google.com/spreadsheets/d/1-uUXvimVhiU2U0bMN-xi2te0tS4X7DI2GLPnMjzl8cA/edit?usp=sharing"",""ลำพูน!L641"")"),0)</f>
        <v>0</v>
      </c>
      <c r="F27" s="64">
        <f ca="1">IFERROR(__xludf.DUMMYFUNCTION("IMPORTRANGE(""https://docs.google.com/spreadsheets/d/1-uUXvimVhiU2U0bMN-xi2te0tS4X7DI2GLPnMjzl8cA/edit?usp=sharing"",""ลำพูน!M634"")"),0)</f>
        <v>0</v>
      </c>
      <c r="G27" s="64">
        <f ca="1">IFERROR(__xludf.DUMMYFUNCTION("IMPORTRANGE(""https://docs.google.com/spreadsheets/d/1-uUXvimVhiU2U0bMN-xi2te0tS4X7DI2GLPnMjzl8cA/edit?usp=sharing"",""ลำพูน!M641"")"),0)</f>
        <v>0</v>
      </c>
      <c r="H27" s="58">
        <f t="shared" ca="1" si="24"/>
        <v>0</v>
      </c>
      <c r="I27" s="59">
        <f t="shared" ca="1" si="1"/>
        <v>0</v>
      </c>
      <c r="J27" s="60">
        <f t="shared" ca="1" si="41"/>
        <v>0</v>
      </c>
      <c r="K27" s="61">
        <f t="shared" ca="1" si="31"/>
        <v>0</v>
      </c>
      <c r="L27" s="61">
        <f t="shared" ca="1" si="32"/>
        <v>0</v>
      </c>
      <c r="M27" s="64">
        <f ca="1">IFERROR(__xludf.DUMMYFUNCTION("IMPORTRANGE(""https://docs.google.com/spreadsheets/d/1-uUXvimVhiU2U0bMN-xi2te0tS4X7DI2GLPnMjzl8cA/edit?usp=sharing"",""ลำพูน!N635"")"),0)</f>
        <v>0</v>
      </c>
      <c r="N27" s="64">
        <f ca="1">IFERROR(__xludf.DUMMYFUNCTION("IMPORTRANGE(""https://docs.google.com/spreadsheets/d/1-uUXvimVhiU2U0bMN-xi2te0tS4X7DI2GLPnMjzl8cA/edit?usp=sharing"",""ลำพูน!N636"")"),0)</f>
        <v>0</v>
      </c>
      <c r="O27" s="64">
        <f ca="1">IFERROR(__xludf.DUMMYFUNCTION("IMPORTRANGE(""https://docs.google.com/spreadsheets/d/1-uUXvimVhiU2U0bMN-xi2te0tS4X7DI2GLPnMjzl8cA/edit?usp=sharing"",""ลำพูน!N637"")"),0)</f>
        <v>0</v>
      </c>
      <c r="P27" s="64">
        <f ca="1">IFERROR(__xludf.DUMMYFUNCTION("IMPORTRANGE(""https://docs.google.com/spreadsheets/d/1-uUXvimVhiU2U0bMN-xi2te0tS4X7DI2GLPnMjzl8cA/edit?usp=sharing"",""ลำพูน!N638"")"),0)</f>
        <v>0</v>
      </c>
      <c r="Q27" s="62">
        <f ca="1">IFERROR(__xludf.DUMMYFUNCTION("IMPORTRANGE(""https://docs.google.com/spreadsheets/d/1-uUXvimVhiU2U0bMN-xi2te0tS4X7DI2GLPnMjzl8cA/edit?usp=sharing"",""ลำพูน!N641"")"),0)</f>
        <v>0</v>
      </c>
      <c r="R27" s="62">
        <f t="shared" ca="1" si="34"/>
        <v>0</v>
      </c>
      <c r="S27" s="57">
        <f ca="1">IFERROR(__xludf.DUMMYFUNCTION("IMPORTRANGE(""https://docs.google.com/spreadsheets/d/1-uUXvimVhiU2U0bMN-xi2te0tS4X7DI2GLPnMjzl8cA/edit?usp=sharing"",""ลำพูน!I643"")"),0)</f>
        <v>0</v>
      </c>
      <c r="T27" s="57">
        <f ca="1">IFERROR(__xludf.DUMMYFUNCTION("IMPORTRANGE(""https://docs.google.com/spreadsheets/d/1-uUXvimVhiU2U0bMN-xi2te0tS4X7DI2GLPnMjzl8cA/edit?usp=sharing"",""ลำพูน!J643"")"),0)</f>
        <v>0</v>
      </c>
      <c r="U27" s="63">
        <f t="shared" ca="1" si="25"/>
        <v>0</v>
      </c>
      <c r="V27" s="57">
        <f ca="1">IFERROR(__xludf.DUMMYFUNCTION("IMPORTRANGE(""https://docs.google.com/spreadsheets/d/1-uUXvimVhiU2U0bMN-xi2te0tS4X7DI2GLPnMjzl8cA/edit?usp=sharing"",""ลำพูน!I644"")"),0)</f>
        <v>0</v>
      </c>
      <c r="W27" s="57">
        <f ca="1">IFERROR(__xludf.DUMMYFUNCTION("IMPORTRANGE(""https://docs.google.com/spreadsheets/d/1-uUXvimVhiU2U0bMN-xi2te0tS4X7DI2GLPnMjzl8cA/edit?usp=sharing"",""ลำพูน!J644"")"),0)</f>
        <v>0</v>
      </c>
      <c r="X27" s="63">
        <f t="shared" ca="1" si="26"/>
        <v>0</v>
      </c>
      <c r="Y27" s="57">
        <f ca="1">IFERROR(__xludf.DUMMYFUNCTION("IMPORTRANGE(""https://docs.google.com/spreadsheets/d/1-uUXvimVhiU2U0bMN-xi2te0tS4X7DI2GLPnMjzl8cA/edit?usp=sharing"",""ลำพูน!J645"")"),0)</f>
        <v>0</v>
      </c>
      <c r="Z27" s="63">
        <f ca="1">IFERROR(__xludf.DUMMYFUNCTION("IMPORTRANGE(""https://docs.google.com/spreadsheets/d/1-uUXvimVhiU2U0bMN-xi2te0tS4X7DI2GLPnMjzl8cA/edit?usp=sharing"",""ลำพูน!J646"")"),0)</f>
        <v>0</v>
      </c>
      <c r="AA27" s="57">
        <f ca="1">IFERROR(__xludf.DUMMYFUNCTION("IMPORTRANGE(""https://docs.google.com/spreadsheets/d/1-uUXvimVhiU2U0bMN-xi2te0tS4X7DI2GLPnMjzl8cA/edit?usp=sharing"",""ลำพูน!I647"")"),0)</f>
        <v>0</v>
      </c>
      <c r="AB27" s="57">
        <f ca="1">IFERROR(__xludf.DUMMYFUNCTION("IMPORTRANGE(""https://docs.google.com/spreadsheets/d/1-uUXvimVhiU2U0bMN-xi2te0tS4X7DI2GLPnMjzl8cA/edit?usp=sharing"",""ลำพูน!J647"")"),4)</f>
        <v>4</v>
      </c>
      <c r="AC27" s="63">
        <f ca="1">IFERROR(__xludf.DUMMYFUNCTION("IMPORTRANGE(""https://docs.google.com/spreadsheets/d/1-uUXvimVhiU2U0bMN-xi2te0tS4X7DI2GLPnMjzl8cA/edit?usp=sharing"",""ลำพูน!J648"")"),1.9)</f>
        <v>1.9</v>
      </c>
      <c r="AD27" s="63">
        <f t="shared" ca="1" si="27"/>
        <v>0</v>
      </c>
      <c r="AE27" s="140">
        <f ca="1">IFERROR(__xludf.DUMMYFUNCTION("IMPORTRANGE(""https://docs.google.com/spreadsheets/d/1-uUXvimVhiU2U0bMN-xi2te0tS4X7DI2GLPnMjzl8cA/edit?usp=sharing"",""ลำพูน!I649"")"),0)</f>
        <v>0</v>
      </c>
      <c r="AF27" s="57">
        <f ca="1">IFERROR(__xludf.DUMMYFUNCTION("IMPORTRANGE(""https://docs.google.com/spreadsheets/d/1-uUXvimVhiU2U0bMN-xi2te0tS4X7DI2GLPnMjzl8cA/edit?usp=sharing"",""ลำพูน!J649"")"),0)</f>
        <v>0</v>
      </c>
      <c r="AG27" s="63">
        <f ca="1">IFERROR(__xludf.DUMMYFUNCTION("IMPORTRANGE(""https://docs.google.com/spreadsheets/d/1-uUXvimVhiU2U0bMN-xi2te0tS4X7DI2GLPnMjzl8cA/edit?usp=sharing"",""ลำพูน!J650"")"),0)</f>
        <v>0</v>
      </c>
      <c r="AH27" s="63">
        <f t="shared" ca="1" si="28"/>
        <v>0</v>
      </c>
      <c r="AI27" s="140">
        <f ca="1">IFERROR(__xludf.DUMMYFUNCTION("IMPORTRANGE(""https://docs.google.com/spreadsheets/d/1-uUXvimVhiU2U0bMN-xi2te0tS4X7DI2GLPnMjzl8cA/edit?usp=sharing"",""ลำพูน!I651"")"),0)</f>
        <v>0</v>
      </c>
      <c r="AJ27" s="57">
        <f ca="1">IFERROR(__xludf.DUMMYFUNCTION("IMPORTRANGE(""https://docs.google.com/spreadsheets/d/1-uUXvimVhiU2U0bMN-xi2te0tS4X7DI2GLPnMjzl8cA/edit?usp=sharing"",""ลำพูน!J651"")"),0)</f>
        <v>0</v>
      </c>
      <c r="AK27" s="63">
        <f ca="1">IFERROR(__xludf.DUMMYFUNCTION("IMPORTRANGE(""https://docs.google.com/spreadsheets/d/1-uUXvimVhiU2U0bMN-xi2te0tS4X7DI2GLPnMjzl8cA/edit?usp=sharing"",""ลำพูน!J652"")"),0)</f>
        <v>0</v>
      </c>
      <c r="AL27" s="63">
        <f t="shared" ca="1" si="29"/>
        <v>0</v>
      </c>
    </row>
    <row r="28" spans="1:38" ht="24" customHeight="1" x14ac:dyDescent="0.3">
      <c r="A28" s="54">
        <v>15</v>
      </c>
      <c r="B28" s="55" t="s">
        <v>49</v>
      </c>
      <c r="C28" s="56">
        <f t="shared" ca="1" si="40"/>
        <v>385305</v>
      </c>
      <c r="D28" s="57">
        <f ca="1">IFERROR(__xludf.DUMMYFUNCTION("IMPORTRANGE(""https://docs.google.com/spreadsheets/d/17HrOaa5pBUI1onckFfumXB8xlg35qb2uBAFfF1D-Myo/edit?usp=sharing"",""สุโขทัย!L634"")"),385305)</f>
        <v>385305</v>
      </c>
      <c r="E28" s="64">
        <f ca="1">IFERROR(__xludf.DUMMYFUNCTION("IMPORTRANGE(""https://docs.google.com/spreadsheets/d/17HrOaa5pBUI1onckFfumXB8xlg35qb2uBAFfF1D-Myo/edit?usp=sharing"",""สุโขทัย!L641"")"),0)</f>
        <v>0</v>
      </c>
      <c r="F28" s="64">
        <f ca="1">IFERROR(__xludf.DUMMYFUNCTION("IMPORTRANGE(""https://docs.google.com/spreadsheets/d/17HrOaa5pBUI1onckFfumXB8xlg35qb2uBAFfF1D-Myo/edit?usp=sharing"",""สุโขทัย!M634"")"),385305)</f>
        <v>385305</v>
      </c>
      <c r="G28" s="64">
        <f ca="1">IFERROR(__xludf.DUMMYFUNCTION("IMPORTRANGE(""https://docs.google.com/spreadsheets/d/17HrOaa5pBUI1onckFfumXB8xlg35qb2uBAFfF1D-Myo/edit?usp=sharing"",""สุโขทัย!M641"")"),0)</f>
        <v>0</v>
      </c>
      <c r="H28" s="58">
        <f t="shared" ca="1" si="24"/>
        <v>65220</v>
      </c>
      <c r="I28" s="59">
        <f t="shared" ca="1" si="1"/>
        <v>16.926850157667303</v>
      </c>
      <c r="J28" s="60">
        <f t="shared" ca="1" si="41"/>
        <v>65220</v>
      </c>
      <c r="K28" s="61">
        <f t="shared" ca="1" si="31"/>
        <v>16.926850157667303</v>
      </c>
      <c r="L28" s="61">
        <f t="shared" ca="1" si="32"/>
        <v>16.926850157667303</v>
      </c>
      <c r="M28" s="64">
        <f ca="1">IFERROR(__xludf.DUMMYFUNCTION("IMPORTRANGE(""https://docs.google.com/spreadsheets/d/17HrOaa5pBUI1onckFfumXB8xlg35qb2uBAFfF1D-Myo/edit?usp=sharing"",""สุโขทัย!N635"")"),0)</f>
        <v>0</v>
      </c>
      <c r="N28" s="64">
        <f ca="1">IFERROR(__xludf.DUMMYFUNCTION("IMPORTRANGE(""https://docs.google.com/spreadsheets/d/17HrOaa5pBUI1onckFfumXB8xlg35qb2uBAFfF1D-Myo/edit?usp=sharing"",""สุโขทัย!N636"")"),0)</f>
        <v>0</v>
      </c>
      <c r="O28" s="64">
        <f ca="1">IFERROR(__xludf.DUMMYFUNCTION("IMPORTRANGE(""https://docs.google.com/spreadsheets/d/17HrOaa5pBUI1onckFfumXB8xlg35qb2uBAFfF1D-Myo/edit?usp=sharing"",""สุโขทัย!N637"")"),52000)</f>
        <v>52000</v>
      </c>
      <c r="P28" s="64">
        <f ca="1">IFERROR(__xludf.DUMMYFUNCTION("IMPORTRANGE(""https://docs.google.com/spreadsheets/d/17HrOaa5pBUI1onckFfumXB8xlg35qb2uBAFfF1D-Myo/edit?usp=sharing"",""สุโขทัย!N638"")"),13220)</f>
        <v>13220</v>
      </c>
      <c r="Q28" s="62">
        <f ca="1">IFERROR(__xludf.DUMMYFUNCTION("IMPORTRANGE(""https://docs.google.com/spreadsheets/d/17HrOaa5pBUI1onckFfumXB8xlg35qb2uBAFfF1D-Myo/edit?usp=sharing"",""สุโขทัย!N641"")"),0)</f>
        <v>0</v>
      </c>
      <c r="R28" s="62">
        <f t="shared" ca="1" si="34"/>
        <v>0</v>
      </c>
      <c r="S28" s="57">
        <f ca="1">IFERROR(__xludf.DUMMYFUNCTION("IMPORTRANGE(""https://docs.google.com/spreadsheets/d/17HrOaa5pBUI1onckFfumXB8xlg35qb2uBAFfF1D-Myo/edit?usp=sharing"",""สุโขทัย!I643"")"),0)</f>
        <v>0</v>
      </c>
      <c r="T28" s="57">
        <f ca="1">IFERROR(__xludf.DUMMYFUNCTION("IMPORTRANGE(""https://docs.google.com/spreadsheets/d/17HrOaa5pBUI1onckFfumXB8xlg35qb2uBAFfF1D-Myo/edit?usp=sharing"",""สุโขทัย!J643"")"),0)</f>
        <v>0</v>
      </c>
      <c r="U28" s="63">
        <f t="shared" ca="1" si="25"/>
        <v>0</v>
      </c>
      <c r="V28" s="57">
        <f ca="1">IFERROR(__xludf.DUMMYFUNCTION("IMPORTRANGE(""https://docs.google.com/spreadsheets/d/17HrOaa5pBUI1onckFfumXB8xlg35qb2uBAFfF1D-Myo/edit?usp=sharing"",""สุโขทัย!I644"")"),0)</f>
        <v>0</v>
      </c>
      <c r="W28" s="57">
        <f ca="1">IFERROR(__xludf.DUMMYFUNCTION("IMPORTRANGE(""https://docs.google.com/spreadsheets/d/17HrOaa5pBUI1onckFfumXB8xlg35qb2uBAFfF1D-Myo/edit?usp=sharing"",""สุโขทัย!J644"")"),0)</f>
        <v>0</v>
      </c>
      <c r="X28" s="63">
        <f t="shared" ca="1" si="26"/>
        <v>0</v>
      </c>
      <c r="Y28" s="57">
        <f ca="1">IFERROR(__xludf.DUMMYFUNCTION("IMPORTRANGE(""https://docs.google.com/spreadsheets/d/17HrOaa5pBUI1onckFfumXB8xlg35qb2uBAFfF1D-Myo/edit?usp=sharing"",""สุโขทัย!J645"")"),156)</f>
        <v>156</v>
      </c>
      <c r="Z28" s="63">
        <f ca="1">IFERROR(__xludf.DUMMYFUNCTION("IMPORTRANGE(""https://docs.google.com/spreadsheets/d/17HrOaa5pBUI1onckFfumXB8xlg35qb2uBAFfF1D-Myo/edit?usp=sharing"",""สุโขทัย!J646"")"),181.51)</f>
        <v>181.51</v>
      </c>
      <c r="AA28" s="57">
        <f ca="1">IFERROR(__xludf.DUMMYFUNCTION("IMPORTRANGE(""https://docs.google.com/spreadsheets/d/17HrOaa5pBUI1onckFfumXB8xlg35qb2uBAFfF1D-Myo/edit?usp=sharing"",""สุโขทัย!I647"")"),155)</f>
        <v>155</v>
      </c>
      <c r="AB28" s="57">
        <f ca="1">IFERROR(__xludf.DUMMYFUNCTION("IMPORTRANGE(""https://docs.google.com/spreadsheets/d/17HrOaa5pBUI1onckFfumXB8xlg35qb2uBAFfF1D-Myo/edit?usp=sharing"",""สุโขทัย!J647"")"),31)</f>
        <v>31</v>
      </c>
      <c r="AC28" s="63">
        <f ca="1">IFERROR(__xludf.DUMMYFUNCTION("IMPORTRANGE(""https://docs.google.com/spreadsheets/d/17HrOaa5pBUI1onckFfumXB8xlg35qb2uBAFfF1D-Myo/edit?usp=sharing"",""สุโขทัย!J648"")"),19.7)</f>
        <v>19.7</v>
      </c>
      <c r="AD28" s="63">
        <f t="shared" ca="1" si="27"/>
        <v>20</v>
      </c>
      <c r="AE28" s="140">
        <f ca="1">IFERROR(__xludf.DUMMYFUNCTION("IMPORTRANGE(""https://docs.google.com/spreadsheets/d/17HrOaa5pBUI1onckFfumXB8xlg35qb2uBAFfF1D-Myo/edit?usp=sharing"",""สุโขทัย!I649"")"),155)</f>
        <v>155</v>
      </c>
      <c r="AF28" s="57">
        <f ca="1">IFERROR(__xludf.DUMMYFUNCTION("IMPORTRANGE(""https://docs.google.com/spreadsheets/d/17HrOaa5pBUI1onckFfumXB8xlg35qb2uBAFfF1D-Myo/edit?usp=sharing"",""สุโขทัย!J649"")"),0)</f>
        <v>0</v>
      </c>
      <c r="AG28" s="63">
        <f ca="1">IFERROR(__xludf.DUMMYFUNCTION("IMPORTRANGE(""https://docs.google.com/spreadsheets/d/17HrOaa5pBUI1onckFfumXB8xlg35qb2uBAFfF1D-Myo/edit?usp=sharing"",""สุโขทัย!J650"")"),0)</f>
        <v>0</v>
      </c>
      <c r="AH28" s="63">
        <f t="shared" ca="1" si="28"/>
        <v>0</v>
      </c>
      <c r="AI28" s="140">
        <f ca="1">IFERROR(__xludf.DUMMYFUNCTION("IMPORTRANGE(""https://docs.google.com/spreadsheets/d/17HrOaa5pBUI1onckFfumXB8xlg35qb2uBAFfF1D-Myo/edit?usp=sharing"",""สุโขทัย!I651"")"),155)</f>
        <v>155</v>
      </c>
      <c r="AJ28" s="57">
        <f ca="1">IFERROR(__xludf.DUMMYFUNCTION("IMPORTRANGE(""https://docs.google.com/spreadsheets/d/17HrOaa5pBUI1onckFfumXB8xlg35qb2uBAFfF1D-Myo/edit?usp=sharing"",""สุโขทัย!J651"")"),0)</f>
        <v>0</v>
      </c>
      <c r="AK28" s="63">
        <f ca="1">IFERROR(__xludf.DUMMYFUNCTION("IMPORTRANGE(""https://docs.google.com/spreadsheets/d/17HrOaa5pBUI1onckFfumXB8xlg35qb2uBAFfF1D-Myo/edit?usp=sharing"",""สุโขทัย!J652"")"),0)</f>
        <v>0</v>
      </c>
      <c r="AL28" s="63">
        <f t="shared" ca="1" si="29"/>
        <v>0</v>
      </c>
    </row>
    <row r="29" spans="1:38" ht="24" customHeight="1" x14ac:dyDescent="0.3">
      <c r="A29" s="54">
        <v>16</v>
      </c>
      <c r="B29" s="55" t="s">
        <v>50</v>
      </c>
      <c r="C29" s="56">
        <f t="shared" ca="1" si="40"/>
        <v>165700</v>
      </c>
      <c r="D29" s="57">
        <f ca="1">IFERROR(__xludf.DUMMYFUNCTION("IMPORTRANGE(""https://docs.google.com/spreadsheets/d/1ubs5cl16eYL9gHbdHTJtmtYb9MGzHBs7CAphn8kNCgM/edit?usp=sharing"",""อุตรดิตถ์!L634"")"),165700)</f>
        <v>165700</v>
      </c>
      <c r="E29" s="64">
        <f ca="1">IFERROR(__xludf.DUMMYFUNCTION("IMPORTRANGE(""https://docs.google.com/spreadsheets/d/1ubs5cl16eYL9gHbdHTJtmtYb9MGzHBs7CAphn8kNCgM/edit?usp=sharing"",""อุตรดิตถ์!L641"")"),0)</f>
        <v>0</v>
      </c>
      <c r="F29" s="64">
        <f ca="1">IFERROR(__xludf.DUMMYFUNCTION("IMPORTRANGE(""https://docs.google.com/spreadsheets/d/1ubs5cl16eYL9gHbdHTJtmtYb9MGzHBs7CAphn8kNCgM/edit?usp=sharing"",""อุตรดิตถ์!M634"")"),165700)</f>
        <v>165700</v>
      </c>
      <c r="G29" s="64">
        <f ca="1">IFERROR(__xludf.DUMMYFUNCTION("IMPORTRANGE(""https://docs.google.com/spreadsheets/d/1ubs5cl16eYL9gHbdHTJtmtYb9MGzHBs7CAphn8kNCgM/edit?usp=sharing"",""อุตรดิตถ์!M641"")"),0)</f>
        <v>0</v>
      </c>
      <c r="H29" s="58">
        <f t="shared" ca="1" si="24"/>
        <v>0</v>
      </c>
      <c r="I29" s="59">
        <f t="shared" ca="1" si="1"/>
        <v>0</v>
      </c>
      <c r="J29" s="60">
        <f t="shared" ca="1" si="41"/>
        <v>0</v>
      </c>
      <c r="K29" s="61">
        <f t="shared" ca="1" si="31"/>
        <v>0</v>
      </c>
      <c r="L29" s="61">
        <f t="shared" ca="1" si="32"/>
        <v>0</v>
      </c>
      <c r="M29" s="64">
        <f ca="1">IFERROR(__xludf.DUMMYFUNCTION("IMPORTRANGE(""https://docs.google.com/spreadsheets/d/1ubs5cl16eYL9gHbdHTJtmtYb9MGzHBs7CAphn8kNCgM/edit?usp=sharing"",""อุตรดิตถ์!N635"")"),0)</f>
        <v>0</v>
      </c>
      <c r="N29" s="64">
        <f ca="1">IFERROR(__xludf.DUMMYFUNCTION("IMPORTRANGE(""https://docs.google.com/spreadsheets/d/1ubs5cl16eYL9gHbdHTJtmtYb9MGzHBs7CAphn8kNCgM/edit?usp=sharing"",""อุตรดิตถ์!N636"")"),0)</f>
        <v>0</v>
      </c>
      <c r="O29" s="64">
        <f ca="1">IFERROR(__xludf.DUMMYFUNCTION("IMPORTRANGE(""https://docs.google.com/spreadsheets/d/1ubs5cl16eYL9gHbdHTJtmtYb9MGzHBs7CAphn8kNCgM/edit?usp=sharing"",""อุตรดิตถ์!N637"")"),0)</f>
        <v>0</v>
      </c>
      <c r="P29" s="64">
        <f ca="1">IFERROR(__xludf.DUMMYFUNCTION("IMPORTRANGE(""https://docs.google.com/spreadsheets/d/1ubs5cl16eYL9gHbdHTJtmtYb9MGzHBs7CAphn8kNCgM/edit?usp=sharing"",""อุตรดิตถ์!N638"")"),0)</f>
        <v>0</v>
      </c>
      <c r="Q29" s="62">
        <f ca="1">IFERROR(__xludf.DUMMYFUNCTION("IMPORTRANGE(""https://docs.google.com/spreadsheets/d/1ubs5cl16eYL9gHbdHTJtmtYb9MGzHBs7CAphn8kNCgM/edit?usp=sharing"",""อุตรดิตถ์!N641"")"),0)</f>
        <v>0</v>
      </c>
      <c r="R29" s="62">
        <f t="shared" ca="1" si="34"/>
        <v>0</v>
      </c>
      <c r="S29" s="57">
        <f ca="1">IFERROR(__xludf.DUMMYFUNCTION("IMPORTRANGE(""https://docs.google.com/spreadsheets/d/1ubs5cl16eYL9gHbdHTJtmtYb9MGzHBs7CAphn8kNCgM/edit?usp=sharing"",""อุตรดิตถ์!I643"")"),0)</f>
        <v>0</v>
      </c>
      <c r="T29" s="57">
        <f ca="1">IFERROR(__xludf.DUMMYFUNCTION("IMPORTRANGE(""https://docs.google.com/spreadsheets/d/1ubs5cl16eYL9gHbdHTJtmtYb9MGzHBs7CAphn8kNCgM/edit?usp=sharing"",""อุตรดิตถ์!J643"")"),0)</f>
        <v>0</v>
      </c>
      <c r="U29" s="63">
        <f t="shared" ca="1" si="25"/>
        <v>0</v>
      </c>
      <c r="V29" s="57">
        <f ca="1">IFERROR(__xludf.DUMMYFUNCTION("IMPORTRANGE(""https://docs.google.com/spreadsheets/d/1ubs5cl16eYL9gHbdHTJtmtYb9MGzHBs7CAphn8kNCgM/edit?usp=sharing"",""อุตรดิตถ์!I644"")"),0)</f>
        <v>0</v>
      </c>
      <c r="W29" s="57">
        <f ca="1">IFERROR(__xludf.DUMMYFUNCTION("IMPORTRANGE(""https://docs.google.com/spreadsheets/d/1ubs5cl16eYL9gHbdHTJtmtYb9MGzHBs7CAphn8kNCgM/edit?usp=sharing"",""อุตรดิตถ์!J644"")"),0)</f>
        <v>0</v>
      </c>
      <c r="X29" s="63">
        <f t="shared" ca="1" si="26"/>
        <v>0</v>
      </c>
      <c r="Y29" s="57">
        <f ca="1">IFERROR(__xludf.DUMMYFUNCTION("IMPORTRANGE(""https://docs.google.com/spreadsheets/d/1ubs5cl16eYL9gHbdHTJtmtYb9MGzHBs7CAphn8kNCgM/edit?usp=sharing"",""อุตรดิตถ์!J645"")"),0)</f>
        <v>0</v>
      </c>
      <c r="Z29" s="63">
        <f ca="1">IFERROR(__xludf.DUMMYFUNCTION("IMPORTRANGE(""https://docs.google.com/spreadsheets/d/1ubs5cl16eYL9gHbdHTJtmtYb9MGzHBs7CAphn8kNCgM/edit?usp=sharing"",""อุตรดิตถ์!J646"")"),0)</f>
        <v>0</v>
      </c>
      <c r="AA29" s="57">
        <f ca="1">IFERROR(__xludf.DUMMYFUNCTION("IMPORTRANGE(""https://docs.google.com/spreadsheets/d/1ubs5cl16eYL9gHbdHTJtmtYb9MGzHBs7CAphn8kNCgM/edit?usp=sharing"",""อุตรดิตถ์!I647"")"),10)</f>
        <v>10</v>
      </c>
      <c r="AB29" s="57">
        <f ca="1">IFERROR(__xludf.DUMMYFUNCTION("IMPORTRANGE(""https://docs.google.com/spreadsheets/d/1ubs5cl16eYL9gHbdHTJtmtYb9MGzHBs7CAphn8kNCgM/edit?usp=sharing"",""อุตรดิตถ์!J647"")"),0)</f>
        <v>0</v>
      </c>
      <c r="AC29" s="63">
        <f ca="1">IFERROR(__xludf.DUMMYFUNCTION("IMPORTRANGE(""https://docs.google.com/spreadsheets/d/1ubs5cl16eYL9gHbdHTJtmtYb9MGzHBs7CAphn8kNCgM/edit?usp=sharing"",""อุตรดิตถ์!J648"")"),0)</f>
        <v>0</v>
      </c>
      <c r="AD29" s="63">
        <f t="shared" ca="1" si="27"/>
        <v>0</v>
      </c>
      <c r="AE29" s="140">
        <f ca="1">IFERROR(__xludf.DUMMYFUNCTION("IMPORTRANGE(""https://docs.google.com/spreadsheets/d/1ubs5cl16eYL9gHbdHTJtmtYb9MGzHBs7CAphn8kNCgM/edit?usp=sharing"",""อุตรดิตถ์!I649"")"),10)</f>
        <v>10</v>
      </c>
      <c r="AF29" s="57">
        <f ca="1">IFERROR(__xludf.DUMMYFUNCTION("IMPORTRANGE(""https://docs.google.com/spreadsheets/d/1ubs5cl16eYL9gHbdHTJtmtYb9MGzHBs7CAphn8kNCgM/edit?usp=sharing"",""อุตรดิตถ์!J649"")"),0)</f>
        <v>0</v>
      </c>
      <c r="AG29" s="63">
        <f ca="1">IFERROR(__xludf.DUMMYFUNCTION("IMPORTRANGE(""https://docs.google.com/spreadsheets/d/1ubs5cl16eYL9gHbdHTJtmtYb9MGzHBs7CAphn8kNCgM/edit?usp=sharing"",""อุตรดิตถ์!J650"")"),0)</f>
        <v>0</v>
      </c>
      <c r="AH29" s="63">
        <f t="shared" ca="1" si="28"/>
        <v>0</v>
      </c>
      <c r="AI29" s="140">
        <f ca="1">IFERROR(__xludf.DUMMYFUNCTION("IMPORTRANGE(""https://docs.google.com/spreadsheets/d/1ubs5cl16eYL9gHbdHTJtmtYb9MGzHBs7CAphn8kNCgM/edit?usp=sharing"",""อุตรดิตถ์!I651"")"),10)</f>
        <v>10</v>
      </c>
      <c r="AJ29" s="57">
        <f ca="1">IFERROR(__xludf.DUMMYFUNCTION("IMPORTRANGE(""https://docs.google.com/spreadsheets/d/1ubs5cl16eYL9gHbdHTJtmtYb9MGzHBs7CAphn8kNCgM/edit?usp=sharing"",""อุตรดิตถ์!J651"")"),0)</f>
        <v>0</v>
      </c>
      <c r="AK29" s="63">
        <f ca="1">IFERROR(__xludf.DUMMYFUNCTION("IMPORTRANGE(""https://docs.google.com/spreadsheets/d/1ubs5cl16eYL9gHbdHTJtmtYb9MGzHBs7CAphn8kNCgM/edit?usp=sharing"",""อุตรดิตถ์!J652"")"),0)</f>
        <v>0</v>
      </c>
      <c r="AL29" s="63">
        <f t="shared" ca="1" si="29"/>
        <v>0</v>
      </c>
    </row>
    <row r="30" spans="1:38" ht="24" customHeight="1" x14ac:dyDescent="0.3">
      <c r="A30" s="65">
        <v>17</v>
      </c>
      <c r="B30" s="66" t="s">
        <v>51</v>
      </c>
      <c r="C30" s="67">
        <f t="shared" ca="1" si="40"/>
        <v>171750</v>
      </c>
      <c r="D30" s="68">
        <f ca="1">IFERROR(__xludf.DUMMYFUNCTION("IMPORTRANGE(""https://docs.google.com/spreadsheets/d/1kII0BjS6CtVrBvI8IrytgPdxDrlyQDyigzMsohRtDMs/edit?usp=sharing"",""อุทัยธานี!L634"")"),171750)</f>
        <v>171750</v>
      </c>
      <c r="E30" s="69">
        <f ca="1">IFERROR(__xludf.DUMMYFUNCTION("IMPORTRANGE(""https://docs.google.com/spreadsheets/d/1kII0BjS6CtVrBvI8IrytgPdxDrlyQDyigzMsohRtDMs/edit?usp=sharing"",""อุทัยธานี!L641"")"),0)</f>
        <v>0</v>
      </c>
      <c r="F30" s="69">
        <f ca="1">IFERROR(__xludf.DUMMYFUNCTION("IMPORTRANGE(""https://docs.google.com/spreadsheets/d/1kII0BjS6CtVrBvI8IrytgPdxDrlyQDyigzMsohRtDMs/edit?usp=sharing"",""อุทัยธานี!M634"")"),171750)</f>
        <v>171750</v>
      </c>
      <c r="G30" s="69">
        <f ca="1">IFERROR(__xludf.DUMMYFUNCTION("IMPORTRANGE(""https://docs.google.com/spreadsheets/d/1kII0BjS6CtVrBvI8IrytgPdxDrlyQDyigzMsohRtDMs/edit?usp=sharing"",""อุทัยธานี!M641"")"),0)</f>
        <v>0</v>
      </c>
      <c r="H30" s="70">
        <f t="shared" ca="1" si="24"/>
        <v>7679.7</v>
      </c>
      <c r="I30" s="71">
        <f t="shared" ca="1" si="1"/>
        <v>4.4714410480349347</v>
      </c>
      <c r="J30" s="72">
        <f t="shared" ca="1" si="41"/>
        <v>7679.7</v>
      </c>
      <c r="K30" s="73">
        <f t="shared" ca="1" si="31"/>
        <v>4.4714410480349347</v>
      </c>
      <c r="L30" s="73">
        <f t="shared" ca="1" si="32"/>
        <v>4.4714410480349347</v>
      </c>
      <c r="M30" s="69">
        <f ca="1">IFERROR(__xludf.DUMMYFUNCTION("IMPORTRANGE(""https://docs.google.com/spreadsheets/d/1kII0BjS6CtVrBvI8IrytgPdxDrlyQDyigzMsohRtDMs/edit?usp=sharing"",""อุทัยธานี!N635"")"),0)</f>
        <v>0</v>
      </c>
      <c r="N30" s="69">
        <f ca="1">IFERROR(__xludf.DUMMYFUNCTION("IMPORTRANGE(""https://docs.google.com/spreadsheets/d/1kII0BjS6CtVrBvI8IrytgPdxDrlyQDyigzMsohRtDMs/edit?usp=sharing"",""อุทัยธานี!N636"")"),0)</f>
        <v>0</v>
      </c>
      <c r="O30" s="69">
        <f ca="1">IFERROR(__xludf.DUMMYFUNCTION("IMPORTRANGE(""https://docs.google.com/spreadsheets/d/1kII0BjS6CtVrBvI8IrytgPdxDrlyQDyigzMsohRtDMs/edit?usp=sharing"",""อุทัยธานี!N637"")"),0)</f>
        <v>0</v>
      </c>
      <c r="P30" s="69">
        <f ca="1">IFERROR(__xludf.DUMMYFUNCTION("IMPORTRANGE(""https://docs.google.com/spreadsheets/d/1kII0BjS6CtVrBvI8IrytgPdxDrlyQDyigzMsohRtDMs/edit?usp=sharing"",""อุทัยธานี!N638"")"),7679.7)</f>
        <v>7679.7</v>
      </c>
      <c r="Q30" s="74">
        <f ca="1">IFERROR(__xludf.DUMMYFUNCTION("IMPORTRANGE(""https://docs.google.com/spreadsheets/d/1kII0BjS6CtVrBvI8IrytgPdxDrlyQDyigzMsohRtDMs/edit?usp=sharing"",""อุทัยธานี!N641"")"),0)</f>
        <v>0</v>
      </c>
      <c r="R30" s="74">
        <f t="shared" ca="1" si="34"/>
        <v>0</v>
      </c>
      <c r="S30" s="68">
        <f ca="1">IFERROR(__xludf.DUMMYFUNCTION("IMPORTRANGE(""https://docs.google.com/spreadsheets/d/1kII0BjS6CtVrBvI8IrytgPdxDrlyQDyigzMsohRtDMs/edit?usp=sharing"",""อุทัยธานี!I643"")"),0)</f>
        <v>0</v>
      </c>
      <c r="T30" s="68">
        <f ca="1">IFERROR(__xludf.DUMMYFUNCTION("IMPORTRANGE(""https://docs.google.com/spreadsheets/d/1kII0BjS6CtVrBvI8IrytgPdxDrlyQDyigzMsohRtDMs/edit?usp=sharing"",""อุทัยธานี!J643"")"),0)</f>
        <v>0</v>
      </c>
      <c r="U30" s="75">
        <f t="shared" ca="1" si="25"/>
        <v>0</v>
      </c>
      <c r="V30" s="68">
        <f ca="1">IFERROR(__xludf.DUMMYFUNCTION("IMPORTRANGE(""https://docs.google.com/spreadsheets/d/1kII0BjS6CtVrBvI8IrytgPdxDrlyQDyigzMsohRtDMs/edit?usp=sharing"",""อุทัยธานี!I644"")"),0)</f>
        <v>0</v>
      </c>
      <c r="W30" s="68">
        <f ca="1">IFERROR(__xludf.DUMMYFUNCTION("IMPORTRANGE(""https://docs.google.com/spreadsheets/d/1kII0BjS6CtVrBvI8IrytgPdxDrlyQDyigzMsohRtDMs/edit?usp=sharing"",""อุทัยธานี!J644"")"),0)</f>
        <v>0</v>
      </c>
      <c r="X30" s="75">
        <f t="shared" ca="1" si="26"/>
        <v>0</v>
      </c>
      <c r="Y30" s="68">
        <f ca="1">IFERROR(__xludf.DUMMYFUNCTION("IMPORTRANGE(""https://docs.google.com/spreadsheets/d/1kII0BjS6CtVrBvI8IrytgPdxDrlyQDyigzMsohRtDMs/edit?usp=sharing"",""อุทัยธานี!J645"")"),37)</f>
        <v>37</v>
      </c>
      <c r="Z30" s="75">
        <f ca="1">IFERROR(__xludf.DUMMYFUNCTION("IMPORTRANGE(""https://docs.google.com/spreadsheets/d/1kII0BjS6CtVrBvI8IrytgPdxDrlyQDyigzMsohRtDMs/edit?usp=sharing"",""อุทัยธานี!J646"")"),27.43)</f>
        <v>27.43</v>
      </c>
      <c r="AA30" s="68">
        <f ca="1">IFERROR(__xludf.DUMMYFUNCTION("IMPORTRANGE(""https://docs.google.com/spreadsheets/d/1kII0BjS6CtVrBvI8IrytgPdxDrlyQDyigzMsohRtDMs/edit?usp=sharing"",""อุทัยธานี!I647"")"),45)</f>
        <v>45</v>
      </c>
      <c r="AB30" s="68">
        <f ca="1">IFERROR(__xludf.DUMMYFUNCTION("IMPORTRANGE(""https://docs.google.com/spreadsheets/d/1kII0BjS6CtVrBvI8IrytgPdxDrlyQDyigzMsohRtDMs/edit?usp=sharing"",""อุทัยธานี!J647"")"),1)</f>
        <v>1</v>
      </c>
      <c r="AC30" s="75">
        <f ca="1">IFERROR(__xludf.DUMMYFUNCTION("IMPORTRANGE(""https://docs.google.com/spreadsheets/d/1kII0BjS6CtVrBvI8IrytgPdxDrlyQDyigzMsohRtDMs/edit?usp=sharing"",""อุทัยธานี!J648"")"),0.35)</f>
        <v>0.35</v>
      </c>
      <c r="AD30" s="75">
        <f t="shared" ca="1" si="27"/>
        <v>2.2222222222222223</v>
      </c>
      <c r="AE30" s="142">
        <f ca="1">IFERROR(__xludf.DUMMYFUNCTION("IMPORTRANGE(""https://docs.google.com/spreadsheets/d/1kII0BjS6CtVrBvI8IrytgPdxDrlyQDyigzMsohRtDMs/edit?usp=sharing"",""อุทัยธานี!I649"")"),45)</f>
        <v>45</v>
      </c>
      <c r="AF30" s="68">
        <f ca="1">IFERROR(__xludf.DUMMYFUNCTION("IMPORTRANGE(""https://docs.google.com/spreadsheets/d/1kII0BjS6CtVrBvI8IrytgPdxDrlyQDyigzMsohRtDMs/edit?usp=sharing"",""อุทัยธานี!J649"")"),1)</f>
        <v>1</v>
      </c>
      <c r="AG30" s="75">
        <f ca="1">IFERROR(__xludf.DUMMYFUNCTION("IMPORTRANGE(""https://docs.google.com/spreadsheets/d/1kII0BjS6CtVrBvI8IrytgPdxDrlyQDyigzMsohRtDMs/edit?usp=sharing"",""อุทัยธานี!J650"")"),0.35)</f>
        <v>0.35</v>
      </c>
      <c r="AH30" s="75">
        <f t="shared" ca="1" si="28"/>
        <v>2.2222222222222223</v>
      </c>
      <c r="AI30" s="142">
        <f ca="1">IFERROR(__xludf.DUMMYFUNCTION("IMPORTRANGE(""https://docs.google.com/spreadsheets/d/1kII0BjS6CtVrBvI8IrytgPdxDrlyQDyigzMsohRtDMs/edit?usp=sharing"",""อุทัยธานี!I651"")"),45)</f>
        <v>45</v>
      </c>
      <c r="AJ30" s="68">
        <f ca="1">IFERROR(__xludf.DUMMYFUNCTION("IMPORTRANGE(""https://docs.google.com/spreadsheets/d/1kII0BjS6CtVrBvI8IrytgPdxDrlyQDyigzMsohRtDMs/edit?usp=sharing"",""อุทัยธานี!J651"")"),0)</f>
        <v>0</v>
      </c>
      <c r="AK30" s="75">
        <f ca="1">IFERROR(__xludf.DUMMYFUNCTION("IMPORTRANGE(""https://docs.google.com/spreadsheets/d/1kII0BjS6CtVrBvI8IrytgPdxDrlyQDyigzMsohRtDMs/edit?usp=sharing"",""อุทัยธานี!J652"")"),0)</f>
        <v>0</v>
      </c>
      <c r="AL30" s="75">
        <f t="shared" ca="1" si="29"/>
        <v>0</v>
      </c>
    </row>
    <row r="31" spans="1:38" ht="21" customHeight="1" x14ac:dyDescent="0.3">
      <c r="A31" s="177" t="s">
        <v>52</v>
      </c>
      <c r="B31" s="178"/>
      <c r="C31" s="76">
        <f t="shared" ref="C31:G31" ca="1" si="42">SUM(C32:C51)</f>
        <v>11806445</v>
      </c>
      <c r="D31" s="34">
        <f t="shared" ca="1" si="42"/>
        <v>11806445</v>
      </c>
      <c r="E31" s="34">
        <f t="shared" ca="1" si="42"/>
        <v>0</v>
      </c>
      <c r="F31" s="34">
        <f t="shared" ca="1" si="42"/>
        <v>11806445</v>
      </c>
      <c r="G31" s="34">
        <f t="shared" ca="1" si="42"/>
        <v>0</v>
      </c>
      <c r="H31" s="34">
        <f t="shared" ca="1" si="24"/>
        <v>5682350.4399999995</v>
      </c>
      <c r="I31" s="35">
        <f t="shared" ca="1" si="1"/>
        <v>48.129224673472834</v>
      </c>
      <c r="J31" s="34">
        <f ca="1">SUM(J32:J51)</f>
        <v>5682350.4399999995</v>
      </c>
      <c r="K31" s="35">
        <f t="shared" ca="1" si="31"/>
        <v>48.129224673472834</v>
      </c>
      <c r="L31" s="35">
        <f t="shared" ca="1" si="32"/>
        <v>48.129224673472834</v>
      </c>
      <c r="M31" s="34">
        <f t="shared" ref="M31:Q31" ca="1" si="43">SUM(M32:M51)</f>
        <v>0</v>
      </c>
      <c r="N31" s="34">
        <f t="shared" ca="1" si="43"/>
        <v>51855</v>
      </c>
      <c r="O31" s="34">
        <f t="shared" ca="1" si="43"/>
        <v>1546260.3</v>
      </c>
      <c r="P31" s="34">
        <f t="shared" ca="1" si="43"/>
        <v>4084235.1399999997</v>
      </c>
      <c r="Q31" s="36">
        <f t="shared" ca="1" si="43"/>
        <v>0</v>
      </c>
      <c r="R31" s="36">
        <f t="shared" ca="1" si="34"/>
        <v>0</v>
      </c>
      <c r="S31" s="34">
        <f t="shared" ref="S31:T31" ca="1" si="44">SUM(S32:S51)</f>
        <v>7</v>
      </c>
      <c r="T31" s="34">
        <f t="shared" ca="1" si="44"/>
        <v>7</v>
      </c>
      <c r="U31" s="37">
        <f t="shared" ca="1" si="25"/>
        <v>100</v>
      </c>
      <c r="V31" s="34">
        <f t="shared" ref="V31:W31" ca="1" si="45">SUM(V32:V51)</f>
        <v>7</v>
      </c>
      <c r="W31" s="34">
        <f t="shared" ca="1" si="45"/>
        <v>7</v>
      </c>
      <c r="X31" s="37">
        <f t="shared" ca="1" si="26"/>
        <v>100</v>
      </c>
      <c r="Y31" s="34">
        <f t="shared" ref="Y31:AC31" ca="1" si="46">SUM(Y32:Y51)</f>
        <v>5008</v>
      </c>
      <c r="Z31" s="37">
        <f t="shared" ca="1" si="46"/>
        <v>3075.5499999999997</v>
      </c>
      <c r="AA31" s="34">
        <f t="shared" ca="1" si="46"/>
        <v>8730</v>
      </c>
      <c r="AB31" s="34">
        <f t="shared" ca="1" si="46"/>
        <v>5925</v>
      </c>
      <c r="AC31" s="37">
        <f t="shared" ca="1" si="46"/>
        <v>3407.2200000000003</v>
      </c>
      <c r="AD31" s="37">
        <f t="shared" ca="1" si="27"/>
        <v>67.869415807560131</v>
      </c>
      <c r="AE31" s="113">
        <f t="shared" ref="AE31:AG31" ca="1" si="47">SUM(AE32:AE51)</f>
        <v>8730</v>
      </c>
      <c r="AF31" s="34">
        <f t="shared" ca="1" si="47"/>
        <v>5103</v>
      </c>
      <c r="AG31" s="37">
        <f t="shared" ca="1" si="47"/>
        <v>2897.65</v>
      </c>
      <c r="AH31" s="37">
        <f t="shared" ca="1" si="28"/>
        <v>58.453608247422679</v>
      </c>
      <c r="AI31" s="113">
        <f t="shared" ref="AI31:AK31" ca="1" si="48">SUM(AI32:AI51)</f>
        <v>8730</v>
      </c>
      <c r="AJ31" s="34">
        <f t="shared" ca="1" si="48"/>
        <v>2827</v>
      </c>
      <c r="AK31" s="37">
        <f t="shared" ca="1" si="48"/>
        <v>1604.9400000000003</v>
      </c>
      <c r="AL31" s="37">
        <f t="shared" ca="1" si="29"/>
        <v>32.38258877434135</v>
      </c>
    </row>
    <row r="32" spans="1:38" ht="21" customHeight="1" x14ac:dyDescent="0.3">
      <c r="A32" s="54">
        <v>1</v>
      </c>
      <c r="B32" s="55" t="s">
        <v>53</v>
      </c>
      <c r="C32" s="56">
        <f t="shared" ref="C32:C51" ca="1" si="49">D32+E32</f>
        <v>381515</v>
      </c>
      <c r="D32" s="57">
        <f ca="1">IFERROR(__xludf.DUMMYFUNCTION("IMPORTRANGE(""https://docs.google.com/spreadsheets/d/1fb2B9NLcpJgjIieIJvenUTNPn0TimZDUi0OtYeiSQ_s/edit?usp=sharing"",""กาฬสินธุ์!L634"")"),381515)</f>
        <v>381515</v>
      </c>
      <c r="E32" s="57">
        <f ca="1">IFERROR(__xludf.DUMMYFUNCTION("IMPORTRANGE(""https://docs.google.com/spreadsheets/d/1fb2B9NLcpJgjIieIJvenUTNPn0TimZDUi0OtYeiSQ_s/edit?usp=sharing"",""กาฬสินธุ์!L641"")"),0)</f>
        <v>0</v>
      </c>
      <c r="F32" s="57">
        <f ca="1">IFERROR(__xludf.DUMMYFUNCTION("IMPORTRANGE(""https://docs.google.com/spreadsheets/d/1fb2B9NLcpJgjIieIJvenUTNPn0TimZDUi0OtYeiSQ_s/edit?usp=sharing"",""กาฬสินธุ์!M634"")"),381515)</f>
        <v>381515</v>
      </c>
      <c r="G32" s="57">
        <f ca="1">IFERROR(__xludf.DUMMYFUNCTION("IMPORTRANGE(""https://docs.google.com/spreadsheets/d/1fb2B9NLcpJgjIieIJvenUTNPn0TimZDUi0OtYeiSQ_s/edit?usp=sharing"",""กาฬสินธุ์!M641"")"),0)</f>
        <v>0</v>
      </c>
      <c r="H32" s="58">
        <f t="shared" ca="1" si="24"/>
        <v>223703.87</v>
      </c>
      <c r="I32" s="59">
        <f t="shared" ca="1" si="1"/>
        <v>58.635668322346433</v>
      </c>
      <c r="J32" s="60">
        <f t="shared" ref="J32:J51" ca="1" si="50">M32+N32+O32+P32</f>
        <v>223703.87</v>
      </c>
      <c r="K32" s="61">
        <f t="shared" ca="1" si="31"/>
        <v>58.635668322346433</v>
      </c>
      <c r="L32" s="61">
        <f t="shared" ca="1" si="32"/>
        <v>58.635668322346433</v>
      </c>
      <c r="M32" s="57">
        <f ca="1">IFERROR(__xludf.DUMMYFUNCTION("IMPORTRANGE(""https://docs.google.com/spreadsheets/d/1fb2B9NLcpJgjIieIJvenUTNPn0TimZDUi0OtYeiSQ_s/edit?usp=sharing"",""กาฬสินธุ์!N635"")"),0)</f>
        <v>0</v>
      </c>
      <c r="N32" s="57">
        <f ca="1">IFERROR(__xludf.DUMMYFUNCTION("IMPORTRANGE(""https://docs.google.com/spreadsheets/d/1fb2B9NLcpJgjIieIJvenUTNPn0TimZDUi0OtYeiSQ_s/edit?usp=sharing"",""กาฬสินธุ์!N636"")"),0)</f>
        <v>0</v>
      </c>
      <c r="O32" s="57">
        <f ca="1">IFERROR(__xludf.DUMMYFUNCTION("IMPORTRANGE(""https://docs.google.com/spreadsheets/d/1fb2B9NLcpJgjIieIJvenUTNPn0TimZDUi0OtYeiSQ_s/edit?usp=sharing"",""กาฬสินธุ์!N637"")"),49858.29)</f>
        <v>49858.29</v>
      </c>
      <c r="P32" s="57">
        <f ca="1">IFERROR(__xludf.DUMMYFUNCTION("IMPORTRANGE(""https://docs.google.com/spreadsheets/d/1fb2B9NLcpJgjIieIJvenUTNPn0TimZDUi0OtYeiSQ_s/edit?usp=sharing"",""กาฬสินธุ์!N638"")"),173845.58)</f>
        <v>173845.58</v>
      </c>
      <c r="Q32" s="62">
        <f ca="1">IFERROR(__xludf.DUMMYFUNCTION("IMPORTRANGE(""https://docs.google.com/spreadsheets/d/1fb2B9NLcpJgjIieIJvenUTNPn0TimZDUi0OtYeiSQ_s/edit?usp=sharing"",""กาฬสินธุ์!N641"")"),0)</f>
        <v>0</v>
      </c>
      <c r="R32" s="62">
        <f t="shared" ca="1" si="34"/>
        <v>0</v>
      </c>
      <c r="S32" s="57">
        <f ca="1">IFERROR(__xludf.DUMMYFUNCTION("IMPORTRANGE(""https://docs.google.com/spreadsheets/d/1fb2B9NLcpJgjIieIJvenUTNPn0TimZDUi0OtYeiSQ_s/edit?usp=sharing"",""กาฬสินธุ์!I643"")"),0)</f>
        <v>0</v>
      </c>
      <c r="T32" s="57">
        <f ca="1">IFERROR(__xludf.DUMMYFUNCTION("IMPORTRANGE(""https://docs.google.com/spreadsheets/d/1fb2B9NLcpJgjIieIJvenUTNPn0TimZDUi0OtYeiSQ_s/edit?usp=sharing"",""กาฬสินธุ์!J643"")"),0)</f>
        <v>0</v>
      </c>
      <c r="U32" s="63">
        <f t="shared" ca="1" si="25"/>
        <v>0</v>
      </c>
      <c r="V32" s="57">
        <f ca="1">IFERROR(__xludf.DUMMYFUNCTION("IMPORTRANGE(""https://docs.google.com/spreadsheets/d/1fb2B9NLcpJgjIieIJvenUTNPn0TimZDUi0OtYeiSQ_s/edit?usp=sharing"",""กาฬสินธุ์!I644"")"),0)</f>
        <v>0</v>
      </c>
      <c r="W32" s="57">
        <f ca="1">IFERROR(__xludf.DUMMYFUNCTION("IMPORTRANGE(""https://docs.google.com/spreadsheets/d/1fb2B9NLcpJgjIieIJvenUTNPn0TimZDUi0OtYeiSQ_s/edit?usp=sharing"",""กาฬสินธุ์!J644"")"),0)</f>
        <v>0</v>
      </c>
      <c r="X32" s="63">
        <f t="shared" ca="1" si="26"/>
        <v>0</v>
      </c>
      <c r="Y32" s="57">
        <f ca="1">IFERROR(__xludf.DUMMYFUNCTION("IMPORTRANGE(""https://docs.google.com/spreadsheets/d/1fb2B9NLcpJgjIieIJvenUTNPn0TimZDUi0OtYeiSQ_s/edit?usp=sharing"",""กาฬสินธุ์!J645"")"),115)</f>
        <v>115</v>
      </c>
      <c r="Z32" s="63">
        <f ca="1">IFERROR(__xludf.DUMMYFUNCTION("IMPORTRANGE(""https://docs.google.com/spreadsheets/d/1fb2B9NLcpJgjIieIJvenUTNPn0TimZDUi0OtYeiSQ_s/edit?usp=sharing"",""กาฬสินธุ์!J646"")"),66)</f>
        <v>66</v>
      </c>
      <c r="AA32" s="57">
        <f ca="1">IFERROR(__xludf.DUMMYFUNCTION("IMPORTRANGE(""https://docs.google.com/spreadsheets/d/1fb2B9NLcpJgjIieIJvenUTNPn0TimZDUi0OtYeiSQ_s/edit?usp=sharing"",""กาฬสินธุ์!I647"")"),100)</f>
        <v>100</v>
      </c>
      <c r="AB32" s="57">
        <f ca="1">IFERROR(__xludf.DUMMYFUNCTION("IMPORTRANGE(""https://docs.google.com/spreadsheets/d/1fb2B9NLcpJgjIieIJvenUTNPn0TimZDUi0OtYeiSQ_s/edit?usp=sharing"",""กาฬสินธุ์!J647"")"),143)</f>
        <v>143</v>
      </c>
      <c r="AC32" s="63">
        <f ca="1">IFERROR(__xludf.DUMMYFUNCTION("IMPORTRANGE(""https://docs.google.com/spreadsheets/d/1fb2B9NLcpJgjIieIJvenUTNPn0TimZDUi0OtYeiSQ_s/edit?usp=sharing"",""กาฬสินธุ์!J648"")"),85.79)</f>
        <v>85.79</v>
      </c>
      <c r="AD32" s="63">
        <f t="shared" ca="1" si="27"/>
        <v>143</v>
      </c>
      <c r="AE32" s="140">
        <f ca="1">IFERROR(__xludf.DUMMYFUNCTION("IMPORTRANGE(""https://docs.google.com/spreadsheets/d/1fb2B9NLcpJgjIieIJvenUTNPn0TimZDUi0OtYeiSQ_s/edit?usp=sharing"",""กาฬสินธุ์!I649"")"),100)</f>
        <v>100</v>
      </c>
      <c r="AF32" s="57">
        <f ca="1">IFERROR(__xludf.DUMMYFUNCTION("IMPORTRANGE(""https://docs.google.com/spreadsheets/d/1fb2B9NLcpJgjIieIJvenUTNPn0TimZDUi0OtYeiSQ_s/edit?usp=sharing"",""กาฬสินธุ์!J649"")"),125)</f>
        <v>125</v>
      </c>
      <c r="AG32" s="63">
        <f ca="1">IFERROR(__xludf.DUMMYFUNCTION("IMPORTRANGE(""https://docs.google.com/spreadsheets/d/1fb2B9NLcpJgjIieIJvenUTNPn0TimZDUi0OtYeiSQ_s/edit?usp=sharing"",""กาฬสินธุ์!J650"")"),71.7)</f>
        <v>71.7</v>
      </c>
      <c r="AH32" s="63">
        <f t="shared" ca="1" si="28"/>
        <v>125</v>
      </c>
      <c r="AI32" s="140">
        <f ca="1">IFERROR(__xludf.DUMMYFUNCTION("IMPORTRANGE(""https://docs.google.com/spreadsheets/d/1fb2B9NLcpJgjIieIJvenUTNPn0TimZDUi0OtYeiSQ_s/edit?usp=sharing"",""กาฬสินธุ์!I651"")"),100)</f>
        <v>100</v>
      </c>
      <c r="AJ32" s="57">
        <f ca="1">IFERROR(__xludf.DUMMYFUNCTION("IMPORTRANGE(""https://docs.google.com/spreadsheets/d/1fb2B9NLcpJgjIieIJvenUTNPn0TimZDUi0OtYeiSQ_s/edit?usp=sharing"",""กาฬสินธุ์!J651"")"),69)</f>
        <v>69</v>
      </c>
      <c r="AK32" s="63">
        <f ca="1">IFERROR(__xludf.DUMMYFUNCTION("IMPORTRANGE(""https://docs.google.com/spreadsheets/d/1fb2B9NLcpJgjIieIJvenUTNPn0TimZDUi0OtYeiSQ_s/edit?usp=sharing"",""กาฬสินธุ์!J652"")"),38.005)</f>
        <v>38.005000000000003</v>
      </c>
      <c r="AL32" s="63">
        <f t="shared" ca="1" si="29"/>
        <v>69</v>
      </c>
    </row>
    <row r="33" spans="1:38" ht="21" customHeight="1" x14ac:dyDescent="0.3">
      <c r="A33" s="54">
        <v>2</v>
      </c>
      <c r="B33" s="55" t="s">
        <v>54</v>
      </c>
      <c r="C33" s="56">
        <f t="shared" ca="1" si="49"/>
        <v>237485</v>
      </c>
      <c r="D33" s="57">
        <f ca="1">IFERROR(__xludf.DUMMYFUNCTION("IMPORTRANGE(""https://docs.google.com/spreadsheets/d/1SaMnqrwRGmFYNR0MhpWmHuL5niYUd5E7vDq8X7whAlI/edit?usp=sharing"",""ขอนแก่น!L634"")"),237485)</f>
        <v>237485</v>
      </c>
      <c r="E33" s="64">
        <f ca="1">IFERROR(__xludf.DUMMYFUNCTION("IMPORTRANGE(""https://docs.google.com/spreadsheets/d/1SaMnqrwRGmFYNR0MhpWmHuL5niYUd5E7vDq8X7whAlI/edit?usp=sharing"",""ขอนแก่น!L641"")"),0)</f>
        <v>0</v>
      </c>
      <c r="F33" s="64">
        <f ca="1">IFERROR(__xludf.DUMMYFUNCTION("IMPORTRANGE(""https://docs.google.com/spreadsheets/d/1SaMnqrwRGmFYNR0MhpWmHuL5niYUd5E7vDq8X7whAlI/edit?usp=sharing"",""ขอนแก่น!M634"")"),237485)</f>
        <v>237485</v>
      </c>
      <c r="G33" s="64">
        <f ca="1">IFERROR(__xludf.DUMMYFUNCTION("IMPORTRANGE(""https://docs.google.com/spreadsheets/d/1SaMnqrwRGmFYNR0MhpWmHuL5niYUd5E7vDq8X7whAlI/edit?usp=sharing"",""ขอนแก่น!M641"")"),0)</f>
        <v>0</v>
      </c>
      <c r="H33" s="58">
        <f t="shared" ca="1" si="24"/>
        <v>1921</v>
      </c>
      <c r="I33" s="59">
        <f t="shared" ca="1" si="1"/>
        <v>0.80889319325431075</v>
      </c>
      <c r="J33" s="60">
        <f t="shared" ca="1" si="50"/>
        <v>1921</v>
      </c>
      <c r="K33" s="61">
        <f t="shared" ca="1" si="31"/>
        <v>0.80889319325431075</v>
      </c>
      <c r="L33" s="61">
        <f t="shared" ca="1" si="32"/>
        <v>0.80889319325431075</v>
      </c>
      <c r="M33" s="64">
        <f ca="1">IFERROR(__xludf.DUMMYFUNCTION("IMPORTRANGE(""https://docs.google.com/spreadsheets/d/1SaMnqrwRGmFYNR0MhpWmHuL5niYUd5E7vDq8X7whAlI/edit?usp=sharing"",""ขอนแก่น!N635"")"),0)</f>
        <v>0</v>
      </c>
      <c r="N33" s="64">
        <f ca="1">IFERROR(__xludf.DUMMYFUNCTION("IMPORTRANGE(""https://docs.google.com/spreadsheets/d/1SaMnqrwRGmFYNR0MhpWmHuL5niYUd5E7vDq8X7whAlI/edit?usp=sharing"",""ขอนแก่น!N636"")"),0)</f>
        <v>0</v>
      </c>
      <c r="O33" s="64">
        <f ca="1">IFERROR(__xludf.DUMMYFUNCTION("IMPORTRANGE(""https://docs.google.com/spreadsheets/d/1SaMnqrwRGmFYNR0MhpWmHuL5niYUd5E7vDq8X7whAlI/edit?usp=sharing"",""ขอนแก่น!N637"")"),0)</f>
        <v>0</v>
      </c>
      <c r="P33" s="64">
        <f ca="1">IFERROR(__xludf.DUMMYFUNCTION("IMPORTRANGE(""https://docs.google.com/spreadsheets/d/1SaMnqrwRGmFYNR0MhpWmHuL5niYUd5E7vDq8X7whAlI/edit?usp=sharing"",""ขอนแก่น!N638"")"),1921)</f>
        <v>1921</v>
      </c>
      <c r="Q33" s="62">
        <f ca="1">IFERROR(__xludf.DUMMYFUNCTION("IMPORTRANGE(""https://docs.google.com/spreadsheets/d/1SaMnqrwRGmFYNR0MhpWmHuL5niYUd5E7vDq8X7whAlI/edit?usp=sharing"",""ขอนแก่น!N641"")"),0)</f>
        <v>0</v>
      </c>
      <c r="R33" s="62">
        <f t="shared" ca="1" si="34"/>
        <v>0</v>
      </c>
      <c r="S33" s="57">
        <f ca="1">IFERROR(__xludf.DUMMYFUNCTION("IMPORTRANGE(""https://docs.google.com/spreadsheets/d/1SaMnqrwRGmFYNR0MhpWmHuL5niYUd5E7vDq8X7whAlI/edit?usp=sharing"",""ขอนแก่น!I643"")"),0)</f>
        <v>0</v>
      </c>
      <c r="T33" s="57">
        <f ca="1">IFERROR(__xludf.DUMMYFUNCTION("IMPORTRANGE(""https://docs.google.com/spreadsheets/d/1SaMnqrwRGmFYNR0MhpWmHuL5niYUd5E7vDq8X7whAlI/edit?usp=sharing"",""ขอนแก่น!J643"")"),0)</f>
        <v>0</v>
      </c>
      <c r="U33" s="63">
        <f t="shared" ca="1" si="25"/>
        <v>0</v>
      </c>
      <c r="V33" s="57">
        <f ca="1">IFERROR(__xludf.DUMMYFUNCTION("IMPORTRANGE(""https://docs.google.com/spreadsheets/d/1SaMnqrwRGmFYNR0MhpWmHuL5niYUd5E7vDq8X7whAlI/edit?usp=sharing"",""ขอนแก่น!I644"")"),0)</f>
        <v>0</v>
      </c>
      <c r="W33" s="57">
        <f ca="1">IFERROR(__xludf.DUMMYFUNCTION("IMPORTRANGE(""https://docs.google.com/spreadsheets/d/1SaMnqrwRGmFYNR0MhpWmHuL5niYUd5E7vDq8X7whAlI/edit?usp=sharing"",""ขอนแก่น!J644"")"),0)</f>
        <v>0</v>
      </c>
      <c r="X33" s="63">
        <f t="shared" ca="1" si="26"/>
        <v>0</v>
      </c>
      <c r="Y33" s="57">
        <f ca="1">IFERROR(__xludf.DUMMYFUNCTION("IMPORTRANGE(""https://docs.google.com/spreadsheets/d/1SaMnqrwRGmFYNR0MhpWmHuL5niYUd5E7vDq8X7whAlI/edit?usp=sharing"",""ขอนแก่น!J645"")"),0)</f>
        <v>0</v>
      </c>
      <c r="Z33" s="63">
        <f ca="1">IFERROR(__xludf.DUMMYFUNCTION("IMPORTRANGE(""https://docs.google.com/spreadsheets/d/1SaMnqrwRGmFYNR0MhpWmHuL5niYUd5E7vDq8X7whAlI/edit?usp=sharing"",""ขอนแก่น!J646"")"),0)</f>
        <v>0</v>
      </c>
      <c r="AA33" s="57">
        <f ca="1">IFERROR(__xludf.DUMMYFUNCTION("IMPORTRANGE(""https://docs.google.com/spreadsheets/d/1SaMnqrwRGmFYNR0MhpWmHuL5niYUd5E7vDq8X7whAlI/edit?usp=sharing"",""ขอนแก่น!I647"")"),50)</f>
        <v>50</v>
      </c>
      <c r="AB33" s="57">
        <f ca="1">IFERROR(__xludf.DUMMYFUNCTION("IMPORTRANGE(""https://docs.google.com/spreadsheets/d/1SaMnqrwRGmFYNR0MhpWmHuL5niYUd5E7vDq8X7whAlI/edit?usp=sharing"",""ขอนแก่น!J647"")"),0)</f>
        <v>0</v>
      </c>
      <c r="AC33" s="63">
        <f ca="1">IFERROR(__xludf.DUMMYFUNCTION("IMPORTRANGE(""https://docs.google.com/spreadsheets/d/1SaMnqrwRGmFYNR0MhpWmHuL5niYUd5E7vDq8X7whAlI/edit?usp=sharing"",""ขอนแก่น!J648"")"),0)</f>
        <v>0</v>
      </c>
      <c r="AD33" s="63">
        <f t="shared" ca="1" si="27"/>
        <v>0</v>
      </c>
      <c r="AE33" s="140">
        <f ca="1">IFERROR(__xludf.DUMMYFUNCTION("IMPORTRANGE(""https://docs.google.com/spreadsheets/d/1SaMnqrwRGmFYNR0MhpWmHuL5niYUd5E7vDq8X7whAlI/edit?usp=sharing"",""ขอนแก่น!I649"")"),50)</f>
        <v>50</v>
      </c>
      <c r="AF33" s="57">
        <f ca="1">IFERROR(__xludf.DUMMYFUNCTION("IMPORTRANGE(""https://docs.google.com/spreadsheets/d/1SaMnqrwRGmFYNR0MhpWmHuL5niYUd5E7vDq8X7whAlI/edit?usp=sharing"",""ขอนแก่น!J649"")"),0)</f>
        <v>0</v>
      </c>
      <c r="AG33" s="63">
        <f ca="1">IFERROR(__xludf.DUMMYFUNCTION("IMPORTRANGE(""https://docs.google.com/spreadsheets/d/1SaMnqrwRGmFYNR0MhpWmHuL5niYUd5E7vDq8X7whAlI/edit?usp=sharing"",""ขอนแก่น!J650"")"),0)</f>
        <v>0</v>
      </c>
      <c r="AH33" s="63">
        <f t="shared" ca="1" si="28"/>
        <v>0</v>
      </c>
      <c r="AI33" s="140">
        <f ca="1">IFERROR(__xludf.DUMMYFUNCTION("IMPORTRANGE(""https://docs.google.com/spreadsheets/d/1SaMnqrwRGmFYNR0MhpWmHuL5niYUd5E7vDq8X7whAlI/edit?usp=sharing"",""ขอนแก่น!I651"")"),50)</f>
        <v>50</v>
      </c>
      <c r="AJ33" s="57">
        <f ca="1">IFERROR(__xludf.DUMMYFUNCTION("IMPORTRANGE(""https://docs.google.com/spreadsheets/d/1SaMnqrwRGmFYNR0MhpWmHuL5niYUd5E7vDq8X7whAlI/edit?usp=sharing"",""ขอนแก่น!J651"")"),0)</f>
        <v>0</v>
      </c>
      <c r="AK33" s="63">
        <f ca="1">IFERROR(__xludf.DUMMYFUNCTION("IMPORTRANGE(""https://docs.google.com/spreadsheets/d/1SaMnqrwRGmFYNR0MhpWmHuL5niYUd5E7vDq8X7whAlI/edit?usp=sharing"",""ขอนแก่น!J652"")"),0)</f>
        <v>0</v>
      </c>
      <c r="AL33" s="63">
        <f t="shared" ca="1" si="29"/>
        <v>0</v>
      </c>
    </row>
    <row r="34" spans="1:38" ht="21" customHeight="1" x14ac:dyDescent="0.3">
      <c r="A34" s="54">
        <v>3</v>
      </c>
      <c r="B34" s="55" t="s">
        <v>55</v>
      </c>
      <c r="C34" s="56">
        <f t="shared" ca="1" si="49"/>
        <v>1142370</v>
      </c>
      <c r="D34" s="57">
        <f ca="1">IFERROR(__xludf.DUMMYFUNCTION("IMPORTRANGE(""https://docs.google.com/spreadsheets/d/1xQzEtGHhTTgxHh6YUkKY1P4dRyjVhS74dGswLfAASA4/edit?usp=sharing"",""ชัยภูมิ!L634"")"),1142370)</f>
        <v>1142370</v>
      </c>
      <c r="E34" s="64">
        <f ca="1">IFERROR(__xludf.DUMMYFUNCTION("IMPORTRANGE(""https://docs.google.com/spreadsheets/d/1xQzEtGHhTTgxHh6YUkKY1P4dRyjVhS74dGswLfAASA4/edit?usp=sharing"",""ชัยภูมิ!L641"")"),0)</f>
        <v>0</v>
      </c>
      <c r="F34" s="64">
        <f ca="1">IFERROR(__xludf.DUMMYFUNCTION("IMPORTRANGE(""https://docs.google.com/spreadsheets/d/1xQzEtGHhTTgxHh6YUkKY1P4dRyjVhS74dGswLfAASA4/edit?usp=sharing"",""ชัยภูมิ!M634"")"),1142370)</f>
        <v>1142370</v>
      </c>
      <c r="G34" s="64">
        <f ca="1">IFERROR(__xludf.DUMMYFUNCTION("IMPORTRANGE(""https://docs.google.com/spreadsheets/d/1xQzEtGHhTTgxHh6YUkKY1P4dRyjVhS74dGswLfAASA4/edit?usp=sharing"",""ชัยภูมิ!M641"")"),0)</f>
        <v>0</v>
      </c>
      <c r="H34" s="58">
        <f t="shared" ca="1" si="24"/>
        <v>460575</v>
      </c>
      <c r="I34" s="59">
        <f t="shared" ca="1" si="1"/>
        <v>40.317497833451512</v>
      </c>
      <c r="J34" s="60">
        <f t="shared" ca="1" si="50"/>
        <v>460575</v>
      </c>
      <c r="K34" s="61">
        <f t="shared" ca="1" si="31"/>
        <v>40.317497833451512</v>
      </c>
      <c r="L34" s="61">
        <f t="shared" ca="1" si="32"/>
        <v>40.317497833451512</v>
      </c>
      <c r="M34" s="64">
        <f ca="1">IFERROR(__xludf.DUMMYFUNCTION("IMPORTRANGE(""https://docs.google.com/spreadsheets/d/1xQzEtGHhTTgxHh6YUkKY1P4dRyjVhS74dGswLfAASA4/edit?usp=sharing"",""ชัยภูมิ!N635"")"),0)</f>
        <v>0</v>
      </c>
      <c r="N34" s="64">
        <f ca="1">IFERROR(__xludf.DUMMYFUNCTION("IMPORTRANGE(""https://docs.google.com/spreadsheets/d/1xQzEtGHhTTgxHh6YUkKY1P4dRyjVhS74dGswLfAASA4/edit?usp=sharing"",""ชัยภูมิ!N636"")"),27840)</f>
        <v>27840</v>
      </c>
      <c r="O34" s="64">
        <f ca="1">IFERROR(__xludf.DUMMYFUNCTION("IMPORTRANGE(""https://docs.google.com/spreadsheets/d/1xQzEtGHhTTgxHh6YUkKY1P4dRyjVhS74dGswLfAASA4/edit?usp=sharing"",""ชัยภูมิ!N637"")"),90580)</f>
        <v>90580</v>
      </c>
      <c r="P34" s="64">
        <f ca="1">IFERROR(__xludf.DUMMYFUNCTION("IMPORTRANGE(""https://docs.google.com/spreadsheets/d/1xQzEtGHhTTgxHh6YUkKY1P4dRyjVhS74dGswLfAASA4/edit?usp=sharing"",""ชัยภูมิ!N638"")"),342155)</f>
        <v>342155</v>
      </c>
      <c r="Q34" s="62">
        <f ca="1">IFERROR(__xludf.DUMMYFUNCTION("IMPORTRANGE(""https://docs.google.com/spreadsheets/d/1xQzEtGHhTTgxHh6YUkKY1P4dRyjVhS74dGswLfAASA4/edit?usp=sharing"",""ชัยภูมิ!N641"")"),0)</f>
        <v>0</v>
      </c>
      <c r="R34" s="62">
        <f t="shared" ca="1" si="34"/>
        <v>0</v>
      </c>
      <c r="S34" s="57">
        <f ca="1">IFERROR(__xludf.DUMMYFUNCTION("IMPORTRANGE(""https://docs.google.com/spreadsheets/d/1xQzEtGHhTTgxHh6YUkKY1P4dRyjVhS74dGswLfAASA4/edit?usp=sharing"",""ชัยภูมิ!I643"")"),0)</f>
        <v>0</v>
      </c>
      <c r="T34" s="57">
        <f ca="1">IFERROR(__xludf.DUMMYFUNCTION("IMPORTRANGE(""https://docs.google.com/spreadsheets/d/1xQzEtGHhTTgxHh6YUkKY1P4dRyjVhS74dGswLfAASA4/edit?usp=sharing"",""ชัยภูมิ!J643"")"),0)</f>
        <v>0</v>
      </c>
      <c r="U34" s="63">
        <f t="shared" ca="1" si="25"/>
        <v>0</v>
      </c>
      <c r="V34" s="57">
        <f ca="1">IFERROR(__xludf.DUMMYFUNCTION("IMPORTRANGE(""https://docs.google.com/spreadsheets/d/1xQzEtGHhTTgxHh6YUkKY1P4dRyjVhS74dGswLfAASA4/edit?usp=sharing"",""ชัยภูมิ!I644"")"),0)</f>
        <v>0</v>
      </c>
      <c r="W34" s="57">
        <f ca="1">IFERROR(__xludf.DUMMYFUNCTION("IMPORTRANGE(""https://docs.google.com/spreadsheets/d/1xQzEtGHhTTgxHh6YUkKY1P4dRyjVhS74dGswLfAASA4/edit?usp=sharing"",""ชัยภูมิ!J644"")"),0)</f>
        <v>0</v>
      </c>
      <c r="X34" s="63">
        <f t="shared" ca="1" si="26"/>
        <v>0</v>
      </c>
      <c r="Y34" s="57">
        <f ca="1">IFERROR(__xludf.DUMMYFUNCTION("IMPORTRANGE(""https://docs.google.com/spreadsheets/d/1xQzEtGHhTTgxHh6YUkKY1P4dRyjVhS74dGswLfAASA4/edit?usp=sharing"",""ชัยภูมิ!J645"")"),1206)</f>
        <v>1206</v>
      </c>
      <c r="Z34" s="63">
        <f ca="1">IFERROR(__xludf.DUMMYFUNCTION("IMPORTRANGE(""https://docs.google.com/spreadsheets/d/1xQzEtGHhTTgxHh6YUkKY1P4dRyjVhS74dGswLfAASA4/edit?usp=sharing"",""ชัยภูมิ!J646"")"),674.38)</f>
        <v>674.38</v>
      </c>
      <c r="AA34" s="57">
        <f ca="1">IFERROR(__xludf.DUMMYFUNCTION("IMPORTRANGE(""https://docs.google.com/spreadsheets/d/1xQzEtGHhTTgxHh6YUkKY1P4dRyjVhS74dGswLfAASA4/edit?usp=sharing"",""ชัยภูมิ!I647"")"),1200)</f>
        <v>1200</v>
      </c>
      <c r="AB34" s="57">
        <f ca="1">IFERROR(__xludf.DUMMYFUNCTION("IMPORTRANGE(""https://docs.google.com/spreadsheets/d/1xQzEtGHhTTgxHh6YUkKY1P4dRyjVhS74dGswLfAASA4/edit?usp=sharing"",""ชัยภูมิ!J647"")"),628)</f>
        <v>628</v>
      </c>
      <c r="AC34" s="63">
        <f ca="1">IFERROR(__xludf.DUMMYFUNCTION("IMPORTRANGE(""https://docs.google.com/spreadsheets/d/1xQzEtGHhTTgxHh6YUkKY1P4dRyjVhS74dGswLfAASA4/edit?usp=sharing"",""ชัยภูมิ!J648"")"),366.77)</f>
        <v>366.77</v>
      </c>
      <c r="AD34" s="63">
        <f t="shared" ca="1" si="27"/>
        <v>52.333333333333336</v>
      </c>
      <c r="AE34" s="140">
        <f ca="1">IFERROR(__xludf.DUMMYFUNCTION("IMPORTRANGE(""https://docs.google.com/spreadsheets/d/1xQzEtGHhTTgxHh6YUkKY1P4dRyjVhS74dGswLfAASA4/edit?usp=sharing"",""ชัยภูมิ!I649"")"),1200)</f>
        <v>1200</v>
      </c>
      <c r="AF34" s="57">
        <f ca="1">IFERROR(__xludf.DUMMYFUNCTION("IMPORTRANGE(""https://docs.google.com/spreadsheets/d/1xQzEtGHhTTgxHh6YUkKY1P4dRyjVhS74dGswLfAASA4/edit?usp=sharing"",""ชัยภูมิ!J649"")"),247)</f>
        <v>247</v>
      </c>
      <c r="AG34" s="63">
        <f ca="1">IFERROR(__xludf.DUMMYFUNCTION("IMPORTRANGE(""https://docs.google.com/spreadsheets/d/1xQzEtGHhTTgxHh6YUkKY1P4dRyjVhS74dGswLfAASA4/edit?usp=sharing"",""ชัยภูมิ!J650"")"),138.78)</f>
        <v>138.78</v>
      </c>
      <c r="AH34" s="63">
        <f t="shared" ca="1" si="28"/>
        <v>20.583333333333332</v>
      </c>
      <c r="AI34" s="140">
        <f ca="1">IFERROR(__xludf.DUMMYFUNCTION("IMPORTRANGE(""https://docs.google.com/spreadsheets/d/1xQzEtGHhTTgxHh6YUkKY1P4dRyjVhS74dGswLfAASA4/edit?usp=sharing"",""ชัยภูมิ!I651"")"),1200)</f>
        <v>1200</v>
      </c>
      <c r="AJ34" s="57">
        <f ca="1">IFERROR(__xludf.DUMMYFUNCTION("IMPORTRANGE(""https://docs.google.com/spreadsheets/d/1xQzEtGHhTTgxHh6YUkKY1P4dRyjVhS74dGswLfAASA4/edit?usp=sharing"",""ชัยภูมิ!J651"")"),0)</f>
        <v>0</v>
      </c>
      <c r="AK34" s="63">
        <f ca="1">IFERROR(__xludf.DUMMYFUNCTION("IMPORTRANGE(""https://docs.google.com/spreadsheets/d/1xQzEtGHhTTgxHh6YUkKY1P4dRyjVhS74dGswLfAASA4/edit?usp=sharing"",""ชัยภูมิ!J652"")"),0)</f>
        <v>0</v>
      </c>
      <c r="AL34" s="63">
        <f t="shared" ca="1" si="29"/>
        <v>0</v>
      </c>
    </row>
    <row r="35" spans="1:38" ht="21" customHeight="1" x14ac:dyDescent="0.3">
      <c r="A35" s="54">
        <v>4</v>
      </c>
      <c r="B35" s="55" t="s">
        <v>56</v>
      </c>
      <c r="C35" s="56">
        <f t="shared" ca="1" si="49"/>
        <v>0</v>
      </c>
      <c r="D35" s="57">
        <f ca="1">IFERROR(__xludf.DUMMYFUNCTION("IMPORTRANGE(""https://docs.google.com/spreadsheets/d/1EXMBoBxU3OFbjT2TRpneM33qFjqDzrKmn9ydcflfI0o/edit?usp=sharing"",""นครพนม!L634"")"),0)</f>
        <v>0</v>
      </c>
      <c r="E35" s="64">
        <f ca="1">IFERROR(__xludf.DUMMYFUNCTION("IMPORTRANGE(""https://docs.google.com/spreadsheets/d/1EXMBoBxU3OFbjT2TRpneM33qFjqDzrKmn9ydcflfI0o/edit?usp=sharing"",""นครพนม!L641"")"),0)</f>
        <v>0</v>
      </c>
      <c r="F35" s="64">
        <f ca="1">IFERROR(__xludf.DUMMYFUNCTION("IMPORTRANGE(""https://docs.google.com/spreadsheets/d/1EXMBoBxU3OFbjT2TRpneM33qFjqDzrKmn9ydcflfI0o/edit?usp=sharing"",""นครพนม!M634"")"),0)</f>
        <v>0</v>
      </c>
      <c r="G35" s="64">
        <f ca="1">IFERROR(__xludf.DUMMYFUNCTION("IMPORTRANGE(""https://docs.google.com/spreadsheets/d/1EXMBoBxU3OFbjT2TRpneM33qFjqDzrKmn9ydcflfI0o/edit?usp=sharing"",""นครพนม!M641"")"),0)</f>
        <v>0</v>
      </c>
      <c r="H35" s="58">
        <f t="shared" ca="1" si="24"/>
        <v>0</v>
      </c>
      <c r="I35" s="59">
        <f t="shared" ca="1" si="1"/>
        <v>0</v>
      </c>
      <c r="J35" s="60">
        <f t="shared" ca="1" si="50"/>
        <v>0</v>
      </c>
      <c r="K35" s="61">
        <f t="shared" ca="1" si="31"/>
        <v>0</v>
      </c>
      <c r="L35" s="61">
        <f t="shared" ca="1" si="32"/>
        <v>0</v>
      </c>
      <c r="M35" s="64">
        <f ca="1">IFERROR(__xludf.DUMMYFUNCTION("IMPORTRANGE(""https://docs.google.com/spreadsheets/d/1EXMBoBxU3OFbjT2TRpneM33qFjqDzrKmn9ydcflfI0o/edit?usp=sharing"",""นครพนม!N635"")"),0)</f>
        <v>0</v>
      </c>
      <c r="N35" s="64">
        <f ca="1">IFERROR(__xludf.DUMMYFUNCTION("IMPORTRANGE(""https://docs.google.com/spreadsheets/d/1EXMBoBxU3OFbjT2TRpneM33qFjqDzrKmn9ydcflfI0o/edit?usp=sharing"",""นครพนม!N636"")"),0)</f>
        <v>0</v>
      </c>
      <c r="O35" s="64">
        <f ca="1">IFERROR(__xludf.DUMMYFUNCTION("IMPORTRANGE(""https://docs.google.com/spreadsheets/d/1EXMBoBxU3OFbjT2TRpneM33qFjqDzrKmn9ydcflfI0o/edit?usp=sharing"",""นครพนม!N637"")"),0)</f>
        <v>0</v>
      </c>
      <c r="P35" s="64">
        <f ca="1">IFERROR(__xludf.DUMMYFUNCTION("IMPORTRANGE(""https://docs.google.com/spreadsheets/d/1EXMBoBxU3OFbjT2TRpneM33qFjqDzrKmn9ydcflfI0o/edit?usp=sharing"",""นครพนม!N638"")"),0)</f>
        <v>0</v>
      </c>
      <c r="Q35" s="62">
        <f ca="1">IFERROR(__xludf.DUMMYFUNCTION("IMPORTRANGE(""https://docs.google.com/spreadsheets/d/1EXMBoBxU3OFbjT2TRpneM33qFjqDzrKmn9ydcflfI0o/edit?usp=sharing"",""นครพนม!N641"")"),0)</f>
        <v>0</v>
      </c>
      <c r="R35" s="62">
        <f t="shared" ca="1" si="34"/>
        <v>0</v>
      </c>
      <c r="S35" s="57">
        <f ca="1">IFERROR(__xludf.DUMMYFUNCTION("IMPORTRANGE(""https://docs.google.com/spreadsheets/d/1EXMBoBxU3OFbjT2TRpneM33qFjqDzrKmn9ydcflfI0o/edit?usp=sharing"",""นครพนม!I643"")"),0)</f>
        <v>0</v>
      </c>
      <c r="T35" s="57">
        <f ca="1">IFERROR(__xludf.DUMMYFUNCTION("IMPORTRANGE(""https://docs.google.com/spreadsheets/d/1EXMBoBxU3OFbjT2TRpneM33qFjqDzrKmn9ydcflfI0o/edit?usp=sharing"",""นครพนม!J643"")"),0)</f>
        <v>0</v>
      </c>
      <c r="U35" s="63">
        <f t="shared" ca="1" si="25"/>
        <v>0</v>
      </c>
      <c r="V35" s="57">
        <f ca="1">IFERROR(__xludf.DUMMYFUNCTION("IMPORTRANGE(""https://docs.google.com/spreadsheets/d/1EXMBoBxU3OFbjT2TRpneM33qFjqDzrKmn9ydcflfI0o/edit?usp=sharing"",""นครพนม!I644"")"),0)</f>
        <v>0</v>
      </c>
      <c r="W35" s="57">
        <f ca="1">IFERROR(__xludf.DUMMYFUNCTION("IMPORTRANGE(""https://docs.google.com/spreadsheets/d/1EXMBoBxU3OFbjT2TRpneM33qFjqDzrKmn9ydcflfI0o/edit?usp=sharing"",""นครพนม!J644"")"),0)</f>
        <v>0</v>
      </c>
      <c r="X35" s="63">
        <f t="shared" ca="1" si="26"/>
        <v>0</v>
      </c>
      <c r="Y35" s="57">
        <f ca="1">IFERROR(__xludf.DUMMYFUNCTION("IMPORTRANGE(""https://docs.google.com/spreadsheets/d/1EXMBoBxU3OFbjT2TRpneM33qFjqDzrKmn9ydcflfI0o/edit?usp=sharing"",""นครพนม!J645"")"),0)</f>
        <v>0</v>
      </c>
      <c r="Z35" s="63">
        <f ca="1">IFERROR(__xludf.DUMMYFUNCTION("IMPORTRANGE(""https://docs.google.com/spreadsheets/d/1EXMBoBxU3OFbjT2TRpneM33qFjqDzrKmn9ydcflfI0o/edit?usp=sharing"",""นครพนม!J646"")"),0)</f>
        <v>0</v>
      </c>
      <c r="AA35" s="57">
        <f ca="1">IFERROR(__xludf.DUMMYFUNCTION("IMPORTRANGE(""https://docs.google.com/spreadsheets/d/1EXMBoBxU3OFbjT2TRpneM33qFjqDzrKmn9ydcflfI0o/edit?usp=sharing"",""นครพนม!I647"")"),0)</f>
        <v>0</v>
      </c>
      <c r="AB35" s="57">
        <f ca="1">IFERROR(__xludf.DUMMYFUNCTION("IMPORTRANGE(""https://docs.google.com/spreadsheets/d/1EXMBoBxU3OFbjT2TRpneM33qFjqDzrKmn9ydcflfI0o/edit?usp=sharing"",""นครพนม!J647"")"),0)</f>
        <v>0</v>
      </c>
      <c r="AC35" s="63">
        <f ca="1">IFERROR(__xludf.DUMMYFUNCTION("IMPORTRANGE(""https://docs.google.com/spreadsheets/d/1EXMBoBxU3OFbjT2TRpneM33qFjqDzrKmn9ydcflfI0o/edit?usp=sharing"",""นครพนม!J648"")"),0)</f>
        <v>0</v>
      </c>
      <c r="AD35" s="63">
        <f t="shared" ca="1" si="27"/>
        <v>0</v>
      </c>
      <c r="AE35" s="140">
        <f ca="1">IFERROR(__xludf.DUMMYFUNCTION("IMPORTRANGE(""https://docs.google.com/spreadsheets/d/1EXMBoBxU3OFbjT2TRpneM33qFjqDzrKmn9ydcflfI0o/edit?usp=sharing"",""นครพนม!I649"")"),0)</f>
        <v>0</v>
      </c>
      <c r="AF35" s="57">
        <f ca="1">IFERROR(__xludf.DUMMYFUNCTION("IMPORTRANGE(""https://docs.google.com/spreadsheets/d/1EXMBoBxU3OFbjT2TRpneM33qFjqDzrKmn9ydcflfI0o/edit?usp=sharing"",""นครพนม!J649"")"),0)</f>
        <v>0</v>
      </c>
      <c r="AG35" s="63">
        <f ca="1">IFERROR(__xludf.DUMMYFUNCTION("IMPORTRANGE(""https://docs.google.com/spreadsheets/d/1EXMBoBxU3OFbjT2TRpneM33qFjqDzrKmn9ydcflfI0o/edit?usp=sharing"",""นครพนม!J650"")"),0)</f>
        <v>0</v>
      </c>
      <c r="AH35" s="63">
        <f t="shared" ca="1" si="28"/>
        <v>0</v>
      </c>
      <c r="AI35" s="140">
        <f ca="1">IFERROR(__xludf.DUMMYFUNCTION("IMPORTRANGE(""https://docs.google.com/spreadsheets/d/1EXMBoBxU3OFbjT2TRpneM33qFjqDzrKmn9ydcflfI0o/edit?usp=sharing"",""นครพนม!I651"")"),0)</f>
        <v>0</v>
      </c>
      <c r="AJ35" s="57">
        <f ca="1">IFERROR(__xludf.DUMMYFUNCTION("IMPORTRANGE(""https://docs.google.com/spreadsheets/d/1EXMBoBxU3OFbjT2TRpneM33qFjqDzrKmn9ydcflfI0o/edit?usp=sharing"",""นครพนม!J651"")"),0)</f>
        <v>0</v>
      </c>
      <c r="AK35" s="63">
        <f ca="1">IFERROR(__xludf.DUMMYFUNCTION("IMPORTRANGE(""https://docs.google.com/spreadsheets/d/1EXMBoBxU3OFbjT2TRpneM33qFjqDzrKmn9ydcflfI0o/edit?usp=sharing"",""นครพนม!J652"")"),0)</f>
        <v>0</v>
      </c>
      <c r="AL35" s="63">
        <f t="shared" ca="1" si="29"/>
        <v>0</v>
      </c>
    </row>
    <row r="36" spans="1:38" ht="21" customHeight="1" x14ac:dyDescent="0.3">
      <c r="A36" s="54">
        <v>5</v>
      </c>
      <c r="B36" s="55" t="s">
        <v>57</v>
      </c>
      <c r="C36" s="56">
        <f t="shared" ca="1" si="49"/>
        <v>2073125</v>
      </c>
      <c r="D36" s="57">
        <f ca="1">IFERROR(__xludf.DUMMYFUNCTION("IMPORTRANGE(""https://docs.google.com/spreadsheets/d/1bDQrolntRWtHumK8W-x-HXKntwxB9S3sF5aDeRS66Ko/edit?usp=sharing"",""นครราชสีมา!L634"")"),2073125)</f>
        <v>2073125</v>
      </c>
      <c r="E36" s="64">
        <f ca="1">IFERROR(__xludf.DUMMYFUNCTION("IMPORTRANGE(""https://docs.google.com/spreadsheets/d/1bDQrolntRWtHumK8W-x-HXKntwxB9S3sF5aDeRS66Ko/edit?usp=sharing"",""นครราชสีมา!L641"")"),0)</f>
        <v>0</v>
      </c>
      <c r="F36" s="64">
        <f ca="1">IFERROR(__xludf.DUMMYFUNCTION("IMPORTRANGE(""https://docs.google.com/spreadsheets/d/1bDQrolntRWtHumK8W-x-HXKntwxB9S3sF5aDeRS66Ko/edit?usp=sharing"",""นครราชสีมา!M634"")"),2073125)</f>
        <v>2073125</v>
      </c>
      <c r="G36" s="64">
        <f ca="1">IFERROR(__xludf.DUMMYFUNCTION("IMPORTRANGE(""https://docs.google.com/spreadsheets/d/1bDQrolntRWtHumK8W-x-HXKntwxB9S3sF5aDeRS66Ko/edit?usp=sharing"",""นครราชสีมา!M641"")"),0)</f>
        <v>0</v>
      </c>
      <c r="H36" s="58">
        <f t="shared" ca="1" si="24"/>
        <v>1301912.52</v>
      </c>
      <c r="I36" s="59">
        <f t="shared" ca="1" si="1"/>
        <v>62.799518601145614</v>
      </c>
      <c r="J36" s="60">
        <f t="shared" ca="1" si="50"/>
        <v>1301912.52</v>
      </c>
      <c r="K36" s="61">
        <f t="shared" ca="1" si="31"/>
        <v>62.799518601145614</v>
      </c>
      <c r="L36" s="61">
        <f t="shared" ca="1" si="32"/>
        <v>62.799518601145614</v>
      </c>
      <c r="M36" s="64">
        <f ca="1">IFERROR(__xludf.DUMMYFUNCTION("IMPORTRANGE(""https://docs.google.com/spreadsheets/d/1bDQrolntRWtHumK8W-x-HXKntwxB9S3sF5aDeRS66Ko/edit?usp=sharing"",""นครราชสีมา!N635"")"),0)</f>
        <v>0</v>
      </c>
      <c r="N36" s="64">
        <f ca="1">IFERROR(__xludf.DUMMYFUNCTION("IMPORTRANGE(""https://docs.google.com/spreadsheets/d/1bDQrolntRWtHumK8W-x-HXKntwxB9S3sF5aDeRS66Ko/edit?usp=sharing"",""นครราชสีมา!N636"")"),0)</f>
        <v>0</v>
      </c>
      <c r="O36" s="64">
        <f ca="1">IFERROR(__xludf.DUMMYFUNCTION("IMPORTRANGE(""https://docs.google.com/spreadsheets/d/1bDQrolntRWtHumK8W-x-HXKntwxB9S3sF5aDeRS66Ko/edit?usp=sharing"",""นครราชสีมา!N637"")"),194566.67)</f>
        <v>194566.67</v>
      </c>
      <c r="P36" s="64">
        <f ca="1">IFERROR(__xludf.DUMMYFUNCTION("IMPORTRANGE(""https://docs.google.com/spreadsheets/d/1bDQrolntRWtHumK8W-x-HXKntwxB9S3sF5aDeRS66Ko/edit?usp=sharing"",""นครราชสีมา!N638"")"),1107345.85)</f>
        <v>1107345.8500000001</v>
      </c>
      <c r="Q36" s="62">
        <f ca="1">IFERROR(__xludf.DUMMYFUNCTION("IMPORTRANGE(""https://docs.google.com/spreadsheets/d/1bDQrolntRWtHumK8W-x-HXKntwxB9S3sF5aDeRS66Ko/edit?usp=sharing"",""นครราชสีมา!N641"")"),0)</f>
        <v>0</v>
      </c>
      <c r="R36" s="62">
        <f t="shared" ca="1" si="34"/>
        <v>0</v>
      </c>
      <c r="S36" s="57">
        <f ca="1">IFERROR(__xludf.DUMMYFUNCTION("IMPORTRANGE(""https://docs.google.com/spreadsheets/d/1bDQrolntRWtHumK8W-x-HXKntwxB9S3sF5aDeRS66Ko/edit?usp=sharing"",""นครราชสีมา!I643"")"),0)</f>
        <v>0</v>
      </c>
      <c r="T36" s="57">
        <f ca="1">IFERROR(__xludf.DUMMYFUNCTION("IMPORTRANGE(""https://docs.google.com/spreadsheets/d/1bDQrolntRWtHumK8W-x-HXKntwxB9S3sF5aDeRS66Ko/edit?usp=sharing"",""นครราชสีมา!J643"")"),0)</f>
        <v>0</v>
      </c>
      <c r="U36" s="63">
        <f t="shared" ca="1" si="25"/>
        <v>0</v>
      </c>
      <c r="V36" s="57">
        <f ca="1">IFERROR(__xludf.DUMMYFUNCTION("IMPORTRANGE(""https://docs.google.com/spreadsheets/d/1bDQrolntRWtHumK8W-x-HXKntwxB9S3sF5aDeRS66Ko/edit?usp=sharing"",""นครราชสีมา!I644"")"),0)</f>
        <v>0</v>
      </c>
      <c r="W36" s="57">
        <f ca="1">IFERROR(__xludf.DUMMYFUNCTION("IMPORTRANGE(""https://docs.google.com/spreadsheets/d/1bDQrolntRWtHumK8W-x-HXKntwxB9S3sF5aDeRS66Ko/edit?usp=sharing"",""นครราชสีมา!J644"")"),0)</f>
        <v>0</v>
      </c>
      <c r="X36" s="63">
        <f t="shared" ca="1" si="26"/>
        <v>0</v>
      </c>
      <c r="Y36" s="57">
        <f ca="1">IFERROR(__xludf.DUMMYFUNCTION("IMPORTRANGE(""https://docs.google.com/spreadsheets/d/1bDQrolntRWtHumK8W-x-HXKntwxB9S3sF5aDeRS66Ko/edit?usp=sharing"",""นครราชสีมา!J645"")"),897)</f>
        <v>897</v>
      </c>
      <c r="Z36" s="63">
        <f ca="1">IFERROR(__xludf.DUMMYFUNCTION("IMPORTRANGE(""https://docs.google.com/spreadsheets/d/1bDQrolntRWtHumK8W-x-HXKntwxB9S3sF5aDeRS66Ko/edit?usp=sharing"",""นครราชสีมา!J646"")"),850.55)</f>
        <v>850.55</v>
      </c>
      <c r="AA36" s="57">
        <f ca="1">IFERROR(__xludf.DUMMYFUNCTION("IMPORTRANGE(""https://docs.google.com/spreadsheets/d/1bDQrolntRWtHumK8W-x-HXKntwxB9S3sF5aDeRS66Ko/edit?usp=sharing"",""นครราชสีมา!I647"")"),2500)</f>
        <v>2500</v>
      </c>
      <c r="AB36" s="57">
        <f ca="1">IFERROR(__xludf.DUMMYFUNCTION("IMPORTRANGE(""https://docs.google.com/spreadsheets/d/1bDQrolntRWtHumK8W-x-HXKntwxB9S3sF5aDeRS66Ko/edit?usp=sharing"",""นครราชสีมา!J647"")"),2670)</f>
        <v>2670</v>
      </c>
      <c r="AC36" s="63">
        <f ca="1">IFERROR(__xludf.DUMMYFUNCTION("IMPORTRANGE(""https://docs.google.com/spreadsheets/d/1bDQrolntRWtHumK8W-x-HXKntwxB9S3sF5aDeRS66Ko/edit?usp=sharing"",""นครราชสีมา!J648"")"),1619.23)</f>
        <v>1619.23</v>
      </c>
      <c r="AD36" s="63">
        <f t="shared" ca="1" si="27"/>
        <v>106.8</v>
      </c>
      <c r="AE36" s="140">
        <f ca="1">IFERROR(__xludf.DUMMYFUNCTION("IMPORTRANGE(""https://docs.google.com/spreadsheets/d/1bDQrolntRWtHumK8W-x-HXKntwxB9S3sF5aDeRS66Ko/edit?usp=sharing"",""นครราชสีมา!I649"")"),2500)</f>
        <v>2500</v>
      </c>
      <c r="AF36" s="57">
        <f ca="1">IFERROR(__xludf.DUMMYFUNCTION("IMPORTRANGE(""https://docs.google.com/spreadsheets/d/1bDQrolntRWtHumK8W-x-HXKntwxB9S3sF5aDeRS66Ko/edit?usp=sharing"",""นครราชสีมา!J649"")"),2416)</f>
        <v>2416</v>
      </c>
      <c r="AG36" s="63">
        <f ca="1">IFERROR(__xludf.DUMMYFUNCTION("IMPORTRANGE(""https://docs.google.com/spreadsheets/d/1bDQrolntRWtHumK8W-x-HXKntwxB9S3sF5aDeRS66Ko/edit?usp=sharing"",""นครราชสีมา!J650"")"),1445.06)</f>
        <v>1445.06</v>
      </c>
      <c r="AH36" s="63">
        <f t="shared" ca="1" si="28"/>
        <v>96.64</v>
      </c>
      <c r="AI36" s="140">
        <f ca="1">IFERROR(__xludf.DUMMYFUNCTION("IMPORTRANGE(""https://docs.google.com/spreadsheets/d/1bDQrolntRWtHumK8W-x-HXKntwxB9S3sF5aDeRS66Ko/edit?usp=sharing"",""นครราชสีมา!I651"")"),2500)</f>
        <v>2500</v>
      </c>
      <c r="AJ36" s="57">
        <f ca="1">IFERROR(__xludf.DUMMYFUNCTION("IMPORTRANGE(""https://docs.google.com/spreadsheets/d/1bDQrolntRWtHumK8W-x-HXKntwxB9S3sF5aDeRS66Ko/edit?usp=sharing"",""นครราชสีมา!J651"")"),1051)</f>
        <v>1051</v>
      </c>
      <c r="AK36" s="63">
        <f ca="1">IFERROR(__xludf.DUMMYFUNCTION("IMPORTRANGE(""https://docs.google.com/spreadsheets/d/1bDQrolntRWtHumK8W-x-HXKntwxB9S3sF5aDeRS66Ko/edit?usp=sharing"",""นครราชสีมา!J652"")"),638.625)</f>
        <v>638.625</v>
      </c>
      <c r="AL36" s="63">
        <f t="shared" ca="1" si="29"/>
        <v>42.04</v>
      </c>
    </row>
    <row r="37" spans="1:38" ht="21" customHeight="1" x14ac:dyDescent="0.3">
      <c r="A37" s="54">
        <v>6</v>
      </c>
      <c r="B37" s="55" t="s">
        <v>58</v>
      </c>
      <c r="C37" s="56">
        <f t="shared" ca="1" si="49"/>
        <v>358310</v>
      </c>
      <c r="D37" s="57">
        <f ca="1">IFERROR(__xludf.DUMMYFUNCTION("IMPORTRANGE(""https://docs.google.com/spreadsheets/d/1_MzZ-2gVPiCW-d2VcafoCmFJQTSrZ6SQyFcMqRRQQ2w/edit?usp=sharing"",""บึงกาฬ!L634"")"),358310)</f>
        <v>358310</v>
      </c>
      <c r="E37" s="64">
        <f ca="1">IFERROR(__xludf.DUMMYFUNCTION("IMPORTRANGE(""https://docs.google.com/spreadsheets/d/1_MzZ-2gVPiCW-d2VcafoCmFJQTSrZ6SQyFcMqRRQQ2w/edit?usp=sharing"",""บึงกาฬ!L641"")"),0)</f>
        <v>0</v>
      </c>
      <c r="F37" s="64">
        <f ca="1">IFERROR(__xludf.DUMMYFUNCTION("IMPORTRANGE(""https://docs.google.com/spreadsheets/d/1_MzZ-2gVPiCW-d2VcafoCmFJQTSrZ6SQyFcMqRRQQ2w/edit?usp=sharing"",""บึงกาฬ!M634"")"),358310)</f>
        <v>358310</v>
      </c>
      <c r="G37" s="64">
        <f ca="1">IFERROR(__xludf.DUMMYFUNCTION("IMPORTRANGE(""https://docs.google.com/spreadsheets/d/1_MzZ-2gVPiCW-d2VcafoCmFJQTSrZ6SQyFcMqRRQQ2w/edit?usp=sharing"",""บึงกาฬ!M641"")"),0)</f>
        <v>0</v>
      </c>
      <c r="H37" s="58">
        <f t="shared" ca="1" si="24"/>
        <v>161550</v>
      </c>
      <c r="I37" s="59">
        <f t="shared" ca="1" si="1"/>
        <v>45.086656805559429</v>
      </c>
      <c r="J37" s="60">
        <f t="shared" ca="1" si="50"/>
        <v>161550</v>
      </c>
      <c r="K37" s="61">
        <f t="shared" ca="1" si="31"/>
        <v>45.086656805559429</v>
      </c>
      <c r="L37" s="61">
        <f t="shared" ca="1" si="32"/>
        <v>45.086656805559429</v>
      </c>
      <c r="M37" s="64">
        <f ca="1">IFERROR(__xludf.DUMMYFUNCTION("IMPORTRANGE(""https://docs.google.com/spreadsheets/d/1_MzZ-2gVPiCW-d2VcafoCmFJQTSrZ6SQyFcMqRRQQ2w/edit?usp=sharing"",""บึงกาฬ!N635"")"),0)</f>
        <v>0</v>
      </c>
      <c r="N37" s="64">
        <f ca="1">IFERROR(__xludf.DUMMYFUNCTION("IMPORTRANGE(""https://docs.google.com/spreadsheets/d/1_MzZ-2gVPiCW-d2VcafoCmFJQTSrZ6SQyFcMqRRQQ2w/edit?usp=sharing"",""บึงกาฬ!N636"")"),24015)</f>
        <v>24015</v>
      </c>
      <c r="O37" s="64">
        <f ca="1">IFERROR(__xludf.DUMMYFUNCTION("IMPORTRANGE(""https://docs.google.com/spreadsheets/d/1_MzZ-2gVPiCW-d2VcafoCmFJQTSrZ6SQyFcMqRRQQ2w/edit?usp=sharing"",""บึงกาฬ!N637"")"),62060)</f>
        <v>62060</v>
      </c>
      <c r="P37" s="64">
        <f ca="1">IFERROR(__xludf.DUMMYFUNCTION("IMPORTRANGE(""https://docs.google.com/spreadsheets/d/1_MzZ-2gVPiCW-d2VcafoCmFJQTSrZ6SQyFcMqRRQQ2w/edit?usp=sharing"",""บึงกาฬ!N638"")"),75475)</f>
        <v>75475</v>
      </c>
      <c r="Q37" s="62">
        <f ca="1">IFERROR(__xludf.DUMMYFUNCTION("IMPORTRANGE(""https://docs.google.com/spreadsheets/d/1_MzZ-2gVPiCW-d2VcafoCmFJQTSrZ6SQyFcMqRRQQ2w/edit?usp=sharing"",""บึงกาฬ!N641"")"),0)</f>
        <v>0</v>
      </c>
      <c r="R37" s="62">
        <f t="shared" ca="1" si="34"/>
        <v>0</v>
      </c>
      <c r="S37" s="57">
        <f ca="1">IFERROR(__xludf.DUMMYFUNCTION("IMPORTRANGE(""https://docs.google.com/spreadsheets/d/1_MzZ-2gVPiCW-d2VcafoCmFJQTSrZ6SQyFcMqRRQQ2w/edit?usp=sharing"",""บึงกาฬ!I643"")"),0)</f>
        <v>0</v>
      </c>
      <c r="T37" s="57">
        <f ca="1">IFERROR(__xludf.DUMMYFUNCTION("IMPORTRANGE(""https://docs.google.com/spreadsheets/d/1_MzZ-2gVPiCW-d2VcafoCmFJQTSrZ6SQyFcMqRRQQ2w/edit?usp=sharing"",""บึงกาฬ!J643"")"),0)</f>
        <v>0</v>
      </c>
      <c r="U37" s="63">
        <f t="shared" ca="1" si="25"/>
        <v>0</v>
      </c>
      <c r="V37" s="57">
        <f ca="1">IFERROR(__xludf.DUMMYFUNCTION("IMPORTRANGE(""https://docs.google.com/spreadsheets/d/1_MzZ-2gVPiCW-d2VcafoCmFJQTSrZ6SQyFcMqRRQQ2w/edit?usp=sharing"",""บึงกาฬ!I644"")"),0)</f>
        <v>0</v>
      </c>
      <c r="W37" s="57">
        <f ca="1">IFERROR(__xludf.DUMMYFUNCTION("IMPORTRANGE(""https://docs.google.com/spreadsheets/d/1_MzZ-2gVPiCW-d2VcafoCmFJQTSrZ6SQyFcMqRRQQ2w/edit?usp=sharing"",""บึงกาฬ!J644"")"),0)</f>
        <v>0</v>
      </c>
      <c r="X37" s="63">
        <f t="shared" ca="1" si="26"/>
        <v>0</v>
      </c>
      <c r="Y37" s="57">
        <f ca="1">IFERROR(__xludf.DUMMYFUNCTION("IMPORTRANGE(""https://docs.google.com/spreadsheets/d/1_MzZ-2gVPiCW-d2VcafoCmFJQTSrZ6SQyFcMqRRQQ2w/edit?usp=sharing"",""บึงกาฬ!J645"")"),146)</f>
        <v>146</v>
      </c>
      <c r="Z37" s="63">
        <f ca="1">IFERROR(__xludf.DUMMYFUNCTION("IMPORTRANGE(""https://docs.google.com/spreadsheets/d/1_MzZ-2gVPiCW-d2VcafoCmFJQTSrZ6SQyFcMqRRQQ2w/edit?usp=sharing"",""บึงกาฬ!J646"")"),88.47)</f>
        <v>88.47</v>
      </c>
      <c r="AA37" s="57">
        <f ca="1">IFERROR(__xludf.DUMMYFUNCTION("IMPORTRANGE(""https://docs.google.com/spreadsheets/d/1_MzZ-2gVPiCW-d2VcafoCmFJQTSrZ6SQyFcMqRRQQ2w/edit?usp=sharing"",""บึงกาฬ!I647"")"),100)</f>
        <v>100</v>
      </c>
      <c r="AB37" s="57">
        <f ca="1">IFERROR(__xludf.DUMMYFUNCTION("IMPORTRANGE(""https://docs.google.com/spreadsheets/d/1_MzZ-2gVPiCW-d2VcafoCmFJQTSrZ6SQyFcMqRRQQ2w/edit?usp=sharing"",""บึงกาฬ!J647"")"),53)</f>
        <v>53</v>
      </c>
      <c r="AC37" s="63">
        <f ca="1">IFERROR(__xludf.DUMMYFUNCTION("IMPORTRANGE(""https://docs.google.com/spreadsheets/d/1_MzZ-2gVPiCW-d2VcafoCmFJQTSrZ6SQyFcMqRRQQ2w/edit?usp=sharing"",""บึงกาฬ!J648"")"),32.57)</f>
        <v>32.57</v>
      </c>
      <c r="AD37" s="63">
        <f t="shared" ca="1" si="27"/>
        <v>53</v>
      </c>
      <c r="AE37" s="140">
        <f ca="1">IFERROR(__xludf.DUMMYFUNCTION("IMPORTRANGE(""https://docs.google.com/spreadsheets/d/1_MzZ-2gVPiCW-d2VcafoCmFJQTSrZ6SQyFcMqRRQQ2w/edit?usp=sharing"",""บึงกาฬ!I649"")"),100)</f>
        <v>100</v>
      </c>
      <c r="AF37" s="57">
        <f ca="1">IFERROR(__xludf.DUMMYFUNCTION("IMPORTRANGE(""https://docs.google.com/spreadsheets/d/1_MzZ-2gVPiCW-d2VcafoCmFJQTSrZ6SQyFcMqRRQQ2w/edit?usp=sharing"",""บึงกาฬ!J649"")"),52)</f>
        <v>52</v>
      </c>
      <c r="AG37" s="63">
        <f ca="1">IFERROR(__xludf.DUMMYFUNCTION("IMPORTRANGE(""https://docs.google.com/spreadsheets/d/1_MzZ-2gVPiCW-d2VcafoCmFJQTSrZ6SQyFcMqRRQQ2w/edit?usp=sharing"",""บึงกาฬ!J650"")"),29.13)</f>
        <v>29.13</v>
      </c>
      <c r="AH37" s="63">
        <f t="shared" ca="1" si="28"/>
        <v>52</v>
      </c>
      <c r="AI37" s="140">
        <f ca="1">IFERROR(__xludf.DUMMYFUNCTION("IMPORTRANGE(""https://docs.google.com/spreadsheets/d/1_MzZ-2gVPiCW-d2VcafoCmFJQTSrZ6SQyFcMqRRQQ2w/edit?usp=sharing"",""บึงกาฬ!I651"")"),100)</f>
        <v>100</v>
      </c>
      <c r="AJ37" s="57">
        <f ca="1">IFERROR(__xludf.DUMMYFUNCTION("IMPORTRANGE(""https://docs.google.com/spreadsheets/d/1_MzZ-2gVPiCW-d2VcafoCmFJQTSrZ6SQyFcMqRRQQ2w/edit?usp=sharing"",""บึงกาฬ!J651"")"),52)</f>
        <v>52</v>
      </c>
      <c r="AK37" s="63">
        <f ca="1">IFERROR(__xludf.DUMMYFUNCTION("IMPORTRANGE(""https://docs.google.com/spreadsheets/d/1_MzZ-2gVPiCW-d2VcafoCmFJQTSrZ6SQyFcMqRRQQ2w/edit?usp=sharing"",""บึงกาฬ!J652"")"),29.13)</f>
        <v>29.13</v>
      </c>
      <c r="AL37" s="63">
        <f t="shared" ca="1" si="29"/>
        <v>52</v>
      </c>
    </row>
    <row r="38" spans="1:38" ht="21" customHeight="1" x14ac:dyDescent="0.3">
      <c r="A38" s="54">
        <v>7</v>
      </c>
      <c r="B38" s="55" t="s">
        <v>59</v>
      </c>
      <c r="C38" s="56">
        <f t="shared" ca="1" si="49"/>
        <v>501175</v>
      </c>
      <c r="D38" s="57">
        <f ca="1">IFERROR(__xludf.DUMMYFUNCTION("IMPORTRANGE(""https://docs.google.com/spreadsheets/d/1B3lPpzOuaNwVItLwLEZYl_qEblfcx7dRnbRkAw0l-pE/edit?usp=sharing"",""บุรีรัมย์!L634"")"),501175)</f>
        <v>501175</v>
      </c>
      <c r="E38" s="64">
        <f ca="1">IFERROR(__xludf.DUMMYFUNCTION("IMPORTRANGE(""https://docs.google.com/spreadsheets/d/1B3lPpzOuaNwVItLwLEZYl_qEblfcx7dRnbRkAw0l-pE/edit?usp=sharing"",""บุรีรัมย์!L641"")"),0)</f>
        <v>0</v>
      </c>
      <c r="F38" s="64">
        <f ca="1">IFERROR(__xludf.DUMMYFUNCTION("IMPORTRANGE(""https://docs.google.com/spreadsheets/d/1B3lPpzOuaNwVItLwLEZYl_qEblfcx7dRnbRkAw0l-pE/edit?usp=sharing"",""บุรีรัมย์!M634"")"),501175)</f>
        <v>501175</v>
      </c>
      <c r="G38" s="64">
        <f ca="1">IFERROR(__xludf.DUMMYFUNCTION("IMPORTRANGE(""https://docs.google.com/spreadsheets/d/1B3lPpzOuaNwVItLwLEZYl_qEblfcx7dRnbRkAw0l-pE/edit?usp=sharing"",""บุรีรัมย์!M641"")"),0)</f>
        <v>0</v>
      </c>
      <c r="H38" s="58">
        <f t="shared" ca="1" si="24"/>
        <v>177323</v>
      </c>
      <c r="I38" s="59">
        <f t="shared" ca="1" si="1"/>
        <v>35.38145358407742</v>
      </c>
      <c r="J38" s="60">
        <f t="shared" ca="1" si="50"/>
        <v>177323</v>
      </c>
      <c r="K38" s="61">
        <f t="shared" ca="1" si="31"/>
        <v>35.38145358407742</v>
      </c>
      <c r="L38" s="61">
        <f t="shared" ca="1" si="32"/>
        <v>35.38145358407742</v>
      </c>
      <c r="M38" s="64">
        <f ca="1">IFERROR(__xludf.DUMMYFUNCTION("IMPORTRANGE(""https://docs.google.com/spreadsheets/d/1B3lPpzOuaNwVItLwLEZYl_qEblfcx7dRnbRkAw0l-pE/edit?usp=sharing"",""บุรีรัมย์!N635"")"),0)</f>
        <v>0</v>
      </c>
      <c r="N38" s="64">
        <f ca="1">IFERROR(__xludf.DUMMYFUNCTION("IMPORTRANGE(""https://docs.google.com/spreadsheets/d/1B3lPpzOuaNwVItLwLEZYl_qEblfcx7dRnbRkAw0l-pE/edit?usp=sharing"",""บุรีรัมย์!N636"")"),0)</f>
        <v>0</v>
      </c>
      <c r="O38" s="64">
        <f ca="1">IFERROR(__xludf.DUMMYFUNCTION("IMPORTRANGE(""https://docs.google.com/spreadsheets/d/1B3lPpzOuaNwVItLwLEZYl_qEblfcx7dRnbRkAw0l-pE/edit?usp=sharing"",""บุรีรัมย์!N637"")"),65000)</f>
        <v>65000</v>
      </c>
      <c r="P38" s="64">
        <f ca="1">IFERROR(__xludf.DUMMYFUNCTION("IMPORTRANGE(""https://docs.google.com/spreadsheets/d/1B3lPpzOuaNwVItLwLEZYl_qEblfcx7dRnbRkAw0l-pE/edit?usp=sharing"",""บุรีรัมย์!N638"")"),112323)</f>
        <v>112323</v>
      </c>
      <c r="Q38" s="62">
        <f ca="1">IFERROR(__xludf.DUMMYFUNCTION("IMPORTRANGE(""https://docs.google.com/spreadsheets/d/1B3lPpzOuaNwVItLwLEZYl_qEblfcx7dRnbRkAw0l-pE/edit?usp=sharing"",""บุรีรัมย์!N641"")"),0)</f>
        <v>0</v>
      </c>
      <c r="R38" s="62">
        <f t="shared" ca="1" si="34"/>
        <v>0</v>
      </c>
      <c r="S38" s="57">
        <f ca="1">IFERROR(__xludf.DUMMYFUNCTION("IMPORTRANGE(""https://docs.google.com/spreadsheets/d/1B3lPpzOuaNwVItLwLEZYl_qEblfcx7dRnbRkAw0l-pE/edit?usp=sharing"",""บุรีรัมย์!I643"")"),1)</f>
        <v>1</v>
      </c>
      <c r="T38" s="57">
        <f ca="1">IFERROR(__xludf.DUMMYFUNCTION("IMPORTRANGE(""https://docs.google.com/spreadsheets/d/1B3lPpzOuaNwVItLwLEZYl_qEblfcx7dRnbRkAw0l-pE/edit?usp=sharing"",""บุรีรัมย์!J643"")"),1)</f>
        <v>1</v>
      </c>
      <c r="U38" s="63">
        <f t="shared" ca="1" si="25"/>
        <v>100</v>
      </c>
      <c r="V38" s="57">
        <f ca="1">IFERROR(__xludf.DUMMYFUNCTION("IMPORTRANGE(""https://docs.google.com/spreadsheets/d/1B3lPpzOuaNwVItLwLEZYl_qEblfcx7dRnbRkAw0l-pE/edit?usp=sharing"",""บุรีรัมย์!I644"")"),1)</f>
        <v>1</v>
      </c>
      <c r="W38" s="57">
        <f ca="1">IFERROR(__xludf.DUMMYFUNCTION("IMPORTRANGE(""https://docs.google.com/spreadsheets/d/1B3lPpzOuaNwVItLwLEZYl_qEblfcx7dRnbRkAw0l-pE/edit?usp=sharing"",""บุรีรัมย์!J644"")"),1)</f>
        <v>1</v>
      </c>
      <c r="X38" s="63">
        <f t="shared" ca="1" si="26"/>
        <v>100</v>
      </c>
      <c r="Y38" s="57">
        <f ca="1">IFERROR(__xludf.DUMMYFUNCTION("IMPORTRANGE(""https://docs.google.com/spreadsheets/d/1B3lPpzOuaNwVItLwLEZYl_qEblfcx7dRnbRkAw0l-pE/edit?usp=sharing"",""บุรีรัมย์!J645"")"),0)</f>
        <v>0</v>
      </c>
      <c r="Z38" s="63">
        <f ca="1">IFERROR(__xludf.DUMMYFUNCTION("IMPORTRANGE(""https://docs.google.com/spreadsheets/d/1B3lPpzOuaNwVItLwLEZYl_qEblfcx7dRnbRkAw0l-pE/edit?usp=sharing"",""บุรีรัมย์!J646"")"),0)</f>
        <v>0</v>
      </c>
      <c r="AA38" s="57">
        <f ca="1">IFERROR(__xludf.DUMMYFUNCTION("IMPORTRANGE(""https://docs.google.com/spreadsheets/d/1B3lPpzOuaNwVItLwLEZYl_qEblfcx7dRnbRkAw0l-pE/edit?usp=sharing"",""บุรีรัมย์!I647"")"),240)</f>
        <v>240</v>
      </c>
      <c r="AB38" s="57">
        <f ca="1">IFERROR(__xludf.DUMMYFUNCTION("IMPORTRANGE(""https://docs.google.com/spreadsheets/d/1B3lPpzOuaNwVItLwLEZYl_qEblfcx7dRnbRkAw0l-pE/edit?usp=sharing"",""บุรีรัมย์!J647"")"),136)</f>
        <v>136</v>
      </c>
      <c r="AC38" s="63">
        <f ca="1">IFERROR(__xludf.DUMMYFUNCTION("IMPORTRANGE(""https://docs.google.com/spreadsheets/d/1B3lPpzOuaNwVItLwLEZYl_qEblfcx7dRnbRkAw0l-pE/edit?usp=sharing"",""บุรีรัมย์!J648"")"),67.24)</f>
        <v>67.239999999999995</v>
      </c>
      <c r="AD38" s="63">
        <f t="shared" ca="1" si="27"/>
        <v>56.666666666666664</v>
      </c>
      <c r="AE38" s="140">
        <f ca="1">IFERROR(__xludf.DUMMYFUNCTION("IMPORTRANGE(""https://docs.google.com/spreadsheets/d/1B3lPpzOuaNwVItLwLEZYl_qEblfcx7dRnbRkAw0l-pE/edit?usp=sharing"",""บุรีรัมย์!I649"")"),240)</f>
        <v>240</v>
      </c>
      <c r="AF38" s="57">
        <f ca="1">IFERROR(__xludf.DUMMYFUNCTION("IMPORTRANGE(""https://docs.google.com/spreadsheets/d/1B3lPpzOuaNwVItLwLEZYl_qEblfcx7dRnbRkAw0l-pE/edit?usp=sharing"",""บุรีรัมย์!J649"")"),135)</f>
        <v>135</v>
      </c>
      <c r="AG38" s="63">
        <f ca="1">IFERROR(__xludf.DUMMYFUNCTION("IMPORTRANGE(""https://docs.google.com/spreadsheets/d/1B3lPpzOuaNwVItLwLEZYl_qEblfcx7dRnbRkAw0l-pE/edit?usp=sharing"",""บุรีรัมย์!J650"")"),67.12)</f>
        <v>67.12</v>
      </c>
      <c r="AH38" s="63">
        <f t="shared" ca="1" si="28"/>
        <v>56.25</v>
      </c>
      <c r="AI38" s="140">
        <f ca="1">IFERROR(__xludf.DUMMYFUNCTION("IMPORTRANGE(""https://docs.google.com/spreadsheets/d/1B3lPpzOuaNwVItLwLEZYl_qEblfcx7dRnbRkAw0l-pE/edit?usp=sharing"",""บุรีรัมย์!I651"")"),240)</f>
        <v>240</v>
      </c>
      <c r="AJ38" s="57">
        <f ca="1">IFERROR(__xludf.DUMMYFUNCTION("IMPORTRANGE(""https://docs.google.com/spreadsheets/d/1B3lPpzOuaNwVItLwLEZYl_qEblfcx7dRnbRkAw0l-pE/edit?usp=sharing"",""บุรีรัมย์!J651"")"),134)</f>
        <v>134</v>
      </c>
      <c r="AK38" s="63">
        <f ca="1">IFERROR(__xludf.DUMMYFUNCTION("IMPORTRANGE(""https://docs.google.com/spreadsheets/d/1B3lPpzOuaNwVItLwLEZYl_qEblfcx7dRnbRkAw0l-pE/edit?usp=sharing"",""บุรีรัมย์!J652"")"),66.5475)</f>
        <v>66.547499999999999</v>
      </c>
      <c r="AL38" s="63">
        <f t="shared" ca="1" si="29"/>
        <v>55.833333333333336</v>
      </c>
    </row>
    <row r="39" spans="1:38" ht="21" customHeight="1" x14ac:dyDescent="0.3">
      <c r="A39" s="54">
        <v>8</v>
      </c>
      <c r="B39" s="55" t="s">
        <v>60</v>
      </c>
      <c r="C39" s="56">
        <f t="shared" ca="1" si="49"/>
        <v>177295</v>
      </c>
      <c r="D39" s="57">
        <f ca="1">IFERROR(__xludf.DUMMYFUNCTION("IMPORTRANGE(""https://docs.google.com/spreadsheets/d/19GOkiOqnzYbevLYWrMk4qFOXe3rX14BkSA8X-mq-a40/edit?usp=sharing"",""มหาสารคาม!L634"")"),177295)</f>
        <v>177295</v>
      </c>
      <c r="E39" s="64">
        <f ca="1">IFERROR(__xludf.DUMMYFUNCTION("IMPORTRANGE(""https://docs.google.com/spreadsheets/d/19GOkiOqnzYbevLYWrMk4qFOXe3rX14BkSA8X-mq-a40/edit?usp=sharing"",""มหาสารคาม!L641"")"),0)</f>
        <v>0</v>
      </c>
      <c r="F39" s="64">
        <f ca="1">IFERROR(__xludf.DUMMYFUNCTION("IMPORTRANGE(""https://docs.google.com/spreadsheets/d/19GOkiOqnzYbevLYWrMk4qFOXe3rX14BkSA8X-mq-a40/edit?usp=sharing"",""มหาสารคาม!M634"")"),177295)</f>
        <v>177295</v>
      </c>
      <c r="G39" s="64">
        <f ca="1">IFERROR(__xludf.DUMMYFUNCTION("IMPORTRANGE(""https://docs.google.com/spreadsheets/d/19GOkiOqnzYbevLYWrMk4qFOXe3rX14BkSA8X-mq-a40/edit?usp=sharing"",""มหาสารคาม!M641"")"),0)</f>
        <v>0</v>
      </c>
      <c r="H39" s="58">
        <f t="shared" ca="1" si="24"/>
        <v>43198</v>
      </c>
      <c r="I39" s="59">
        <f t="shared" ca="1" si="1"/>
        <v>24.365041315321921</v>
      </c>
      <c r="J39" s="60">
        <f t="shared" ca="1" si="50"/>
        <v>43198</v>
      </c>
      <c r="K39" s="61">
        <f t="shared" ca="1" si="31"/>
        <v>24.365041315321921</v>
      </c>
      <c r="L39" s="61">
        <f t="shared" ca="1" si="32"/>
        <v>24.365041315321921</v>
      </c>
      <c r="M39" s="64">
        <f ca="1">IFERROR(__xludf.DUMMYFUNCTION("IMPORTRANGE(""https://docs.google.com/spreadsheets/d/19GOkiOqnzYbevLYWrMk4qFOXe3rX14BkSA8X-mq-a40/edit?usp=sharing"",""มหาสารคาม!N635"")"),0)</f>
        <v>0</v>
      </c>
      <c r="N39" s="64">
        <f ca="1">IFERROR(__xludf.DUMMYFUNCTION("IMPORTRANGE(""https://docs.google.com/spreadsheets/d/19GOkiOqnzYbevLYWrMk4qFOXe3rX14BkSA8X-mq-a40/edit?usp=sharing"",""มหาสารคาม!N636"")"),0)</f>
        <v>0</v>
      </c>
      <c r="O39" s="64">
        <f ca="1">IFERROR(__xludf.DUMMYFUNCTION("IMPORTRANGE(""https://docs.google.com/spreadsheets/d/19GOkiOqnzYbevLYWrMk4qFOXe3rX14BkSA8X-mq-a40/edit?usp=sharing"",""มหาสารคาม!N637"")"),0)</f>
        <v>0</v>
      </c>
      <c r="P39" s="64">
        <f ca="1">IFERROR(__xludf.DUMMYFUNCTION("IMPORTRANGE(""https://docs.google.com/spreadsheets/d/19GOkiOqnzYbevLYWrMk4qFOXe3rX14BkSA8X-mq-a40/edit?usp=sharing"",""มหาสารคาม!N638"")"),43198)</f>
        <v>43198</v>
      </c>
      <c r="Q39" s="62">
        <f ca="1">IFERROR(__xludf.DUMMYFUNCTION("IMPORTRANGE(""https://docs.google.com/spreadsheets/d/19GOkiOqnzYbevLYWrMk4qFOXe3rX14BkSA8X-mq-a40/edit?usp=sharing"",""มหาสารคาม!N641"")"),0)</f>
        <v>0</v>
      </c>
      <c r="R39" s="62">
        <f t="shared" ca="1" si="34"/>
        <v>0</v>
      </c>
      <c r="S39" s="57">
        <f ca="1">IFERROR(__xludf.DUMMYFUNCTION("IMPORTRANGE(""https://docs.google.com/spreadsheets/d/19GOkiOqnzYbevLYWrMk4qFOXe3rX14BkSA8X-mq-a40/edit?usp=sharing"",""มหาสารคาม!I643"")"),0)</f>
        <v>0</v>
      </c>
      <c r="T39" s="57">
        <f ca="1">IFERROR(__xludf.DUMMYFUNCTION("IMPORTRANGE(""https://docs.google.com/spreadsheets/d/19GOkiOqnzYbevLYWrMk4qFOXe3rX14BkSA8X-mq-a40/edit?usp=sharing"",""มหาสารคาม!J643"")"),0)</f>
        <v>0</v>
      </c>
      <c r="U39" s="63">
        <f t="shared" ca="1" si="25"/>
        <v>0</v>
      </c>
      <c r="V39" s="57">
        <f ca="1">IFERROR(__xludf.DUMMYFUNCTION("IMPORTRANGE(""https://docs.google.com/spreadsheets/d/19GOkiOqnzYbevLYWrMk4qFOXe3rX14BkSA8X-mq-a40/edit?usp=sharing"",""มหาสารคาม!I644"")"),0)</f>
        <v>0</v>
      </c>
      <c r="W39" s="57">
        <f ca="1">IFERROR(__xludf.DUMMYFUNCTION("IMPORTRANGE(""https://docs.google.com/spreadsheets/d/19GOkiOqnzYbevLYWrMk4qFOXe3rX14BkSA8X-mq-a40/edit?usp=sharing"",""มหาสารคาม!J644"")"),0)</f>
        <v>0</v>
      </c>
      <c r="X39" s="63">
        <f t="shared" ca="1" si="26"/>
        <v>0</v>
      </c>
      <c r="Y39" s="57">
        <f ca="1">IFERROR(__xludf.DUMMYFUNCTION("IMPORTRANGE(""https://docs.google.com/spreadsheets/d/19GOkiOqnzYbevLYWrMk4qFOXe3rX14BkSA8X-mq-a40/edit?usp=sharing"",""มหาสารคาม!J645"")"),7)</f>
        <v>7</v>
      </c>
      <c r="Z39" s="63">
        <f ca="1">IFERROR(__xludf.DUMMYFUNCTION("IMPORTRANGE(""https://docs.google.com/spreadsheets/d/19GOkiOqnzYbevLYWrMk4qFOXe3rX14BkSA8X-mq-a40/edit?usp=sharing"",""มหาสารคาม!J646"")"),4.85)</f>
        <v>4.8499999999999996</v>
      </c>
      <c r="AA39" s="57">
        <f ca="1">IFERROR(__xludf.DUMMYFUNCTION("IMPORTRANGE(""https://docs.google.com/spreadsheets/d/19GOkiOqnzYbevLYWrMk4qFOXe3rX14BkSA8X-mq-a40/edit?usp=sharing"",""มหาสารคาม!I647"")"),13)</f>
        <v>13</v>
      </c>
      <c r="AB39" s="57">
        <f ca="1">IFERROR(__xludf.DUMMYFUNCTION("IMPORTRANGE(""https://docs.google.com/spreadsheets/d/19GOkiOqnzYbevLYWrMk4qFOXe3rX14BkSA8X-mq-a40/edit?usp=sharing"",""มหาสารคาม!J647"")"),7)</f>
        <v>7</v>
      </c>
      <c r="AC39" s="63">
        <f ca="1">IFERROR(__xludf.DUMMYFUNCTION("IMPORTRANGE(""https://docs.google.com/spreadsheets/d/19GOkiOqnzYbevLYWrMk4qFOXe3rX14BkSA8X-mq-a40/edit?usp=sharing"",""มหาสารคาม!J648"")"),4.85)</f>
        <v>4.8499999999999996</v>
      </c>
      <c r="AD39" s="63">
        <f t="shared" ca="1" si="27"/>
        <v>53.846153846153847</v>
      </c>
      <c r="AE39" s="140">
        <f ca="1">IFERROR(__xludf.DUMMYFUNCTION("IMPORTRANGE(""https://docs.google.com/spreadsheets/d/19GOkiOqnzYbevLYWrMk4qFOXe3rX14BkSA8X-mq-a40/edit?usp=sharing"",""มหาสารคาม!I649"")"),13)</f>
        <v>13</v>
      </c>
      <c r="AF39" s="57">
        <f ca="1">IFERROR(__xludf.DUMMYFUNCTION("IMPORTRANGE(""https://docs.google.com/spreadsheets/d/19GOkiOqnzYbevLYWrMk4qFOXe3rX14BkSA8X-mq-a40/edit?usp=sharing"",""มหาสารคาม!J649"")"),7)</f>
        <v>7</v>
      </c>
      <c r="AG39" s="63">
        <f ca="1">IFERROR(__xludf.DUMMYFUNCTION("IMPORTRANGE(""https://docs.google.com/spreadsheets/d/19GOkiOqnzYbevLYWrMk4qFOXe3rX14BkSA8X-mq-a40/edit?usp=sharing"",""มหาสารคาม!J650"")"),4.85)</f>
        <v>4.8499999999999996</v>
      </c>
      <c r="AH39" s="63">
        <f t="shared" ca="1" si="28"/>
        <v>53.846153846153847</v>
      </c>
      <c r="AI39" s="140">
        <f ca="1">IFERROR(__xludf.DUMMYFUNCTION("IMPORTRANGE(""https://docs.google.com/spreadsheets/d/19GOkiOqnzYbevLYWrMk4qFOXe3rX14BkSA8X-mq-a40/edit?usp=sharing"",""มหาสารคาม!I651"")"),13)</f>
        <v>13</v>
      </c>
      <c r="AJ39" s="57">
        <f ca="1">IFERROR(__xludf.DUMMYFUNCTION("IMPORTRANGE(""https://docs.google.com/spreadsheets/d/19GOkiOqnzYbevLYWrMk4qFOXe3rX14BkSA8X-mq-a40/edit?usp=sharing"",""มหาสารคาม!J651"")"),7)</f>
        <v>7</v>
      </c>
      <c r="AK39" s="63">
        <f ca="1">IFERROR(__xludf.DUMMYFUNCTION("IMPORTRANGE(""https://docs.google.com/spreadsheets/d/19GOkiOqnzYbevLYWrMk4qFOXe3rX14BkSA8X-mq-a40/edit?usp=sharing"",""มหาสารคาม!J652"")"),4.85)</f>
        <v>4.8499999999999996</v>
      </c>
      <c r="AL39" s="63">
        <f t="shared" ca="1" si="29"/>
        <v>53.846153846153847</v>
      </c>
    </row>
    <row r="40" spans="1:38" ht="21" customHeight="1" x14ac:dyDescent="0.3">
      <c r="A40" s="54">
        <v>9</v>
      </c>
      <c r="B40" s="55" t="s">
        <v>61</v>
      </c>
      <c r="C40" s="56">
        <f t="shared" ca="1" si="49"/>
        <v>383680</v>
      </c>
      <c r="D40" s="57">
        <f ca="1">IFERROR(__xludf.DUMMYFUNCTION("IMPORTRANGE(""https://docs.google.com/spreadsheets/d/1uMKqWwuNQ-TCKboGA3Bb1qXb5uj2-faACNUINCz8PN4/edit?usp=sharing"",""มุกดาหาร!L634"")"),383680)</f>
        <v>383680</v>
      </c>
      <c r="E40" s="64">
        <f ca="1">IFERROR(__xludf.DUMMYFUNCTION("IMPORTRANGE(""https://docs.google.com/spreadsheets/d/1uMKqWwuNQ-TCKboGA3Bb1qXb5uj2-faACNUINCz8PN4/edit?usp=sharing"",""มุกดาหาร!L641"")"),0)</f>
        <v>0</v>
      </c>
      <c r="F40" s="64">
        <f ca="1">IFERROR(__xludf.DUMMYFUNCTION("IMPORTRANGE(""https://docs.google.com/spreadsheets/d/1uMKqWwuNQ-TCKboGA3Bb1qXb5uj2-faACNUINCz8PN4/edit?usp=sharing"",""มุกดาหาร!M634"")"),383680)</f>
        <v>383680</v>
      </c>
      <c r="G40" s="64">
        <f ca="1">IFERROR(__xludf.DUMMYFUNCTION("IMPORTRANGE(""https://docs.google.com/spreadsheets/d/1uMKqWwuNQ-TCKboGA3Bb1qXb5uj2-faACNUINCz8PN4/edit?usp=sharing"",""มุกดาหาร!M641"")"),0)</f>
        <v>0</v>
      </c>
      <c r="H40" s="58">
        <f t="shared" ca="1" si="24"/>
        <v>186837</v>
      </c>
      <c r="I40" s="59">
        <f t="shared" ca="1" si="1"/>
        <v>48.696048790658885</v>
      </c>
      <c r="J40" s="60">
        <f t="shared" ca="1" si="50"/>
        <v>186837</v>
      </c>
      <c r="K40" s="61">
        <f t="shared" ca="1" si="31"/>
        <v>48.696048790658885</v>
      </c>
      <c r="L40" s="61">
        <f t="shared" ca="1" si="32"/>
        <v>48.696048790658885</v>
      </c>
      <c r="M40" s="64">
        <f ca="1">IFERROR(__xludf.DUMMYFUNCTION("IMPORTRANGE(""https://docs.google.com/spreadsheets/d/1uMKqWwuNQ-TCKboGA3Bb1qXb5uj2-faACNUINCz8PN4/edit?usp=sharing"",""มุกดาหาร!N635"")"),0)</f>
        <v>0</v>
      </c>
      <c r="N40" s="64">
        <f ca="1">IFERROR(__xludf.DUMMYFUNCTION("IMPORTRANGE(""https://docs.google.com/spreadsheets/d/1uMKqWwuNQ-TCKboGA3Bb1qXb5uj2-faACNUINCz8PN4/edit?usp=sharing"",""มุกดาหาร!N636"")"),0)</f>
        <v>0</v>
      </c>
      <c r="O40" s="64">
        <f ca="1">IFERROR(__xludf.DUMMYFUNCTION("IMPORTRANGE(""https://docs.google.com/spreadsheets/d/1uMKqWwuNQ-TCKboGA3Bb1qXb5uj2-faACNUINCz8PN4/edit?usp=sharing"",""มุกดาหาร!N637"")"),64557)</f>
        <v>64557</v>
      </c>
      <c r="P40" s="64">
        <f ca="1">IFERROR(__xludf.DUMMYFUNCTION("IMPORTRANGE(""https://docs.google.com/spreadsheets/d/1uMKqWwuNQ-TCKboGA3Bb1qXb5uj2-faACNUINCz8PN4/edit?usp=sharing"",""มุกดาหาร!N638"")"),122280)</f>
        <v>122280</v>
      </c>
      <c r="Q40" s="62">
        <f ca="1">IFERROR(__xludf.DUMMYFUNCTION("IMPORTRANGE(""https://docs.google.com/spreadsheets/d/1uMKqWwuNQ-TCKboGA3Bb1qXb5uj2-faACNUINCz8PN4/edit?usp=sharing"",""มุกดาหาร!N641"")"),0)</f>
        <v>0</v>
      </c>
      <c r="R40" s="62">
        <f t="shared" ca="1" si="34"/>
        <v>0</v>
      </c>
      <c r="S40" s="57">
        <f ca="1">IFERROR(__xludf.DUMMYFUNCTION("IMPORTRANGE(""https://docs.google.com/spreadsheets/d/1uMKqWwuNQ-TCKboGA3Bb1qXb5uj2-faACNUINCz8PN4/edit?usp=sharing"",""มุกดาหาร!I643"")"),2)</f>
        <v>2</v>
      </c>
      <c r="T40" s="57">
        <f ca="1">IFERROR(__xludf.DUMMYFUNCTION("IMPORTRANGE(""https://docs.google.com/spreadsheets/d/1uMKqWwuNQ-TCKboGA3Bb1qXb5uj2-faACNUINCz8PN4/edit?usp=sharing"",""มุกดาหาร!J643"")"),2)</f>
        <v>2</v>
      </c>
      <c r="U40" s="63">
        <f t="shared" ca="1" si="25"/>
        <v>100</v>
      </c>
      <c r="V40" s="57">
        <f ca="1">IFERROR(__xludf.DUMMYFUNCTION("IMPORTRANGE(""https://docs.google.com/spreadsheets/d/1uMKqWwuNQ-TCKboGA3Bb1qXb5uj2-faACNUINCz8PN4/edit?usp=sharing"",""มุกดาหาร!I644"")"),2)</f>
        <v>2</v>
      </c>
      <c r="W40" s="57">
        <f ca="1">IFERROR(__xludf.DUMMYFUNCTION("IMPORTRANGE(""https://docs.google.com/spreadsheets/d/1uMKqWwuNQ-TCKboGA3Bb1qXb5uj2-faACNUINCz8PN4/edit?usp=sharing"",""มุกดาหาร!J644"")"),2)</f>
        <v>2</v>
      </c>
      <c r="X40" s="63">
        <f t="shared" ca="1" si="26"/>
        <v>100</v>
      </c>
      <c r="Y40" s="57">
        <f ca="1">IFERROR(__xludf.DUMMYFUNCTION("IMPORTRANGE(""https://docs.google.com/spreadsheets/d/1uMKqWwuNQ-TCKboGA3Bb1qXb5uj2-faACNUINCz8PN4/edit?usp=sharing"",""มุกดาหาร!J645"")"),49)</f>
        <v>49</v>
      </c>
      <c r="Z40" s="63">
        <f ca="1">IFERROR(__xludf.DUMMYFUNCTION("IMPORTRANGE(""https://docs.google.com/spreadsheets/d/1uMKqWwuNQ-TCKboGA3Bb1qXb5uj2-faACNUINCz8PN4/edit?usp=sharing"",""มุกดาหาร!J646"")"),32.2)</f>
        <v>32.200000000000003</v>
      </c>
      <c r="AA40" s="57">
        <f ca="1">IFERROR(__xludf.DUMMYFUNCTION("IMPORTRANGE(""https://docs.google.com/spreadsheets/d/1uMKqWwuNQ-TCKboGA3Bb1qXb5uj2-faACNUINCz8PN4/edit?usp=sharing"",""มุกดาหาร!I647"")"),100)</f>
        <v>100</v>
      </c>
      <c r="AB40" s="57">
        <f ca="1">IFERROR(__xludf.DUMMYFUNCTION("IMPORTRANGE(""https://docs.google.com/spreadsheets/d/1uMKqWwuNQ-TCKboGA3Bb1qXb5uj2-faACNUINCz8PN4/edit?usp=sharing"",""มุกดาหาร!J647"")"),82)</f>
        <v>82</v>
      </c>
      <c r="AC40" s="63">
        <f ca="1">IFERROR(__xludf.DUMMYFUNCTION("IMPORTRANGE(""https://docs.google.com/spreadsheets/d/1uMKqWwuNQ-TCKboGA3Bb1qXb5uj2-faACNUINCz8PN4/edit?usp=sharing"",""มุกดาหาร!J648"")"),52.55)</f>
        <v>52.55</v>
      </c>
      <c r="AD40" s="63">
        <f t="shared" ca="1" si="27"/>
        <v>82</v>
      </c>
      <c r="AE40" s="140">
        <f ca="1">IFERROR(__xludf.DUMMYFUNCTION("IMPORTRANGE(""https://docs.google.com/spreadsheets/d/1uMKqWwuNQ-TCKboGA3Bb1qXb5uj2-faACNUINCz8PN4/edit?usp=sharing"",""มุกดาหาร!I649"")"),100)</f>
        <v>100</v>
      </c>
      <c r="AF40" s="57">
        <f ca="1">IFERROR(__xludf.DUMMYFUNCTION("IMPORTRANGE(""https://docs.google.com/spreadsheets/d/1uMKqWwuNQ-TCKboGA3Bb1qXb5uj2-faACNUINCz8PN4/edit?usp=sharing"",""มุกดาหาร!J649"")"),84)</f>
        <v>84</v>
      </c>
      <c r="AG40" s="63">
        <f ca="1">IFERROR(__xludf.DUMMYFUNCTION("IMPORTRANGE(""https://docs.google.com/spreadsheets/d/1uMKqWwuNQ-TCKboGA3Bb1qXb5uj2-faACNUINCz8PN4/edit?usp=sharing"",""มุกดาหาร!J650"")"),53.99)</f>
        <v>53.99</v>
      </c>
      <c r="AH40" s="63">
        <f t="shared" ca="1" si="28"/>
        <v>84</v>
      </c>
      <c r="AI40" s="140">
        <f ca="1">IFERROR(__xludf.DUMMYFUNCTION("IMPORTRANGE(""https://docs.google.com/spreadsheets/d/1uMKqWwuNQ-TCKboGA3Bb1qXb5uj2-faACNUINCz8PN4/edit?usp=sharing"",""มุกดาหาร!I651"")"),100)</f>
        <v>100</v>
      </c>
      <c r="AJ40" s="57">
        <f ca="1">IFERROR(__xludf.DUMMYFUNCTION("IMPORTRANGE(""https://docs.google.com/spreadsheets/d/1uMKqWwuNQ-TCKboGA3Bb1qXb5uj2-faACNUINCz8PN4/edit?usp=sharing"",""มุกดาหาร!J651"")"),71)</f>
        <v>71</v>
      </c>
      <c r="AK40" s="63">
        <f ca="1">IFERROR(__xludf.DUMMYFUNCTION("IMPORTRANGE(""https://docs.google.com/spreadsheets/d/1uMKqWwuNQ-TCKboGA3Bb1qXb5uj2-faACNUINCz8PN4/edit?usp=sharing"",""มุกดาหาร!J652"")"),49.17)</f>
        <v>49.17</v>
      </c>
      <c r="AL40" s="63">
        <f t="shared" ca="1" si="29"/>
        <v>71</v>
      </c>
    </row>
    <row r="41" spans="1:38" ht="21" customHeight="1" x14ac:dyDescent="0.3">
      <c r="A41" s="54">
        <v>10</v>
      </c>
      <c r="B41" s="55" t="s">
        <v>62</v>
      </c>
      <c r="C41" s="56">
        <f t="shared" ca="1" si="49"/>
        <v>419495</v>
      </c>
      <c r="D41" s="57">
        <f ca="1">IFERROR(__xludf.DUMMYFUNCTION("IMPORTRANGE(""https://docs.google.com/spreadsheets/d/1oKaccgDdQABndOzGr688Dbfxb_V3YcF67VqEPBtdzsc/edit?usp=sharing"",""ยโสธร!L634"")"),419495)</f>
        <v>419495</v>
      </c>
      <c r="E41" s="64">
        <f ca="1">IFERROR(__xludf.DUMMYFUNCTION("IMPORTRANGE(""https://docs.google.com/spreadsheets/d/1oKaccgDdQABndOzGr688Dbfxb_V3YcF67VqEPBtdzsc/edit?usp=sharing"",""ยโสธร!L641"")"),0)</f>
        <v>0</v>
      </c>
      <c r="F41" s="64">
        <f ca="1">IFERROR(__xludf.DUMMYFUNCTION("IMPORTRANGE(""https://docs.google.com/spreadsheets/d/1oKaccgDdQABndOzGr688Dbfxb_V3YcF67VqEPBtdzsc/edit?usp=sharing"",""ยโสธร!M634"")"),419495)</f>
        <v>419495</v>
      </c>
      <c r="G41" s="64">
        <f ca="1">IFERROR(__xludf.DUMMYFUNCTION("IMPORTRANGE(""https://docs.google.com/spreadsheets/d/1oKaccgDdQABndOzGr688Dbfxb_V3YcF67VqEPBtdzsc/edit?usp=sharing"",""ยโสธร!M641"")"),0)</f>
        <v>0</v>
      </c>
      <c r="H41" s="58">
        <f t="shared" ca="1" si="24"/>
        <v>223273</v>
      </c>
      <c r="I41" s="59">
        <f t="shared" ca="1" si="1"/>
        <v>53.224233900284865</v>
      </c>
      <c r="J41" s="60">
        <f t="shared" ca="1" si="50"/>
        <v>223273</v>
      </c>
      <c r="K41" s="61">
        <f t="shared" ca="1" si="31"/>
        <v>53.224233900284865</v>
      </c>
      <c r="L41" s="61">
        <f t="shared" ca="1" si="32"/>
        <v>53.224233900284865</v>
      </c>
      <c r="M41" s="64">
        <f ca="1">IFERROR(__xludf.DUMMYFUNCTION("IMPORTRANGE(""https://docs.google.com/spreadsheets/d/1oKaccgDdQABndOzGr688Dbfxb_V3YcF67VqEPBtdzsc/edit?usp=sharing"",""ยโสธร!N635"")"),0)</f>
        <v>0</v>
      </c>
      <c r="N41" s="64">
        <f ca="1">IFERROR(__xludf.DUMMYFUNCTION("IMPORTRANGE(""https://docs.google.com/spreadsheets/d/1oKaccgDdQABndOzGr688Dbfxb_V3YcF67VqEPBtdzsc/edit?usp=sharing"",""ยโสธร!N636"")"),0)</f>
        <v>0</v>
      </c>
      <c r="O41" s="64">
        <f ca="1">IFERROR(__xludf.DUMMYFUNCTION("IMPORTRANGE(""https://docs.google.com/spreadsheets/d/1oKaccgDdQABndOzGr688Dbfxb_V3YcF67VqEPBtdzsc/edit?usp=sharing"",""ยโสธร!N637"")"),63700)</f>
        <v>63700</v>
      </c>
      <c r="P41" s="64">
        <f ca="1">IFERROR(__xludf.DUMMYFUNCTION("IMPORTRANGE(""https://docs.google.com/spreadsheets/d/1oKaccgDdQABndOzGr688Dbfxb_V3YcF67VqEPBtdzsc/edit?usp=sharing"",""ยโสธร!N638"")"),159573)</f>
        <v>159573</v>
      </c>
      <c r="Q41" s="62">
        <f ca="1">IFERROR(__xludf.DUMMYFUNCTION("IMPORTRANGE(""https://docs.google.com/spreadsheets/d/1oKaccgDdQABndOzGr688Dbfxb_V3YcF67VqEPBtdzsc/edit?usp=sharing"",""ยโสธร!N641"")"),0)</f>
        <v>0</v>
      </c>
      <c r="R41" s="62">
        <f t="shared" ca="1" si="34"/>
        <v>0</v>
      </c>
      <c r="S41" s="57">
        <f ca="1">IFERROR(__xludf.DUMMYFUNCTION("IMPORTRANGE(""https://docs.google.com/spreadsheets/d/1oKaccgDdQABndOzGr688Dbfxb_V3YcF67VqEPBtdzsc/edit?usp=sharing"",""ยโสธร!I643"")"),0)</f>
        <v>0</v>
      </c>
      <c r="T41" s="57">
        <f ca="1">IFERROR(__xludf.DUMMYFUNCTION("IMPORTRANGE(""https://docs.google.com/spreadsheets/d/1oKaccgDdQABndOzGr688Dbfxb_V3YcF67VqEPBtdzsc/edit?usp=sharing"",""ยโสธร!J643"")"),0)</f>
        <v>0</v>
      </c>
      <c r="U41" s="63">
        <f t="shared" ca="1" si="25"/>
        <v>0</v>
      </c>
      <c r="V41" s="57">
        <f ca="1">IFERROR(__xludf.DUMMYFUNCTION("IMPORTRANGE(""https://docs.google.com/spreadsheets/d/1oKaccgDdQABndOzGr688Dbfxb_V3YcF67VqEPBtdzsc/edit?usp=sharing"",""ยโสธร!I644"")"),0)</f>
        <v>0</v>
      </c>
      <c r="W41" s="57">
        <f ca="1">IFERROR(__xludf.DUMMYFUNCTION("IMPORTRANGE(""https://docs.google.com/spreadsheets/d/1oKaccgDdQABndOzGr688Dbfxb_V3YcF67VqEPBtdzsc/edit?usp=sharing"",""ยโสธร!J644"")"),0)</f>
        <v>0</v>
      </c>
      <c r="X41" s="63">
        <f t="shared" ca="1" si="26"/>
        <v>0</v>
      </c>
      <c r="Y41" s="57">
        <f ca="1">IFERROR(__xludf.DUMMYFUNCTION("IMPORTRANGE(""https://docs.google.com/spreadsheets/d/1oKaccgDdQABndOzGr688Dbfxb_V3YcF67VqEPBtdzsc/edit?usp=sharing"",""ยโสธร!J645"")"),104)</f>
        <v>104</v>
      </c>
      <c r="Z41" s="63">
        <f ca="1">IFERROR(__xludf.DUMMYFUNCTION("IMPORTRANGE(""https://docs.google.com/spreadsheets/d/1oKaccgDdQABndOzGr688Dbfxb_V3YcF67VqEPBtdzsc/edit?usp=sharing"",""ยโสธร!J646"")"),58.12)</f>
        <v>58.12</v>
      </c>
      <c r="AA41" s="57">
        <f ca="1">IFERROR(__xludf.DUMMYFUNCTION("IMPORTRANGE(""https://docs.google.com/spreadsheets/d/1oKaccgDdQABndOzGr688Dbfxb_V3YcF67VqEPBtdzsc/edit?usp=sharing"",""ยโสธร!I647"")"),205)</f>
        <v>205</v>
      </c>
      <c r="AB41" s="57">
        <f ca="1">IFERROR(__xludf.DUMMYFUNCTION("IMPORTRANGE(""https://docs.google.com/spreadsheets/d/1oKaccgDdQABndOzGr688Dbfxb_V3YcF67VqEPBtdzsc/edit?usp=sharing"",""ยโสธร!J647"")"),103)</f>
        <v>103</v>
      </c>
      <c r="AC41" s="63">
        <f ca="1">IFERROR(__xludf.DUMMYFUNCTION("IMPORTRANGE(""https://docs.google.com/spreadsheets/d/1oKaccgDdQABndOzGr688Dbfxb_V3YcF67VqEPBtdzsc/edit?usp=sharing"",""ยโสธร!J648"")"),49.88)</f>
        <v>49.88</v>
      </c>
      <c r="AD41" s="63">
        <f t="shared" ca="1" si="27"/>
        <v>50.243902439024389</v>
      </c>
      <c r="AE41" s="140">
        <f ca="1">IFERROR(__xludf.DUMMYFUNCTION("IMPORTRANGE(""https://docs.google.com/spreadsheets/d/1oKaccgDdQABndOzGr688Dbfxb_V3YcF67VqEPBtdzsc/edit?usp=sharing"",""ยโสธร!I649"")"),205)</f>
        <v>205</v>
      </c>
      <c r="AF41" s="57">
        <f ca="1">IFERROR(__xludf.DUMMYFUNCTION("IMPORTRANGE(""https://docs.google.com/spreadsheets/d/1oKaccgDdQABndOzGr688Dbfxb_V3YcF67VqEPBtdzsc/edit?usp=sharing"",""ยโสธร!J649"")"),109)</f>
        <v>109</v>
      </c>
      <c r="AG41" s="63">
        <f ca="1">IFERROR(__xludf.DUMMYFUNCTION("IMPORTRANGE(""https://docs.google.com/spreadsheets/d/1oKaccgDdQABndOzGr688Dbfxb_V3YcF67VqEPBtdzsc/edit?usp=sharing"",""ยโสธร!J650"")"),51.91)</f>
        <v>51.91</v>
      </c>
      <c r="AH41" s="63">
        <f t="shared" ca="1" si="28"/>
        <v>53.170731707317074</v>
      </c>
      <c r="AI41" s="140">
        <f ca="1">IFERROR(__xludf.DUMMYFUNCTION("IMPORTRANGE(""https://docs.google.com/spreadsheets/d/1oKaccgDdQABndOzGr688Dbfxb_V3YcF67VqEPBtdzsc/edit?usp=sharing"",""ยโสธร!I651"")"),205)</f>
        <v>205</v>
      </c>
      <c r="AJ41" s="57">
        <f ca="1">IFERROR(__xludf.DUMMYFUNCTION("IMPORTRANGE(""https://docs.google.com/spreadsheets/d/1oKaccgDdQABndOzGr688Dbfxb_V3YcF67VqEPBtdzsc/edit?usp=sharing"",""ยโสธร!J651"")"),106)</f>
        <v>106</v>
      </c>
      <c r="AK41" s="63">
        <f ca="1">IFERROR(__xludf.DUMMYFUNCTION("IMPORTRANGE(""https://docs.google.com/spreadsheets/d/1oKaccgDdQABndOzGr688Dbfxb_V3YcF67VqEPBtdzsc/edit?usp=sharing"",""ยโสธร!J652"")"),41.86)</f>
        <v>41.86</v>
      </c>
      <c r="AL41" s="63">
        <f t="shared" ca="1" si="29"/>
        <v>51.707317073170735</v>
      </c>
    </row>
    <row r="42" spans="1:38" ht="21" customHeight="1" x14ac:dyDescent="0.3">
      <c r="A42" s="54">
        <v>11</v>
      </c>
      <c r="B42" s="55" t="s">
        <v>63</v>
      </c>
      <c r="C42" s="56">
        <f t="shared" ca="1" si="49"/>
        <v>442125</v>
      </c>
      <c r="D42" s="57">
        <f ca="1">IFERROR(__xludf.DUMMYFUNCTION("IMPORTRANGE(""https://docs.google.com/spreadsheets/d/1BRgc8xKpxZ0PX-gauieMVkV_IOxKSotf0yW8MabGprQ/edit?usp=sharing"",""ร้อยเอ็ด!L634"")"),442125)</f>
        <v>442125</v>
      </c>
      <c r="E42" s="64">
        <f ca="1">IFERROR(__xludf.DUMMYFUNCTION("IMPORTRANGE(""https://docs.google.com/spreadsheets/d/1BRgc8xKpxZ0PX-gauieMVkV_IOxKSotf0yW8MabGprQ/edit?usp=sharing"",""ร้อยเอ็ด!L641"")"),0)</f>
        <v>0</v>
      </c>
      <c r="F42" s="64">
        <f ca="1">IFERROR(__xludf.DUMMYFUNCTION("IMPORTRANGE(""https://docs.google.com/spreadsheets/d/1BRgc8xKpxZ0PX-gauieMVkV_IOxKSotf0yW8MabGprQ/edit?usp=sharing"",""ร้อยเอ็ด!M634"")"),442125)</f>
        <v>442125</v>
      </c>
      <c r="G42" s="64">
        <f ca="1">IFERROR(__xludf.DUMMYFUNCTION("IMPORTRANGE(""https://docs.google.com/spreadsheets/d/1BRgc8xKpxZ0PX-gauieMVkV_IOxKSotf0yW8MabGprQ/edit?usp=sharing"",""ร้อยเอ็ด!M641"")"),0)</f>
        <v>0</v>
      </c>
      <c r="H42" s="58">
        <f t="shared" ca="1" si="24"/>
        <v>133620</v>
      </c>
      <c r="I42" s="59">
        <f t="shared" ca="1" si="1"/>
        <v>30.222222222222221</v>
      </c>
      <c r="J42" s="60">
        <f t="shared" ca="1" si="50"/>
        <v>133620</v>
      </c>
      <c r="K42" s="61">
        <f t="shared" ca="1" si="31"/>
        <v>30.222222222222221</v>
      </c>
      <c r="L42" s="61">
        <f t="shared" ca="1" si="32"/>
        <v>30.222222222222221</v>
      </c>
      <c r="M42" s="64">
        <f ca="1">IFERROR(__xludf.DUMMYFUNCTION("IMPORTRANGE(""https://docs.google.com/spreadsheets/d/1BRgc8xKpxZ0PX-gauieMVkV_IOxKSotf0yW8MabGprQ/edit?usp=sharing"",""ร้อยเอ็ด!N635"")"),0)</f>
        <v>0</v>
      </c>
      <c r="N42" s="64">
        <f ca="1">IFERROR(__xludf.DUMMYFUNCTION("IMPORTRANGE(""https://docs.google.com/spreadsheets/d/1BRgc8xKpxZ0PX-gauieMVkV_IOxKSotf0yW8MabGprQ/edit?usp=sharing"",""ร้อยเอ็ด!N636"")"),0)</f>
        <v>0</v>
      </c>
      <c r="O42" s="64">
        <f ca="1">IFERROR(__xludf.DUMMYFUNCTION("IMPORTRANGE(""https://docs.google.com/spreadsheets/d/1BRgc8xKpxZ0PX-gauieMVkV_IOxKSotf0yW8MabGprQ/edit?usp=sharing"",""ร้อยเอ็ด!N637"")"),65000)</f>
        <v>65000</v>
      </c>
      <c r="P42" s="64">
        <f ca="1">IFERROR(__xludf.DUMMYFUNCTION("IMPORTRANGE(""https://docs.google.com/spreadsheets/d/1BRgc8xKpxZ0PX-gauieMVkV_IOxKSotf0yW8MabGprQ/edit?usp=sharing"",""ร้อยเอ็ด!N638"")"),68620)</f>
        <v>68620</v>
      </c>
      <c r="Q42" s="62">
        <f ca="1">IFERROR(__xludf.DUMMYFUNCTION("IMPORTRANGE(""https://docs.google.com/spreadsheets/d/1BRgc8xKpxZ0PX-gauieMVkV_IOxKSotf0yW8MabGprQ/edit?usp=sharing"",""ร้อยเอ็ด!N641"")"),0)</f>
        <v>0</v>
      </c>
      <c r="R42" s="62">
        <f t="shared" ca="1" si="34"/>
        <v>0</v>
      </c>
      <c r="S42" s="57">
        <f ca="1">IFERROR(__xludf.DUMMYFUNCTION("IMPORTRANGE(""https://docs.google.com/spreadsheets/d/1BRgc8xKpxZ0PX-gauieMVkV_IOxKSotf0yW8MabGprQ/edit?usp=sharing"",""ร้อยเอ็ด!I643"")"),0)</f>
        <v>0</v>
      </c>
      <c r="T42" s="57">
        <f ca="1">IFERROR(__xludf.DUMMYFUNCTION("IMPORTRANGE(""https://docs.google.com/spreadsheets/d/1BRgc8xKpxZ0PX-gauieMVkV_IOxKSotf0yW8MabGprQ/edit?usp=sharing"",""ร้อยเอ็ด!J643"")"),0)</f>
        <v>0</v>
      </c>
      <c r="U42" s="63">
        <f t="shared" ca="1" si="25"/>
        <v>0</v>
      </c>
      <c r="V42" s="57">
        <f ca="1">IFERROR(__xludf.DUMMYFUNCTION("IMPORTRANGE(""https://docs.google.com/spreadsheets/d/1BRgc8xKpxZ0PX-gauieMVkV_IOxKSotf0yW8MabGprQ/edit?usp=sharing"",""ร้อยเอ็ด!I644"")"),0)</f>
        <v>0</v>
      </c>
      <c r="W42" s="57">
        <f ca="1">IFERROR(__xludf.DUMMYFUNCTION("IMPORTRANGE(""https://docs.google.com/spreadsheets/d/1BRgc8xKpxZ0PX-gauieMVkV_IOxKSotf0yW8MabGprQ/edit?usp=sharing"",""ร้อยเอ็ด!J644"")"),0)</f>
        <v>0</v>
      </c>
      <c r="X42" s="63">
        <f t="shared" ca="1" si="26"/>
        <v>0</v>
      </c>
      <c r="Y42" s="57">
        <f ca="1">IFERROR(__xludf.DUMMYFUNCTION("IMPORTRANGE(""https://docs.google.com/spreadsheets/d/1BRgc8xKpxZ0PX-gauieMVkV_IOxKSotf0yW8MabGprQ/edit?usp=sharing"",""ร้อยเอ็ด!J645"")"),66)</f>
        <v>66</v>
      </c>
      <c r="Z42" s="63">
        <f ca="1">IFERROR(__xludf.DUMMYFUNCTION("IMPORTRANGE(""https://docs.google.com/spreadsheets/d/1BRgc8xKpxZ0PX-gauieMVkV_IOxKSotf0yW8MabGprQ/edit?usp=sharing"",""ร้อยเอ็ด!J646"")"),35.58)</f>
        <v>35.58</v>
      </c>
      <c r="AA42" s="57">
        <f ca="1">IFERROR(__xludf.DUMMYFUNCTION("IMPORTRANGE(""https://docs.google.com/spreadsheets/d/1BRgc8xKpxZ0PX-gauieMVkV_IOxKSotf0yW8MabGprQ/edit?usp=sharing"",""ร้อยเอ็ด!I647"")"),210)</f>
        <v>210</v>
      </c>
      <c r="AB42" s="57">
        <f ca="1">IFERROR(__xludf.DUMMYFUNCTION("IMPORTRANGE(""https://docs.google.com/spreadsheets/d/1BRgc8xKpxZ0PX-gauieMVkV_IOxKSotf0yW8MabGprQ/edit?usp=sharing"",""ร้อยเอ็ด!J647"")"),140)</f>
        <v>140</v>
      </c>
      <c r="AC42" s="63">
        <f ca="1">IFERROR(__xludf.DUMMYFUNCTION("IMPORTRANGE(""https://docs.google.com/spreadsheets/d/1BRgc8xKpxZ0PX-gauieMVkV_IOxKSotf0yW8MabGprQ/edit?usp=sharing"",""ร้อยเอ็ด!J648"")"),68.47)</f>
        <v>68.47</v>
      </c>
      <c r="AD42" s="63">
        <f t="shared" ca="1" si="27"/>
        <v>66.666666666666671</v>
      </c>
      <c r="AE42" s="140">
        <f ca="1">IFERROR(__xludf.DUMMYFUNCTION("IMPORTRANGE(""https://docs.google.com/spreadsheets/d/1BRgc8xKpxZ0PX-gauieMVkV_IOxKSotf0yW8MabGprQ/edit?usp=sharing"",""ร้อยเอ็ด!I649"")"),210)</f>
        <v>210</v>
      </c>
      <c r="AF42" s="57">
        <f ca="1">IFERROR(__xludf.DUMMYFUNCTION("IMPORTRANGE(""https://docs.google.com/spreadsheets/d/1BRgc8xKpxZ0PX-gauieMVkV_IOxKSotf0yW8MabGprQ/edit?usp=sharing"",""ร้อยเอ็ด!J649"")"),139)</f>
        <v>139</v>
      </c>
      <c r="AG42" s="63">
        <f ca="1">IFERROR(__xludf.DUMMYFUNCTION("IMPORTRANGE(""https://docs.google.com/spreadsheets/d/1BRgc8xKpxZ0PX-gauieMVkV_IOxKSotf0yW8MabGprQ/edit?usp=sharing"",""ร้อยเอ็ด!J650"")"),67.28)</f>
        <v>67.28</v>
      </c>
      <c r="AH42" s="63">
        <f t="shared" ca="1" si="28"/>
        <v>66.19047619047619</v>
      </c>
      <c r="AI42" s="140">
        <f ca="1">IFERROR(__xludf.DUMMYFUNCTION("IMPORTRANGE(""https://docs.google.com/spreadsheets/d/1BRgc8xKpxZ0PX-gauieMVkV_IOxKSotf0yW8MabGprQ/edit?usp=sharing"",""ร้อยเอ็ด!I651"")"),210)</f>
        <v>210</v>
      </c>
      <c r="AJ42" s="57">
        <f ca="1">IFERROR(__xludf.DUMMYFUNCTION("IMPORTRANGE(""https://docs.google.com/spreadsheets/d/1BRgc8xKpxZ0PX-gauieMVkV_IOxKSotf0yW8MabGprQ/edit?usp=sharing"",""ร้อยเอ็ด!J651"")"),139)</f>
        <v>139</v>
      </c>
      <c r="AK42" s="63">
        <f ca="1">IFERROR(__xludf.DUMMYFUNCTION("IMPORTRANGE(""https://docs.google.com/spreadsheets/d/1BRgc8xKpxZ0PX-gauieMVkV_IOxKSotf0yW8MabGprQ/edit?usp=sharing"",""ร้อยเอ็ด!J652"")"),67.28)</f>
        <v>67.28</v>
      </c>
      <c r="AL42" s="63">
        <f t="shared" ca="1" si="29"/>
        <v>66.19047619047619</v>
      </c>
    </row>
    <row r="43" spans="1:38" ht="21" customHeight="1" x14ac:dyDescent="0.3">
      <c r="A43" s="54">
        <v>12</v>
      </c>
      <c r="B43" s="55" t="s">
        <v>64</v>
      </c>
      <c r="C43" s="56">
        <f t="shared" ca="1" si="49"/>
        <v>454240</v>
      </c>
      <c r="D43" s="57">
        <f ca="1">IFERROR(__xludf.DUMMYFUNCTION("IMPORTRANGE(""https://docs.google.com/spreadsheets/d/1IdolZc-dfdgMwAm_KZxYJl1sUOcIgnbGQzbWOlddedo/edit?usp=sharing"",""เลย!L634"")"),454240)</f>
        <v>454240</v>
      </c>
      <c r="E43" s="64">
        <f ca="1">IFERROR(__xludf.DUMMYFUNCTION("IMPORTRANGE(""https://docs.google.com/spreadsheets/d/1IdolZc-dfdgMwAm_KZxYJl1sUOcIgnbGQzbWOlddedo/edit?usp=sharing"",""เลย!L641"")"),0)</f>
        <v>0</v>
      </c>
      <c r="F43" s="64">
        <f ca="1">IFERROR(__xludf.DUMMYFUNCTION("IMPORTRANGE(""https://docs.google.com/spreadsheets/d/1IdolZc-dfdgMwAm_KZxYJl1sUOcIgnbGQzbWOlddedo/edit?usp=sharing"",""เลย!M634"")"),454240)</f>
        <v>454240</v>
      </c>
      <c r="G43" s="64">
        <f ca="1">IFERROR(__xludf.DUMMYFUNCTION("IMPORTRANGE(""https://docs.google.com/spreadsheets/d/1IdolZc-dfdgMwAm_KZxYJl1sUOcIgnbGQzbWOlddedo/edit?usp=sharing"",""เลย!M641"")"),0)</f>
        <v>0</v>
      </c>
      <c r="H43" s="58">
        <f t="shared" ca="1" si="24"/>
        <v>204218.07</v>
      </c>
      <c r="I43" s="59">
        <f t="shared" ca="1" si="1"/>
        <v>44.958187301866857</v>
      </c>
      <c r="J43" s="60">
        <f t="shared" ca="1" si="50"/>
        <v>204218.07</v>
      </c>
      <c r="K43" s="61">
        <f t="shared" ca="1" si="31"/>
        <v>44.958187301866857</v>
      </c>
      <c r="L43" s="61">
        <f t="shared" ca="1" si="32"/>
        <v>44.958187301866857</v>
      </c>
      <c r="M43" s="64">
        <f ca="1">IFERROR(__xludf.DUMMYFUNCTION("IMPORTRANGE(""https://docs.google.com/spreadsheets/d/1IdolZc-dfdgMwAm_KZxYJl1sUOcIgnbGQzbWOlddedo/edit?usp=sharing"",""เลย!N635"")"),0)</f>
        <v>0</v>
      </c>
      <c r="N43" s="64">
        <f ca="1">IFERROR(__xludf.DUMMYFUNCTION("IMPORTRANGE(""https://docs.google.com/spreadsheets/d/1IdolZc-dfdgMwAm_KZxYJl1sUOcIgnbGQzbWOlddedo/edit?usp=sharing"",""เลย!N636"")"),0)</f>
        <v>0</v>
      </c>
      <c r="O43" s="64">
        <f ca="1">IFERROR(__xludf.DUMMYFUNCTION("IMPORTRANGE(""https://docs.google.com/spreadsheets/d/1IdolZc-dfdgMwAm_KZxYJl1sUOcIgnbGQzbWOlddedo/edit?usp=sharing"",""เลย!N637"")"),76701)</f>
        <v>76701</v>
      </c>
      <c r="P43" s="64">
        <f ca="1">IFERROR(__xludf.DUMMYFUNCTION("IMPORTRANGE(""https://docs.google.com/spreadsheets/d/1IdolZc-dfdgMwAm_KZxYJl1sUOcIgnbGQzbWOlddedo/edit?usp=sharing"",""เลย!N638"")"),127517.07)</f>
        <v>127517.07</v>
      </c>
      <c r="Q43" s="62">
        <f ca="1">IFERROR(__xludf.DUMMYFUNCTION("IMPORTRANGE(""https://docs.google.com/spreadsheets/d/1IdolZc-dfdgMwAm_KZxYJl1sUOcIgnbGQzbWOlddedo/edit?usp=sharing"",""เลย!N641"")"),0)</f>
        <v>0</v>
      </c>
      <c r="R43" s="62">
        <f t="shared" ca="1" si="34"/>
        <v>0</v>
      </c>
      <c r="S43" s="57">
        <f ca="1">IFERROR(__xludf.DUMMYFUNCTION("IMPORTRANGE(""https://docs.google.com/spreadsheets/d/1IdolZc-dfdgMwAm_KZxYJl1sUOcIgnbGQzbWOlddedo/edit?usp=sharing"",""เลย!I643"")"),0)</f>
        <v>0</v>
      </c>
      <c r="T43" s="57">
        <f ca="1">IFERROR(__xludf.DUMMYFUNCTION("IMPORTRANGE(""https://docs.google.com/spreadsheets/d/1IdolZc-dfdgMwAm_KZxYJl1sUOcIgnbGQzbWOlddedo/edit?usp=sharing"",""เลย!J643"")"),0)</f>
        <v>0</v>
      </c>
      <c r="U43" s="63">
        <f t="shared" ca="1" si="25"/>
        <v>0</v>
      </c>
      <c r="V43" s="57">
        <f ca="1">IFERROR(__xludf.DUMMYFUNCTION("IMPORTRANGE(""https://docs.google.com/spreadsheets/d/1IdolZc-dfdgMwAm_KZxYJl1sUOcIgnbGQzbWOlddedo/edit?usp=sharing"",""เลย!I644"")"),0)</f>
        <v>0</v>
      </c>
      <c r="W43" s="57">
        <f ca="1">IFERROR(__xludf.DUMMYFUNCTION("IMPORTRANGE(""https://docs.google.com/spreadsheets/d/1IdolZc-dfdgMwAm_KZxYJl1sUOcIgnbGQzbWOlddedo/edit?usp=sharing"",""เลย!J644"")"),0)</f>
        <v>0</v>
      </c>
      <c r="X43" s="63">
        <f t="shared" ca="1" si="26"/>
        <v>0</v>
      </c>
      <c r="Y43" s="57">
        <f ca="1">IFERROR(__xludf.DUMMYFUNCTION("IMPORTRANGE(""https://docs.google.com/spreadsheets/d/1IdolZc-dfdgMwAm_KZxYJl1sUOcIgnbGQzbWOlddedo/edit?usp=sharing"",""เลย!J645"")"),139)</f>
        <v>139</v>
      </c>
      <c r="Z43" s="63">
        <f ca="1">IFERROR(__xludf.DUMMYFUNCTION("IMPORTRANGE(""https://docs.google.com/spreadsheets/d/1IdolZc-dfdgMwAm_KZxYJl1sUOcIgnbGQzbWOlddedo/edit?usp=sharing"",""เลย!J646"")"),67.47)</f>
        <v>67.47</v>
      </c>
      <c r="AA43" s="57">
        <f ca="1">IFERROR(__xludf.DUMMYFUNCTION("IMPORTRANGE(""https://docs.google.com/spreadsheets/d/1IdolZc-dfdgMwAm_KZxYJl1sUOcIgnbGQzbWOlddedo/edit?usp=sharing"",""เลย!I647"")"),250)</f>
        <v>250</v>
      </c>
      <c r="AB43" s="57">
        <f ca="1">IFERROR(__xludf.DUMMYFUNCTION("IMPORTRANGE(""https://docs.google.com/spreadsheets/d/1IdolZc-dfdgMwAm_KZxYJl1sUOcIgnbGQzbWOlddedo/edit?usp=sharing"",""เลย!J647"")"),166)</f>
        <v>166</v>
      </c>
      <c r="AC43" s="63">
        <f ca="1">IFERROR(__xludf.DUMMYFUNCTION("IMPORTRANGE(""https://docs.google.com/spreadsheets/d/1IdolZc-dfdgMwAm_KZxYJl1sUOcIgnbGQzbWOlddedo/edit?usp=sharing"",""เลย!J648"")"),89.63)</f>
        <v>89.63</v>
      </c>
      <c r="AD43" s="63">
        <f t="shared" ca="1" si="27"/>
        <v>66.400000000000006</v>
      </c>
      <c r="AE43" s="140">
        <f ca="1">IFERROR(__xludf.DUMMYFUNCTION("IMPORTRANGE(""https://docs.google.com/spreadsheets/d/1IdolZc-dfdgMwAm_KZxYJl1sUOcIgnbGQzbWOlddedo/edit?usp=sharing"",""เลย!I649"")"),250)</f>
        <v>250</v>
      </c>
      <c r="AF43" s="57">
        <f ca="1">IFERROR(__xludf.DUMMYFUNCTION("IMPORTRANGE(""https://docs.google.com/spreadsheets/d/1IdolZc-dfdgMwAm_KZxYJl1sUOcIgnbGQzbWOlddedo/edit?usp=sharing"",""เลย!J649"")"),144)</f>
        <v>144</v>
      </c>
      <c r="AG43" s="63">
        <f ca="1">IFERROR(__xludf.DUMMYFUNCTION("IMPORTRANGE(""https://docs.google.com/spreadsheets/d/1IdolZc-dfdgMwAm_KZxYJl1sUOcIgnbGQzbWOlddedo/edit?usp=sharing"",""เลย!J650"")"),79)</f>
        <v>79</v>
      </c>
      <c r="AH43" s="63">
        <f t="shared" ca="1" si="28"/>
        <v>57.6</v>
      </c>
      <c r="AI43" s="140">
        <f ca="1">IFERROR(__xludf.DUMMYFUNCTION("IMPORTRANGE(""https://docs.google.com/spreadsheets/d/1IdolZc-dfdgMwAm_KZxYJl1sUOcIgnbGQzbWOlddedo/edit?usp=sharing"",""เลย!I651"")"),250)</f>
        <v>250</v>
      </c>
      <c r="AJ43" s="57">
        <f ca="1">IFERROR(__xludf.DUMMYFUNCTION("IMPORTRANGE(""https://docs.google.com/spreadsheets/d/1IdolZc-dfdgMwAm_KZxYJl1sUOcIgnbGQzbWOlddedo/edit?usp=sharing"",""เลย!J651"")"),60)</f>
        <v>60</v>
      </c>
      <c r="AK43" s="63">
        <f ca="1">IFERROR(__xludf.DUMMYFUNCTION("IMPORTRANGE(""https://docs.google.com/spreadsheets/d/1IdolZc-dfdgMwAm_KZxYJl1sUOcIgnbGQzbWOlddedo/edit?usp=sharing"",""เลย!J652"")"),37.2475)</f>
        <v>37.247500000000002</v>
      </c>
      <c r="AL43" s="63">
        <f t="shared" ca="1" si="29"/>
        <v>24</v>
      </c>
    </row>
    <row r="44" spans="1:38" ht="21" customHeight="1" x14ac:dyDescent="0.3">
      <c r="A44" s="54">
        <v>13</v>
      </c>
      <c r="B44" s="55" t="s">
        <v>65</v>
      </c>
      <c r="C44" s="56">
        <f t="shared" ca="1" si="49"/>
        <v>532545</v>
      </c>
      <c r="D44" s="57">
        <f ca="1">IFERROR(__xludf.DUMMYFUNCTION("IMPORTRANGE(""https://docs.google.com/spreadsheets/d/1tZ0nmtGuIRCaGAMXHlQU8EpR9LOAJvyKfc4f7EFmE34/edit?usp=sharing"",""ศรีสะเกษ!L634"")"),532545)</f>
        <v>532545</v>
      </c>
      <c r="E44" s="64">
        <f ca="1">IFERROR(__xludf.DUMMYFUNCTION("IMPORTRANGE(""https://docs.google.com/spreadsheets/d/1tZ0nmtGuIRCaGAMXHlQU8EpR9LOAJvyKfc4f7EFmE34/edit?usp=sharing"",""ศรีสะเกษ!L641"")"),0)</f>
        <v>0</v>
      </c>
      <c r="F44" s="64">
        <f ca="1">IFERROR(__xludf.DUMMYFUNCTION("IMPORTRANGE(""https://docs.google.com/spreadsheets/d/1tZ0nmtGuIRCaGAMXHlQU8EpR9LOAJvyKfc4f7EFmE34/edit?usp=sharing"",""ศรีสะเกษ!M634"")"),532545)</f>
        <v>532545</v>
      </c>
      <c r="G44" s="64">
        <f ca="1">IFERROR(__xludf.DUMMYFUNCTION("IMPORTRANGE(""https://docs.google.com/spreadsheets/d/1tZ0nmtGuIRCaGAMXHlQU8EpR9LOAJvyKfc4f7EFmE34/edit?usp=sharing"",""ศรีสะเกษ!M641"")"),0)</f>
        <v>0</v>
      </c>
      <c r="H44" s="58">
        <f t="shared" ca="1" si="24"/>
        <v>283390</v>
      </c>
      <c r="I44" s="59">
        <f t="shared" ca="1" si="1"/>
        <v>53.214282361115025</v>
      </c>
      <c r="J44" s="60">
        <f t="shared" ca="1" si="50"/>
        <v>283390</v>
      </c>
      <c r="K44" s="61">
        <f t="shared" ca="1" si="31"/>
        <v>53.214282361115025</v>
      </c>
      <c r="L44" s="61">
        <f t="shared" ca="1" si="32"/>
        <v>53.214282361115025</v>
      </c>
      <c r="M44" s="64">
        <f ca="1">IFERROR(__xludf.DUMMYFUNCTION("IMPORTRANGE(""https://docs.google.com/spreadsheets/d/1tZ0nmtGuIRCaGAMXHlQU8EpR9LOAJvyKfc4f7EFmE34/edit?usp=sharing"",""ศรีสะเกษ!N635"")"),0)</f>
        <v>0</v>
      </c>
      <c r="N44" s="64">
        <f ca="1">IFERROR(__xludf.DUMMYFUNCTION("IMPORTRANGE(""https://docs.google.com/spreadsheets/d/1tZ0nmtGuIRCaGAMXHlQU8EpR9LOAJvyKfc4f7EFmE34/edit?usp=sharing"",""ศรีสะเกษ!N636"")"),0)</f>
        <v>0</v>
      </c>
      <c r="O44" s="64">
        <f ca="1">IFERROR(__xludf.DUMMYFUNCTION("IMPORTRANGE(""https://docs.google.com/spreadsheets/d/1tZ0nmtGuIRCaGAMXHlQU8EpR9LOAJvyKfc4f7EFmE34/edit?usp=sharing"",""ศรีสะเกษ!N637"")"),52000)</f>
        <v>52000</v>
      </c>
      <c r="P44" s="64">
        <f ca="1">IFERROR(__xludf.DUMMYFUNCTION("IMPORTRANGE(""https://docs.google.com/spreadsheets/d/1tZ0nmtGuIRCaGAMXHlQU8EpR9LOAJvyKfc4f7EFmE34/edit?usp=sharing"",""ศรีสะเกษ!N638"")"),231390)</f>
        <v>231390</v>
      </c>
      <c r="Q44" s="62">
        <f ca="1">IFERROR(__xludf.DUMMYFUNCTION("IMPORTRANGE(""https://docs.google.com/spreadsheets/d/1tZ0nmtGuIRCaGAMXHlQU8EpR9LOAJvyKfc4f7EFmE34/edit?usp=sharing"",""ศรีสะเกษ!N641"")"),0)</f>
        <v>0</v>
      </c>
      <c r="R44" s="62">
        <f t="shared" ca="1" si="34"/>
        <v>0</v>
      </c>
      <c r="S44" s="57">
        <f ca="1">IFERROR(__xludf.DUMMYFUNCTION("IMPORTRANGE(""https://docs.google.com/spreadsheets/d/1tZ0nmtGuIRCaGAMXHlQU8EpR9LOAJvyKfc4f7EFmE34/edit?usp=sharing"",""ศรีสะเกษ!I643"")"),0)</f>
        <v>0</v>
      </c>
      <c r="T44" s="57">
        <f ca="1">IFERROR(__xludf.DUMMYFUNCTION("IMPORTRANGE(""https://docs.google.com/spreadsheets/d/1tZ0nmtGuIRCaGAMXHlQU8EpR9LOAJvyKfc4f7EFmE34/edit?usp=sharing"",""ศรีสะเกษ!J643"")"),0)</f>
        <v>0</v>
      </c>
      <c r="U44" s="63">
        <f t="shared" ca="1" si="25"/>
        <v>0</v>
      </c>
      <c r="V44" s="57">
        <f ca="1">IFERROR(__xludf.DUMMYFUNCTION("IMPORTRANGE(""https://docs.google.com/spreadsheets/d/1tZ0nmtGuIRCaGAMXHlQU8EpR9LOAJvyKfc4f7EFmE34/edit?usp=sharing"",""ศรีสะเกษ!I644"")"),0)</f>
        <v>0</v>
      </c>
      <c r="W44" s="57">
        <f ca="1">IFERROR(__xludf.DUMMYFUNCTION("IMPORTRANGE(""https://docs.google.com/spreadsheets/d/1tZ0nmtGuIRCaGAMXHlQU8EpR9LOAJvyKfc4f7EFmE34/edit?usp=sharing"",""ศรีสะเกษ!J644"")"),0)</f>
        <v>0</v>
      </c>
      <c r="X44" s="63">
        <f t="shared" ca="1" si="26"/>
        <v>0</v>
      </c>
      <c r="Y44" s="57">
        <f ca="1">IFERROR(__xludf.DUMMYFUNCTION("IMPORTRANGE(""https://docs.google.com/spreadsheets/d/1tZ0nmtGuIRCaGAMXHlQU8EpR9LOAJvyKfc4f7EFmE34/edit?usp=sharing"",""ศรีสะเกษ!J645"")"),372)</f>
        <v>372</v>
      </c>
      <c r="Z44" s="63">
        <f ca="1">IFERROR(__xludf.DUMMYFUNCTION("IMPORTRANGE(""https://docs.google.com/spreadsheets/d/1tZ0nmtGuIRCaGAMXHlQU8EpR9LOAJvyKfc4f7EFmE34/edit?usp=sharing"",""ศรีสะเกษ!J646"")"),202.96)</f>
        <v>202.96</v>
      </c>
      <c r="AA44" s="57">
        <f ca="1">IFERROR(__xludf.DUMMYFUNCTION("IMPORTRANGE(""https://docs.google.com/spreadsheets/d/1tZ0nmtGuIRCaGAMXHlQU8EpR9LOAJvyKfc4f7EFmE34/edit?usp=sharing"",""ศรีสะเกษ!I647"")"),350)</f>
        <v>350</v>
      </c>
      <c r="AB44" s="57">
        <f ca="1">IFERROR(__xludf.DUMMYFUNCTION("IMPORTRANGE(""https://docs.google.com/spreadsheets/d/1tZ0nmtGuIRCaGAMXHlQU8EpR9LOAJvyKfc4f7EFmE34/edit?usp=sharing"",""ศรีสะเกษ!J647"")"),244)</f>
        <v>244</v>
      </c>
      <c r="AC44" s="63">
        <f ca="1">IFERROR(__xludf.DUMMYFUNCTION("IMPORTRANGE(""https://docs.google.com/spreadsheets/d/1tZ0nmtGuIRCaGAMXHlQU8EpR9LOAJvyKfc4f7EFmE34/edit?usp=sharing"",""ศรีสะเกษ!J648"")"),116.11)</f>
        <v>116.11</v>
      </c>
      <c r="AD44" s="63">
        <f t="shared" ca="1" si="27"/>
        <v>69.714285714285708</v>
      </c>
      <c r="AE44" s="140">
        <f ca="1">IFERROR(__xludf.DUMMYFUNCTION("IMPORTRANGE(""https://docs.google.com/spreadsheets/d/1tZ0nmtGuIRCaGAMXHlQU8EpR9LOAJvyKfc4f7EFmE34/edit?usp=sharing"",""ศรีสะเกษ!I649"")"),350)</f>
        <v>350</v>
      </c>
      <c r="AF44" s="57">
        <f ca="1">IFERROR(__xludf.DUMMYFUNCTION("IMPORTRANGE(""https://docs.google.com/spreadsheets/d/1tZ0nmtGuIRCaGAMXHlQU8EpR9LOAJvyKfc4f7EFmE34/edit?usp=sharing"",""ศรีสะเกษ!J649"")"),159)</f>
        <v>159</v>
      </c>
      <c r="AG44" s="63">
        <f ca="1">IFERROR(__xludf.DUMMYFUNCTION("IMPORTRANGE(""https://docs.google.com/spreadsheets/d/1tZ0nmtGuIRCaGAMXHlQU8EpR9LOAJvyKfc4f7EFmE34/edit?usp=sharing"",""ศรีสะเกษ!J650"")"),71.82)</f>
        <v>71.819999999999993</v>
      </c>
      <c r="AH44" s="63">
        <f t="shared" ca="1" si="28"/>
        <v>45.428571428571431</v>
      </c>
      <c r="AI44" s="140">
        <f ca="1">IFERROR(__xludf.DUMMYFUNCTION("IMPORTRANGE(""https://docs.google.com/spreadsheets/d/1tZ0nmtGuIRCaGAMXHlQU8EpR9LOAJvyKfc4f7EFmE34/edit?usp=sharing"",""ศรีสะเกษ!I651"")"),350)</f>
        <v>350</v>
      </c>
      <c r="AJ44" s="57">
        <f ca="1">IFERROR(__xludf.DUMMYFUNCTION("IMPORTRANGE(""https://docs.google.com/spreadsheets/d/1tZ0nmtGuIRCaGAMXHlQU8EpR9LOAJvyKfc4f7EFmE34/edit?usp=sharing"",""ศรีสะเกษ!J651"")"),137)</f>
        <v>137</v>
      </c>
      <c r="AK44" s="63">
        <f ca="1">IFERROR(__xludf.DUMMYFUNCTION("IMPORTRANGE(""https://docs.google.com/spreadsheets/d/1tZ0nmtGuIRCaGAMXHlQU8EpR9LOAJvyKfc4f7EFmE34/edit?usp=sharing"",""ศรีสะเกษ!J652"")"),59.16)</f>
        <v>59.16</v>
      </c>
      <c r="AL44" s="63">
        <f t="shared" ca="1" si="29"/>
        <v>39.142857142857146</v>
      </c>
    </row>
    <row r="45" spans="1:38" ht="21" customHeight="1" x14ac:dyDescent="0.3">
      <c r="A45" s="54">
        <v>14</v>
      </c>
      <c r="B45" s="55" t="s">
        <v>66</v>
      </c>
      <c r="C45" s="56">
        <f t="shared" ca="1" si="49"/>
        <v>1155630</v>
      </c>
      <c r="D45" s="57">
        <f ca="1">IFERROR(__xludf.DUMMYFUNCTION("IMPORTRANGE(""https://docs.google.com/spreadsheets/d/1QC8psz9w0f9IVE9Xuc2FT_btkaOzZbbUSgYObpBuetM/edit?usp=sharing"",""สกลนคร!L634"")"),1155630)</f>
        <v>1155630</v>
      </c>
      <c r="E45" s="64">
        <f ca="1">IFERROR(__xludf.DUMMYFUNCTION("IMPORTRANGE(""https://docs.google.com/spreadsheets/d/1QC8psz9w0f9IVE9Xuc2FT_btkaOzZbbUSgYObpBuetM/edit?usp=sharing"",""สกลนคร!L641"")"),0)</f>
        <v>0</v>
      </c>
      <c r="F45" s="64">
        <f ca="1">IFERROR(__xludf.DUMMYFUNCTION("IMPORTRANGE(""https://docs.google.com/spreadsheets/d/1QC8psz9w0f9IVE9Xuc2FT_btkaOzZbbUSgYObpBuetM/edit?usp=sharing"",""สกลนคร!M634"")"),1155630)</f>
        <v>1155630</v>
      </c>
      <c r="G45" s="64">
        <f ca="1">IFERROR(__xludf.DUMMYFUNCTION("IMPORTRANGE(""https://docs.google.com/spreadsheets/d/1QC8psz9w0f9IVE9Xuc2FT_btkaOzZbbUSgYObpBuetM/edit?usp=sharing"",""สกลนคร!M641"")"),0)</f>
        <v>0</v>
      </c>
      <c r="H45" s="58">
        <f t="shared" ca="1" si="24"/>
        <v>403982</v>
      </c>
      <c r="I45" s="59">
        <f t="shared" ca="1" si="1"/>
        <v>34.957728684786652</v>
      </c>
      <c r="J45" s="60">
        <f t="shared" ca="1" si="50"/>
        <v>403982</v>
      </c>
      <c r="K45" s="61">
        <f t="shared" ca="1" si="31"/>
        <v>34.957728684786652</v>
      </c>
      <c r="L45" s="61">
        <f t="shared" ca="1" si="32"/>
        <v>34.957728684786652</v>
      </c>
      <c r="M45" s="64">
        <f ca="1">IFERROR(__xludf.DUMMYFUNCTION("IMPORTRANGE(""https://docs.google.com/spreadsheets/d/1QC8psz9w0f9IVE9Xuc2FT_btkaOzZbbUSgYObpBuetM/edit?usp=sharing"",""สกลนคร!N635"")"),0)</f>
        <v>0</v>
      </c>
      <c r="N45" s="64">
        <f ca="1">IFERROR(__xludf.DUMMYFUNCTION("IMPORTRANGE(""https://docs.google.com/spreadsheets/d/1QC8psz9w0f9IVE9Xuc2FT_btkaOzZbbUSgYObpBuetM/edit?usp=sharing"",""สกลนคร!N636"")"),0)</f>
        <v>0</v>
      </c>
      <c r="O45" s="64">
        <f ca="1">IFERROR(__xludf.DUMMYFUNCTION("IMPORTRANGE(""https://docs.google.com/spreadsheets/d/1QC8psz9w0f9IVE9Xuc2FT_btkaOzZbbUSgYObpBuetM/edit?usp=sharing"",""สกลนคร!N637"")"),156000)</f>
        <v>156000</v>
      </c>
      <c r="P45" s="64">
        <f ca="1">IFERROR(__xludf.DUMMYFUNCTION("IMPORTRANGE(""https://docs.google.com/spreadsheets/d/1QC8psz9w0f9IVE9Xuc2FT_btkaOzZbbUSgYObpBuetM/edit?usp=sharing"",""สกลนคร!N638"")"),247982)</f>
        <v>247982</v>
      </c>
      <c r="Q45" s="62">
        <f ca="1">IFERROR(__xludf.DUMMYFUNCTION("IMPORTRANGE(""https://docs.google.com/spreadsheets/d/1QC8psz9w0f9IVE9Xuc2FT_btkaOzZbbUSgYObpBuetM/edit?usp=sharing"",""สกลนคร!N641"")"),0)</f>
        <v>0</v>
      </c>
      <c r="R45" s="62">
        <f t="shared" ca="1" si="34"/>
        <v>0</v>
      </c>
      <c r="S45" s="57">
        <f ca="1">IFERROR(__xludf.DUMMYFUNCTION("IMPORTRANGE(""https://docs.google.com/spreadsheets/d/1QC8psz9w0f9IVE9Xuc2FT_btkaOzZbbUSgYObpBuetM/edit?usp=sharing"",""สกลนคร!I643"")"),0)</f>
        <v>0</v>
      </c>
      <c r="T45" s="57">
        <f ca="1">IFERROR(__xludf.DUMMYFUNCTION("IMPORTRANGE(""https://docs.google.com/spreadsheets/d/1QC8psz9w0f9IVE9Xuc2FT_btkaOzZbbUSgYObpBuetM/edit?usp=sharing"",""สกลนคร!J643"")"),0)</f>
        <v>0</v>
      </c>
      <c r="U45" s="63">
        <f t="shared" ca="1" si="25"/>
        <v>0</v>
      </c>
      <c r="V45" s="57">
        <f ca="1">IFERROR(__xludf.DUMMYFUNCTION("IMPORTRANGE(""https://docs.google.com/spreadsheets/d/1QC8psz9w0f9IVE9Xuc2FT_btkaOzZbbUSgYObpBuetM/edit?usp=sharing"",""สกลนคร!I644"")"),0)</f>
        <v>0</v>
      </c>
      <c r="W45" s="57">
        <f ca="1">IFERROR(__xludf.DUMMYFUNCTION("IMPORTRANGE(""https://docs.google.com/spreadsheets/d/1QC8psz9w0f9IVE9Xuc2FT_btkaOzZbbUSgYObpBuetM/edit?usp=sharing"",""สกลนคร!J644"")"),0)</f>
        <v>0</v>
      </c>
      <c r="X45" s="63">
        <f t="shared" ca="1" si="26"/>
        <v>0</v>
      </c>
      <c r="Y45" s="57">
        <f ca="1">IFERROR(__xludf.DUMMYFUNCTION("IMPORTRANGE(""https://docs.google.com/spreadsheets/d/1QC8psz9w0f9IVE9Xuc2FT_btkaOzZbbUSgYObpBuetM/edit?usp=sharing"",""สกลนคร!J645"")"),852)</f>
        <v>852</v>
      </c>
      <c r="Z45" s="63">
        <f ca="1">IFERROR(__xludf.DUMMYFUNCTION("IMPORTRANGE(""https://docs.google.com/spreadsheets/d/1QC8psz9w0f9IVE9Xuc2FT_btkaOzZbbUSgYObpBuetM/edit?usp=sharing"",""สกลนคร!J646"")"),397.82)</f>
        <v>397.82</v>
      </c>
      <c r="AA45" s="57">
        <f ca="1">IFERROR(__xludf.DUMMYFUNCTION("IMPORTRANGE(""https://docs.google.com/spreadsheets/d/1QC8psz9w0f9IVE9Xuc2FT_btkaOzZbbUSgYObpBuetM/edit?usp=sharing"",""สกลนคร!I647"")"),1200)</f>
        <v>1200</v>
      </c>
      <c r="AB45" s="57">
        <f ca="1">IFERROR(__xludf.DUMMYFUNCTION("IMPORTRANGE(""https://docs.google.com/spreadsheets/d/1QC8psz9w0f9IVE9Xuc2FT_btkaOzZbbUSgYObpBuetM/edit?usp=sharing"",""สกลนคร!J647"")"),528)</f>
        <v>528</v>
      </c>
      <c r="AC45" s="63">
        <f ca="1">IFERROR(__xludf.DUMMYFUNCTION("IMPORTRANGE(""https://docs.google.com/spreadsheets/d/1QC8psz9w0f9IVE9Xuc2FT_btkaOzZbbUSgYObpBuetM/edit?usp=sharing"",""สกลนคร!J648"")"),251.19)</f>
        <v>251.19</v>
      </c>
      <c r="AD45" s="63">
        <f t="shared" ca="1" si="27"/>
        <v>44</v>
      </c>
      <c r="AE45" s="140">
        <f ca="1">IFERROR(__xludf.DUMMYFUNCTION("IMPORTRANGE(""https://docs.google.com/spreadsheets/d/1QC8psz9w0f9IVE9Xuc2FT_btkaOzZbbUSgYObpBuetM/edit?usp=sharing"",""สกลนคร!I649"")"),1200)</f>
        <v>1200</v>
      </c>
      <c r="AF45" s="57">
        <f ca="1">IFERROR(__xludf.DUMMYFUNCTION("IMPORTRANGE(""https://docs.google.com/spreadsheets/d/1QC8psz9w0f9IVE9Xuc2FT_btkaOzZbbUSgYObpBuetM/edit?usp=sharing"",""สกลนคร!J649"")"),439)</f>
        <v>439</v>
      </c>
      <c r="AG45" s="63">
        <f ca="1">IFERROR(__xludf.DUMMYFUNCTION("IMPORTRANGE(""https://docs.google.com/spreadsheets/d/1QC8psz9w0f9IVE9Xuc2FT_btkaOzZbbUSgYObpBuetM/edit?usp=sharing"",""สกลนคร!J650"")"),220)</f>
        <v>220</v>
      </c>
      <c r="AH45" s="63">
        <f t="shared" ca="1" si="28"/>
        <v>36.583333333333336</v>
      </c>
      <c r="AI45" s="140">
        <f ca="1">IFERROR(__xludf.DUMMYFUNCTION("IMPORTRANGE(""https://docs.google.com/spreadsheets/d/1QC8psz9w0f9IVE9Xuc2FT_btkaOzZbbUSgYObpBuetM/edit?usp=sharing"",""สกลนคร!I651"")"),1200)</f>
        <v>1200</v>
      </c>
      <c r="AJ45" s="57">
        <f ca="1">IFERROR(__xludf.DUMMYFUNCTION("IMPORTRANGE(""https://docs.google.com/spreadsheets/d/1QC8psz9w0f9IVE9Xuc2FT_btkaOzZbbUSgYObpBuetM/edit?usp=sharing"",""สกลนคร!J651"")"),45)</f>
        <v>45</v>
      </c>
      <c r="AK45" s="63">
        <f ca="1">IFERROR(__xludf.DUMMYFUNCTION("IMPORTRANGE(""https://docs.google.com/spreadsheets/d/1QC8psz9w0f9IVE9Xuc2FT_btkaOzZbbUSgYObpBuetM/edit?usp=sharing"",""สกลนคร!J652"")"),24.075)</f>
        <v>24.074999999999999</v>
      </c>
      <c r="AL45" s="63">
        <f t="shared" ca="1" si="29"/>
        <v>3.75</v>
      </c>
    </row>
    <row r="46" spans="1:38" ht="21" customHeight="1" x14ac:dyDescent="0.3">
      <c r="A46" s="54">
        <v>15</v>
      </c>
      <c r="B46" s="55" t="s">
        <v>67</v>
      </c>
      <c r="C46" s="56">
        <f t="shared" ca="1" si="49"/>
        <v>873460</v>
      </c>
      <c r="D46" s="57">
        <f ca="1">IFERROR(__xludf.DUMMYFUNCTION("IMPORTRANGE(""https://docs.google.com/spreadsheets/d/1wPdvRbu02d33MYVlbsCnyTiZpefEBs9NNktAnT1HZvw/edit?usp=sharing"",""สุรินทร์!L634"")"),873460)</f>
        <v>873460</v>
      </c>
      <c r="E46" s="64">
        <f ca="1">IFERROR(__xludf.DUMMYFUNCTION("IMPORTRANGE(""https://docs.google.com/spreadsheets/d/1wPdvRbu02d33MYVlbsCnyTiZpefEBs9NNktAnT1HZvw/edit?usp=sharing"",""สุรินทร์!L641"")"),0)</f>
        <v>0</v>
      </c>
      <c r="F46" s="64">
        <f ca="1">IFERROR(__xludf.DUMMYFUNCTION("IMPORTRANGE(""https://docs.google.com/spreadsheets/d/1wPdvRbu02d33MYVlbsCnyTiZpefEBs9NNktAnT1HZvw/edit?usp=sharing"",""สุรินทร์!M634"")"),873460)</f>
        <v>873460</v>
      </c>
      <c r="G46" s="64">
        <f ca="1">IFERROR(__xludf.DUMMYFUNCTION("IMPORTRANGE(""https://docs.google.com/spreadsheets/d/1wPdvRbu02d33MYVlbsCnyTiZpefEBs9NNktAnT1HZvw/edit?usp=sharing"",""สุรินทร์!M641"")"),0)</f>
        <v>0</v>
      </c>
      <c r="H46" s="58">
        <f t="shared" ca="1" si="24"/>
        <v>438688</v>
      </c>
      <c r="I46" s="59">
        <f t="shared" ca="1" si="1"/>
        <v>50.224165960662191</v>
      </c>
      <c r="J46" s="60">
        <f t="shared" ca="1" si="50"/>
        <v>438688</v>
      </c>
      <c r="K46" s="61">
        <f t="shared" ca="1" si="31"/>
        <v>50.224165960662191</v>
      </c>
      <c r="L46" s="61">
        <f t="shared" ca="1" si="32"/>
        <v>50.224165960662191</v>
      </c>
      <c r="M46" s="64">
        <f ca="1">IFERROR(__xludf.DUMMYFUNCTION("IMPORTRANGE(""https://docs.google.com/spreadsheets/d/1wPdvRbu02d33MYVlbsCnyTiZpefEBs9NNktAnT1HZvw/edit?usp=sharing"",""สุรินทร์!N635"")"),0)</f>
        <v>0</v>
      </c>
      <c r="N46" s="64">
        <f ca="1">IFERROR(__xludf.DUMMYFUNCTION("IMPORTRANGE(""https://docs.google.com/spreadsheets/d/1wPdvRbu02d33MYVlbsCnyTiZpefEBs9NNktAnT1HZvw/edit?usp=sharing"",""สุรินทร์!N636"")"),0)</f>
        <v>0</v>
      </c>
      <c r="O46" s="64">
        <f ca="1">IFERROR(__xludf.DUMMYFUNCTION("IMPORTRANGE(""https://docs.google.com/spreadsheets/d/1wPdvRbu02d33MYVlbsCnyTiZpefEBs9NNktAnT1HZvw/edit?usp=sharing"",""สุรินทร์!N637"")"),155580)</f>
        <v>155580</v>
      </c>
      <c r="P46" s="64">
        <f ca="1">IFERROR(__xludf.DUMMYFUNCTION("IMPORTRANGE(""https://docs.google.com/spreadsheets/d/1wPdvRbu02d33MYVlbsCnyTiZpefEBs9NNktAnT1HZvw/edit?usp=sharing"",""สุรินทร์!N638"")"),283108)</f>
        <v>283108</v>
      </c>
      <c r="Q46" s="62">
        <f ca="1">IFERROR(__xludf.DUMMYFUNCTION("IMPORTRANGE(""https://docs.google.com/spreadsheets/d/1wPdvRbu02d33MYVlbsCnyTiZpefEBs9NNktAnT1HZvw/edit?usp=sharing"",""สุรินทร์!N641"")"),0)</f>
        <v>0</v>
      </c>
      <c r="R46" s="62">
        <f t="shared" ca="1" si="34"/>
        <v>0</v>
      </c>
      <c r="S46" s="57">
        <f ca="1">IFERROR(__xludf.DUMMYFUNCTION("IMPORTRANGE(""https://docs.google.com/spreadsheets/d/1wPdvRbu02d33MYVlbsCnyTiZpefEBs9NNktAnT1HZvw/edit?usp=sharing"",""สุรินทร์!I643"")"),0)</f>
        <v>0</v>
      </c>
      <c r="T46" s="57">
        <f ca="1">IFERROR(__xludf.DUMMYFUNCTION("IMPORTRANGE(""https://docs.google.com/spreadsheets/d/1wPdvRbu02d33MYVlbsCnyTiZpefEBs9NNktAnT1HZvw/edit?usp=sharing"",""สุรินทร์!J643"")"),0)</f>
        <v>0</v>
      </c>
      <c r="U46" s="63">
        <f t="shared" ca="1" si="25"/>
        <v>0</v>
      </c>
      <c r="V46" s="57">
        <f ca="1">IFERROR(__xludf.DUMMYFUNCTION("IMPORTRANGE(""https://docs.google.com/spreadsheets/d/1wPdvRbu02d33MYVlbsCnyTiZpefEBs9NNktAnT1HZvw/edit?usp=sharing"",""สุรินทร์!I644"")"),0)</f>
        <v>0</v>
      </c>
      <c r="W46" s="57">
        <f ca="1">IFERROR(__xludf.DUMMYFUNCTION("IMPORTRANGE(""https://docs.google.com/spreadsheets/d/1wPdvRbu02d33MYVlbsCnyTiZpefEBs9NNktAnT1HZvw/edit?usp=sharing"",""สุรินทร์!J644"")"),0)</f>
        <v>0</v>
      </c>
      <c r="X46" s="63">
        <f t="shared" ca="1" si="26"/>
        <v>0</v>
      </c>
      <c r="Y46" s="57">
        <f ca="1">IFERROR(__xludf.DUMMYFUNCTION("IMPORTRANGE(""https://docs.google.com/spreadsheets/d/1wPdvRbu02d33MYVlbsCnyTiZpefEBs9NNktAnT1HZvw/edit?usp=sharing"",""สุรินทร์!J645"")"),302)</f>
        <v>302</v>
      </c>
      <c r="Z46" s="63">
        <f ca="1">IFERROR(__xludf.DUMMYFUNCTION("IMPORTRANGE(""https://docs.google.com/spreadsheets/d/1wPdvRbu02d33MYVlbsCnyTiZpefEBs9NNktAnT1HZvw/edit?usp=sharing"",""สุรินทร์!J646"")"),215.27)</f>
        <v>215.27</v>
      </c>
      <c r="AA46" s="57">
        <f ca="1">IFERROR(__xludf.DUMMYFUNCTION("IMPORTRANGE(""https://docs.google.com/spreadsheets/d/1wPdvRbu02d33MYVlbsCnyTiZpefEBs9NNktAnT1HZvw/edit?usp=sharing"",""สุรินทร์!I647"")"),700)</f>
        <v>700</v>
      </c>
      <c r="AB46" s="57">
        <f ca="1">IFERROR(__xludf.DUMMYFUNCTION("IMPORTRANGE(""https://docs.google.com/spreadsheets/d/1wPdvRbu02d33MYVlbsCnyTiZpefEBs9NNktAnT1HZvw/edit?usp=sharing"",""สุรินทร์!J647"")"),260)</f>
        <v>260</v>
      </c>
      <c r="AC46" s="63">
        <f ca="1">IFERROR(__xludf.DUMMYFUNCTION("IMPORTRANGE(""https://docs.google.com/spreadsheets/d/1wPdvRbu02d33MYVlbsCnyTiZpefEBs9NNktAnT1HZvw/edit?usp=sharing"",""สุรินทร์!J648"")"),192.24)</f>
        <v>192.24</v>
      </c>
      <c r="AD46" s="63">
        <f t="shared" ca="1" si="27"/>
        <v>37.142857142857146</v>
      </c>
      <c r="AE46" s="140">
        <f ca="1">IFERROR(__xludf.DUMMYFUNCTION("IMPORTRANGE(""https://docs.google.com/spreadsheets/d/1wPdvRbu02d33MYVlbsCnyTiZpefEBs9NNktAnT1HZvw/edit?usp=sharing"",""สุรินทร์!I649"")"),700)</f>
        <v>700</v>
      </c>
      <c r="AF46" s="57">
        <f ca="1">IFERROR(__xludf.DUMMYFUNCTION("IMPORTRANGE(""https://docs.google.com/spreadsheets/d/1wPdvRbu02d33MYVlbsCnyTiZpefEBs9NNktAnT1HZvw/edit?usp=sharing"",""สุรินทร์!J649"")"),263)</f>
        <v>263</v>
      </c>
      <c r="AG46" s="63">
        <f ca="1">IFERROR(__xludf.DUMMYFUNCTION("IMPORTRANGE(""https://docs.google.com/spreadsheets/d/1wPdvRbu02d33MYVlbsCnyTiZpefEBs9NNktAnT1HZvw/edit?usp=sharing"",""สุรินทร์!J650"")"),194.31)</f>
        <v>194.31</v>
      </c>
      <c r="AH46" s="63">
        <f t="shared" ca="1" si="28"/>
        <v>37.571428571428569</v>
      </c>
      <c r="AI46" s="140">
        <f ca="1">IFERROR(__xludf.DUMMYFUNCTION("IMPORTRANGE(""https://docs.google.com/spreadsheets/d/1wPdvRbu02d33MYVlbsCnyTiZpefEBs9NNktAnT1HZvw/edit?usp=sharing"",""สุรินทร์!I651"")"),700)</f>
        <v>700</v>
      </c>
      <c r="AJ46" s="57">
        <f ca="1">IFERROR(__xludf.DUMMYFUNCTION("IMPORTRANGE(""https://docs.google.com/spreadsheets/d/1wPdvRbu02d33MYVlbsCnyTiZpefEBs9NNktAnT1HZvw/edit?usp=sharing"",""สุรินทร์!J651"")"),261)</f>
        <v>261</v>
      </c>
      <c r="AK46" s="63">
        <f ca="1">IFERROR(__xludf.DUMMYFUNCTION("IMPORTRANGE(""https://docs.google.com/spreadsheets/d/1wPdvRbu02d33MYVlbsCnyTiZpefEBs9NNktAnT1HZvw/edit?usp=sharing"",""สุรินทร์!J652"")"),185.365)</f>
        <v>185.36500000000001</v>
      </c>
      <c r="AL46" s="63">
        <f t="shared" ca="1" si="29"/>
        <v>37.285714285714285</v>
      </c>
    </row>
    <row r="47" spans="1:38" ht="21" customHeight="1" x14ac:dyDescent="0.3">
      <c r="A47" s="54">
        <v>16</v>
      </c>
      <c r="B47" s="55" t="s">
        <v>68</v>
      </c>
      <c r="C47" s="56">
        <f t="shared" ca="1" si="49"/>
        <v>423310</v>
      </c>
      <c r="D47" s="57">
        <f ca="1">IFERROR(__xludf.DUMMYFUNCTION("IMPORTRANGE(""https://docs.google.com/spreadsheets/d/1GVExpf-Exi_2gmuqTYH28fseTB9MoKPXWcXCbSt_YrM/edit?usp=sharing"",""หนองคาย!L634"")"),423310)</f>
        <v>423310</v>
      </c>
      <c r="E47" s="64">
        <f ca="1">IFERROR(__xludf.DUMMYFUNCTION("IMPORTRANGE(""https://docs.google.com/spreadsheets/d/1GVExpf-Exi_2gmuqTYH28fseTB9MoKPXWcXCbSt_YrM/edit?usp=sharing"",""หนองคาย!L641"")"),0)</f>
        <v>0</v>
      </c>
      <c r="F47" s="64">
        <f ca="1">IFERROR(__xludf.DUMMYFUNCTION("IMPORTRANGE(""https://docs.google.com/spreadsheets/d/1GVExpf-Exi_2gmuqTYH28fseTB9MoKPXWcXCbSt_YrM/edit?usp=sharing"",""หนองคาย!M634"")"),423310)</f>
        <v>423310</v>
      </c>
      <c r="G47" s="64">
        <f ca="1">IFERROR(__xludf.DUMMYFUNCTION("IMPORTRANGE(""https://docs.google.com/spreadsheets/d/1GVExpf-Exi_2gmuqTYH28fseTB9MoKPXWcXCbSt_YrM/edit?usp=sharing"",""หนองคาย!M641"")"),0)</f>
        <v>0</v>
      </c>
      <c r="H47" s="58">
        <f t="shared" ca="1" si="24"/>
        <v>188967.38</v>
      </c>
      <c r="I47" s="59">
        <f t="shared" ca="1" si="1"/>
        <v>44.640424275353759</v>
      </c>
      <c r="J47" s="60">
        <f t="shared" ca="1" si="50"/>
        <v>188967.38</v>
      </c>
      <c r="K47" s="61">
        <f t="shared" ca="1" si="31"/>
        <v>44.640424275353759</v>
      </c>
      <c r="L47" s="61">
        <f t="shared" ca="1" si="32"/>
        <v>44.640424275353759</v>
      </c>
      <c r="M47" s="64">
        <f ca="1">IFERROR(__xludf.DUMMYFUNCTION("IMPORTRANGE(""https://docs.google.com/spreadsheets/d/1GVExpf-Exi_2gmuqTYH28fseTB9MoKPXWcXCbSt_YrM/edit?usp=sharing"",""หนองคาย!N635"")"),0)</f>
        <v>0</v>
      </c>
      <c r="N47" s="64">
        <f ca="1">IFERROR(__xludf.DUMMYFUNCTION("IMPORTRANGE(""https://docs.google.com/spreadsheets/d/1GVExpf-Exi_2gmuqTYH28fseTB9MoKPXWcXCbSt_YrM/edit?usp=sharing"",""หนองคาย!N636"")"),0)</f>
        <v>0</v>
      </c>
      <c r="O47" s="64">
        <f ca="1">IFERROR(__xludf.DUMMYFUNCTION("IMPORTRANGE(""https://docs.google.com/spreadsheets/d/1GVExpf-Exi_2gmuqTYH28fseTB9MoKPXWcXCbSt_YrM/edit?usp=sharing"",""หนองคาย!N637"")"),77124)</f>
        <v>77124</v>
      </c>
      <c r="P47" s="64">
        <f ca="1">IFERROR(__xludf.DUMMYFUNCTION("IMPORTRANGE(""https://docs.google.com/spreadsheets/d/1GVExpf-Exi_2gmuqTYH28fseTB9MoKPXWcXCbSt_YrM/edit?usp=sharing"",""หนองคาย!N638"")"),111843.38)</f>
        <v>111843.38</v>
      </c>
      <c r="Q47" s="62">
        <f ca="1">IFERROR(__xludf.DUMMYFUNCTION("IMPORTRANGE(""https://docs.google.com/spreadsheets/d/1GVExpf-Exi_2gmuqTYH28fseTB9MoKPXWcXCbSt_YrM/edit?usp=sharing"",""หนองคาย!N641"")"),0)</f>
        <v>0</v>
      </c>
      <c r="R47" s="62">
        <f t="shared" ca="1" si="34"/>
        <v>0</v>
      </c>
      <c r="S47" s="57">
        <f ca="1">IFERROR(__xludf.DUMMYFUNCTION("IMPORTRANGE(""https://docs.google.com/spreadsheets/d/1GVExpf-Exi_2gmuqTYH28fseTB9MoKPXWcXCbSt_YrM/edit?usp=sharing"",""หนองคาย!I643"")"),0)</f>
        <v>0</v>
      </c>
      <c r="T47" s="57">
        <f ca="1">IFERROR(__xludf.DUMMYFUNCTION("IMPORTRANGE(""https://docs.google.com/spreadsheets/d/1GVExpf-Exi_2gmuqTYH28fseTB9MoKPXWcXCbSt_YrM/edit?usp=sharing"",""หนองคาย!J643"")"),0)</f>
        <v>0</v>
      </c>
      <c r="U47" s="63">
        <f t="shared" ca="1" si="25"/>
        <v>0</v>
      </c>
      <c r="V47" s="57">
        <f ca="1">IFERROR(__xludf.DUMMYFUNCTION("IMPORTRANGE(""https://docs.google.com/spreadsheets/d/1GVExpf-Exi_2gmuqTYH28fseTB9MoKPXWcXCbSt_YrM/edit?usp=sharing"",""หนองคาย!I644"")"),0)</f>
        <v>0</v>
      </c>
      <c r="W47" s="57">
        <f ca="1">IFERROR(__xludf.DUMMYFUNCTION("IMPORTRANGE(""https://docs.google.com/spreadsheets/d/1GVExpf-Exi_2gmuqTYH28fseTB9MoKPXWcXCbSt_YrM/edit?usp=sharing"",""หนองคาย!J644"")"),0)</f>
        <v>0</v>
      </c>
      <c r="X47" s="63">
        <f t="shared" ca="1" si="26"/>
        <v>0</v>
      </c>
      <c r="Y47" s="57">
        <f ca="1">IFERROR(__xludf.DUMMYFUNCTION("IMPORTRANGE(""https://docs.google.com/spreadsheets/d/1GVExpf-Exi_2gmuqTYH28fseTB9MoKPXWcXCbSt_YrM/edit?usp=sharing"",""หนองคาย!J645"")"),119)</f>
        <v>119</v>
      </c>
      <c r="Z47" s="63">
        <f ca="1">IFERROR(__xludf.DUMMYFUNCTION("IMPORTRANGE(""https://docs.google.com/spreadsheets/d/1GVExpf-Exi_2gmuqTYH28fseTB9MoKPXWcXCbSt_YrM/edit?usp=sharing"",""หนองคาย!J646"")"),49.52)</f>
        <v>49.52</v>
      </c>
      <c r="AA47" s="57">
        <f ca="1">IFERROR(__xludf.DUMMYFUNCTION("IMPORTRANGE(""https://docs.google.com/spreadsheets/d/1GVExpf-Exi_2gmuqTYH28fseTB9MoKPXWcXCbSt_YrM/edit?usp=sharing"",""หนองคาย!I647"")"),230)</f>
        <v>230</v>
      </c>
      <c r="AB47" s="57">
        <f ca="1">IFERROR(__xludf.DUMMYFUNCTION("IMPORTRANGE(""https://docs.google.com/spreadsheets/d/1GVExpf-Exi_2gmuqTYH28fseTB9MoKPXWcXCbSt_YrM/edit?usp=sharing"",""หนองคาย!J647"")"),118)</f>
        <v>118</v>
      </c>
      <c r="AC47" s="63">
        <f ca="1">IFERROR(__xludf.DUMMYFUNCTION("IMPORTRANGE(""https://docs.google.com/spreadsheets/d/1GVExpf-Exi_2gmuqTYH28fseTB9MoKPXWcXCbSt_YrM/edit?usp=sharing"",""หนองคาย!J648"")"),49.49)</f>
        <v>49.49</v>
      </c>
      <c r="AD47" s="63">
        <f t="shared" ca="1" si="27"/>
        <v>51.304347826086953</v>
      </c>
      <c r="AE47" s="140">
        <f ca="1">IFERROR(__xludf.DUMMYFUNCTION("IMPORTRANGE(""https://docs.google.com/spreadsheets/d/1GVExpf-Exi_2gmuqTYH28fseTB9MoKPXWcXCbSt_YrM/edit?usp=sharing"",""หนองคาย!I649"")"),230)</f>
        <v>230</v>
      </c>
      <c r="AF47" s="57">
        <f ca="1">IFERROR(__xludf.DUMMYFUNCTION("IMPORTRANGE(""https://docs.google.com/spreadsheets/d/1GVExpf-Exi_2gmuqTYH28fseTB9MoKPXWcXCbSt_YrM/edit?usp=sharing"",""หนองคาย!J649"")"),60)</f>
        <v>60</v>
      </c>
      <c r="AG47" s="63">
        <f ca="1">IFERROR(__xludf.DUMMYFUNCTION("IMPORTRANGE(""https://docs.google.com/spreadsheets/d/1GVExpf-Exi_2gmuqTYH28fseTB9MoKPXWcXCbSt_YrM/edit?usp=sharing"",""หนองคาย!J650"")"),25.73)</f>
        <v>25.73</v>
      </c>
      <c r="AH47" s="63">
        <f t="shared" ca="1" si="28"/>
        <v>26.086956521739129</v>
      </c>
      <c r="AI47" s="140">
        <f ca="1">IFERROR(__xludf.DUMMYFUNCTION("IMPORTRANGE(""https://docs.google.com/spreadsheets/d/1GVExpf-Exi_2gmuqTYH28fseTB9MoKPXWcXCbSt_YrM/edit?usp=sharing"",""หนองคาย!I651"")"),230)</f>
        <v>230</v>
      </c>
      <c r="AJ47" s="57">
        <f ca="1">IFERROR(__xludf.DUMMYFUNCTION("IMPORTRANGE(""https://docs.google.com/spreadsheets/d/1GVExpf-Exi_2gmuqTYH28fseTB9MoKPXWcXCbSt_YrM/edit?usp=sharing"",""หนองคาย!J651"")"),0)</f>
        <v>0</v>
      </c>
      <c r="AK47" s="63">
        <f ca="1">IFERROR(__xludf.DUMMYFUNCTION("IMPORTRANGE(""https://docs.google.com/spreadsheets/d/1GVExpf-Exi_2gmuqTYH28fseTB9MoKPXWcXCbSt_YrM/edit?usp=sharing"",""หนองคาย!J652"")"),0)</f>
        <v>0</v>
      </c>
      <c r="AL47" s="63">
        <f t="shared" ca="1" si="29"/>
        <v>0</v>
      </c>
    </row>
    <row r="48" spans="1:38" ht="21" customHeight="1" x14ac:dyDescent="0.3">
      <c r="A48" s="54">
        <v>17</v>
      </c>
      <c r="B48" s="55" t="s">
        <v>69</v>
      </c>
      <c r="C48" s="56">
        <f t="shared" ca="1" si="49"/>
        <v>368210</v>
      </c>
      <c r="D48" s="57">
        <f ca="1">IFERROR(__xludf.DUMMYFUNCTION("IMPORTRANGE(""https://docs.google.com/spreadsheets/d/16UeMz0UgOB5BZcoxP75eYGcLFtGYRn9GoesD4OX9m5U/edit?usp=sharing"",""หนองบัวลำภู!L634"")"),368210)</f>
        <v>368210</v>
      </c>
      <c r="E48" s="64">
        <f ca="1">IFERROR(__xludf.DUMMYFUNCTION("IMPORTRANGE(""https://docs.google.com/spreadsheets/d/16UeMz0UgOB5BZcoxP75eYGcLFtGYRn9GoesD4OX9m5U/edit?usp=sharing"",""หนองบัวลำภู!L641"")"),0)</f>
        <v>0</v>
      </c>
      <c r="F48" s="64">
        <f ca="1">IFERROR(__xludf.DUMMYFUNCTION("IMPORTRANGE(""https://docs.google.com/spreadsheets/d/16UeMz0UgOB5BZcoxP75eYGcLFtGYRn9GoesD4OX9m5U/edit?usp=sharing"",""หนองบัวลำภู!M634"")"),368210)</f>
        <v>368210</v>
      </c>
      <c r="G48" s="64">
        <f ca="1">IFERROR(__xludf.DUMMYFUNCTION("IMPORTRANGE(""https://docs.google.com/spreadsheets/d/16UeMz0UgOB5BZcoxP75eYGcLFtGYRn9GoesD4OX9m5U/edit?usp=sharing"",""หนองบัวลำภู!M641"")"),0)</f>
        <v>0</v>
      </c>
      <c r="H48" s="58">
        <f t="shared" ca="1" si="24"/>
        <v>198954.84</v>
      </c>
      <c r="I48" s="59">
        <f t="shared" ca="1" si="1"/>
        <v>54.032981179218382</v>
      </c>
      <c r="J48" s="60">
        <f t="shared" ca="1" si="50"/>
        <v>198954.84</v>
      </c>
      <c r="K48" s="61">
        <f t="shared" ca="1" si="31"/>
        <v>54.032981179218382</v>
      </c>
      <c r="L48" s="61">
        <f t="shared" ca="1" si="32"/>
        <v>54.032981179218382</v>
      </c>
      <c r="M48" s="64">
        <f ca="1">IFERROR(__xludf.DUMMYFUNCTION("IMPORTRANGE(""https://docs.google.com/spreadsheets/d/16UeMz0UgOB5BZcoxP75eYGcLFtGYRn9GoesD4OX9m5U/edit?usp=sharing"",""หนองบัวลำภู!N635"")"),0)</f>
        <v>0</v>
      </c>
      <c r="N48" s="64">
        <f ca="1">IFERROR(__xludf.DUMMYFUNCTION("IMPORTRANGE(""https://docs.google.com/spreadsheets/d/16UeMz0UgOB5BZcoxP75eYGcLFtGYRn9GoesD4OX9m5U/edit?usp=sharing"",""หนองบัวลำภู!N636"")"),0)</f>
        <v>0</v>
      </c>
      <c r="O48" s="64">
        <f ca="1">IFERROR(__xludf.DUMMYFUNCTION("IMPORTRANGE(""https://docs.google.com/spreadsheets/d/16UeMz0UgOB5BZcoxP75eYGcLFtGYRn9GoesD4OX9m5U/edit?usp=sharing"",""หนองบัวลำภู!N637"")"),77133.34)</f>
        <v>77133.34</v>
      </c>
      <c r="P48" s="64">
        <f ca="1">IFERROR(__xludf.DUMMYFUNCTION("IMPORTRANGE(""https://docs.google.com/spreadsheets/d/16UeMz0UgOB5BZcoxP75eYGcLFtGYRn9GoesD4OX9m5U/edit?usp=sharing"",""หนองบัวลำภู!N638"")"),121821.5)</f>
        <v>121821.5</v>
      </c>
      <c r="Q48" s="62">
        <f ca="1">IFERROR(__xludf.DUMMYFUNCTION("IMPORTRANGE(""https://docs.google.com/spreadsheets/d/16UeMz0UgOB5BZcoxP75eYGcLFtGYRn9GoesD4OX9m5U/edit?usp=sharing"",""หนองบัวลำภู!N641"")"),0)</f>
        <v>0</v>
      </c>
      <c r="R48" s="62">
        <f t="shared" ca="1" si="34"/>
        <v>0</v>
      </c>
      <c r="S48" s="57">
        <f ca="1">IFERROR(__xludf.DUMMYFUNCTION("IMPORTRANGE(""https://docs.google.com/spreadsheets/d/16UeMz0UgOB5BZcoxP75eYGcLFtGYRn9GoesD4OX9m5U/edit?usp=sharing"",""หนองบัวลำภู!I643"")"),0)</f>
        <v>0</v>
      </c>
      <c r="T48" s="57">
        <f ca="1">IFERROR(__xludf.DUMMYFUNCTION("IMPORTRANGE(""https://docs.google.com/spreadsheets/d/16UeMz0UgOB5BZcoxP75eYGcLFtGYRn9GoesD4OX9m5U/edit?usp=sharing"",""หนองบัวลำภู!J643"")"),0)</f>
        <v>0</v>
      </c>
      <c r="U48" s="63">
        <f t="shared" ca="1" si="25"/>
        <v>0</v>
      </c>
      <c r="V48" s="57">
        <f ca="1">IFERROR(__xludf.DUMMYFUNCTION("IMPORTRANGE(""https://docs.google.com/spreadsheets/d/16UeMz0UgOB5BZcoxP75eYGcLFtGYRn9GoesD4OX9m5U/edit?usp=sharing"",""หนองบัวลำภู!I644"")"),0)</f>
        <v>0</v>
      </c>
      <c r="W48" s="57">
        <f ca="1">IFERROR(__xludf.DUMMYFUNCTION("IMPORTRANGE(""https://docs.google.com/spreadsheets/d/16UeMz0UgOB5BZcoxP75eYGcLFtGYRn9GoesD4OX9m5U/edit?usp=sharing"",""หนองบัวลำภู!J644"")"),0)</f>
        <v>0</v>
      </c>
      <c r="X48" s="63">
        <f t="shared" ca="1" si="26"/>
        <v>0</v>
      </c>
      <c r="Y48" s="57">
        <f ca="1">IFERROR(__xludf.DUMMYFUNCTION("IMPORTRANGE(""https://docs.google.com/spreadsheets/d/16UeMz0UgOB5BZcoxP75eYGcLFtGYRn9GoesD4OX9m5U/edit?usp=sharing"",""หนองบัวลำภู!J645"")"),155)</f>
        <v>155</v>
      </c>
      <c r="Z48" s="63">
        <f ca="1">IFERROR(__xludf.DUMMYFUNCTION("IMPORTRANGE(""https://docs.google.com/spreadsheets/d/16UeMz0UgOB5BZcoxP75eYGcLFtGYRn9GoesD4OX9m5U/edit?usp=sharing"",""หนองบัวลำภู!J646"")"),117.28)</f>
        <v>117.28</v>
      </c>
      <c r="AA48" s="57">
        <f ca="1">IFERROR(__xludf.DUMMYFUNCTION("IMPORTRANGE(""https://docs.google.com/spreadsheets/d/16UeMz0UgOB5BZcoxP75eYGcLFtGYRn9GoesD4OX9m5U/edit?usp=sharing"",""หนองบัวลำภู!I647"")"),130)</f>
        <v>130</v>
      </c>
      <c r="AB48" s="57">
        <f ca="1">IFERROR(__xludf.DUMMYFUNCTION("IMPORTRANGE(""https://docs.google.com/spreadsheets/d/16UeMz0UgOB5BZcoxP75eYGcLFtGYRn9GoesD4OX9m5U/edit?usp=sharing"",""หนองบัวลำภู!J647"")"),137)</f>
        <v>137</v>
      </c>
      <c r="AC48" s="63">
        <f ca="1">IFERROR(__xludf.DUMMYFUNCTION("IMPORTRANGE(""https://docs.google.com/spreadsheets/d/16UeMz0UgOB5BZcoxP75eYGcLFtGYRn9GoesD4OX9m5U/edit?usp=sharing"",""หนองบัวลำภู!J648"")"),101.65)</f>
        <v>101.65</v>
      </c>
      <c r="AD48" s="63">
        <f t="shared" ca="1" si="27"/>
        <v>105.38461538461539</v>
      </c>
      <c r="AE48" s="140">
        <f ca="1">IFERROR(__xludf.DUMMYFUNCTION("IMPORTRANGE(""https://docs.google.com/spreadsheets/d/16UeMz0UgOB5BZcoxP75eYGcLFtGYRn9GoesD4OX9m5U/edit?usp=sharing"",""หนองบัวลำภู!I649"")"),130)</f>
        <v>130</v>
      </c>
      <c r="AF48" s="57">
        <f ca="1">IFERROR(__xludf.DUMMYFUNCTION("IMPORTRANGE(""https://docs.google.com/spreadsheets/d/16UeMz0UgOB5BZcoxP75eYGcLFtGYRn9GoesD4OX9m5U/edit?usp=sharing"",""หนองบัวลำภู!J649"")"),54)</f>
        <v>54</v>
      </c>
      <c r="AG48" s="63">
        <f ca="1">IFERROR(__xludf.DUMMYFUNCTION("IMPORTRANGE(""https://docs.google.com/spreadsheets/d/16UeMz0UgOB5BZcoxP75eYGcLFtGYRn9GoesD4OX9m5U/edit?usp=sharing"",""หนองบัวลำภู!J650"")"),31.17)</f>
        <v>31.17</v>
      </c>
      <c r="AH48" s="63">
        <f t="shared" ca="1" si="28"/>
        <v>41.53846153846154</v>
      </c>
      <c r="AI48" s="140">
        <f ca="1">IFERROR(__xludf.DUMMYFUNCTION("IMPORTRANGE(""https://docs.google.com/spreadsheets/d/16UeMz0UgOB5BZcoxP75eYGcLFtGYRn9GoesD4OX9m5U/edit?usp=sharing"",""หนองบัวลำภู!I651"")"),130)</f>
        <v>130</v>
      </c>
      <c r="AJ48" s="57">
        <f ca="1">IFERROR(__xludf.DUMMYFUNCTION("IMPORTRANGE(""https://docs.google.com/spreadsheets/d/16UeMz0UgOB5BZcoxP75eYGcLFtGYRn9GoesD4OX9m5U/edit?usp=sharing"",""หนองบัวลำภู!J651"")"),52)</f>
        <v>52</v>
      </c>
      <c r="AK48" s="63">
        <f ca="1">IFERROR(__xludf.DUMMYFUNCTION("IMPORTRANGE(""https://docs.google.com/spreadsheets/d/16UeMz0UgOB5BZcoxP75eYGcLFtGYRn9GoesD4OX9m5U/edit?usp=sharing"",""หนองบัวลำภู!J652"")"),29.345)</f>
        <v>29.344999999999999</v>
      </c>
      <c r="AL48" s="63">
        <f t="shared" ca="1" si="29"/>
        <v>40</v>
      </c>
    </row>
    <row r="49" spans="1:38" ht="21" customHeight="1" x14ac:dyDescent="0.3">
      <c r="A49" s="54">
        <v>18</v>
      </c>
      <c r="B49" s="55" t="s">
        <v>70</v>
      </c>
      <c r="C49" s="56">
        <f t="shared" ca="1" si="49"/>
        <v>349485</v>
      </c>
      <c r="D49" s="57">
        <f ca="1">IFERROR(__xludf.DUMMYFUNCTION("IMPORTRANGE(""https://docs.google.com/spreadsheets/d/1uUP8Zo1-qaJLuIkRU0qlwLSE3DHkbdrrj2JGJiWBQZE/edit?usp=sharing"",""อำนาจเจริญ!L634"")"),349485)</f>
        <v>349485</v>
      </c>
      <c r="E49" s="64">
        <f ca="1">IFERROR(__xludf.DUMMYFUNCTION("IMPORTRANGE(""https://docs.google.com/spreadsheets/d/1uUP8Zo1-qaJLuIkRU0qlwLSE3DHkbdrrj2JGJiWBQZE/edit?usp=sharing"",""อำนาจเจริญ!L641"")"),0)</f>
        <v>0</v>
      </c>
      <c r="F49" s="64">
        <f ca="1">IFERROR(__xludf.DUMMYFUNCTION("IMPORTRANGE(""https://docs.google.com/spreadsheets/d/1uUP8Zo1-qaJLuIkRU0qlwLSE3DHkbdrrj2JGJiWBQZE/edit?usp=sharing"",""อำนาจเจริญ!M634"")"),349485)</f>
        <v>349485</v>
      </c>
      <c r="G49" s="64">
        <f ca="1">IFERROR(__xludf.DUMMYFUNCTION("IMPORTRANGE(""https://docs.google.com/spreadsheets/d/1uUP8Zo1-qaJLuIkRU0qlwLSE3DHkbdrrj2JGJiWBQZE/edit?usp=sharing"",""อำนาจเจริญ!M641"")"),0)</f>
        <v>0</v>
      </c>
      <c r="H49" s="58">
        <f t="shared" ca="1" si="24"/>
        <v>80000</v>
      </c>
      <c r="I49" s="59">
        <f t="shared" ca="1" si="1"/>
        <v>22.89082507117616</v>
      </c>
      <c r="J49" s="60">
        <f t="shared" ca="1" si="50"/>
        <v>80000</v>
      </c>
      <c r="K49" s="61">
        <f t="shared" ca="1" si="31"/>
        <v>22.89082507117616</v>
      </c>
      <c r="L49" s="61">
        <f t="shared" ca="1" si="32"/>
        <v>22.89082507117616</v>
      </c>
      <c r="M49" s="64">
        <f ca="1">IFERROR(__xludf.DUMMYFUNCTION("IMPORTRANGE(""https://docs.google.com/spreadsheets/d/1uUP8Zo1-qaJLuIkRU0qlwLSE3DHkbdrrj2JGJiWBQZE/edit?usp=sharing"",""อำนาจเจริญ!N635"")"),0)</f>
        <v>0</v>
      </c>
      <c r="N49" s="64">
        <f ca="1">IFERROR(__xludf.DUMMYFUNCTION("IMPORTRANGE(""https://docs.google.com/spreadsheets/d/1uUP8Zo1-qaJLuIkRU0qlwLSE3DHkbdrrj2JGJiWBQZE/edit?usp=sharing"",""อำนาจเจริญ!N636"")"),0)</f>
        <v>0</v>
      </c>
      <c r="O49" s="64">
        <f ca="1">IFERROR(__xludf.DUMMYFUNCTION("IMPORTRANGE(""https://docs.google.com/spreadsheets/d/1uUP8Zo1-qaJLuIkRU0qlwLSE3DHkbdrrj2JGJiWBQZE/edit?usp=sharing"",""อำนาจเจริญ!N637"")"),65000)</f>
        <v>65000</v>
      </c>
      <c r="P49" s="64">
        <f ca="1">IFERROR(__xludf.DUMMYFUNCTION("IMPORTRANGE(""https://docs.google.com/spreadsheets/d/1uUP8Zo1-qaJLuIkRU0qlwLSE3DHkbdrrj2JGJiWBQZE/edit?usp=sharing"",""อำนาจเจริญ!N638"")"),15000)</f>
        <v>15000</v>
      </c>
      <c r="Q49" s="62">
        <f ca="1">IFERROR(__xludf.DUMMYFUNCTION("IMPORTRANGE(""https://docs.google.com/spreadsheets/d/1uUP8Zo1-qaJLuIkRU0qlwLSE3DHkbdrrj2JGJiWBQZE/edit?usp=sharing"",""อำนาจเจริญ!N641"")"),0)</f>
        <v>0</v>
      </c>
      <c r="R49" s="62">
        <f t="shared" ca="1" si="34"/>
        <v>0</v>
      </c>
      <c r="S49" s="57">
        <f ca="1">IFERROR(__xludf.DUMMYFUNCTION("IMPORTRANGE(""https://docs.google.com/spreadsheets/d/1uUP8Zo1-qaJLuIkRU0qlwLSE3DHkbdrrj2JGJiWBQZE/edit?usp=sharing"",""อำนาจเจริญ!I643"")"),0)</f>
        <v>0</v>
      </c>
      <c r="T49" s="57">
        <f ca="1">IFERROR(__xludf.DUMMYFUNCTION("IMPORTRANGE(""https://docs.google.com/spreadsheets/d/1uUP8Zo1-qaJLuIkRU0qlwLSE3DHkbdrrj2JGJiWBQZE/edit?usp=sharing"",""อำนาจเจริญ!J643"")"),0)</f>
        <v>0</v>
      </c>
      <c r="U49" s="63">
        <f t="shared" ca="1" si="25"/>
        <v>0</v>
      </c>
      <c r="V49" s="57">
        <f ca="1">IFERROR(__xludf.DUMMYFUNCTION("IMPORTRANGE(""https://docs.google.com/spreadsheets/d/1uUP8Zo1-qaJLuIkRU0qlwLSE3DHkbdrrj2JGJiWBQZE/edit?usp=sharing"",""อำนาจเจริญ!I644"")"),0)</f>
        <v>0</v>
      </c>
      <c r="W49" s="57">
        <f ca="1">IFERROR(__xludf.DUMMYFUNCTION("IMPORTRANGE(""https://docs.google.com/spreadsheets/d/1uUP8Zo1-qaJLuIkRU0qlwLSE3DHkbdrrj2JGJiWBQZE/edit?usp=sharing"",""อำนาจเจริญ!J644"")"),0)</f>
        <v>0</v>
      </c>
      <c r="X49" s="63">
        <f t="shared" ca="1" si="26"/>
        <v>0</v>
      </c>
      <c r="Y49" s="57">
        <f ca="1">IFERROR(__xludf.DUMMYFUNCTION("IMPORTRANGE(""https://docs.google.com/spreadsheets/d/1uUP8Zo1-qaJLuIkRU0qlwLSE3DHkbdrrj2JGJiWBQZE/edit?usp=sharing"",""อำนาจเจริญ!J645"")"),32)</f>
        <v>32</v>
      </c>
      <c r="Z49" s="63">
        <f ca="1">IFERROR(__xludf.DUMMYFUNCTION("IMPORTRANGE(""https://docs.google.com/spreadsheets/d/1uUP8Zo1-qaJLuIkRU0qlwLSE3DHkbdrrj2JGJiWBQZE/edit?usp=sharing"",""อำนาจเจริญ!J646"")"),8.82)</f>
        <v>8.82</v>
      </c>
      <c r="AA49" s="57">
        <f ca="1">IFERROR(__xludf.DUMMYFUNCTION("IMPORTRANGE(""https://docs.google.com/spreadsheets/d/1uUP8Zo1-qaJLuIkRU0qlwLSE3DHkbdrrj2JGJiWBQZE/edit?usp=sharing"",""อำนาจเจริญ!I647"")"),90)</f>
        <v>90</v>
      </c>
      <c r="AB49" s="57">
        <f ca="1">IFERROR(__xludf.DUMMYFUNCTION("IMPORTRANGE(""https://docs.google.com/spreadsheets/d/1uUP8Zo1-qaJLuIkRU0qlwLSE3DHkbdrrj2JGJiWBQZE/edit?usp=sharing"",""อำนาจเจริญ!J647"")"),4)</f>
        <v>4</v>
      </c>
      <c r="AC49" s="63">
        <f ca="1">IFERROR(__xludf.DUMMYFUNCTION("IMPORTRANGE(""https://docs.google.com/spreadsheets/d/1uUP8Zo1-qaJLuIkRU0qlwLSE3DHkbdrrj2JGJiWBQZE/edit?usp=sharing"",""อำนาจเจริญ!J648"")"),1.45)</f>
        <v>1.45</v>
      </c>
      <c r="AD49" s="63">
        <f t="shared" ca="1" si="27"/>
        <v>4.4444444444444446</v>
      </c>
      <c r="AE49" s="140">
        <f ca="1">IFERROR(__xludf.DUMMYFUNCTION("IMPORTRANGE(""https://docs.google.com/spreadsheets/d/1uUP8Zo1-qaJLuIkRU0qlwLSE3DHkbdrrj2JGJiWBQZE/edit?usp=sharing"",""อำนาจเจริญ!I649"")"),90)</f>
        <v>90</v>
      </c>
      <c r="AF49" s="57">
        <f ca="1">IFERROR(__xludf.DUMMYFUNCTION("IMPORTRANGE(""https://docs.google.com/spreadsheets/d/1uUP8Zo1-qaJLuIkRU0qlwLSE3DHkbdrrj2JGJiWBQZE/edit?usp=sharing"",""อำนาจเจริญ!J649"")"),4)</f>
        <v>4</v>
      </c>
      <c r="AG49" s="63">
        <f ca="1">IFERROR(__xludf.DUMMYFUNCTION("IMPORTRANGE(""https://docs.google.com/spreadsheets/d/1uUP8Zo1-qaJLuIkRU0qlwLSE3DHkbdrrj2JGJiWBQZE/edit?usp=sharing"",""อำนาจเจริญ!J650"")"),1.45)</f>
        <v>1.45</v>
      </c>
      <c r="AH49" s="63">
        <f t="shared" ca="1" si="28"/>
        <v>4.4444444444444446</v>
      </c>
      <c r="AI49" s="140">
        <f ca="1">IFERROR(__xludf.DUMMYFUNCTION("IMPORTRANGE(""https://docs.google.com/spreadsheets/d/1uUP8Zo1-qaJLuIkRU0qlwLSE3DHkbdrrj2JGJiWBQZE/edit?usp=sharing"",""อำนาจเจริญ!I651"")"),90)</f>
        <v>90</v>
      </c>
      <c r="AJ49" s="57">
        <f ca="1">IFERROR(__xludf.DUMMYFUNCTION("IMPORTRANGE(""https://docs.google.com/spreadsheets/d/1uUP8Zo1-qaJLuIkRU0qlwLSE3DHkbdrrj2JGJiWBQZE/edit?usp=sharing"",""อำนาจเจริญ!J651"")"),4)</f>
        <v>4</v>
      </c>
      <c r="AK49" s="63">
        <f ca="1">IFERROR(__xludf.DUMMYFUNCTION("IMPORTRANGE(""https://docs.google.com/spreadsheets/d/1uUP8Zo1-qaJLuIkRU0qlwLSE3DHkbdrrj2JGJiWBQZE/edit?usp=sharing"",""อำนาจเจริญ!J652"")"),1.4475)</f>
        <v>1.4475</v>
      </c>
      <c r="AL49" s="63">
        <f t="shared" ca="1" si="29"/>
        <v>4.4444444444444446</v>
      </c>
    </row>
    <row r="50" spans="1:38" ht="21" customHeight="1" x14ac:dyDescent="0.3">
      <c r="A50" s="54">
        <v>19</v>
      </c>
      <c r="B50" s="55" t="s">
        <v>71</v>
      </c>
      <c r="C50" s="56">
        <f t="shared" ca="1" si="49"/>
        <v>1025710</v>
      </c>
      <c r="D50" s="57">
        <f ca="1">IFERROR(__xludf.DUMMYFUNCTION("IMPORTRANGE(""https://docs.google.com/spreadsheets/d/1hb_taSOHanzRjqfzWPiFo8yiT83VV1L7vvUCLhOiHKc/edit?usp=sharing"",""อุดรธานี!L634"")"),1025710)</f>
        <v>1025710</v>
      </c>
      <c r="E50" s="64">
        <f ca="1">IFERROR(__xludf.DUMMYFUNCTION("IMPORTRANGE(""https://docs.google.com/spreadsheets/d/1hb_taSOHanzRjqfzWPiFo8yiT83VV1L7vvUCLhOiHKc/edit?usp=sharing"",""อุดรธานี!L641"")"),0)</f>
        <v>0</v>
      </c>
      <c r="F50" s="64">
        <f ca="1">IFERROR(__xludf.DUMMYFUNCTION("IMPORTRANGE(""https://docs.google.com/spreadsheets/d/1hb_taSOHanzRjqfzWPiFo8yiT83VV1L7vvUCLhOiHKc/edit?usp=sharing"",""อุดรธานี!M634"")"),1025710)</f>
        <v>1025710</v>
      </c>
      <c r="G50" s="64">
        <f ca="1">IFERROR(__xludf.DUMMYFUNCTION("IMPORTRANGE(""https://docs.google.com/spreadsheets/d/1hb_taSOHanzRjqfzWPiFo8yiT83VV1L7vvUCLhOiHKc/edit?usp=sharing"",""อุดรธานี!M641"")"),0)</f>
        <v>0</v>
      </c>
      <c r="H50" s="58">
        <f t="shared" ca="1" si="24"/>
        <v>691620.76</v>
      </c>
      <c r="I50" s="59">
        <f t="shared" ca="1" si="1"/>
        <v>67.428489534078835</v>
      </c>
      <c r="J50" s="60">
        <f t="shared" ca="1" si="50"/>
        <v>691620.76</v>
      </c>
      <c r="K50" s="61">
        <f t="shared" ca="1" si="31"/>
        <v>67.428489534078835</v>
      </c>
      <c r="L50" s="61">
        <f t="shared" ca="1" si="32"/>
        <v>67.428489534078835</v>
      </c>
      <c r="M50" s="64">
        <f ca="1">IFERROR(__xludf.DUMMYFUNCTION("IMPORTRANGE(""https://docs.google.com/spreadsheets/d/1hb_taSOHanzRjqfzWPiFo8yiT83VV1L7vvUCLhOiHKc/edit?usp=sharing"",""อุดรธานี!N635"")"),0)</f>
        <v>0</v>
      </c>
      <c r="N50" s="64">
        <f ca="1">IFERROR(__xludf.DUMMYFUNCTION("IMPORTRANGE(""https://docs.google.com/spreadsheets/d/1hb_taSOHanzRjqfzWPiFo8yiT83VV1L7vvUCLhOiHKc/edit?usp=sharing"",""อุดรธานี!N636"")"),0)</f>
        <v>0</v>
      </c>
      <c r="O50" s="64">
        <f ca="1">IFERROR(__xludf.DUMMYFUNCTION("IMPORTRANGE(""https://docs.google.com/spreadsheets/d/1hb_taSOHanzRjqfzWPiFo8yiT83VV1L7vvUCLhOiHKc/edit?usp=sharing"",""อุดรธานี!N637"")"),154700)</f>
        <v>154700</v>
      </c>
      <c r="P50" s="64">
        <f ca="1">IFERROR(__xludf.DUMMYFUNCTION("IMPORTRANGE(""https://docs.google.com/spreadsheets/d/1hb_taSOHanzRjqfzWPiFo8yiT83VV1L7vvUCLhOiHKc/edit?usp=sharing"",""อุดรธานี!N638"")"),536920.76)</f>
        <v>536920.76</v>
      </c>
      <c r="Q50" s="62">
        <f ca="1">IFERROR(__xludf.DUMMYFUNCTION("IMPORTRANGE(""https://docs.google.com/spreadsheets/d/1hb_taSOHanzRjqfzWPiFo8yiT83VV1L7vvUCLhOiHKc/edit?usp=sharing"",""อุดรธานี!N641"")"),0)</f>
        <v>0</v>
      </c>
      <c r="R50" s="62">
        <f t="shared" ca="1" si="34"/>
        <v>0</v>
      </c>
      <c r="S50" s="57">
        <f ca="1">IFERROR(__xludf.DUMMYFUNCTION("IMPORTRANGE(""https://docs.google.com/spreadsheets/d/1hb_taSOHanzRjqfzWPiFo8yiT83VV1L7vvUCLhOiHKc/edit?usp=sharing"",""อุดรธานี!I643"")"),4)</f>
        <v>4</v>
      </c>
      <c r="T50" s="57">
        <f ca="1">IFERROR(__xludf.DUMMYFUNCTION("IMPORTRANGE(""https://docs.google.com/spreadsheets/d/1hb_taSOHanzRjqfzWPiFo8yiT83VV1L7vvUCLhOiHKc/edit?usp=sharing"",""อุดรธานี!J643"")"),4)</f>
        <v>4</v>
      </c>
      <c r="U50" s="63">
        <f t="shared" ca="1" si="25"/>
        <v>100</v>
      </c>
      <c r="V50" s="57">
        <f ca="1">IFERROR(__xludf.DUMMYFUNCTION("IMPORTRANGE(""https://docs.google.com/spreadsheets/d/1hb_taSOHanzRjqfzWPiFo8yiT83VV1L7vvUCLhOiHKc/edit?usp=sharing"",""อุดรธานี!I644"")"),4)</f>
        <v>4</v>
      </c>
      <c r="W50" s="57">
        <f ca="1">IFERROR(__xludf.DUMMYFUNCTION("IMPORTRANGE(""https://docs.google.com/spreadsheets/d/1hb_taSOHanzRjqfzWPiFo8yiT83VV1L7vvUCLhOiHKc/edit?usp=sharing"",""อุดรธานี!J644"")"),4)</f>
        <v>4</v>
      </c>
      <c r="X50" s="63">
        <f t="shared" ca="1" si="26"/>
        <v>100</v>
      </c>
      <c r="Y50" s="57">
        <f ca="1">IFERROR(__xludf.DUMMYFUNCTION("IMPORTRANGE(""https://docs.google.com/spreadsheets/d/1hb_taSOHanzRjqfzWPiFo8yiT83VV1L7vvUCLhOiHKc/edit?usp=sharing"",""อุดรธานี!J645"")"),206)</f>
        <v>206</v>
      </c>
      <c r="Z50" s="63">
        <f ca="1">IFERROR(__xludf.DUMMYFUNCTION("IMPORTRANGE(""https://docs.google.com/spreadsheets/d/1hb_taSOHanzRjqfzWPiFo8yiT83VV1L7vvUCLhOiHKc/edit?usp=sharing"",""อุดรธานี!J646"")"),102.08)</f>
        <v>102.08</v>
      </c>
      <c r="AA50" s="57">
        <f ca="1">IFERROR(__xludf.DUMMYFUNCTION("IMPORTRANGE(""https://docs.google.com/spreadsheets/d/1hb_taSOHanzRjqfzWPiFo8yiT83VV1L7vvUCLhOiHKc/edit?usp=sharing"",""อุดรธานี!I647"")"),812)</f>
        <v>812</v>
      </c>
      <c r="AB50" s="57">
        <f ca="1">IFERROR(__xludf.DUMMYFUNCTION("IMPORTRANGE(""https://docs.google.com/spreadsheets/d/1hb_taSOHanzRjqfzWPiFo8yiT83VV1L7vvUCLhOiHKc/edit?usp=sharing"",""อุดรธานี!J647"")"),407)</f>
        <v>407</v>
      </c>
      <c r="AC50" s="63">
        <f ca="1">IFERROR(__xludf.DUMMYFUNCTION("IMPORTRANGE(""https://docs.google.com/spreadsheets/d/1hb_taSOHanzRjqfzWPiFo8yiT83VV1L7vvUCLhOiHKc/edit?usp=sharing"",""อุดรธานี!J648"")"),212.69)</f>
        <v>212.69</v>
      </c>
      <c r="AD50" s="63">
        <f t="shared" ca="1" si="27"/>
        <v>50.123152709359609</v>
      </c>
      <c r="AE50" s="140">
        <f ca="1">IFERROR(__xludf.DUMMYFUNCTION("IMPORTRANGE(""https://docs.google.com/spreadsheets/d/1hb_taSOHanzRjqfzWPiFo8yiT83VV1L7vvUCLhOiHKc/edit?usp=sharing"",""อุดรธานี!I649"")"),812)</f>
        <v>812</v>
      </c>
      <c r="AF50" s="57">
        <f ca="1">IFERROR(__xludf.DUMMYFUNCTION("IMPORTRANGE(""https://docs.google.com/spreadsheets/d/1hb_taSOHanzRjqfzWPiFo8yiT83VV1L7vvUCLhOiHKc/edit?usp=sharing"",""อุดรธานี!J649"")"),589)</f>
        <v>589</v>
      </c>
      <c r="AG50" s="63">
        <f ca="1">IFERROR(__xludf.DUMMYFUNCTION("IMPORTRANGE(""https://docs.google.com/spreadsheets/d/1hb_taSOHanzRjqfzWPiFo8yiT83VV1L7vvUCLhOiHKc/edit?usp=sharing"",""อุดรธานี!J650"")"),310.3)</f>
        <v>310.3</v>
      </c>
      <c r="AH50" s="63">
        <f t="shared" ca="1" si="28"/>
        <v>72.536945812807886</v>
      </c>
      <c r="AI50" s="140">
        <f ca="1">IFERROR(__xludf.DUMMYFUNCTION("IMPORTRANGE(""https://docs.google.com/spreadsheets/d/1hb_taSOHanzRjqfzWPiFo8yiT83VV1L7vvUCLhOiHKc/edit?usp=sharing"",""อุดรธานี!I651"")"),812)</f>
        <v>812</v>
      </c>
      <c r="AJ50" s="57">
        <f ca="1">IFERROR(__xludf.DUMMYFUNCTION("IMPORTRANGE(""https://docs.google.com/spreadsheets/d/1hb_taSOHanzRjqfzWPiFo8yiT83VV1L7vvUCLhOiHKc/edit?usp=sharing"",""อุดรธานี!J651"")"),589)</f>
        <v>589</v>
      </c>
      <c r="AK50" s="63">
        <f ca="1">IFERROR(__xludf.DUMMYFUNCTION("IMPORTRANGE(""https://docs.google.com/spreadsheets/d/1hb_taSOHanzRjqfzWPiFo8yiT83VV1L7vvUCLhOiHKc/edit?usp=sharing"",""อุดรธานี!J652"")"),310.2975)</f>
        <v>310.29750000000001</v>
      </c>
      <c r="AL50" s="63">
        <f t="shared" ca="1" si="29"/>
        <v>72.536945812807886</v>
      </c>
    </row>
    <row r="51" spans="1:38" ht="21" customHeight="1" x14ac:dyDescent="0.3">
      <c r="A51" s="65">
        <v>20</v>
      </c>
      <c r="B51" s="66" t="s">
        <v>72</v>
      </c>
      <c r="C51" s="67">
        <f t="shared" ca="1" si="49"/>
        <v>507280</v>
      </c>
      <c r="D51" s="68">
        <f ca="1">IFERROR(__xludf.DUMMYFUNCTION("IMPORTRANGE(""https://docs.google.com/spreadsheets/d/17IOkEwkUd63EGNfyNDnM5de9YlZ7rwzTiW6-dokVjKI/edit?usp=sharing"",""อุบลราชธานี!L634"")"),507280)</f>
        <v>507280</v>
      </c>
      <c r="E51" s="69">
        <f ca="1">IFERROR(__xludf.DUMMYFUNCTION("IMPORTRANGE(""https://docs.google.com/spreadsheets/d/17IOkEwkUd63EGNfyNDnM5de9YlZ7rwzTiW6-dokVjKI/edit?usp=sharing"",""อุบลราชธานี!L641"")"),0)</f>
        <v>0</v>
      </c>
      <c r="F51" s="69">
        <f ca="1">IFERROR(__xludf.DUMMYFUNCTION("IMPORTRANGE(""https://docs.google.com/spreadsheets/d/17IOkEwkUd63EGNfyNDnM5de9YlZ7rwzTiW6-dokVjKI/edit?usp=sharing"",""อุบลราชธานี!M634"")"),507280)</f>
        <v>507280</v>
      </c>
      <c r="G51" s="69">
        <f ca="1">IFERROR(__xludf.DUMMYFUNCTION("IMPORTRANGE(""https://docs.google.com/spreadsheets/d/17IOkEwkUd63EGNfyNDnM5de9YlZ7rwzTiW6-dokVjKI/edit?usp=sharing"",""อุบลราชธานี!M641"")"),0)</f>
        <v>0</v>
      </c>
      <c r="H51" s="70">
        <f t="shared" ca="1" si="24"/>
        <v>278616</v>
      </c>
      <c r="I51" s="71">
        <f t="shared" ca="1" si="1"/>
        <v>54.923513641381483</v>
      </c>
      <c r="J51" s="72">
        <f t="shared" ca="1" si="50"/>
        <v>278616</v>
      </c>
      <c r="K51" s="73">
        <f t="shared" ca="1" si="31"/>
        <v>54.923513641381483</v>
      </c>
      <c r="L51" s="73">
        <f t="shared" ca="1" si="32"/>
        <v>54.923513641381483</v>
      </c>
      <c r="M51" s="69">
        <f ca="1">IFERROR(__xludf.DUMMYFUNCTION("IMPORTRANGE(""https://docs.google.com/spreadsheets/d/17IOkEwkUd63EGNfyNDnM5de9YlZ7rwzTiW6-dokVjKI/edit?usp=sharing"",""อุบลราชธานี!N635"")"),0)</f>
        <v>0</v>
      </c>
      <c r="N51" s="69">
        <f ca="1">IFERROR(__xludf.DUMMYFUNCTION("IMPORTRANGE(""https://docs.google.com/spreadsheets/d/17IOkEwkUd63EGNfyNDnM5de9YlZ7rwzTiW6-dokVjKI/edit?usp=sharing"",""อุบลราชธานี!N636"")"),0)</f>
        <v>0</v>
      </c>
      <c r="O51" s="69">
        <f ca="1">IFERROR(__xludf.DUMMYFUNCTION("IMPORTRANGE(""https://docs.google.com/spreadsheets/d/17IOkEwkUd63EGNfyNDnM5de9YlZ7rwzTiW6-dokVjKI/edit?usp=sharing"",""อุบลราชธานี!N637"")"),76700)</f>
        <v>76700</v>
      </c>
      <c r="P51" s="69">
        <f ca="1">IFERROR(__xludf.DUMMYFUNCTION("IMPORTRANGE(""https://docs.google.com/spreadsheets/d/17IOkEwkUd63EGNfyNDnM5de9YlZ7rwzTiW6-dokVjKI/edit?usp=sharing"",""อุบลราชธานี!N638"")"),201916)</f>
        <v>201916</v>
      </c>
      <c r="Q51" s="74">
        <f ca="1">IFERROR(__xludf.DUMMYFUNCTION("IMPORTRANGE(""https://docs.google.com/spreadsheets/d/17IOkEwkUd63EGNfyNDnM5de9YlZ7rwzTiW6-dokVjKI/edit?usp=sharing"",""อุบลราชธานี!N641"")"),0)</f>
        <v>0</v>
      </c>
      <c r="R51" s="74">
        <f t="shared" ca="1" si="34"/>
        <v>0</v>
      </c>
      <c r="S51" s="68">
        <f ca="1">IFERROR(__xludf.DUMMYFUNCTION("IMPORTRANGE(""https://docs.google.com/spreadsheets/d/17IOkEwkUd63EGNfyNDnM5de9YlZ7rwzTiW6-dokVjKI/edit?usp=sharing"",""อุบลราชธานี!I643"")"),0)</f>
        <v>0</v>
      </c>
      <c r="T51" s="68">
        <f ca="1">IFERROR(__xludf.DUMMYFUNCTION("IMPORTRANGE(""https://docs.google.com/spreadsheets/d/17IOkEwkUd63EGNfyNDnM5de9YlZ7rwzTiW6-dokVjKI/edit?usp=sharing"",""อุบลราชธานี!J643"")"),0)</f>
        <v>0</v>
      </c>
      <c r="U51" s="75">
        <f t="shared" ca="1" si="25"/>
        <v>0</v>
      </c>
      <c r="V51" s="68">
        <f ca="1">IFERROR(__xludf.DUMMYFUNCTION("IMPORTRANGE(""https://docs.google.com/spreadsheets/d/17IOkEwkUd63EGNfyNDnM5de9YlZ7rwzTiW6-dokVjKI/edit?usp=sharing"",""อุบลราชธานี!I644"")"),0)</f>
        <v>0</v>
      </c>
      <c r="W51" s="68">
        <f ca="1">IFERROR(__xludf.DUMMYFUNCTION("IMPORTRANGE(""https://docs.google.com/spreadsheets/d/17IOkEwkUd63EGNfyNDnM5de9YlZ7rwzTiW6-dokVjKI/edit?usp=sharing"",""อุบลราชธานี!J644"")"),0)</f>
        <v>0</v>
      </c>
      <c r="X51" s="75">
        <f t="shared" ca="1" si="26"/>
        <v>0</v>
      </c>
      <c r="Y51" s="68">
        <f ca="1">IFERROR(__xludf.DUMMYFUNCTION("IMPORTRANGE(""https://docs.google.com/spreadsheets/d/17IOkEwkUd63EGNfyNDnM5de9YlZ7rwzTiW6-dokVjKI/edit?usp=sharing"",""อุบลราชธานี!J645"")"),241)</f>
        <v>241</v>
      </c>
      <c r="Z51" s="75">
        <f ca="1">IFERROR(__xludf.DUMMYFUNCTION("IMPORTRANGE(""https://docs.google.com/spreadsheets/d/17IOkEwkUd63EGNfyNDnM5de9YlZ7rwzTiW6-dokVjKI/edit?usp=sharing"",""อุบลราชธานี!J646"")"),104.18)</f>
        <v>104.18</v>
      </c>
      <c r="AA51" s="68">
        <f ca="1">IFERROR(__xludf.DUMMYFUNCTION("IMPORTRANGE(""https://docs.google.com/spreadsheets/d/17IOkEwkUd63EGNfyNDnM5de9YlZ7rwzTiW6-dokVjKI/edit?usp=sharing"",""อุบลราชธานี!I647"")"),250)</f>
        <v>250</v>
      </c>
      <c r="AB51" s="68">
        <f ca="1">IFERROR(__xludf.DUMMYFUNCTION("IMPORTRANGE(""https://docs.google.com/spreadsheets/d/17IOkEwkUd63EGNfyNDnM5de9YlZ7rwzTiW6-dokVjKI/edit?usp=sharing"",""อุบลราชธานี!J647"")"),99)</f>
        <v>99</v>
      </c>
      <c r="AC51" s="75">
        <f ca="1">IFERROR(__xludf.DUMMYFUNCTION("IMPORTRANGE(""https://docs.google.com/spreadsheets/d/17IOkEwkUd63EGNfyNDnM5de9YlZ7rwzTiW6-dokVjKI/edit?usp=sharing"",""อุบลราชธานี!J648"")"),45.42)</f>
        <v>45.42</v>
      </c>
      <c r="AD51" s="75">
        <f t="shared" ca="1" si="27"/>
        <v>39.6</v>
      </c>
      <c r="AE51" s="142">
        <f ca="1">IFERROR(__xludf.DUMMYFUNCTION("IMPORTRANGE(""https://docs.google.com/spreadsheets/d/17IOkEwkUd63EGNfyNDnM5de9YlZ7rwzTiW6-dokVjKI/edit?usp=sharing"",""อุบลราชธานี!I649"")"),250)</f>
        <v>250</v>
      </c>
      <c r="AF51" s="68">
        <f ca="1">IFERROR(__xludf.DUMMYFUNCTION("IMPORTRANGE(""https://docs.google.com/spreadsheets/d/17IOkEwkUd63EGNfyNDnM5de9YlZ7rwzTiW6-dokVjKI/edit?usp=sharing"",""อุบลราชธานี!J649"")"),77)</f>
        <v>77</v>
      </c>
      <c r="AG51" s="75">
        <f ca="1">IFERROR(__xludf.DUMMYFUNCTION("IMPORTRANGE(""https://docs.google.com/spreadsheets/d/17IOkEwkUd63EGNfyNDnM5de9YlZ7rwzTiW6-dokVjKI/edit?usp=sharing"",""อุบลราชธานี!J650"")"),34.05)</f>
        <v>34.049999999999997</v>
      </c>
      <c r="AH51" s="75">
        <f t="shared" ca="1" si="28"/>
        <v>30.8</v>
      </c>
      <c r="AI51" s="142">
        <f ca="1">IFERROR(__xludf.DUMMYFUNCTION("IMPORTRANGE(""https://docs.google.com/spreadsheets/d/17IOkEwkUd63EGNfyNDnM5de9YlZ7rwzTiW6-dokVjKI/edit?usp=sharing"",""อุบลราชธานี!I651"")"),250)</f>
        <v>250</v>
      </c>
      <c r="AJ51" s="68">
        <f ca="1">IFERROR(__xludf.DUMMYFUNCTION("IMPORTRANGE(""https://docs.google.com/spreadsheets/d/17IOkEwkUd63EGNfyNDnM5de9YlZ7rwzTiW6-dokVjKI/edit?usp=sharing"",""อุบลราชธานี!J651"")"),50)</f>
        <v>50</v>
      </c>
      <c r="AK51" s="75">
        <f ca="1">IFERROR(__xludf.DUMMYFUNCTION("IMPORTRANGE(""https://docs.google.com/spreadsheets/d/17IOkEwkUd63EGNfyNDnM5de9YlZ7rwzTiW6-dokVjKI/edit?usp=sharing"",""อุบลราชธานี!J652"")"),22.535)</f>
        <v>22.535</v>
      </c>
      <c r="AL51" s="75">
        <f t="shared" ca="1" si="29"/>
        <v>20</v>
      </c>
    </row>
    <row r="52" spans="1:38" ht="21" customHeight="1" x14ac:dyDescent="0.3">
      <c r="A52" s="186" t="s">
        <v>73</v>
      </c>
      <c r="B52" s="178"/>
      <c r="C52" s="76">
        <f t="shared" ref="C52:G52" ca="1" si="51">SUM(C53:C73)</f>
        <v>3807230</v>
      </c>
      <c r="D52" s="34">
        <f t="shared" ca="1" si="51"/>
        <v>3807230</v>
      </c>
      <c r="E52" s="34">
        <f t="shared" ca="1" si="51"/>
        <v>0</v>
      </c>
      <c r="F52" s="34">
        <f t="shared" ca="1" si="51"/>
        <v>3807230</v>
      </c>
      <c r="G52" s="34">
        <f t="shared" ca="1" si="51"/>
        <v>0</v>
      </c>
      <c r="H52" s="34">
        <f t="shared" ca="1" si="24"/>
        <v>1199855.25</v>
      </c>
      <c r="I52" s="35">
        <f t="shared" ca="1" si="1"/>
        <v>31.515176388082676</v>
      </c>
      <c r="J52" s="34">
        <f ca="1">SUM(J53:J73)</f>
        <v>1199855.25</v>
      </c>
      <c r="K52" s="35">
        <f t="shared" ca="1" si="31"/>
        <v>31.515176388082676</v>
      </c>
      <c r="L52" s="35">
        <f t="shared" ca="1" si="32"/>
        <v>31.515176388082676</v>
      </c>
      <c r="M52" s="34">
        <f t="shared" ref="M52:Q52" ca="1" si="52">SUM(M53:M73)</f>
        <v>26080</v>
      </c>
      <c r="N52" s="34">
        <f t="shared" ca="1" si="52"/>
        <v>36305</v>
      </c>
      <c r="O52" s="34">
        <f t="shared" ca="1" si="52"/>
        <v>581504.05000000005</v>
      </c>
      <c r="P52" s="34">
        <f t="shared" ca="1" si="52"/>
        <v>555966.19999999995</v>
      </c>
      <c r="Q52" s="36">
        <f t="shared" ca="1" si="52"/>
        <v>0</v>
      </c>
      <c r="R52" s="36">
        <f t="shared" ca="1" si="34"/>
        <v>0</v>
      </c>
      <c r="S52" s="34">
        <f t="shared" ref="S52:T52" ca="1" si="53">SUM(S53:S73)</f>
        <v>10</v>
      </c>
      <c r="T52" s="34">
        <f t="shared" ca="1" si="53"/>
        <v>7</v>
      </c>
      <c r="U52" s="37">
        <f t="shared" ca="1" si="25"/>
        <v>70</v>
      </c>
      <c r="V52" s="34">
        <f t="shared" ref="V52:W52" ca="1" si="54">SUM(V53:V73)</f>
        <v>10</v>
      </c>
      <c r="W52" s="34">
        <f t="shared" ca="1" si="54"/>
        <v>1</v>
      </c>
      <c r="X52" s="37">
        <f t="shared" ca="1" si="26"/>
        <v>10</v>
      </c>
      <c r="Y52" s="34">
        <f t="shared" ref="Y52:AC52" ca="1" si="55">SUM(Y53:Y73)</f>
        <v>387</v>
      </c>
      <c r="Z52" s="37">
        <f t="shared" ca="1" si="55"/>
        <v>346.78999999999996</v>
      </c>
      <c r="AA52" s="34">
        <f t="shared" ca="1" si="55"/>
        <v>1465</v>
      </c>
      <c r="AB52" s="34">
        <f t="shared" ca="1" si="55"/>
        <v>229</v>
      </c>
      <c r="AC52" s="37">
        <f t="shared" ca="1" si="55"/>
        <v>204.06</v>
      </c>
      <c r="AD52" s="37">
        <f t="shared" ca="1" si="27"/>
        <v>15.631399317406144</v>
      </c>
      <c r="AE52" s="113">
        <f t="shared" ref="AE52:AG52" ca="1" si="56">SUM(AE53:AE73)</f>
        <v>1465</v>
      </c>
      <c r="AF52" s="34">
        <f t="shared" ca="1" si="56"/>
        <v>103</v>
      </c>
      <c r="AG52" s="37">
        <f t="shared" ca="1" si="56"/>
        <v>73.05</v>
      </c>
      <c r="AH52" s="37">
        <f t="shared" ca="1" si="28"/>
        <v>7.0307167235494878</v>
      </c>
      <c r="AI52" s="113">
        <f t="shared" ref="AI52:AK52" ca="1" si="57">SUM(AI53:AI73)</f>
        <v>1465</v>
      </c>
      <c r="AJ52" s="34">
        <f t="shared" ca="1" si="57"/>
        <v>94</v>
      </c>
      <c r="AK52" s="37">
        <f t="shared" ca="1" si="57"/>
        <v>67.972499999999997</v>
      </c>
      <c r="AL52" s="37">
        <f t="shared" ca="1" si="29"/>
        <v>6.4163822525597274</v>
      </c>
    </row>
    <row r="53" spans="1:38" ht="21" customHeight="1" x14ac:dyDescent="0.3">
      <c r="A53" s="54">
        <v>1</v>
      </c>
      <c r="B53" s="55" t="s">
        <v>74</v>
      </c>
      <c r="C53" s="56">
        <f t="shared" ref="C53:C73" ca="1" si="58">D53+E53</f>
        <v>380400</v>
      </c>
      <c r="D53" s="57">
        <f ca="1">IFERROR(__xludf.DUMMYFUNCTION("IMPORTRANGE(""https://docs.google.com/spreadsheets/d/1hKO5uv94SSRZWOvrh72HRcpyoEQF9TsE_Cvxl77XNU4/edit?usp=sharing"",""กาญจนบุรี!L634"")"),380400)</f>
        <v>380400</v>
      </c>
      <c r="E53" s="57">
        <f ca="1">IFERROR(__xludf.DUMMYFUNCTION("IMPORTRANGE(""https://docs.google.com/spreadsheets/d/1hKO5uv94SSRZWOvrh72HRcpyoEQF9TsE_Cvxl77XNU4/edit?usp=sharing"",""กาญจนบุรี!L641"")"),0)</f>
        <v>0</v>
      </c>
      <c r="F53" s="57">
        <f ca="1">IFERROR(__xludf.DUMMYFUNCTION("IMPORTRANGE(""https://docs.google.com/spreadsheets/d/1hKO5uv94SSRZWOvrh72HRcpyoEQF9TsE_Cvxl77XNU4/edit?usp=sharing"",""กาญจนบุรี!M634"")"),380400)</f>
        <v>380400</v>
      </c>
      <c r="G53" s="57">
        <f ca="1">IFERROR(__xludf.DUMMYFUNCTION("IMPORTRANGE(""https://docs.google.com/spreadsheets/d/1hKO5uv94SSRZWOvrh72HRcpyoEQF9TsE_Cvxl77XNU4/edit?usp=sharing"",""กาญจนบุรี!M641"")"),0)</f>
        <v>0</v>
      </c>
      <c r="H53" s="58">
        <f t="shared" ca="1" si="24"/>
        <v>108209</v>
      </c>
      <c r="I53" s="59">
        <f t="shared" ca="1" si="1"/>
        <v>28.446109358569927</v>
      </c>
      <c r="J53" s="60">
        <f t="shared" ref="J53:J73" ca="1" si="59">M53+N53+O53+P53</f>
        <v>108209</v>
      </c>
      <c r="K53" s="61">
        <f t="shared" ca="1" si="31"/>
        <v>28.446109358569927</v>
      </c>
      <c r="L53" s="61">
        <f t="shared" ca="1" si="32"/>
        <v>28.446109358569927</v>
      </c>
      <c r="M53" s="57">
        <f ca="1">IFERROR(__xludf.DUMMYFUNCTION("IMPORTRANGE(""https://docs.google.com/spreadsheets/d/1hKO5uv94SSRZWOvrh72HRcpyoEQF9TsE_Cvxl77XNU4/edit?usp=sharing"",""กาญจนบุรี!N635"")"),0)</f>
        <v>0</v>
      </c>
      <c r="N53" s="57">
        <f ca="1">IFERROR(__xludf.DUMMYFUNCTION("IMPORTRANGE(""https://docs.google.com/spreadsheets/d/1hKO5uv94SSRZWOvrh72HRcpyoEQF9TsE_Cvxl77XNU4/edit?usp=sharing"",""กาญจนบุรี!N636"")"),0)</f>
        <v>0</v>
      </c>
      <c r="O53" s="57">
        <f ca="1">IFERROR(__xludf.DUMMYFUNCTION("IMPORTRANGE(""https://docs.google.com/spreadsheets/d/1hKO5uv94SSRZWOvrh72HRcpyoEQF9TsE_Cvxl77XNU4/edit?usp=sharing"",""กาญจนบุรี!N637"")"),77134)</f>
        <v>77134</v>
      </c>
      <c r="P53" s="57">
        <f ca="1">IFERROR(__xludf.DUMMYFUNCTION("IMPORTRANGE(""https://docs.google.com/spreadsheets/d/1hKO5uv94SSRZWOvrh72HRcpyoEQF9TsE_Cvxl77XNU4/edit?usp=sharing"",""กาญจนบุรี!N638"")"),31075)</f>
        <v>31075</v>
      </c>
      <c r="Q53" s="62">
        <f ca="1">IFERROR(__xludf.DUMMYFUNCTION("IMPORTRANGE(""https://docs.google.com/spreadsheets/d/1hKO5uv94SSRZWOvrh72HRcpyoEQF9TsE_Cvxl77XNU4/edit?usp=sharing"",""กาญจนบุรี!N641"")"),0)</f>
        <v>0</v>
      </c>
      <c r="R53" s="62">
        <f t="shared" ca="1" si="34"/>
        <v>0</v>
      </c>
      <c r="S53" s="57">
        <f ca="1">IFERROR(__xludf.DUMMYFUNCTION("IMPORTRANGE(""https://docs.google.com/spreadsheets/d/1hKO5uv94SSRZWOvrh72HRcpyoEQF9TsE_Cvxl77XNU4/edit?usp=sharing"",""กาญจนบุรี!I643"")"),2)</f>
        <v>2</v>
      </c>
      <c r="T53" s="57">
        <f ca="1">IFERROR(__xludf.DUMMYFUNCTION("IMPORTRANGE(""https://docs.google.com/spreadsheets/d/1hKO5uv94SSRZWOvrh72HRcpyoEQF9TsE_Cvxl77XNU4/edit?usp=sharing"",""กาญจนบุรี!J643"")"),0)</f>
        <v>0</v>
      </c>
      <c r="U53" s="63">
        <f t="shared" ca="1" si="25"/>
        <v>0</v>
      </c>
      <c r="V53" s="57">
        <f ca="1">IFERROR(__xludf.DUMMYFUNCTION("IMPORTRANGE(""https://docs.google.com/spreadsheets/d/1hKO5uv94SSRZWOvrh72HRcpyoEQF9TsE_Cvxl77XNU4/edit?usp=sharing"",""กาญจนบุรี!I644"")"),2)</f>
        <v>2</v>
      </c>
      <c r="W53" s="57">
        <f ca="1">IFERROR(__xludf.DUMMYFUNCTION("IMPORTRANGE(""https://docs.google.com/spreadsheets/d/1hKO5uv94SSRZWOvrh72HRcpyoEQF9TsE_Cvxl77XNU4/edit?usp=sharing"",""กาญจนบุรี!J644"")"),0)</f>
        <v>0</v>
      </c>
      <c r="X53" s="63">
        <f t="shared" ca="1" si="26"/>
        <v>0</v>
      </c>
      <c r="Y53" s="57">
        <f ca="1">IFERROR(__xludf.DUMMYFUNCTION("IMPORTRANGE(""https://docs.google.com/spreadsheets/d/1hKO5uv94SSRZWOvrh72HRcpyoEQF9TsE_Cvxl77XNU4/edit?usp=sharing"",""กาญจนบุรี!J645"")"),50)</f>
        <v>50</v>
      </c>
      <c r="Z53" s="63">
        <f ca="1">IFERROR(__xludf.DUMMYFUNCTION("IMPORTRANGE(""https://docs.google.com/spreadsheets/d/1hKO5uv94SSRZWOvrh72HRcpyoEQF9TsE_Cvxl77XNU4/edit?usp=sharing"",""กาญจนบุรี!J646"")"),33.2)</f>
        <v>33.200000000000003</v>
      </c>
      <c r="AA53" s="57">
        <f ca="1">IFERROR(__xludf.DUMMYFUNCTION("IMPORTRANGE(""https://docs.google.com/spreadsheets/d/1hKO5uv94SSRZWOvrh72HRcpyoEQF9TsE_Cvxl77XNU4/edit?usp=sharing"",""กาญจนบุรี!I647"")"),70)</f>
        <v>70</v>
      </c>
      <c r="AB53" s="57">
        <f ca="1">IFERROR(__xludf.DUMMYFUNCTION("IMPORTRANGE(""https://docs.google.com/spreadsheets/d/1hKO5uv94SSRZWOvrh72HRcpyoEQF9TsE_Cvxl77XNU4/edit?usp=sharing"",""กาญจนบุรี!J647"")"),0)</f>
        <v>0</v>
      </c>
      <c r="AC53" s="63">
        <f ca="1">IFERROR(__xludf.DUMMYFUNCTION("IMPORTRANGE(""https://docs.google.com/spreadsheets/d/1hKO5uv94SSRZWOvrh72HRcpyoEQF9TsE_Cvxl77XNU4/edit?usp=sharing"",""กาญจนบุรี!J648"")"),0)</f>
        <v>0</v>
      </c>
      <c r="AD53" s="63">
        <f t="shared" ca="1" si="27"/>
        <v>0</v>
      </c>
      <c r="AE53" s="140">
        <f ca="1">IFERROR(__xludf.DUMMYFUNCTION("IMPORTRANGE(""https://docs.google.com/spreadsheets/d/1hKO5uv94SSRZWOvrh72HRcpyoEQF9TsE_Cvxl77XNU4/edit?usp=sharing"",""กาญจนบุรี!I649"")"),70)</f>
        <v>70</v>
      </c>
      <c r="AF53" s="57">
        <f ca="1">IFERROR(__xludf.DUMMYFUNCTION("IMPORTRANGE(""https://docs.google.com/spreadsheets/d/1hKO5uv94SSRZWOvrh72HRcpyoEQF9TsE_Cvxl77XNU4/edit?usp=sharing"",""กาญจนบุรี!J649"")"),0)</f>
        <v>0</v>
      </c>
      <c r="AG53" s="63">
        <f ca="1">IFERROR(__xludf.DUMMYFUNCTION("IMPORTRANGE(""https://docs.google.com/spreadsheets/d/1hKO5uv94SSRZWOvrh72HRcpyoEQF9TsE_Cvxl77XNU4/edit?usp=sharing"",""กาญจนบุรี!J650"")"),0)</f>
        <v>0</v>
      </c>
      <c r="AH53" s="63">
        <f t="shared" ca="1" si="28"/>
        <v>0</v>
      </c>
      <c r="AI53" s="140">
        <f ca="1">IFERROR(__xludf.DUMMYFUNCTION("IMPORTRANGE(""https://docs.google.com/spreadsheets/d/1hKO5uv94SSRZWOvrh72HRcpyoEQF9TsE_Cvxl77XNU4/edit?usp=sharing"",""กาญจนบุรี!I651"")"),70)</f>
        <v>70</v>
      </c>
      <c r="AJ53" s="57">
        <f ca="1">IFERROR(__xludf.DUMMYFUNCTION("IMPORTRANGE(""https://docs.google.com/spreadsheets/d/1hKO5uv94SSRZWOvrh72HRcpyoEQF9TsE_Cvxl77XNU4/edit?usp=sharing"",""กาญจนบุรี!J651"")"),0)</f>
        <v>0</v>
      </c>
      <c r="AK53" s="63">
        <f ca="1">IFERROR(__xludf.DUMMYFUNCTION("IMPORTRANGE(""https://docs.google.com/spreadsheets/d/1hKO5uv94SSRZWOvrh72HRcpyoEQF9TsE_Cvxl77XNU4/edit?usp=sharing"",""กาญจนบุรี!J652"")"),0)</f>
        <v>0</v>
      </c>
      <c r="AL53" s="63">
        <f t="shared" ca="1" si="29"/>
        <v>0</v>
      </c>
    </row>
    <row r="54" spans="1:38" ht="21" customHeight="1" x14ac:dyDescent="0.3">
      <c r="A54" s="54">
        <v>2</v>
      </c>
      <c r="B54" s="55" t="s">
        <v>75</v>
      </c>
      <c r="C54" s="56">
        <f t="shared" ca="1" si="58"/>
        <v>0</v>
      </c>
      <c r="D54" s="57">
        <f ca="1">IFERROR(__xludf.DUMMYFUNCTION("IMPORTRANGE(""https://docs.google.com/spreadsheets/d/1njBaP_xXd-Uotvo2D9zb01TTCFkLJLDK97Tk1l9Qux0/edit?usp=sharing"",""จันทบุรี!L634"")"),0)</f>
        <v>0</v>
      </c>
      <c r="E54" s="64">
        <f ca="1">IFERROR(__xludf.DUMMYFUNCTION("IMPORTRANGE(""https://docs.google.com/spreadsheets/d/1njBaP_xXd-Uotvo2D9zb01TTCFkLJLDK97Tk1l9Qux0/edit?usp=sharing"",""จันทบุรี!L641"")"),0)</f>
        <v>0</v>
      </c>
      <c r="F54" s="64">
        <f ca="1">IFERROR(__xludf.DUMMYFUNCTION("IMPORTRANGE(""https://docs.google.com/spreadsheets/d/1njBaP_xXd-Uotvo2D9zb01TTCFkLJLDK97Tk1l9Qux0/edit?usp=sharing"",""จันทบุรี!M634"")"),0)</f>
        <v>0</v>
      </c>
      <c r="G54" s="64">
        <f ca="1">IFERROR(__xludf.DUMMYFUNCTION("IMPORTRANGE(""https://docs.google.com/spreadsheets/d/1njBaP_xXd-Uotvo2D9zb01TTCFkLJLDK97Tk1l9Qux0/edit?usp=sharing"",""จันทบุรี!M641"")"),0)</f>
        <v>0</v>
      </c>
      <c r="H54" s="58">
        <f t="shared" ca="1" si="24"/>
        <v>0</v>
      </c>
      <c r="I54" s="59">
        <f t="shared" ca="1" si="1"/>
        <v>0</v>
      </c>
      <c r="J54" s="60">
        <f t="shared" ca="1" si="59"/>
        <v>0</v>
      </c>
      <c r="K54" s="61">
        <f t="shared" ca="1" si="31"/>
        <v>0</v>
      </c>
      <c r="L54" s="61">
        <f t="shared" ca="1" si="32"/>
        <v>0</v>
      </c>
      <c r="M54" s="64">
        <f ca="1">IFERROR(__xludf.DUMMYFUNCTION("IMPORTRANGE(""https://docs.google.com/spreadsheets/d/1njBaP_xXd-Uotvo2D9zb01TTCFkLJLDK97Tk1l9Qux0/edit?usp=sharing"",""จันทบุรี!N635"")"),0)</f>
        <v>0</v>
      </c>
      <c r="N54" s="64">
        <f ca="1">IFERROR(__xludf.DUMMYFUNCTION("IMPORTRANGE(""https://docs.google.com/spreadsheets/d/1njBaP_xXd-Uotvo2D9zb01TTCFkLJLDK97Tk1l9Qux0/edit?usp=sharing"",""จันทบุรี!N636"")"),0)</f>
        <v>0</v>
      </c>
      <c r="O54" s="64">
        <f ca="1">IFERROR(__xludf.DUMMYFUNCTION("IMPORTRANGE(""https://docs.google.com/spreadsheets/d/1njBaP_xXd-Uotvo2D9zb01TTCFkLJLDK97Tk1l9Qux0/edit?usp=sharing"",""จันทบุรี!N637"")"),0)</f>
        <v>0</v>
      </c>
      <c r="P54" s="64">
        <f ca="1">IFERROR(__xludf.DUMMYFUNCTION("IMPORTRANGE(""https://docs.google.com/spreadsheets/d/1njBaP_xXd-Uotvo2D9zb01TTCFkLJLDK97Tk1l9Qux0/edit?usp=sharing"",""จันทบุรี!N638"")"),0)</f>
        <v>0</v>
      </c>
      <c r="Q54" s="62">
        <f ca="1">IFERROR(__xludf.DUMMYFUNCTION("IMPORTRANGE(""https://docs.google.com/spreadsheets/d/1njBaP_xXd-Uotvo2D9zb01TTCFkLJLDK97Tk1l9Qux0/edit?usp=sharing"",""จันทบุรี!N641"")"),0)</f>
        <v>0</v>
      </c>
      <c r="R54" s="62">
        <f t="shared" ca="1" si="34"/>
        <v>0</v>
      </c>
      <c r="S54" s="57">
        <f ca="1">IFERROR(__xludf.DUMMYFUNCTION("IMPORTRANGE(""https://docs.google.com/spreadsheets/d/1njBaP_xXd-Uotvo2D9zb01TTCFkLJLDK97Tk1l9Qux0/edit?usp=sharing"",""จันทบุรี!I643"")"),0)</f>
        <v>0</v>
      </c>
      <c r="T54" s="57">
        <f ca="1">IFERROR(__xludf.DUMMYFUNCTION("IMPORTRANGE(""https://docs.google.com/spreadsheets/d/1njBaP_xXd-Uotvo2D9zb01TTCFkLJLDK97Tk1l9Qux0/edit?usp=sharing"",""จันทบุรี!J643"")"),0)</f>
        <v>0</v>
      </c>
      <c r="U54" s="63">
        <f t="shared" ca="1" si="25"/>
        <v>0</v>
      </c>
      <c r="V54" s="57">
        <f ca="1">IFERROR(__xludf.DUMMYFUNCTION("IMPORTRANGE(""https://docs.google.com/spreadsheets/d/1njBaP_xXd-Uotvo2D9zb01TTCFkLJLDK97Tk1l9Qux0/edit?usp=sharing"",""จันทบุรี!I644"")"),0)</f>
        <v>0</v>
      </c>
      <c r="W54" s="57">
        <f ca="1">IFERROR(__xludf.DUMMYFUNCTION("IMPORTRANGE(""https://docs.google.com/spreadsheets/d/1njBaP_xXd-Uotvo2D9zb01TTCFkLJLDK97Tk1l9Qux0/edit?usp=sharing"",""จันทบุรี!J644"")"),0)</f>
        <v>0</v>
      </c>
      <c r="X54" s="63">
        <f t="shared" ca="1" si="26"/>
        <v>0</v>
      </c>
      <c r="Y54" s="57">
        <f ca="1">IFERROR(__xludf.DUMMYFUNCTION("IMPORTRANGE(""https://docs.google.com/spreadsheets/d/1njBaP_xXd-Uotvo2D9zb01TTCFkLJLDK97Tk1l9Qux0/edit?usp=sharing"",""จันทบุรี!J645"")"),1)</f>
        <v>1</v>
      </c>
      <c r="Z54" s="63">
        <f ca="1">IFERROR(__xludf.DUMMYFUNCTION("IMPORTRANGE(""https://docs.google.com/spreadsheets/d/1njBaP_xXd-Uotvo2D9zb01TTCFkLJLDK97Tk1l9Qux0/edit?usp=sharing"",""จันทบุรี!J646"")"),1.05)</f>
        <v>1.05</v>
      </c>
      <c r="AA54" s="57">
        <f ca="1">IFERROR(__xludf.DUMMYFUNCTION("IMPORTRANGE(""https://docs.google.com/spreadsheets/d/1njBaP_xXd-Uotvo2D9zb01TTCFkLJLDK97Tk1l9Qux0/edit?usp=sharing"",""จันทบุรี!I647"")"),0)</f>
        <v>0</v>
      </c>
      <c r="AB54" s="57">
        <f ca="1">IFERROR(__xludf.DUMMYFUNCTION("IMPORTRANGE(""https://docs.google.com/spreadsheets/d/1njBaP_xXd-Uotvo2D9zb01TTCFkLJLDK97Tk1l9Qux0/edit?usp=sharing"",""จันทบุรี!J647"")"),1)</f>
        <v>1</v>
      </c>
      <c r="AC54" s="63">
        <f ca="1">IFERROR(__xludf.DUMMYFUNCTION("IMPORTRANGE(""https://docs.google.com/spreadsheets/d/1njBaP_xXd-Uotvo2D9zb01TTCFkLJLDK97Tk1l9Qux0/edit?usp=sharing"",""จันทบุรี!J648"")"),1.05)</f>
        <v>1.05</v>
      </c>
      <c r="AD54" s="63">
        <f t="shared" ca="1" si="27"/>
        <v>0</v>
      </c>
      <c r="AE54" s="140">
        <f ca="1">IFERROR(__xludf.DUMMYFUNCTION("IMPORTRANGE(""https://docs.google.com/spreadsheets/d/1njBaP_xXd-Uotvo2D9zb01TTCFkLJLDK97Tk1l9Qux0/edit?usp=sharing"",""จันทบุรี!I649"")"),0)</f>
        <v>0</v>
      </c>
      <c r="AF54" s="57">
        <f ca="1">IFERROR(__xludf.DUMMYFUNCTION("IMPORTRANGE(""https://docs.google.com/spreadsheets/d/1njBaP_xXd-Uotvo2D9zb01TTCFkLJLDK97Tk1l9Qux0/edit?usp=sharing"",""จันทบุรี!J649"")"),0)</f>
        <v>0</v>
      </c>
      <c r="AG54" s="63">
        <f ca="1">IFERROR(__xludf.DUMMYFUNCTION("IMPORTRANGE(""https://docs.google.com/spreadsheets/d/1njBaP_xXd-Uotvo2D9zb01TTCFkLJLDK97Tk1l9Qux0/edit?usp=sharing"",""จันทบุรี!J650"")"),0)</f>
        <v>0</v>
      </c>
      <c r="AH54" s="63">
        <f t="shared" ca="1" si="28"/>
        <v>0</v>
      </c>
      <c r="AI54" s="140">
        <f ca="1">IFERROR(__xludf.DUMMYFUNCTION("IMPORTRANGE(""https://docs.google.com/spreadsheets/d/1njBaP_xXd-Uotvo2D9zb01TTCFkLJLDK97Tk1l9Qux0/edit?usp=sharing"",""จันทบุรี!I651"")"),0)</f>
        <v>0</v>
      </c>
      <c r="AJ54" s="57">
        <f ca="1">IFERROR(__xludf.DUMMYFUNCTION("IMPORTRANGE(""https://docs.google.com/spreadsheets/d/1njBaP_xXd-Uotvo2D9zb01TTCFkLJLDK97Tk1l9Qux0/edit?usp=sharing"",""จันทบุรี!J651"")"),0)</f>
        <v>0</v>
      </c>
      <c r="AK54" s="63">
        <f ca="1">IFERROR(__xludf.DUMMYFUNCTION("IMPORTRANGE(""https://docs.google.com/spreadsheets/d/1njBaP_xXd-Uotvo2D9zb01TTCFkLJLDK97Tk1l9Qux0/edit?usp=sharing"",""จันทบุรี!J652"")"),0)</f>
        <v>0</v>
      </c>
      <c r="AL54" s="63">
        <f t="shared" ca="1" si="29"/>
        <v>0</v>
      </c>
    </row>
    <row r="55" spans="1:38" ht="21" customHeight="1" x14ac:dyDescent="0.3">
      <c r="A55" s="54">
        <v>3</v>
      </c>
      <c r="B55" s="55" t="s">
        <v>76</v>
      </c>
      <c r="C55" s="56">
        <f t="shared" ca="1" si="58"/>
        <v>0</v>
      </c>
      <c r="D55" s="57">
        <f ca="1">IFERROR(__xludf.DUMMYFUNCTION("IMPORTRANGE(""https://docs.google.com/spreadsheets/d/14xp6qUzrGFnUk_qnc1eEmfiaNRd4_grkhpfQH_46fa8/edit?usp=sharing"",""ฉะเชิงเทรา!L634"")"),0)</f>
        <v>0</v>
      </c>
      <c r="E55" s="64">
        <f ca="1">IFERROR(__xludf.DUMMYFUNCTION("IMPORTRANGE(""https://docs.google.com/spreadsheets/d/14xp6qUzrGFnUk_qnc1eEmfiaNRd4_grkhpfQH_46fa8/edit?usp=sharing"",""ฉะเชิงเทรา!L641"")"),0)</f>
        <v>0</v>
      </c>
      <c r="F55" s="64">
        <f ca="1">IFERROR(__xludf.DUMMYFUNCTION("IMPORTRANGE(""https://docs.google.com/spreadsheets/d/14xp6qUzrGFnUk_qnc1eEmfiaNRd4_grkhpfQH_46fa8/edit?usp=sharing"",""ฉะเชิงเทรา!M634"")"),0)</f>
        <v>0</v>
      </c>
      <c r="G55" s="64">
        <f ca="1">IFERROR(__xludf.DUMMYFUNCTION("IMPORTRANGE(""https://docs.google.com/spreadsheets/d/14xp6qUzrGFnUk_qnc1eEmfiaNRd4_grkhpfQH_46fa8/edit?usp=sharing"",""ฉะเชิงเทรา!M641"")"),0)</f>
        <v>0</v>
      </c>
      <c r="H55" s="58">
        <f t="shared" ca="1" si="24"/>
        <v>0</v>
      </c>
      <c r="I55" s="59">
        <f t="shared" ca="1" si="1"/>
        <v>0</v>
      </c>
      <c r="J55" s="60">
        <f t="shared" ca="1" si="59"/>
        <v>0</v>
      </c>
      <c r="K55" s="61">
        <f t="shared" ca="1" si="31"/>
        <v>0</v>
      </c>
      <c r="L55" s="61">
        <f t="shared" ca="1" si="32"/>
        <v>0</v>
      </c>
      <c r="M55" s="64">
        <f ca="1">IFERROR(__xludf.DUMMYFUNCTION("IMPORTRANGE(""https://docs.google.com/spreadsheets/d/14xp6qUzrGFnUk_qnc1eEmfiaNRd4_grkhpfQH_46fa8/edit?usp=sharing"",""ฉะเชิงเทรา!N635"")"),0)</f>
        <v>0</v>
      </c>
      <c r="N55" s="64">
        <f ca="1">IFERROR(__xludf.DUMMYFUNCTION("IMPORTRANGE(""https://docs.google.com/spreadsheets/d/14xp6qUzrGFnUk_qnc1eEmfiaNRd4_grkhpfQH_46fa8/edit?usp=sharing"",""ฉะเชิงเทรา!N636"")"),0)</f>
        <v>0</v>
      </c>
      <c r="O55" s="64">
        <f ca="1">IFERROR(__xludf.DUMMYFUNCTION("IMPORTRANGE(""https://docs.google.com/spreadsheets/d/14xp6qUzrGFnUk_qnc1eEmfiaNRd4_grkhpfQH_46fa8/edit?usp=sharing"",""ฉะเชิงเทรา!N637"")"),0)</f>
        <v>0</v>
      </c>
      <c r="P55" s="64">
        <f ca="1">IFERROR(__xludf.DUMMYFUNCTION("IMPORTRANGE(""https://docs.google.com/spreadsheets/d/14xp6qUzrGFnUk_qnc1eEmfiaNRd4_grkhpfQH_46fa8/edit?usp=sharing"",""ฉะเชิงเทรา!N638"")"),0)</f>
        <v>0</v>
      </c>
      <c r="Q55" s="62">
        <f ca="1">IFERROR(__xludf.DUMMYFUNCTION("IMPORTRANGE(""https://docs.google.com/spreadsheets/d/14xp6qUzrGFnUk_qnc1eEmfiaNRd4_grkhpfQH_46fa8/edit?usp=sharing"",""ฉะเชิงเทรา!N641"")"),0)</f>
        <v>0</v>
      </c>
      <c r="R55" s="62">
        <f t="shared" ca="1" si="34"/>
        <v>0</v>
      </c>
      <c r="S55" s="57">
        <f ca="1">IFERROR(__xludf.DUMMYFUNCTION("IMPORTRANGE(""https://docs.google.com/spreadsheets/d/14xp6qUzrGFnUk_qnc1eEmfiaNRd4_grkhpfQH_46fa8/edit?usp=sharing"",""ฉะเชิงเทรา!I643"")"),0)</f>
        <v>0</v>
      </c>
      <c r="T55" s="57">
        <f ca="1">IFERROR(__xludf.DUMMYFUNCTION("IMPORTRANGE(""https://docs.google.com/spreadsheets/d/14xp6qUzrGFnUk_qnc1eEmfiaNRd4_grkhpfQH_46fa8/edit?usp=sharing"",""ฉะเชิงเทรา!J643"")"),0)</f>
        <v>0</v>
      </c>
      <c r="U55" s="63">
        <f t="shared" ca="1" si="25"/>
        <v>0</v>
      </c>
      <c r="V55" s="57">
        <f ca="1">IFERROR(__xludf.DUMMYFUNCTION("IMPORTRANGE(""https://docs.google.com/spreadsheets/d/14xp6qUzrGFnUk_qnc1eEmfiaNRd4_grkhpfQH_46fa8/edit?usp=sharing"",""ฉะเชิงเทรา!I644"")"),0)</f>
        <v>0</v>
      </c>
      <c r="W55" s="57">
        <f ca="1">IFERROR(__xludf.DUMMYFUNCTION("IMPORTRANGE(""https://docs.google.com/spreadsheets/d/14xp6qUzrGFnUk_qnc1eEmfiaNRd4_grkhpfQH_46fa8/edit?usp=sharing"",""ฉะเชิงเทรา!J644"")"),0)</f>
        <v>0</v>
      </c>
      <c r="X55" s="63">
        <f t="shared" ca="1" si="26"/>
        <v>0</v>
      </c>
      <c r="Y55" s="57">
        <f ca="1">IFERROR(__xludf.DUMMYFUNCTION("IMPORTRANGE(""https://docs.google.com/spreadsheets/d/14xp6qUzrGFnUk_qnc1eEmfiaNRd4_grkhpfQH_46fa8/edit?usp=sharing"",""ฉะเชิงเทรา!J645"")"),51)</f>
        <v>51</v>
      </c>
      <c r="Z55" s="63">
        <f ca="1">IFERROR(__xludf.DUMMYFUNCTION("IMPORTRANGE(""https://docs.google.com/spreadsheets/d/14xp6qUzrGFnUk_qnc1eEmfiaNRd4_grkhpfQH_46fa8/edit?usp=sharing"",""ฉะเชิงเทรา!J646"")"),95.88)</f>
        <v>95.88</v>
      </c>
      <c r="AA55" s="57">
        <f ca="1">IFERROR(__xludf.DUMMYFUNCTION("IMPORTRANGE(""https://docs.google.com/spreadsheets/d/14xp6qUzrGFnUk_qnc1eEmfiaNRd4_grkhpfQH_46fa8/edit?usp=sharing"",""ฉะเชิงเทรา!I647"")"),0)</f>
        <v>0</v>
      </c>
      <c r="AB55" s="57">
        <f ca="1">IFERROR(__xludf.DUMMYFUNCTION("IMPORTRANGE(""https://docs.google.com/spreadsheets/d/14xp6qUzrGFnUk_qnc1eEmfiaNRd4_grkhpfQH_46fa8/edit?usp=sharing"",""ฉะเชิงเทรา!J647"")"),1)</f>
        <v>1</v>
      </c>
      <c r="AC55" s="63">
        <f ca="1">IFERROR(__xludf.DUMMYFUNCTION("IMPORTRANGE(""https://docs.google.com/spreadsheets/d/14xp6qUzrGFnUk_qnc1eEmfiaNRd4_grkhpfQH_46fa8/edit?usp=sharing"",""ฉะเชิงเทรา!J648"")"),0.15)</f>
        <v>0.15</v>
      </c>
      <c r="AD55" s="63">
        <f t="shared" ca="1" si="27"/>
        <v>0</v>
      </c>
      <c r="AE55" s="140">
        <f ca="1">IFERROR(__xludf.DUMMYFUNCTION("IMPORTRANGE(""https://docs.google.com/spreadsheets/d/14xp6qUzrGFnUk_qnc1eEmfiaNRd4_grkhpfQH_46fa8/edit?usp=sharing"",""ฉะเชิงเทรา!I649"")"),0)</f>
        <v>0</v>
      </c>
      <c r="AF55" s="57">
        <f ca="1">IFERROR(__xludf.DUMMYFUNCTION("IMPORTRANGE(""https://docs.google.com/spreadsheets/d/14xp6qUzrGFnUk_qnc1eEmfiaNRd4_grkhpfQH_46fa8/edit?usp=sharing"",""ฉะเชิงเทรา!J649"")"),0)</f>
        <v>0</v>
      </c>
      <c r="AG55" s="63">
        <f ca="1">IFERROR(__xludf.DUMMYFUNCTION("IMPORTRANGE(""https://docs.google.com/spreadsheets/d/14xp6qUzrGFnUk_qnc1eEmfiaNRd4_grkhpfQH_46fa8/edit?usp=sharing"",""ฉะเชิงเทรา!J650"")"),0)</f>
        <v>0</v>
      </c>
      <c r="AH55" s="63">
        <f t="shared" ca="1" si="28"/>
        <v>0</v>
      </c>
      <c r="AI55" s="140">
        <f ca="1">IFERROR(__xludf.DUMMYFUNCTION("IMPORTRANGE(""https://docs.google.com/spreadsheets/d/14xp6qUzrGFnUk_qnc1eEmfiaNRd4_grkhpfQH_46fa8/edit?usp=sharing"",""ฉะเชิงเทรา!I651"")"),0)</f>
        <v>0</v>
      </c>
      <c r="AJ55" s="57">
        <f ca="1">IFERROR(__xludf.DUMMYFUNCTION("IMPORTRANGE(""https://docs.google.com/spreadsheets/d/14xp6qUzrGFnUk_qnc1eEmfiaNRd4_grkhpfQH_46fa8/edit?usp=sharing"",""ฉะเชิงเทรา!J651"")"),0)</f>
        <v>0</v>
      </c>
      <c r="AK55" s="63">
        <f ca="1">IFERROR(__xludf.DUMMYFUNCTION("IMPORTRANGE(""https://docs.google.com/spreadsheets/d/14xp6qUzrGFnUk_qnc1eEmfiaNRd4_grkhpfQH_46fa8/edit?usp=sharing"",""ฉะเชิงเทรา!J652"")"),0)</f>
        <v>0</v>
      </c>
      <c r="AL55" s="63">
        <f t="shared" ca="1" si="29"/>
        <v>0</v>
      </c>
    </row>
    <row r="56" spans="1:38" ht="21" customHeight="1" x14ac:dyDescent="0.3">
      <c r="A56" s="54">
        <v>4</v>
      </c>
      <c r="B56" s="55" t="s">
        <v>77</v>
      </c>
      <c r="C56" s="56">
        <f t="shared" ca="1" si="58"/>
        <v>171175</v>
      </c>
      <c r="D56" s="57">
        <f ca="1">IFERROR(__xludf.DUMMYFUNCTION("IMPORTRANGE(""https://docs.google.com/spreadsheets/d/1_Zwps30dlVa-pZFsorjVf1Pil6WXwzCsJU0U2whO3NI/edit?usp=sharing"",""ชลบุรี!L634"")"),171175)</f>
        <v>171175</v>
      </c>
      <c r="E56" s="64">
        <f ca="1">IFERROR(__xludf.DUMMYFUNCTION("IMPORTRANGE(""https://docs.google.com/spreadsheets/d/1_Zwps30dlVa-pZFsorjVf1Pil6WXwzCsJU0U2whO3NI/edit?usp=sharing"",""ชลบุรี!L641"")"),0)</f>
        <v>0</v>
      </c>
      <c r="F56" s="64">
        <f ca="1">IFERROR(__xludf.DUMMYFUNCTION("IMPORTRANGE(""https://docs.google.com/spreadsheets/d/1_Zwps30dlVa-pZFsorjVf1Pil6WXwzCsJU0U2whO3NI/edit?usp=sharing"",""ชลบุรี!M634"")"),171175)</f>
        <v>171175</v>
      </c>
      <c r="G56" s="64">
        <f ca="1">IFERROR(__xludf.DUMMYFUNCTION("IMPORTRANGE(""https://docs.google.com/spreadsheets/d/1_Zwps30dlVa-pZFsorjVf1Pil6WXwzCsJU0U2whO3NI/edit?usp=sharing"",""ชลบุรี!M641"")"),0)</f>
        <v>0</v>
      </c>
      <c r="H56" s="58">
        <f t="shared" ca="1" si="24"/>
        <v>65840</v>
      </c>
      <c r="I56" s="59">
        <f t="shared" ca="1" si="1"/>
        <v>38.463560683511027</v>
      </c>
      <c r="J56" s="60">
        <f t="shared" ca="1" si="59"/>
        <v>65840</v>
      </c>
      <c r="K56" s="61">
        <f t="shared" ca="1" si="31"/>
        <v>38.463560683511027</v>
      </c>
      <c r="L56" s="61">
        <f t="shared" ca="1" si="32"/>
        <v>38.463560683511027</v>
      </c>
      <c r="M56" s="64">
        <f ca="1">IFERROR(__xludf.DUMMYFUNCTION("IMPORTRANGE(""https://docs.google.com/spreadsheets/d/1_Zwps30dlVa-pZFsorjVf1Pil6WXwzCsJU0U2whO3NI/edit?usp=sharing"",""ชลบุรี!N635"")"),0)</f>
        <v>0</v>
      </c>
      <c r="N56" s="64">
        <f ca="1">IFERROR(__xludf.DUMMYFUNCTION("IMPORTRANGE(""https://docs.google.com/spreadsheets/d/1_Zwps30dlVa-pZFsorjVf1Pil6WXwzCsJU0U2whO3NI/edit?usp=sharing"",""ชลบุรี!N636"")"),0)</f>
        <v>0</v>
      </c>
      <c r="O56" s="79">
        <f ca="1">IFERROR(__xludf.DUMMYFUNCTION("IMPORTRANGE(""https://docs.google.com/spreadsheets/d/1_Zwps30dlVa-pZFsorjVf1Pil6WXwzCsJU0U2whO3NI/edit?usp=sharing"",""ชลบุรี!N637"")"),0)</f>
        <v>0</v>
      </c>
      <c r="P56" s="64">
        <f ca="1">IFERROR(__xludf.DUMMYFUNCTION("IMPORTRANGE(""https://docs.google.com/spreadsheets/d/1_Zwps30dlVa-pZFsorjVf1Pil6WXwzCsJU0U2whO3NI/edit?usp=sharing"",""ชลบุรี!N638"")"),65840)</f>
        <v>65840</v>
      </c>
      <c r="Q56" s="62">
        <f ca="1">IFERROR(__xludf.DUMMYFUNCTION("IMPORTRANGE(""https://docs.google.com/spreadsheets/d/1_Zwps30dlVa-pZFsorjVf1Pil6WXwzCsJU0U2whO3NI/edit?usp=sharing"",""ชลบุรี!N641"")"),0)</f>
        <v>0</v>
      </c>
      <c r="R56" s="62">
        <f t="shared" ca="1" si="34"/>
        <v>0</v>
      </c>
      <c r="S56" s="57">
        <f ca="1">IFERROR(__xludf.DUMMYFUNCTION("IMPORTRANGE(""https://docs.google.com/spreadsheets/d/1_Zwps30dlVa-pZFsorjVf1Pil6WXwzCsJU0U2whO3NI/edit?usp=sharing"",""ชลบุรี!I643"")"),0)</f>
        <v>0</v>
      </c>
      <c r="T56" s="57">
        <f ca="1">IFERROR(__xludf.DUMMYFUNCTION("IMPORTRANGE(""https://docs.google.com/spreadsheets/d/1_Zwps30dlVa-pZFsorjVf1Pil6WXwzCsJU0U2whO3NI/edit?usp=sharing"",""ชลบุรี!J643"")"),0)</f>
        <v>0</v>
      </c>
      <c r="U56" s="63">
        <f t="shared" ca="1" si="25"/>
        <v>0</v>
      </c>
      <c r="V56" s="57">
        <f ca="1">IFERROR(__xludf.DUMMYFUNCTION("IMPORTRANGE(""https://docs.google.com/spreadsheets/d/1_Zwps30dlVa-pZFsorjVf1Pil6WXwzCsJU0U2whO3NI/edit?usp=sharing"",""ชลบุรี!I644"")"),0)</f>
        <v>0</v>
      </c>
      <c r="W56" s="57">
        <f ca="1">IFERROR(__xludf.DUMMYFUNCTION("IMPORTRANGE(""https://docs.google.com/spreadsheets/d/1_Zwps30dlVa-pZFsorjVf1Pil6WXwzCsJU0U2whO3NI/edit?usp=sharing"",""ชลบุรี!J644"")"),0)</f>
        <v>0</v>
      </c>
      <c r="X56" s="63">
        <f t="shared" ca="1" si="26"/>
        <v>0</v>
      </c>
      <c r="Y56" s="57">
        <f ca="1">IFERROR(__xludf.DUMMYFUNCTION("IMPORTRANGE(""https://docs.google.com/spreadsheets/d/1_Zwps30dlVa-pZFsorjVf1Pil6WXwzCsJU0U2whO3NI/edit?usp=sharing"",""ชลบุรี!J645"")"),57)</f>
        <v>57</v>
      </c>
      <c r="Z56" s="63">
        <f ca="1">IFERROR(__xludf.DUMMYFUNCTION("IMPORTRANGE(""https://docs.google.com/spreadsheets/d/1_Zwps30dlVa-pZFsorjVf1Pil6WXwzCsJU0U2whO3NI/edit?usp=sharing"",""ชลบุรี!J646"")"),36.34)</f>
        <v>36.340000000000003</v>
      </c>
      <c r="AA56" s="57">
        <f ca="1">IFERROR(__xludf.DUMMYFUNCTION("IMPORTRANGE(""https://docs.google.com/spreadsheets/d/1_Zwps30dlVa-pZFsorjVf1Pil6WXwzCsJU0U2whO3NI/edit?usp=sharing"",""ชลบุรี!I647"")"),50)</f>
        <v>50</v>
      </c>
      <c r="AB56" s="57">
        <f ca="1">IFERROR(__xludf.DUMMYFUNCTION("IMPORTRANGE(""https://docs.google.com/spreadsheets/d/1_Zwps30dlVa-pZFsorjVf1Pil6WXwzCsJU0U2whO3NI/edit?usp=sharing"",""ชลบุรี!J647"")"),51)</f>
        <v>51</v>
      </c>
      <c r="AC56" s="63">
        <f ca="1">IFERROR(__xludf.DUMMYFUNCTION("IMPORTRANGE(""https://docs.google.com/spreadsheets/d/1_Zwps30dlVa-pZFsorjVf1Pil6WXwzCsJU0U2whO3NI/edit?usp=sharing"",""ชลบุรี!J648"")"),45.05)</f>
        <v>45.05</v>
      </c>
      <c r="AD56" s="63">
        <f t="shared" ca="1" si="27"/>
        <v>102</v>
      </c>
      <c r="AE56" s="140">
        <f ca="1">IFERROR(__xludf.DUMMYFUNCTION("IMPORTRANGE(""https://docs.google.com/spreadsheets/d/1_Zwps30dlVa-pZFsorjVf1Pil6WXwzCsJU0U2whO3NI/edit?usp=sharing"",""ชลบุรี!I649"")"),50)</f>
        <v>50</v>
      </c>
      <c r="AF56" s="57">
        <f ca="1">IFERROR(__xludf.DUMMYFUNCTION("IMPORTRANGE(""https://docs.google.com/spreadsheets/d/1_Zwps30dlVa-pZFsorjVf1Pil6WXwzCsJU0U2whO3NI/edit?usp=sharing"",""ชลบุรี!J649"")"),42)</f>
        <v>42</v>
      </c>
      <c r="AG56" s="63">
        <f ca="1">IFERROR(__xludf.DUMMYFUNCTION("IMPORTRANGE(""https://docs.google.com/spreadsheets/d/1_Zwps30dlVa-pZFsorjVf1Pil6WXwzCsJU0U2whO3NI/edit?usp=sharing"",""ชลบุรี!J650"")"),32.69)</f>
        <v>32.69</v>
      </c>
      <c r="AH56" s="63">
        <f t="shared" ca="1" si="28"/>
        <v>84</v>
      </c>
      <c r="AI56" s="140">
        <f ca="1">IFERROR(__xludf.DUMMYFUNCTION("IMPORTRANGE(""https://docs.google.com/spreadsheets/d/1_Zwps30dlVa-pZFsorjVf1Pil6WXwzCsJU0U2whO3NI/edit?usp=sharing"",""ชลบุรี!I651"")"),50)</f>
        <v>50</v>
      </c>
      <c r="AJ56" s="57">
        <f ca="1">IFERROR(__xludf.DUMMYFUNCTION("IMPORTRANGE(""https://docs.google.com/spreadsheets/d/1_Zwps30dlVa-pZFsorjVf1Pil6WXwzCsJU0U2whO3NI/edit?usp=sharing"",""ชลบุรี!J651"")"),40)</f>
        <v>40</v>
      </c>
      <c r="AK56" s="63">
        <f ca="1">IFERROR(__xludf.DUMMYFUNCTION("IMPORTRANGE(""https://docs.google.com/spreadsheets/d/1_Zwps30dlVa-pZFsorjVf1Pil6WXwzCsJU0U2whO3NI/edit?usp=sharing"",""ชลบุรี!J652"")"),32.435)</f>
        <v>32.435000000000002</v>
      </c>
      <c r="AL56" s="63">
        <f t="shared" ca="1" si="29"/>
        <v>80</v>
      </c>
    </row>
    <row r="57" spans="1:38" ht="21" customHeight="1" x14ac:dyDescent="0.3">
      <c r="A57" s="54">
        <v>5</v>
      </c>
      <c r="B57" s="55" t="s">
        <v>78</v>
      </c>
      <c r="C57" s="56">
        <f t="shared" ca="1" si="58"/>
        <v>146945</v>
      </c>
      <c r="D57" s="57">
        <f ca="1">IFERROR(__xludf.DUMMYFUNCTION("IMPORTRANGE(""https://docs.google.com/spreadsheets/d/1xAsT4sUbBlom7l0acStESh_15nvjZcXjZM7fK5uZSq8/edit?usp=sharing"",""ชัยนาท!L634"")"),146945)</f>
        <v>146945</v>
      </c>
      <c r="E57" s="64">
        <f ca="1">IFERROR(__xludf.DUMMYFUNCTION("IMPORTRANGE(""https://docs.google.com/spreadsheets/d/1xAsT4sUbBlom7l0acStESh_15nvjZcXjZM7fK5uZSq8/edit?usp=sharing"",""ชัยนาท!L641"")"),0)</f>
        <v>0</v>
      </c>
      <c r="F57" s="64">
        <f ca="1">IFERROR(__xludf.DUMMYFUNCTION("IMPORTRANGE(""https://docs.google.com/spreadsheets/d/1xAsT4sUbBlom7l0acStESh_15nvjZcXjZM7fK5uZSq8/edit?usp=sharing"",""ชัยนาท!M634"")"),146945)</f>
        <v>146945</v>
      </c>
      <c r="G57" s="64">
        <f ca="1">IFERROR(__xludf.DUMMYFUNCTION("IMPORTRANGE(""https://docs.google.com/spreadsheets/d/1xAsT4sUbBlom7l0acStESh_15nvjZcXjZM7fK5uZSq8/edit?usp=sharing"",""ชัยนาท!M641"")"),0)</f>
        <v>0</v>
      </c>
      <c r="H57" s="58">
        <f t="shared" ca="1" si="24"/>
        <v>61780</v>
      </c>
      <c r="I57" s="59">
        <f t="shared" ca="1" si="1"/>
        <v>42.042941236517066</v>
      </c>
      <c r="J57" s="60">
        <f t="shared" ca="1" si="59"/>
        <v>61780</v>
      </c>
      <c r="K57" s="61">
        <f t="shared" ca="1" si="31"/>
        <v>42.042941236517066</v>
      </c>
      <c r="L57" s="61">
        <f t="shared" ca="1" si="32"/>
        <v>42.042941236517066</v>
      </c>
      <c r="M57" s="64">
        <f ca="1">IFERROR(__xludf.DUMMYFUNCTION("IMPORTRANGE(""https://docs.google.com/spreadsheets/d/1xAsT4sUbBlom7l0acStESh_15nvjZcXjZM7fK5uZSq8/edit?usp=sharing"",""ชัยนาท!N635"")"),0)</f>
        <v>0</v>
      </c>
      <c r="N57" s="64">
        <f ca="1">IFERROR(__xludf.DUMMYFUNCTION("IMPORTRANGE(""https://docs.google.com/spreadsheets/d/1xAsT4sUbBlom7l0acStESh_15nvjZcXjZM7fK5uZSq8/edit?usp=sharing"",""ชัยนาท!N636"")"),36305)</f>
        <v>36305</v>
      </c>
      <c r="O57" s="64">
        <f ca="1">IFERROR(__xludf.DUMMYFUNCTION("IMPORTRANGE(""https://docs.google.com/spreadsheets/d/1xAsT4sUbBlom7l0acStESh_15nvjZcXjZM7fK5uZSq8/edit?usp=sharing"",""ชัยนาท!N637"")"),0)</f>
        <v>0</v>
      </c>
      <c r="P57" s="64">
        <f ca="1">IFERROR(__xludf.DUMMYFUNCTION("IMPORTRANGE(""https://docs.google.com/spreadsheets/d/1xAsT4sUbBlom7l0acStESh_15nvjZcXjZM7fK5uZSq8/edit?usp=sharing"",""ชัยนาท!N638"")"),25475)</f>
        <v>25475</v>
      </c>
      <c r="Q57" s="62">
        <f ca="1">IFERROR(__xludf.DUMMYFUNCTION("IMPORTRANGE(""https://docs.google.com/spreadsheets/d/1xAsT4sUbBlom7l0acStESh_15nvjZcXjZM7fK5uZSq8/edit?usp=sharing"",""ชัยนาท!N641"")"),0)</f>
        <v>0</v>
      </c>
      <c r="R57" s="62">
        <f t="shared" ca="1" si="34"/>
        <v>0</v>
      </c>
      <c r="S57" s="57">
        <f ca="1">IFERROR(__xludf.DUMMYFUNCTION("IMPORTRANGE(""https://docs.google.com/spreadsheets/d/1xAsT4sUbBlom7l0acStESh_15nvjZcXjZM7fK5uZSq8/edit?usp=sharing"",""ชัยนาท!I643"")"),0)</f>
        <v>0</v>
      </c>
      <c r="T57" s="57">
        <f ca="1">IFERROR(__xludf.DUMMYFUNCTION("IMPORTRANGE(""https://docs.google.com/spreadsheets/d/1xAsT4sUbBlom7l0acStESh_15nvjZcXjZM7fK5uZSq8/edit?usp=sharing"",""ชัยนาท!J643"")"),0)</f>
        <v>0</v>
      </c>
      <c r="U57" s="63">
        <f t="shared" ca="1" si="25"/>
        <v>0</v>
      </c>
      <c r="V57" s="57">
        <f ca="1">IFERROR(__xludf.DUMMYFUNCTION("IMPORTRANGE(""https://docs.google.com/spreadsheets/d/1xAsT4sUbBlom7l0acStESh_15nvjZcXjZM7fK5uZSq8/edit?usp=sharing"",""ชัยนาท!I644"")"),0)</f>
        <v>0</v>
      </c>
      <c r="W57" s="57">
        <f ca="1">IFERROR(__xludf.DUMMYFUNCTION("IMPORTRANGE(""https://docs.google.com/spreadsheets/d/1xAsT4sUbBlom7l0acStESh_15nvjZcXjZM7fK5uZSq8/edit?usp=sharing"",""ชัยนาท!J644"")"),1)</f>
        <v>1</v>
      </c>
      <c r="X57" s="63">
        <f t="shared" ca="1" si="26"/>
        <v>0</v>
      </c>
      <c r="Y57" s="57">
        <f ca="1">IFERROR(__xludf.DUMMYFUNCTION("IMPORTRANGE(""https://docs.google.com/spreadsheets/d/1xAsT4sUbBlom7l0acStESh_15nvjZcXjZM7fK5uZSq8/edit?usp=sharing"",""ชัยนาท!J645"")"),2)</f>
        <v>2</v>
      </c>
      <c r="Z57" s="63">
        <f ca="1">IFERROR(__xludf.DUMMYFUNCTION("IMPORTRANGE(""https://docs.google.com/spreadsheets/d/1xAsT4sUbBlom7l0acStESh_15nvjZcXjZM7fK5uZSq8/edit?usp=sharing"",""ชัยนาท!J646"")"),1.14)</f>
        <v>1.1399999999999999</v>
      </c>
      <c r="AA57" s="57">
        <f ca="1">IFERROR(__xludf.DUMMYFUNCTION("IMPORTRANGE(""https://docs.google.com/spreadsheets/d/1xAsT4sUbBlom7l0acStESh_15nvjZcXjZM7fK5uZSq8/edit?usp=sharing"",""ชัยนาท!I647"")"),6)</f>
        <v>6</v>
      </c>
      <c r="AB57" s="57">
        <f ca="1">IFERROR(__xludf.DUMMYFUNCTION("IMPORTRANGE(""https://docs.google.com/spreadsheets/d/1xAsT4sUbBlom7l0acStESh_15nvjZcXjZM7fK5uZSq8/edit?usp=sharing"",""ชัยนาท!J647"")"),9)</f>
        <v>9</v>
      </c>
      <c r="AC57" s="63">
        <f ca="1">IFERROR(__xludf.DUMMYFUNCTION("IMPORTRANGE(""https://docs.google.com/spreadsheets/d/1xAsT4sUbBlom7l0acStESh_15nvjZcXjZM7fK5uZSq8/edit?usp=sharing"",""ชัยนาท!J648"")"),6.65)</f>
        <v>6.65</v>
      </c>
      <c r="AD57" s="63">
        <f t="shared" ca="1" si="27"/>
        <v>150</v>
      </c>
      <c r="AE57" s="140">
        <f ca="1">IFERROR(__xludf.DUMMYFUNCTION("IMPORTRANGE(""https://docs.google.com/spreadsheets/d/1xAsT4sUbBlom7l0acStESh_15nvjZcXjZM7fK5uZSq8/edit?usp=sharing"",""ชัยนาท!I649"")"),6)</f>
        <v>6</v>
      </c>
      <c r="AF57" s="57">
        <f ca="1">IFERROR(__xludf.DUMMYFUNCTION("IMPORTRANGE(""https://docs.google.com/spreadsheets/d/1xAsT4sUbBlom7l0acStESh_15nvjZcXjZM7fK5uZSq8/edit?usp=sharing"",""ชัยนาท!J649"")"),7)</f>
        <v>7</v>
      </c>
      <c r="AG57" s="63">
        <f ca="1">IFERROR(__xludf.DUMMYFUNCTION("IMPORTRANGE(""https://docs.google.com/spreadsheets/d/1xAsT4sUbBlom7l0acStESh_15nvjZcXjZM7fK5uZSq8/edit?usp=sharing"",""ชัยนาท!J650"")"),4.82)</f>
        <v>4.82</v>
      </c>
      <c r="AH57" s="63">
        <f t="shared" ca="1" si="28"/>
        <v>116.66666666666667</v>
      </c>
      <c r="AI57" s="140">
        <f ca="1">IFERROR(__xludf.DUMMYFUNCTION("IMPORTRANGE(""https://docs.google.com/spreadsheets/d/1xAsT4sUbBlom7l0acStESh_15nvjZcXjZM7fK5uZSq8/edit?usp=sharing"",""ชัยนาท!I651"")"),6)</f>
        <v>6</v>
      </c>
      <c r="AJ57" s="57">
        <f ca="1">IFERROR(__xludf.DUMMYFUNCTION("IMPORTRANGE(""https://docs.google.com/spreadsheets/d/1xAsT4sUbBlom7l0acStESh_15nvjZcXjZM7fK5uZSq8/edit?usp=sharing"",""ชัยนาท!J651"")"),0)</f>
        <v>0</v>
      </c>
      <c r="AK57" s="63">
        <f ca="1">IFERROR(__xludf.DUMMYFUNCTION("IMPORTRANGE(""https://docs.google.com/spreadsheets/d/1xAsT4sUbBlom7l0acStESh_15nvjZcXjZM7fK5uZSq8/edit?usp=sharing"",""ชัยนาท!J652"")"),0)</f>
        <v>0</v>
      </c>
      <c r="AL57" s="63">
        <f t="shared" ca="1" si="29"/>
        <v>0</v>
      </c>
    </row>
    <row r="58" spans="1:38" ht="21" customHeight="1" x14ac:dyDescent="0.3">
      <c r="A58" s="54">
        <v>6</v>
      </c>
      <c r="B58" s="55" t="s">
        <v>79</v>
      </c>
      <c r="C58" s="56">
        <f t="shared" ca="1" si="58"/>
        <v>332910</v>
      </c>
      <c r="D58" s="57">
        <f ca="1">IFERROR(__xludf.DUMMYFUNCTION("IMPORTRANGE(""https://docs.google.com/spreadsheets/d/1vWPVBOAaZ6mHSI8yf95DNqHwTJ1cpeFsvqt6cxV34QA/edit?usp=sharing"",""ตราด!L634"")"),332910)</f>
        <v>332910</v>
      </c>
      <c r="E58" s="64">
        <f ca="1">IFERROR(__xludf.DUMMYFUNCTION("IMPORTRANGE(""https://docs.google.com/spreadsheets/d/1vWPVBOAaZ6mHSI8yf95DNqHwTJ1cpeFsvqt6cxV34QA/edit?usp=sharing"",""ตราด!L641"")"),0)</f>
        <v>0</v>
      </c>
      <c r="F58" s="64">
        <f ca="1">IFERROR(__xludf.DUMMYFUNCTION("IMPORTRANGE(""https://docs.google.com/spreadsheets/d/1vWPVBOAaZ6mHSI8yf95DNqHwTJ1cpeFsvqt6cxV34QA/edit?usp=sharing"",""ตราด!M634"")"),332910)</f>
        <v>332910</v>
      </c>
      <c r="G58" s="64">
        <f ca="1">IFERROR(__xludf.DUMMYFUNCTION("IMPORTRANGE(""https://docs.google.com/spreadsheets/d/1vWPVBOAaZ6mHSI8yf95DNqHwTJ1cpeFsvqt6cxV34QA/edit?usp=sharing"",""ตราด!M641"")"),0)</f>
        <v>0</v>
      </c>
      <c r="H58" s="58">
        <f t="shared" ca="1" si="24"/>
        <v>76120</v>
      </c>
      <c r="I58" s="59">
        <f t="shared" ca="1" si="1"/>
        <v>22.865038599020757</v>
      </c>
      <c r="J58" s="60">
        <f t="shared" ca="1" si="59"/>
        <v>76120</v>
      </c>
      <c r="K58" s="61">
        <f t="shared" ca="1" si="31"/>
        <v>22.865038599020757</v>
      </c>
      <c r="L58" s="61">
        <f t="shared" ca="1" si="32"/>
        <v>22.865038599020757</v>
      </c>
      <c r="M58" s="64">
        <f ca="1">IFERROR(__xludf.DUMMYFUNCTION("IMPORTRANGE(""https://docs.google.com/spreadsheets/d/1vWPVBOAaZ6mHSI8yf95DNqHwTJ1cpeFsvqt6cxV34QA/edit?usp=sharing"",""ตราด!N635"")"),0)</f>
        <v>0</v>
      </c>
      <c r="N58" s="64">
        <f ca="1">IFERROR(__xludf.DUMMYFUNCTION("IMPORTRANGE(""https://docs.google.com/spreadsheets/d/1vWPVBOAaZ6mHSI8yf95DNqHwTJ1cpeFsvqt6cxV34QA/edit?usp=sharing"",""ตราด!N636"")"),0)</f>
        <v>0</v>
      </c>
      <c r="O58" s="64">
        <f ca="1">IFERROR(__xludf.DUMMYFUNCTION("IMPORTRANGE(""https://docs.google.com/spreadsheets/d/1vWPVBOAaZ6mHSI8yf95DNqHwTJ1cpeFsvqt6cxV34QA/edit?usp=sharing"",""ตราด!N637"")"),65000)</f>
        <v>65000</v>
      </c>
      <c r="P58" s="64">
        <f ca="1">IFERROR(__xludf.DUMMYFUNCTION("IMPORTRANGE(""https://docs.google.com/spreadsheets/d/1vWPVBOAaZ6mHSI8yf95DNqHwTJ1cpeFsvqt6cxV34QA/edit?usp=sharing"",""ตราด!N638"")"),11120)</f>
        <v>11120</v>
      </c>
      <c r="Q58" s="62">
        <f ca="1">IFERROR(__xludf.DUMMYFUNCTION("IMPORTRANGE(""https://docs.google.com/spreadsheets/d/1vWPVBOAaZ6mHSI8yf95DNqHwTJ1cpeFsvqt6cxV34QA/edit?usp=sharing"",""ตราด!N641"")"),0)</f>
        <v>0</v>
      </c>
      <c r="R58" s="62">
        <f t="shared" ca="1" si="34"/>
        <v>0</v>
      </c>
      <c r="S58" s="57">
        <f ca="1">IFERROR(__xludf.DUMMYFUNCTION("IMPORTRANGE(""https://docs.google.com/spreadsheets/d/1vWPVBOAaZ6mHSI8yf95DNqHwTJ1cpeFsvqt6cxV34QA/edit?usp=sharing"",""ตราด!I643"")"),0)</f>
        <v>0</v>
      </c>
      <c r="T58" s="57">
        <f ca="1">IFERROR(__xludf.DUMMYFUNCTION("IMPORTRANGE(""https://docs.google.com/spreadsheets/d/1vWPVBOAaZ6mHSI8yf95DNqHwTJ1cpeFsvqt6cxV34QA/edit?usp=sharing"",""ตราด!J643"")"),0)</f>
        <v>0</v>
      </c>
      <c r="U58" s="63">
        <f t="shared" ca="1" si="25"/>
        <v>0</v>
      </c>
      <c r="V58" s="57">
        <f ca="1">IFERROR(__xludf.DUMMYFUNCTION("IMPORTRANGE(""https://docs.google.com/spreadsheets/d/1vWPVBOAaZ6mHSI8yf95DNqHwTJ1cpeFsvqt6cxV34QA/edit?usp=sharing"",""ตราด!I644"")"),0)</f>
        <v>0</v>
      </c>
      <c r="W58" s="57">
        <f ca="1">IFERROR(__xludf.DUMMYFUNCTION("IMPORTRANGE(""https://docs.google.com/spreadsheets/d/1vWPVBOAaZ6mHSI8yf95DNqHwTJ1cpeFsvqt6cxV34QA/edit?usp=sharing"",""ตราด!J644"")"),0)</f>
        <v>0</v>
      </c>
      <c r="X58" s="63">
        <f t="shared" ca="1" si="26"/>
        <v>0</v>
      </c>
      <c r="Y58" s="57">
        <f ca="1">IFERROR(__xludf.DUMMYFUNCTION("IMPORTRANGE(""https://docs.google.com/spreadsheets/d/1vWPVBOAaZ6mHSI8yf95DNqHwTJ1cpeFsvqt6cxV34QA/edit?usp=sharing"",""ตราด!J645"")"),0)</f>
        <v>0</v>
      </c>
      <c r="Z58" s="63">
        <f ca="1">IFERROR(__xludf.DUMMYFUNCTION("IMPORTRANGE(""https://docs.google.com/spreadsheets/d/1vWPVBOAaZ6mHSI8yf95DNqHwTJ1cpeFsvqt6cxV34QA/edit?usp=sharing"",""ตราด!J646"")"),0)</f>
        <v>0</v>
      </c>
      <c r="AA58" s="57">
        <f ca="1">IFERROR(__xludf.DUMMYFUNCTION("IMPORTRANGE(""https://docs.google.com/spreadsheets/d/1vWPVBOAaZ6mHSI8yf95DNqHwTJ1cpeFsvqt6cxV34QA/edit?usp=sharing"",""ตราด!I647"")"),90)</f>
        <v>90</v>
      </c>
      <c r="AB58" s="57">
        <f ca="1">IFERROR(__xludf.DUMMYFUNCTION("IMPORTRANGE(""https://docs.google.com/spreadsheets/d/1vWPVBOAaZ6mHSI8yf95DNqHwTJ1cpeFsvqt6cxV34QA/edit?usp=sharing"",""ตราด!J647"")"),2)</f>
        <v>2</v>
      </c>
      <c r="AC58" s="63">
        <f ca="1">IFERROR(__xludf.DUMMYFUNCTION("IMPORTRANGE(""https://docs.google.com/spreadsheets/d/1vWPVBOAaZ6mHSI8yf95DNqHwTJ1cpeFsvqt6cxV34QA/edit?usp=sharing"",""ตราด!J648"")"),2.65)</f>
        <v>2.65</v>
      </c>
      <c r="AD58" s="63">
        <f t="shared" ca="1" si="27"/>
        <v>2.2222222222222223</v>
      </c>
      <c r="AE58" s="140">
        <f ca="1">IFERROR(__xludf.DUMMYFUNCTION("IMPORTRANGE(""https://docs.google.com/spreadsheets/d/1vWPVBOAaZ6mHSI8yf95DNqHwTJ1cpeFsvqt6cxV34QA/edit?usp=sharing"",""ตราด!I649"")"),90)</f>
        <v>90</v>
      </c>
      <c r="AF58" s="57">
        <f ca="1">IFERROR(__xludf.DUMMYFUNCTION("IMPORTRANGE(""https://docs.google.com/spreadsheets/d/1vWPVBOAaZ6mHSI8yf95DNqHwTJ1cpeFsvqt6cxV34QA/edit?usp=sharing"",""ตราด!J649"")"),0)</f>
        <v>0</v>
      </c>
      <c r="AG58" s="63">
        <f ca="1">IFERROR(__xludf.DUMMYFUNCTION("IMPORTRANGE(""https://docs.google.com/spreadsheets/d/1vWPVBOAaZ6mHSI8yf95DNqHwTJ1cpeFsvqt6cxV34QA/edit?usp=sharing"",""ตราด!J650"")"),0)</f>
        <v>0</v>
      </c>
      <c r="AH58" s="63">
        <f t="shared" ca="1" si="28"/>
        <v>0</v>
      </c>
      <c r="AI58" s="140">
        <f ca="1">IFERROR(__xludf.DUMMYFUNCTION("IMPORTRANGE(""https://docs.google.com/spreadsheets/d/1vWPVBOAaZ6mHSI8yf95DNqHwTJ1cpeFsvqt6cxV34QA/edit?usp=sharing"",""ตราด!I651"")"),90)</f>
        <v>90</v>
      </c>
      <c r="AJ58" s="57">
        <f ca="1">IFERROR(__xludf.DUMMYFUNCTION("IMPORTRANGE(""https://docs.google.com/spreadsheets/d/1vWPVBOAaZ6mHSI8yf95DNqHwTJ1cpeFsvqt6cxV34QA/edit?usp=sharing"",""ตราด!J651"")"),0)</f>
        <v>0</v>
      </c>
      <c r="AK58" s="63">
        <f ca="1">IFERROR(__xludf.DUMMYFUNCTION("IMPORTRANGE(""https://docs.google.com/spreadsheets/d/1vWPVBOAaZ6mHSI8yf95DNqHwTJ1cpeFsvqt6cxV34QA/edit?usp=sharing"",""ตราด!J652"")"),0)</f>
        <v>0</v>
      </c>
      <c r="AL58" s="63">
        <f t="shared" ca="1" si="29"/>
        <v>0</v>
      </c>
    </row>
    <row r="59" spans="1:38" ht="21" customHeight="1" x14ac:dyDescent="0.3">
      <c r="A59" s="54">
        <v>7</v>
      </c>
      <c r="B59" s="55" t="s">
        <v>80</v>
      </c>
      <c r="C59" s="56">
        <f t="shared" ca="1" si="58"/>
        <v>0</v>
      </c>
      <c r="D59" s="57">
        <f ca="1">IFERROR(__xludf.DUMMYFUNCTION("IMPORTRANGE(""https://docs.google.com/spreadsheets/d/1phaeSb9lTGgzDpbvVqI9hfmOQQzUom07-HEvpbARzEg/edit?usp=sharing"",""นครนายก!L634"")"),0)</f>
        <v>0</v>
      </c>
      <c r="E59" s="64">
        <f ca="1">IFERROR(__xludf.DUMMYFUNCTION("IMPORTRANGE(""https://docs.google.com/spreadsheets/d/1phaeSb9lTGgzDpbvVqI9hfmOQQzUom07-HEvpbARzEg/edit?usp=sharing"",""นครนายก!L641"")"),0)</f>
        <v>0</v>
      </c>
      <c r="F59" s="64">
        <f ca="1">IFERROR(__xludf.DUMMYFUNCTION("IMPORTRANGE(""https://docs.google.com/spreadsheets/d/1phaeSb9lTGgzDpbvVqI9hfmOQQzUom07-HEvpbARzEg/edit?usp=sharing"",""นครนายก!M634"")"),0)</f>
        <v>0</v>
      </c>
      <c r="G59" s="64">
        <f ca="1">IFERROR(__xludf.DUMMYFUNCTION("IMPORTRANGE(""https://docs.google.com/spreadsheets/d/1phaeSb9lTGgzDpbvVqI9hfmOQQzUom07-HEvpbARzEg/edit?usp=sharing"",""นครนายก!M641"")"),0)</f>
        <v>0</v>
      </c>
      <c r="H59" s="58">
        <f t="shared" ca="1" si="24"/>
        <v>0</v>
      </c>
      <c r="I59" s="59">
        <f t="shared" ca="1" si="1"/>
        <v>0</v>
      </c>
      <c r="J59" s="60">
        <f t="shared" ca="1" si="59"/>
        <v>0</v>
      </c>
      <c r="K59" s="61">
        <f t="shared" ca="1" si="31"/>
        <v>0</v>
      </c>
      <c r="L59" s="61">
        <f t="shared" ca="1" si="32"/>
        <v>0</v>
      </c>
      <c r="M59" s="64">
        <f ca="1">IFERROR(__xludf.DUMMYFUNCTION("IMPORTRANGE(""https://docs.google.com/spreadsheets/d/1phaeSb9lTGgzDpbvVqI9hfmOQQzUom07-HEvpbARzEg/edit?usp=sharing"",""นครนายก!N635"")"),0)</f>
        <v>0</v>
      </c>
      <c r="N59" s="64">
        <f ca="1">IFERROR(__xludf.DUMMYFUNCTION("IMPORTRANGE(""https://docs.google.com/spreadsheets/d/1phaeSb9lTGgzDpbvVqI9hfmOQQzUom07-HEvpbARzEg/edit?usp=sharing"",""นครนายก!N636"")"),0)</f>
        <v>0</v>
      </c>
      <c r="O59" s="64">
        <f ca="1">IFERROR(__xludf.DUMMYFUNCTION("IMPORTRANGE(""https://docs.google.com/spreadsheets/d/1phaeSb9lTGgzDpbvVqI9hfmOQQzUom07-HEvpbARzEg/edit?usp=sharing"",""นครนายก!N637"")"),0)</f>
        <v>0</v>
      </c>
      <c r="P59" s="64">
        <f ca="1">IFERROR(__xludf.DUMMYFUNCTION("IMPORTRANGE(""https://docs.google.com/spreadsheets/d/1phaeSb9lTGgzDpbvVqI9hfmOQQzUom07-HEvpbARzEg/edit?usp=sharing"",""นครนายก!N638"")"),0)</f>
        <v>0</v>
      </c>
      <c r="Q59" s="62">
        <f ca="1">IFERROR(__xludf.DUMMYFUNCTION("IMPORTRANGE(""https://docs.google.com/spreadsheets/d/1phaeSb9lTGgzDpbvVqI9hfmOQQzUom07-HEvpbARzEg/edit?usp=sharing"",""นครนายก!N641"")"),0)</f>
        <v>0</v>
      </c>
      <c r="R59" s="62">
        <f t="shared" ca="1" si="34"/>
        <v>0</v>
      </c>
      <c r="S59" s="57">
        <f ca="1">IFERROR(__xludf.DUMMYFUNCTION("IMPORTRANGE(""https://docs.google.com/spreadsheets/d/1phaeSb9lTGgzDpbvVqI9hfmOQQzUom07-HEvpbARzEg/edit?usp=sharing"",""นครนายก!I643"")"),0)</f>
        <v>0</v>
      </c>
      <c r="T59" s="57">
        <f ca="1">IFERROR(__xludf.DUMMYFUNCTION("IMPORTRANGE(""https://docs.google.com/spreadsheets/d/1phaeSb9lTGgzDpbvVqI9hfmOQQzUom07-HEvpbARzEg/edit?usp=sharing"",""นครนายก!J643"")"),0)</f>
        <v>0</v>
      </c>
      <c r="U59" s="63">
        <f t="shared" ca="1" si="25"/>
        <v>0</v>
      </c>
      <c r="V59" s="57">
        <f ca="1">IFERROR(__xludf.DUMMYFUNCTION("IMPORTRANGE(""https://docs.google.com/spreadsheets/d/1phaeSb9lTGgzDpbvVqI9hfmOQQzUom07-HEvpbARzEg/edit?usp=sharing"",""นครนายก!I644"")"),0)</f>
        <v>0</v>
      </c>
      <c r="W59" s="57">
        <f ca="1">IFERROR(__xludf.DUMMYFUNCTION("IMPORTRANGE(""https://docs.google.com/spreadsheets/d/1phaeSb9lTGgzDpbvVqI9hfmOQQzUom07-HEvpbARzEg/edit?usp=sharing"",""นครนายก!J644"")"),0)</f>
        <v>0</v>
      </c>
      <c r="X59" s="63">
        <f t="shared" ca="1" si="26"/>
        <v>0</v>
      </c>
      <c r="Y59" s="57">
        <f ca="1">IFERROR(__xludf.DUMMYFUNCTION("IMPORTRANGE(""https://docs.google.com/spreadsheets/d/1phaeSb9lTGgzDpbvVqI9hfmOQQzUom07-HEvpbARzEg/edit?usp=sharing"",""นครนายก!J645"")"),0)</f>
        <v>0</v>
      </c>
      <c r="Z59" s="63">
        <f ca="1">IFERROR(__xludf.DUMMYFUNCTION("IMPORTRANGE(""https://docs.google.com/spreadsheets/d/1phaeSb9lTGgzDpbvVqI9hfmOQQzUom07-HEvpbARzEg/edit?usp=sharing"",""นครนายก!J646"")"),0)</f>
        <v>0</v>
      </c>
      <c r="AA59" s="57">
        <f ca="1">IFERROR(__xludf.DUMMYFUNCTION("IMPORTRANGE(""https://docs.google.com/spreadsheets/d/1phaeSb9lTGgzDpbvVqI9hfmOQQzUom07-HEvpbARzEg/edit?usp=sharing"",""นครนายก!I647"")"),0)</f>
        <v>0</v>
      </c>
      <c r="AB59" s="57">
        <f ca="1">IFERROR(__xludf.DUMMYFUNCTION("IMPORTRANGE(""https://docs.google.com/spreadsheets/d/1phaeSb9lTGgzDpbvVqI9hfmOQQzUom07-HEvpbARzEg/edit?usp=sharing"",""นครนายก!J647"")"),0)</f>
        <v>0</v>
      </c>
      <c r="AC59" s="63">
        <f ca="1">IFERROR(__xludf.DUMMYFUNCTION("IMPORTRANGE(""https://docs.google.com/spreadsheets/d/1phaeSb9lTGgzDpbvVqI9hfmOQQzUom07-HEvpbARzEg/edit?usp=sharing"",""นครนายก!J648"")"),0)</f>
        <v>0</v>
      </c>
      <c r="AD59" s="63">
        <f t="shared" ca="1" si="27"/>
        <v>0</v>
      </c>
      <c r="AE59" s="140">
        <f ca="1">IFERROR(__xludf.DUMMYFUNCTION("IMPORTRANGE(""https://docs.google.com/spreadsheets/d/1phaeSb9lTGgzDpbvVqI9hfmOQQzUom07-HEvpbARzEg/edit?usp=sharing"",""นครนายก!I649"")"),0)</f>
        <v>0</v>
      </c>
      <c r="AF59" s="57">
        <f ca="1">IFERROR(__xludf.DUMMYFUNCTION("IMPORTRANGE(""https://docs.google.com/spreadsheets/d/1phaeSb9lTGgzDpbvVqI9hfmOQQzUom07-HEvpbARzEg/edit?usp=sharing"",""นครนายก!J649"")"),0)</f>
        <v>0</v>
      </c>
      <c r="AG59" s="63">
        <f ca="1">IFERROR(__xludf.DUMMYFUNCTION("IMPORTRANGE(""https://docs.google.com/spreadsheets/d/1phaeSb9lTGgzDpbvVqI9hfmOQQzUom07-HEvpbARzEg/edit?usp=sharing"",""นครนายก!J650"")"),0)</f>
        <v>0</v>
      </c>
      <c r="AH59" s="63">
        <f t="shared" ca="1" si="28"/>
        <v>0</v>
      </c>
      <c r="AI59" s="140">
        <f ca="1">IFERROR(__xludf.DUMMYFUNCTION("IMPORTRANGE(""https://docs.google.com/spreadsheets/d/1phaeSb9lTGgzDpbvVqI9hfmOQQzUom07-HEvpbARzEg/edit?usp=sharing"",""นครนายก!I651"")"),0)</f>
        <v>0</v>
      </c>
      <c r="AJ59" s="57">
        <f ca="1">IFERROR(__xludf.DUMMYFUNCTION("IMPORTRANGE(""https://docs.google.com/spreadsheets/d/1phaeSb9lTGgzDpbvVqI9hfmOQQzUom07-HEvpbARzEg/edit?usp=sharing"",""นครนายก!J651"")"),0)</f>
        <v>0</v>
      </c>
      <c r="AK59" s="63">
        <f ca="1">IFERROR(__xludf.DUMMYFUNCTION("IMPORTRANGE(""https://docs.google.com/spreadsheets/d/1phaeSb9lTGgzDpbvVqI9hfmOQQzUom07-HEvpbARzEg/edit?usp=sharing"",""นครนายก!J652"")"),0)</f>
        <v>0</v>
      </c>
      <c r="AL59" s="63">
        <f t="shared" ca="1" si="29"/>
        <v>0</v>
      </c>
    </row>
    <row r="60" spans="1:38" ht="21" customHeight="1" x14ac:dyDescent="0.3">
      <c r="A60" s="54">
        <v>8</v>
      </c>
      <c r="B60" s="55" t="s">
        <v>81</v>
      </c>
      <c r="C60" s="56">
        <f t="shared" ca="1" si="58"/>
        <v>0</v>
      </c>
      <c r="D60" s="57">
        <f ca="1">IFERROR(__xludf.DUMMYFUNCTION("IMPORTRANGE(""https://docs.google.com/spreadsheets/d/1tpwhWwkqkBeiSWCcfB5f2fbwPRbM9hHOEDSDHpl2MIc/edit?usp=sharing"",""นครปฐม!L634"")"),0)</f>
        <v>0</v>
      </c>
      <c r="E60" s="64">
        <f ca="1">IFERROR(__xludf.DUMMYFUNCTION("IMPORTRANGE(""https://docs.google.com/spreadsheets/d/1tpwhWwkqkBeiSWCcfB5f2fbwPRbM9hHOEDSDHpl2MIc/edit?usp=sharing"",""นครปฐม!L641"")"),0)</f>
        <v>0</v>
      </c>
      <c r="F60" s="64">
        <f ca="1">IFERROR(__xludf.DUMMYFUNCTION("IMPORTRANGE(""https://docs.google.com/spreadsheets/d/1tpwhWwkqkBeiSWCcfB5f2fbwPRbM9hHOEDSDHpl2MIc/edit?usp=sharing"",""นครปฐม!M634"")"),0)</f>
        <v>0</v>
      </c>
      <c r="G60" s="64">
        <f ca="1">IFERROR(__xludf.DUMMYFUNCTION("IMPORTRANGE(""https://docs.google.com/spreadsheets/d/1tpwhWwkqkBeiSWCcfB5f2fbwPRbM9hHOEDSDHpl2MIc/edit?usp=sharing"",""นครปฐม!M641"")"),0)</f>
        <v>0</v>
      </c>
      <c r="H60" s="58">
        <f t="shared" ca="1" si="24"/>
        <v>0</v>
      </c>
      <c r="I60" s="59">
        <f t="shared" ca="1" si="1"/>
        <v>0</v>
      </c>
      <c r="J60" s="60">
        <f t="shared" ca="1" si="59"/>
        <v>0</v>
      </c>
      <c r="K60" s="61">
        <f t="shared" ca="1" si="31"/>
        <v>0</v>
      </c>
      <c r="L60" s="61">
        <f t="shared" ca="1" si="32"/>
        <v>0</v>
      </c>
      <c r="M60" s="64">
        <f ca="1">IFERROR(__xludf.DUMMYFUNCTION("IMPORTRANGE(""https://docs.google.com/spreadsheets/d/1tpwhWwkqkBeiSWCcfB5f2fbwPRbM9hHOEDSDHpl2MIc/edit?usp=sharing"",""นครปฐม!N635"")"),0)</f>
        <v>0</v>
      </c>
      <c r="N60" s="64">
        <f ca="1">IFERROR(__xludf.DUMMYFUNCTION("IMPORTRANGE(""https://docs.google.com/spreadsheets/d/1tpwhWwkqkBeiSWCcfB5f2fbwPRbM9hHOEDSDHpl2MIc/edit?usp=sharing"",""นครปฐม!N636"")"),0)</f>
        <v>0</v>
      </c>
      <c r="O60" s="64">
        <f ca="1">IFERROR(__xludf.DUMMYFUNCTION("IMPORTRANGE(""https://docs.google.com/spreadsheets/d/1tpwhWwkqkBeiSWCcfB5f2fbwPRbM9hHOEDSDHpl2MIc/edit?usp=sharing"",""นครปฐม!N637"")"),0)</f>
        <v>0</v>
      </c>
      <c r="P60" s="64">
        <f ca="1">IFERROR(__xludf.DUMMYFUNCTION("IMPORTRANGE(""https://docs.google.com/spreadsheets/d/1tpwhWwkqkBeiSWCcfB5f2fbwPRbM9hHOEDSDHpl2MIc/edit?usp=sharing"",""นครปฐม!N638"")"),0)</f>
        <v>0</v>
      </c>
      <c r="Q60" s="62">
        <f ca="1">IFERROR(__xludf.DUMMYFUNCTION("IMPORTRANGE(""https://docs.google.com/spreadsheets/d/1tpwhWwkqkBeiSWCcfB5f2fbwPRbM9hHOEDSDHpl2MIc/edit?usp=sharing"",""นครปฐม!N641"")"),0)</f>
        <v>0</v>
      </c>
      <c r="R60" s="62">
        <f t="shared" ca="1" si="34"/>
        <v>0</v>
      </c>
      <c r="S60" s="57">
        <f ca="1">IFERROR(__xludf.DUMMYFUNCTION("IMPORTRANGE(""https://docs.google.com/spreadsheets/d/1tpwhWwkqkBeiSWCcfB5f2fbwPRbM9hHOEDSDHpl2MIc/edit?usp=sharing"",""นครปฐม!I643"")"),0)</f>
        <v>0</v>
      </c>
      <c r="T60" s="57">
        <f ca="1">IFERROR(__xludf.DUMMYFUNCTION("IMPORTRANGE(""https://docs.google.com/spreadsheets/d/1tpwhWwkqkBeiSWCcfB5f2fbwPRbM9hHOEDSDHpl2MIc/edit?usp=sharing"",""นครปฐม!J643"")"),0)</f>
        <v>0</v>
      </c>
      <c r="U60" s="63">
        <f t="shared" ca="1" si="25"/>
        <v>0</v>
      </c>
      <c r="V60" s="57">
        <f ca="1">IFERROR(__xludf.DUMMYFUNCTION("IMPORTRANGE(""https://docs.google.com/spreadsheets/d/1tpwhWwkqkBeiSWCcfB5f2fbwPRbM9hHOEDSDHpl2MIc/edit?usp=sharing"",""นครปฐม!I644"")"),0)</f>
        <v>0</v>
      </c>
      <c r="W60" s="57">
        <f ca="1">IFERROR(__xludf.DUMMYFUNCTION("IMPORTRANGE(""https://docs.google.com/spreadsheets/d/1tpwhWwkqkBeiSWCcfB5f2fbwPRbM9hHOEDSDHpl2MIc/edit?usp=sharing"",""นครปฐม!J644"")"),0)</f>
        <v>0</v>
      </c>
      <c r="X60" s="63">
        <f t="shared" ca="1" si="26"/>
        <v>0</v>
      </c>
      <c r="Y60" s="57">
        <f ca="1">IFERROR(__xludf.DUMMYFUNCTION("IMPORTRANGE(""https://docs.google.com/spreadsheets/d/1tpwhWwkqkBeiSWCcfB5f2fbwPRbM9hHOEDSDHpl2MIc/edit?usp=sharing"",""นครปฐม!J645"")"),0)</f>
        <v>0</v>
      </c>
      <c r="Z60" s="63">
        <f ca="1">IFERROR(__xludf.DUMMYFUNCTION("IMPORTRANGE(""https://docs.google.com/spreadsheets/d/1tpwhWwkqkBeiSWCcfB5f2fbwPRbM9hHOEDSDHpl2MIc/edit?usp=sharing"",""นครปฐม!J646"")"),0)</f>
        <v>0</v>
      </c>
      <c r="AA60" s="57">
        <f ca="1">IFERROR(__xludf.DUMMYFUNCTION("IMPORTRANGE(""https://docs.google.com/spreadsheets/d/1tpwhWwkqkBeiSWCcfB5f2fbwPRbM9hHOEDSDHpl2MIc/edit?usp=sharing"",""นครปฐม!I647"")"),0)</f>
        <v>0</v>
      </c>
      <c r="AB60" s="57">
        <f ca="1">IFERROR(__xludf.DUMMYFUNCTION("IMPORTRANGE(""https://docs.google.com/spreadsheets/d/1tpwhWwkqkBeiSWCcfB5f2fbwPRbM9hHOEDSDHpl2MIc/edit?usp=sharing"",""นครปฐม!J647"")"),0)</f>
        <v>0</v>
      </c>
      <c r="AC60" s="63">
        <f ca="1">IFERROR(__xludf.DUMMYFUNCTION("IMPORTRANGE(""https://docs.google.com/spreadsheets/d/1tpwhWwkqkBeiSWCcfB5f2fbwPRbM9hHOEDSDHpl2MIc/edit?usp=sharing"",""นครปฐม!J648"")"),0)</f>
        <v>0</v>
      </c>
      <c r="AD60" s="63">
        <f t="shared" ca="1" si="27"/>
        <v>0</v>
      </c>
      <c r="AE60" s="140">
        <f ca="1">IFERROR(__xludf.DUMMYFUNCTION("IMPORTRANGE(""https://docs.google.com/spreadsheets/d/1tpwhWwkqkBeiSWCcfB5f2fbwPRbM9hHOEDSDHpl2MIc/edit?usp=sharing"",""นครปฐม!I649"")"),0)</f>
        <v>0</v>
      </c>
      <c r="AF60" s="57">
        <f ca="1">IFERROR(__xludf.DUMMYFUNCTION("IMPORTRANGE(""https://docs.google.com/spreadsheets/d/1tpwhWwkqkBeiSWCcfB5f2fbwPRbM9hHOEDSDHpl2MIc/edit?usp=sharing"",""นครปฐม!J649"")"),0)</f>
        <v>0</v>
      </c>
      <c r="AG60" s="63">
        <f ca="1">IFERROR(__xludf.DUMMYFUNCTION("IMPORTRANGE(""https://docs.google.com/spreadsheets/d/1tpwhWwkqkBeiSWCcfB5f2fbwPRbM9hHOEDSDHpl2MIc/edit?usp=sharing"",""นครปฐม!J650"")"),0)</f>
        <v>0</v>
      </c>
      <c r="AH60" s="63">
        <f t="shared" ca="1" si="28"/>
        <v>0</v>
      </c>
      <c r="AI60" s="140">
        <f ca="1">IFERROR(__xludf.DUMMYFUNCTION("IMPORTRANGE(""https://docs.google.com/spreadsheets/d/1tpwhWwkqkBeiSWCcfB5f2fbwPRbM9hHOEDSDHpl2MIc/edit?usp=sharing"",""นครปฐม!I651"")"),0)</f>
        <v>0</v>
      </c>
      <c r="AJ60" s="57">
        <f ca="1">IFERROR(__xludf.DUMMYFUNCTION("IMPORTRANGE(""https://docs.google.com/spreadsheets/d/1tpwhWwkqkBeiSWCcfB5f2fbwPRbM9hHOEDSDHpl2MIc/edit?usp=sharing"",""นครปฐม!J651"")"),0)</f>
        <v>0</v>
      </c>
      <c r="AK60" s="63">
        <f ca="1">IFERROR(__xludf.DUMMYFUNCTION("IMPORTRANGE(""https://docs.google.com/spreadsheets/d/1tpwhWwkqkBeiSWCcfB5f2fbwPRbM9hHOEDSDHpl2MIc/edit?usp=sharing"",""นครปฐม!J652"")"),0)</f>
        <v>0</v>
      </c>
      <c r="AL60" s="63">
        <f t="shared" ca="1" si="29"/>
        <v>0</v>
      </c>
    </row>
    <row r="61" spans="1:38" ht="21" customHeight="1" x14ac:dyDescent="0.3">
      <c r="A61" s="54">
        <v>9</v>
      </c>
      <c r="B61" s="55" t="s">
        <v>82</v>
      </c>
      <c r="C61" s="56">
        <f t="shared" ca="1" si="58"/>
        <v>0</v>
      </c>
      <c r="D61" s="57">
        <f ca="1">IFERROR(__xludf.DUMMYFUNCTION("IMPORTRANGE(""https://docs.google.com/spreadsheets/d/1fJJCVBkBnhriyv0Cp5ZFMr0I_yrfdEITNpb4zILJgUQ/edit?usp=sharing"",""ปทุมธานี!L634"")"),0)</f>
        <v>0</v>
      </c>
      <c r="E61" s="64">
        <f ca="1">IFERROR(__xludf.DUMMYFUNCTION("IMPORTRANGE(""https://docs.google.com/spreadsheets/d/1fJJCVBkBnhriyv0Cp5ZFMr0I_yrfdEITNpb4zILJgUQ/edit?usp=sharing"",""ปทุมธานี!L641"")"),0)</f>
        <v>0</v>
      </c>
      <c r="F61" s="64">
        <f ca="1">IFERROR(__xludf.DUMMYFUNCTION("IMPORTRANGE(""https://docs.google.com/spreadsheets/d/1fJJCVBkBnhriyv0Cp5ZFMr0I_yrfdEITNpb4zILJgUQ/edit?usp=sharing"",""ปทุมธานี!M634"")"),0)</f>
        <v>0</v>
      </c>
      <c r="G61" s="64">
        <f ca="1">IFERROR(__xludf.DUMMYFUNCTION("IMPORTRANGE(""https://docs.google.com/spreadsheets/d/1fJJCVBkBnhriyv0Cp5ZFMr0I_yrfdEITNpb4zILJgUQ/edit?usp=sharing"",""ปทุมธานี!M641"")"),0)</f>
        <v>0</v>
      </c>
      <c r="H61" s="58">
        <f t="shared" ca="1" si="24"/>
        <v>0</v>
      </c>
      <c r="I61" s="59">
        <f t="shared" ca="1" si="1"/>
        <v>0</v>
      </c>
      <c r="J61" s="60">
        <f t="shared" ca="1" si="59"/>
        <v>0</v>
      </c>
      <c r="K61" s="61">
        <f t="shared" ca="1" si="31"/>
        <v>0</v>
      </c>
      <c r="L61" s="61">
        <f t="shared" ca="1" si="32"/>
        <v>0</v>
      </c>
      <c r="M61" s="64">
        <f ca="1">IFERROR(__xludf.DUMMYFUNCTION("IMPORTRANGE(""https://docs.google.com/spreadsheets/d/1fJJCVBkBnhriyv0Cp5ZFMr0I_yrfdEITNpb4zILJgUQ/edit?usp=sharing"",""ปทุมธานี!N635"")"),0)</f>
        <v>0</v>
      </c>
      <c r="N61" s="64">
        <f ca="1">IFERROR(__xludf.DUMMYFUNCTION("IMPORTRANGE(""https://docs.google.com/spreadsheets/d/1fJJCVBkBnhriyv0Cp5ZFMr0I_yrfdEITNpb4zILJgUQ/edit?usp=sharing"",""ปทุมธานี!N636"")"),0)</f>
        <v>0</v>
      </c>
      <c r="O61" s="64">
        <f ca="1">IFERROR(__xludf.DUMMYFUNCTION("IMPORTRANGE(""https://docs.google.com/spreadsheets/d/1fJJCVBkBnhriyv0Cp5ZFMr0I_yrfdEITNpb4zILJgUQ/edit?usp=sharing"",""ปทุมธานี!N637"")"),0)</f>
        <v>0</v>
      </c>
      <c r="P61" s="64">
        <f ca="1">IFERROR(__xludf.DUMMYFUNCTION("IMPORTRANGE(""https://docs.google.com/spreadsheets/d/1fJJCVBkBnhriyv0Cp5ZFMr0I_yrfdEITNpb4zILJgUQ/edit?usp=sharing"",""ปทุมธานี!N638"")"),0)</f>
        <v>0</v>
      </c>
      <c r="Q61" s="62">
        <f ca="1">IFERROR(__xludf.DUMMYFUNCTION("IMPORTRANGE(""https://docs.google.com/spreadsheets/d/1fJJCVBkBnhriyv0Cp5ZFMr0I_yrfdEITNpb4zILJgUQ/edit?usp=sharing"",""ปทุมธานี!N641"")"),0)</f>
        <v>0</v>
      </c>
      <c r="R61" s="62">
        <f t="shared" ca="1" si="34"/>
        <v>0</v>
      </c>
      <c r="S61" s="57">
        <f ca="1">IFERROR(__xludf.DUMMYFUNCTION("IMPORTRANGE(""https://docs.google.com/spreadsheets/d/1fJJCVBkBnhriyv0Cp5ZFMr0I_yrfdEITNpb4zILJgUQ/edit?usp=sharing"",""ปทุมธานี!I643"")"),0)</f>
        <v>0</v>
      </c>
      <c r="T61" s="57">
        <f ca="1">IFERROR(__xludf.DUMMYFUNCTION("IMPORTRANGE(""https://docs.google.com/spreadsheets/d/1fJJCVBkBnhriyv0Cp5ZFMr0I_yrfdEITNpb4zILJgUQ/edit?usp=sharing"",""ปทุมธานี!J643"")"),0)</f>
        <v>0</v>
      </c>
      <c r="U61" s="63">
        <f t="shared" ca="1" si="25"/>
        <v>0</v>
      </c>
      <c r="V61" s="57">
        <f ca="1">IFERROR(__xludf.DUMMYFUNCTION("IMPORTRANGE(""https://docs.google.com/spreadsheets/d/1fJJCVBkBnhriyv0Cp5ZFMr0I_yrfdEITNpb4zILJgUQ/edit?usp=sharing"",""ปทุมธานี!I644"")"),0)</f>
        <v>0</v>
      </c>
      <c r="W61" s="57">
        <f ca="1">IFERROR(__xludf.DUMMYFUNCTION("IMPORTRANGE(""https://docs.google.com/spreadsheets/d/1fJJCVBkBnhriyv0Cp5ZFMr0I_yrfdEITNpb4zILJgUQ/edit?usp=sharing"",""ปทุมธานี!J644"")"),0)</f>
        <v>0</v>
      </c>
      <c r="X61" s="63">
        <f t="shared" ca="1" si="26"/>
        <v>0</v>
      </c>
      <c r="Y61" s="57">
        <f ca="1">IFERROR(__xludf.DUMMYFUNCTION("IMPORTRANGE(""https://docs.google.com/spreadsheets/d/1fJJCVBkBnhriyv0Cp5ZFMr0I_yrfdEITNpb4zILJgUQ/edit?usp=sharing"",""ปทุมธานี!J645"")"),0)</f>
        <v>0</v>
      </c>
      <c r="Z61" s="63">
        <f ca="1">IFERROR(__xludf.DUMMYFUNCTION("IMPORTRANGE(""https://docs.google.com/spreadsheets/d/1fJJCVBkBnhriyv0Cp5ZFMr0I_yrfdEITNpb4zILJgUQ/edit?usp=sharing"",""ปทุมธานี!J646"")"),0)</f>
        <v>0</v>
      </c>
      <c r="AA61" s="57">
        <f ca="1">IFERROR(__xludf.DUMMYFUNCTION("IMPORTRANGE(""https://docs.google.com/spreadsheets/d/1fJJCVBkBnhriyv0Cp5ZFMr0I_yrfdEITNpb4zILJgUQ/edit?usp=sharing"",""ปทุมธานี!I647"")"),0)</f>
        <v>0</v>
      </c>
      <c r="AB61" s="57">
        <f ca="1">IFERROR(__xludf.DUMMYFUNCTION("IMPORTRANGE(""https://docs.google.com/spreadsheets/d/1fJJCVBkBnhriyv0Cp5ZFMr0I_yrfdEITNpb4zILJgUQ/edit?usp=sharing"",""ปทุมธานี!J647"")"),0)</f>
        <v>0</v>
      </c>
      <c r="AC61" s="63">
        <f ca="1">IFERROR(__xludf.DUMMYFUNCTION("IMPORTRANGE(""https://docs.google.com/spreadsheets/d/1fJJCVBkBnhriyv0Cp5ZFMr0I_yrfdEITNpb4zILJgUQ/edit?usp=sharing"",""ปทุมธานี!J648"")"),0)</f>
        <v>0</v>
      </c>
      <c r="AD61" s="63">
        <f t="shared" ca="1" si="27"/>
        <v>0</v>
      </c>
      <c r="AE61" s="140">
        <f ca="1">IFERROR(__xludf.DUMMYFUNCTION("IMPORTRANGE(""https://docs.google.com/spreadsheets/d/1fJJCVBkBnhriyv0Cp5ZFMr0I_yrfdEITNpb4zILJgUQ/edit?usp=sharing"",""ปทุมธานี!I649"")"),0)</f>
        <v>0</v>
      </c>
      <c r="AF61" s="57">
        <f ca="1">IFERROR(__xludf.DUMMYFUNCTION("IMPORTRANGE(""https://docs.google.com/spreadsheets/d/1fJJCVBkBnhriyv0Cp5ZFMr0I_yrfdEITNpb4zILJgUQ/edit?usp=sharing"",""ปทุมธานี!J649"")"),0)</f>
        <v>0</v>
      </c>
      <c r="AG61" s="63">
        <f ca="1">IFERROR(__xludf.DUMMYFUNCTION("IMPORTRANGE(""https://docs.google.com/spreadsheets/d/1fJJCVBkBnhriyv0Cp5ZFMr0I_yrfdEITNpb4zILJgUQ/edit?usp=sharing"",""ปทุมธานี!J650"")"),0)</f>
        <v>0</v>
      </c>
      <c r="AH61" s="63">
        <f t="shared" ca="1" si="28"/>
        <v>0</v>
      </c>
      <c r="AI61" s="140">
        <f ca="1">IFERROR(__xludf.DUMMYFUNCTION("IMPORTRANGE(""https://docs.google.com/spreadsheets/d/1fJJCVBkBnhriyv0Cp5ZFMr0I_yrfdEITNpb4zILJgUQ/edit?usp=sharing"",""ปทุมธานี!I651"")"),0)</f>
        <v>0</v>
      </c>
      <c r="AJ61" s="57">
        <f ca="1">IFERROR(__xludf.DUMMYFUNCTION("IMPORTRANGE(""https://docs.google.com/spreadsheets/d/1fJJCVBkBnhriyv0Cp5ZFMr0I_yrfdEITNpb4zILJgUQ/edit?usp=sharing"",""ปทุมธานี!J651"")"),0)</f>
        <v>0</v>
      </c>
      <c r="AK61" s="63">
        <f ca="1">IFERROR(__xludf.DUMMYFUNCTION("IMPORTRANGE(""https://docs.google.com/spreadsheets/d/1fJJCVBkBnhriyv0Cp5ZFMr0I_yrfdEITNpb4zILJgUQ/edit?usp=sharing"",""ปทุมธานี!J652"")"),0)</f>
        <v>0</v>
      </c>
      <c r="AL61" s="63">
        <f t="shared" ca="1" si="29"/>
        <v>0</v>
      </c>
    </row>
    <row r="62" spans="1:38" ht="21" customHeight="1" x14ac:dyDescent="0.3">
      <c r="A62" s="54">
        <v>10</v>
      </c>
      <c r="B62" s="55" t="s">
        <v>83</v>
      </c>
      <c r="C62" s="56">
        <f t="shared" ca="1" si="58"/>
        <v>329630</v>
      </c>
      <c r="D62" s="57">
        <f ca="1">IFERROR(__xludf.DUMMYFUNCTION("IMPORTRANGE(""https://docs.google.com/spreadsheets/d/1W5Jj_S0gYw6wSO7QcMI02YgyOBDKYgmm0NSUk-AQEac/edit?usp=sharing"",""ประจวบคีรีขันธ์!L634"")"),329630)</f>
        <v>329630</v>
      </c>
      <c r="E62" s="64">
        <f ca="1">IFERROR(__xludf.DUMMYFUNCTION("IMPORTRANGE(""https://docs.google.com/spreadsheets/d/1W5Jj_S0gYw6wSO7QcMI02YgyOBDKYgmm0NSUk-AQEac/edit?usp=sharing"",""ประจวบคีรีขันธ์!L641"")"),0)</f>
        <v>0</v>
      </c>
      <c r="F62" s="64">
        <f ca="1">IFERROR(__xludf.DUMMYFUNCTION("IMPORTRANGE(""https://docs.google.com/spreadsheets/d/1W5Jj_S0gYw6wSO7QcMI02YgyOBDKYgmm0NSUk-AQEac/edit?usp=sharing"",""ประจวบคีรีขันธ์!M634"")"),329630)</f>
        <v>329630</v>
      </c>
      <c r="G62" s="64">
        <f ca="1">IFERROR(__xludf.DUMMYFUNCTION("IMPORTRANGE(""https://docs.google.com/spreadsheets/d/1W5Jj_S0gYw6wSO7QcMI02YgyOBDKYgmm0NSUk-AQEac/edit?usp=sharing"",""ประจวบคีรีขันธ์!M641"")"),0)</f>
        <v>0</v>
      </c>
      <c r="H62" s="58">
        <f t="shared" ca="1" si="24"/>
        <v>75535.72</v>
      </c>
      <c r="I62" s="59">
        <f t="shared" ca="1" si="1"/>
        <v>22.915305038983103</v>
      </c>
      <c r="J62" s="60">
        <f t="shared" ca="1" si="59"/>
        <v>75535.72</v>
      </c>
      <c r="K62" s="61">
        <f t="shared" ca="1" si="31"/>
        <v>22.915305038983103</v>
      </c>
      <c r="L62" s="61">
        <f t="shared" ca="1" si="32"/>
        <v>22.915305038983103</v>
      </c>
      <c r="M62" s="64">
        <f ca="1">IFERROR(__xludf.DUMMYFUNCTION("IMPORTRANGE(""https://docs.google.com/spreadsheets/d/1W5Jj_S0gYw6wSO7QcMI02YgyOBDKYgmm0NSUk-AQEac/edit?usp=sharing"",""ประจวบคีรีขันธ์!N635"")"),0)</f>
        <v>0</v>
      </c>
      <c r="N62" s="64">
        <f ca="1">IFERROR(__xludf.DUMMYFUNCTION("IMPORTRANGE(""https://docs.google.com/spreadsheets/d/1W5Jj_S0gYw6wSO7QcMI02YgyOBDKYgmm0NSUk-AQEac/edit?usp=sharing"",""ประจวบคีรีขันธ์!N636"")"),0)</f>
        <v>0</v>
      </c>
      <c r="O62" s="64">
        <f ca="1">IFERROR(__xludf.DUMMYFUNCTION("IMPORTRANGE(""https://docs.google.com/spreadsheets/d/1W5Jj_S0gYw6wSO7QcMI02YgyOBDKYgmm0NSUk-AQEac/edit?usp=sharing"",""ประจวบคีรีขันธ์!N637"")"),64535.72)</f>
        <v>64535.72</v>
      </c>
      <c r="P62" s="64">
        <f ca="1">IFERROR(__xludf.DUMMYFUNCTION("IMPORTRANGE(""https://docs.google.com/spreadsheets/d/1W5Jj_S0gYw6wSO7QcMI02YgyOBDKYgmm0NSUk-AQEac/edit?usp=sharing"",""ประจวบคีรีขันธ์!N638"")"),11000)</f>
        <v>11000</v>
      </c>
      <c r="Q62" s="62">
        <f ca="1">IFERROR(__xludf.DUMMYFUNCTION("IMPORTRANGE(""https://docs.google.com/spreadsheets/d/1W5Jj_S0gYw6wSO7QcMI02YgyOBDKYgmm0NSUk-AQEac/edit?usp=sharing"",""ประจวบคีรีขันธ์!N641"")"),0)</f>
        <v>0</v>
      </c>
      <c r="R62" s="62">
        <f t="shared" ca="1" si="34"/>
        <v>0</v>
      </c>
      <c r="S62" s="57">
        <f ca="1">IFERROR(__xludf.DUMMYFUNCTION("IMPORTRANGE(""https://docs.google.com/spreadsheets/d/1W5Jj_S0gYw6wSO7QcMI02YgyOBDKYgmm0NSUk-AQEac/edit?usp=sharing"",""ประจวบคีรีขันธ์!I643"")"),0)</f>
        <v>0</v>
      </c>
      <c r="T62" s="57">
        <f ca="1">IFERROR(__xludf.DUMMYFUNCTION("IMPORTRANGE(""https://docs.google.com/spreadsheets/d/1W5Jj_S0gYw6wSO7QcMI02YgyOBDKYgmm0NSUk-AQEac/edit?usp=sharing"",""ประจวบคีรีขันธ์!J643"")"),0)</f>
        <v>0</v>
      </c>
      <c r="U62" s="63">
        <f t="shared" ca="1" si="25"/>
        <v>0</v>
      </c>
      <c r="V62" s="57">
        <f ca="1">IFERROR(__xludf.DUMMYFUNCTION("IMPORTRANGE(""https://docs.google.com/spreadsheets/d/1W5Jj_S0gYw6wSO7QcMI02YgyOBDKYgmm0NSUk-AQEac/edit?usp=sharing"",""ประจวบคีรีขันธ์!I644"")"),0)</f>
        <v>0</v>
      </c>
      <c r="W62" s="57">
        <f ca="1">IFERROR(__xludf.DUMMYFUNCTION("IMPORTRANGE(""https://docs.google.com/spreadsheets/d/1W5Jj_S0gYw6wSO7QcMI02YgyOBDKYgmm0NSUk-AQEac/edit?usp=sharing"",""ประจวบคีรีขันธ์!J644"")"),0)</f>
        <v>0</v>
      </c>
      <c r="X62" s="63">
        <f t="shared" ca="1" si="26"/>
        <v>0</v>
      </c>
      <c r="Y62" s="57">
        <f ca="1">IFERROR(__xludf.DUMMYFUNCTION("IMPORTRANGE(""https://docs.google.com/spreadsheets/d/1W5Jj_S0gYw6wSO7QcMI02YgyOBDKYgmm0NSUk-AQEac/edit?usp=sharing"",""ประจวบคีรีขันธ์!J645"")"),0)</f>
        <v>0</v>
      </c>
      <c r="Z62" s="63">
        <f ca="1">IFERROR(__xludf.DUMMYFUNCTION("IMPORTRANGE(""https://docs.google.com/spreadsheets/d/1W5Jj_S0gYw6wSO7QcMI02YgyOBDKYgmm0NSUk-AQEac/edit?usp=sharing"",""ประจวบคีรีขันธ์!J646"")"),0)</f>
        <v>0</v>
      </c>
      <c r="AA62" s="57">
        <f ca="1">IFERROR(__xludf.DUMMYFUNCTION("IMPORTRANGE(""https://docs.google.com/spreadsheets/d/1W5Jj_S0gYw6wSO7QcMI02YgyOBDKYgmm0NSUk-AQEac/edit?usp=sharing"",""ประจวบคีรีขันธ์!I647"")"),60)</f>
        <v>60</v>
      </c>
      <c r="AB62" s="57">
        <f ca="1">IFERROR(__xludf.DUMMYFUNCTION("IMPORTRANGE(""https://docs.google.com/spreadsheets/d/1W5Jj_S0gYw6wSO7QcMI02YgyOBDKYgmm0NSUk-AQEac/edit?usp=sharing"",""ประจวบคีรีขันธ์!J647"")"),0)</f>
        <v>0</v>
      </c>
      <c r="AC62" s="63">
        <f ca="1">IFERROR(__xludf.DUMMYFUNCTION("IMPORTRANGE(""https://docs.google.com/spreadsheets/d/1W5Jj_S0gYw6wSO7QcMI02YgyOBDKYgmm0NSUk-AQEac/edit?usp=sharing"",""ประจวบคีรีขันธ์!J648"")"),0)</f>
        <v>0</v>
      </c>
      <c r="AD62" s="63">
        <f t="shared" ca="1" si="27"/>
        <v>0</v>
      </c>
      <c r="AE62" s="140">
        <f ca="1">IFERROR(__xludf.DUMMYFUNCTION("IMPORTRANGE(""https://docs.google.com/spreadsheets/d/1W5Jj_S0gYw6wSO7QcMI02YgyOBDKYgmm0NSUk-AQEac/edit?usp=sharing"",""ประจวบคีรีขันธ์!I649"")"),60)</f>
        <v>60</v>
      </c>
      <c r="AF62" s="57">
        <f ca="1">IFERROR(__xludf.DUMMYFUNCTION("IMPORTRANGE(""https://docs.google.com/spreadsheets/d/1W5Jj_S0gYw6wSO7QcMI02YgyOBDKYgmm0NSUk-AQEac/edit?usp=sharing"",""ประจวบคีรีขันธ์!J649"")"),0)</f>
        <v>0</v>
      </c>
      <c r="AG62" s="63">
        <f ca="1">IFERROR(__xludf.DUMMYFUNCTION("IMPORTRANGE(""https://docs.google.com/spreadsheets/d/1W5Jj_S0gYw6wSO7QcMI02YgyOBDKYgmm0NSUk-AQEac/edit?usp=sharing"",""ประจวบคีรีขันธ์!J650"")"),0)</f>
        <v>0</v>
      </c>
      <c r="AH62" s="63">
        <f t="shared" ca="1" si="28"/>
        <v>0</v>
      </c>
      <c r="AI62" s="140">
        <f ca="1">IFERROR(__xludf.DUMMYFUNCTION("IMPORTRANGE(""https://docs.google.com/spreadsheets/d/1W5Jj_S0gYw6wSO7QcMI02YgyOBDKYgmm0NSUk-AQEac/edit?usp=sharing"",""ประจวบคีรีขันธ์!I651"")"),60)</f>
        <v>60</v>
      </c>
      <c r="AJ62" s="57">
        <f ca="1">IFERROR(__xludf.DUMMYFUNCTION("IMPORTRANGE(""https://docs.google.com/spreadsheets/d/1W5Jj_S0gYw6wSO7QcMI02YgyOBDKYgmm0NSUk-AQEac/edit?usp=sharing"",""ประจวบคีรีขันธ์!J651"")"),0)</f>
        <v>0</v>
      </c>
      <c r="AK62" s="63">
        <f ca="1">IFERROR(__xludf.DUMMYFUNCTION("IMPORTRANGE(""https://docs.google.com/spreadsheets/d/1W5Jj_S0gYw6wSO7QcMI02YgyOBDKYgmm0NSUk-AQEac/edit?usp=sharing"",""ประจวบคีรีขันธ์!J652"")"),0)</f>
        <v>0</v>
      </c>
      <c r="AL62" s="63">
        <f t="shared" ca="1" si="29"/>
        <v>0</v>
      </c>
    </row>
    <row r="63" spans="1:38" ht="21" customHeight="1" x14ac:dyDescent="0.3">
      <c r="A63" s="54">
        <v>11</v>
      </c>
      <c r="B63" s="55" t="s">
        <v>84</v>
      </c>
      <c r="C63" s="56">
        <f t="shared" ca="1" si="58"/>
        <v>0</v>
      </c>
      <c r="D63" s="57">
        <f ca="1">IFERROR(__xludf.DUMMYFUNCTION("IMPORTRANGE(""https://docs.google.com/spreadsheets/d/1nYxRXgnCfTXtqUY1otYuTlnrzE0Tn-Y0YRsW5pkRVqo/edit?usp=sharing"",""ปราจีนบุรี!L634"")"),0)</f>
        <v>0</v>
      </c>
      <c r="E63" s="64">
        <f ca="1">IFERROR(__xludf.DUMMYFUNCTION("IMPORTRANGE(""https://docs.google.com/spreadsheets/d/1nYxRXgnCfTXtqUY1otYuTlnrzE0Tn-Y0YRsW5pkRVqo/edit?usp=sharing"",""ปราจีนบุรี!L641"")"),0)</f>
        <v>0</v>
      </c>
      <c r="F63" s="64">
        <f ca="1">IFERROR(__xludf.DUMMYFUNCTION("IMPORTRANGE(""https://docs.google.com/spreadsheets/d/1nYxRXgnCfTXtqUY1otYuTlnrzE0Tn-Y0YRsW5pkRVqo/edit?usp=sharing"",""ปราจีนบุรี!M634"")"),0)</f>
        <v>0</v>
      </c>
      <c r="G63" s="64">
        <f ca="1">IFERROR(__xludf.DUMMYFUNCTION("IMPORTRANGE(""https://docs.google.com/spreadsheets/d/1nYxRXgnCfTXtqUY1otYuTlnrzE0Tn-Y0YRsW5pkRVqo/edit?usp=sharing"",""ปราจีนบุรี!M641"")"),0)</f>
        <v>0</v>
      </c>
      <c r="H63" s="58">
        <f t="shared" ca="1" si="24"/>
        <v>0</v>
      </c>
      <c r="I63" s="59">
        <f t="shared" ca="1" si="1"/>
        <v>0</v>
      </c>
      <c r="J63" s="60">
        <f t="shared" ca="1" si="59"/>
        <v>0</v>
      </c>
      <c r="K63" s="61">
        <f t="shared" ca="1" si="31"/>
        <v>0</v>
      </c>
      <c r="L63" s="61">
        <f t="shared" ca="1" si="32"/>
        <v>0</v>
      </c>
      <c r="M63" s="64">
        <f ca="1">IFERROR(__xludf.DUMMYFUNCTION("IMPORTRANGE(""https://docs.google.com/spreadsheets/d/1nYxRXgnCfTXtqUY1otYuTlnrzE0Tn-Y0YRsW5pkRVqo/edit?usp=sharing"",""ปราจีนบุรี!N635"")"),0)</f>
        <v>0</v>
      </c>
      <c r="N63" s="64">
        <f ca="1">IFERROR(__xludf.DUMMYFUNCTION("IMPORTRANGE(""https://docs.google.com/spreadsheets/d/1nYxRXgnCfTXtqUY1otYuTlnrzE0Tn-Y0YRsW5pkRVqo/edit?usp=sharing"",""ปราจีนบุรี!N636"")"),0)</f>
        <v>0</v>
      </c>
      <c r="O63" s="64">
        <f ca="1">IFERROR(__xludf.DUMMYFUNCTION("IMPORTRANGE(""https://docs.google.com/spreadsheets/d/1nYxRXgnCfTXtqUY1otYuTlnrzE0Tn-Y0YRsW5pkRVqo/edit?usp=sharing"",""ปราจีนบุรี!N637"")"),0)</f>
        <v>0</v>
      </c>
      <c r="P63" s="64">
        <f ca="1">IFERROR(__xludf.DUMMYFUNCTION("IMPORTRANGE(""https://docs.google.com/spreadsheets/d/1nYxRXgnCfTXtqUY1otYuTlnrzE0Tn-Y0YRsW5pkRVqo/edit?usp=sharing"",""ปราจีนบุรี!N638"")"),0)</f>
        <v>0</v>
      </c>
      <c r="Q63" s="62">
        <f ca="1">IFERROR(__xludf.DUMMYFUNCTION("IMPORTRANGE(""https://docs.google.com/spreadsheets/d/1nYxRXgnCfTXtqUY1otYuTlnrzE0Tn-Y0YRsW5pkRVqo/edit?usp=sharing"",""ปราจีนบุรี!N641"")"),0)</f>
        <v>0</v>
      </c>
      <c r="R63" s="62">
        <f t="shared" ca="1" si="34"/>
        <v>0</v>
      </c>
      <c r="S63" s="57">
        <f ca="1">IFERROR(__xludf.DUMMYFUNCTION("IMPORTRANGE(""https://docs.google.com/spreadsheets/d/1nYxRXgnCfTXtqUY1otYuTlnrzE0Tn-Y0YRsW5pkRVqo/edit?usp=sharing"",""ปราจีนบุรี!I643"")"),0)</f>
        <v>0</v>
      </c>
      <c r="T63" s="57">
        <f ca="1">IFERROR(__xludf.DUMMYFUNCTION("IMPORTRANGE(""https://docs.google.com/spreadsheets/d/1nYxRXgnCfTXtqUY1otYuTlnrzE0Tn-Y0YRsW5pkRVqo/edit?usp=sharing"",""ปราจีนบุรี!J643"")"),0)</f>
        <v>0</v>
      </c>
      <c r="U63" s="63">
        <f t="shared" ca="1" si="25"/>
        <v>0</v>
      </c>
      <c r="V63" s="57">
        <f ca="1">IFERROR(__xludf.DUMMYFUNCTION("IMPORTRANGE(""https://docs.google.com/spreadsheets/d/1nYxRXgnCfTXtqUY1otYuTlnrzE0Tn-Y0YRsW5pkRVqo/edit?usp=sharing"",""ปราจีนบุรี!I644"")"),0)</f>
        <v>0</v>
      </c>
      <c r="W63" s="57">
        <f ca="1">IFERROR(__xludf.DUMMYFUNCTION("IMPORTRANGE(""https://docs.google.com/spreadsheets/d/1nYxRXgnCfTXtqUY1otYuTlnrzE0Tn-Y0YRsW5pkRVqo/edit?usp=sharing"",""ปราจีนบุรี!J644"")"),0)</f>
        <v>0</v>
      </c>
      <c r="X63" s="63">
        <f t="shared" ca="1" si="26"/>
        <v>0</v>
      </c>
      <c r="Y63" s="57">
        <f ca="1">IFERROR(__xludf.DUMMYFUNCTION("IMPORTRANGE(""https://docs.google.com/spreadsheets/d/1nYxRXgnCfTXtqUY1otYuTlnrzE0Tn-Y0YRsW5pkRVqo/edit?usp=sharing"",""ปราจีนบุรี!J645"")"),0)</f>
        <v>0</v>
      </c>
      <c r="Z63" s="63">
        <f ca="1">IFERROR(__xludf.DUMMYFUNCTION("IMPORTRANGE(""https://docs.google.com/spreadsheets/d/1nYxRXgnCfTXtqUY1otYuTlnrzE0Tn-Y0YRsW5pkRVqo/edit?usp=sharing"",""ปราจีนบุรี!J646"")"),0)</f>
        <v>0</v>
      </c>
      <c r="AA63" s="57">
        <f ca="1">IFERROR(__xludf.DUMMYFUNCTION("IMPORTRANGE(""https://docs.google.com/spreadsheets/d/1nYxRXgnCfTXtqUY1otYuTlnrzE0Tn-Y0YRsW5pkRVqo/edit?usp=sharing"",""ปราจีนบุรี!I647"")"),0)</f>
        <v>0</v>
      </c>
      <c r="AB63" s="57">
        <f ca="1">IFERROR(__xludf.DUMMYFUNCTION("IMPORTRANGE(""https://docs.google.com/spreadsheets/d/1nYxRXgnCfTXtqUY1otYuTlnrzE0Tn-Y0YRsW5pkRVqo/edit?usp=sharing"",""ปราจีนบุรี!J647"")"),0)</f>
        <v>0</v>
      </c>
      <c r="AC63" s="63">
        <f ca="1">IFERROR(__xludf.DUMMYFUNCTION("IMPORTRANGE(""https://docs.google.com/spreadsheets/d/1nYxRXgnCfTXtqUY1otYuTlnrzE0Tn-Y0YRsW5pkRVqo/edit?usp=sharing"",""ปราจีนบุรี!J648"")"),0)</f>
        <v>0</v>
      </c>
      <c r="AD63" s="63">
        <f t="shared" ca="1" si="27"/>
        <v>0</v>
      </c>
      <c r="AE63" s="140">
        <f ca="1">IFERROR(__xludf.DUMMYFUNCTION("IMPORTRANGE(""https://docs.google.com/spreadsheets/d/1nYxRXgnCfTXtqUY1otYuTlnrzE0Tn-Y0YRsW5pkRVqo/edit?usp=sharing"",""ปราจีนบุรี!I649"")"),0)</f>
        <v>0</v>
      </c>
      <c r="AF63" s="57">
        <f ca="1">IFERROR(__xludf.DUMMYFUNCTION("IMPORTRANGE(""https://docs.google.com/spreadsheets/d/1nYxRXgnCfTXtqUY1otYuTlnrzE0Tn-Y0YRsW5pkRVqo/edit?usp=sharing"",""ปราจีนบุรี!J649"")"),0)</f>
        <v>0</v>
      </c>
      <c r="AG63" s="63">
        <f ca="1">IFERROR(__xludf.DUMMYFUNCTION("IMPORTRANGE(""https://docs.google.com/spreadsheets/d/1nYxRXgnCfTXtqUY1otYuTlnrzE0Tn-Y0YRsW5pkRVqo/edit?usp=sharing"",""ปราจีนบุรี!J650"")"),0)</f>
        <v>0</v>
      </c>
      <c r="AH63" s="63">
        <f t="shared" ca="1" si="28"/>
        <v>0</v>
      </c>
      <c r="AI63" s="140">
        <f ca="1">IFERROR(__xludf.DUMMYFUNCTION("IMPORTRANGE(""https://docs.google.com/spreadsheets/d/1nYxRXgnCfTXtqUY1otYuTlnrzE0Tn-Y0YRsW5pkRVqo/edit?usp=sharing"",""ปราจีนบุรี!I651"")"),0)</f>
        <v>0</v>
      </c>
      <c r="AJ63" s="57">
        <f ca="1">IFERROR(__xludf.DUMMYFUNCTION("IMPORTRANGE(""https://docs.google.com/spreadsheets/d/1nYxRXgnCfTXtqUY1otYuTlnrzE0Tn-Y0YRsW5pkRVqo/edit?usp=sharing"",""ปราจีนบุรี!J651"")"),0)</f>
        <v>0</v>
      </c>
      <c r="AK63" s="63">
        <f ca="1">IFERROR(__xludf.DUMMYFUNCTION("IMPORTRANGE(""https://docs.google.com/spreadsheets/d/1nYxRXgnCfTXtqUY1otYuTlnrzE0Tn-Y0YRsW5pkRVqo/edit?usp=sharing"",""ปราจีนบุรี!J652"")"),0)</f>
        <v>0</v>
      </c>
      <c r="AL63" s="63">
        <f t="shared" ca="1" si="29"/>
        <v>0</v>
      </c>
    </row>
    <row r="64" spans="1:38" ht="21" customHeight="1" x14ac:dyDescent="0.3">
      <c r="A64" s="54">
        <v>12</v>
      </c>
      <c r="B64" s="55" t="s">
        <v>85</v>
      </c>
      <c r="C64" s="56">
        <f t="shared" ca="1" si="58"/>
        <v>0</v>
      </c>
      <c r="D64" s="57">
        <f ca="1">IFERROR(__xludf.DUMMYFUNCTION("IMPORTRANGE(""https://docs.google.com/spreadsheets/d/1nNHCLO8ZAXOMfQvxux7cf_hrzPAh8FAvaHq_ClKbZNo/edit?usp=sharing"",""พระนครศรีอยุธยา!L634"")"),0)</f>
        <v>0</v>
      </c>
      <c r="E64" s="64">
        <f ca="1">IFERROR(__xludf.DUMMYFUNCTION("IMPORTRANGE(""https://docs.google.com/spreadsheets/d/1nNHCLO8ZAXOMfQvxux7cf_hrzPAh8FAvaHq_ClKbZNo/edit?usp=sharing"",""พระนครศรีอยุธยา!L641"")"),0)</f>
        <v>0</v>
      </c>
      <c r="F64" s="64">
        <f ca="1">IFERROR(__xludf.DUMMYFUNCTION("IMPORTRANGE(""https://docs.google.com/spreadsheets/d/1nNHCLO8ZAXOMfQvxux7cf_hrzPAh8FAvaHq_ClKbZNo/edit?usp=sharing"",""พระนครศรีอยุธยา!M634"")"),0)</f>
        <v>0</v>
      </c>
      <c r="G64" s="64">
        <f ca="1">IFERROR(__xludf.DUMMYFUNCTION("IMPORTRANGE(""https://docs.google.com/spreadsheets/d/1nNHCLO8ZAXOMfQvxux7cf_hrzPAh8FAvaHq_ClKbZNo/edit?usp=sharing"",""พระนครศรีอยุธยา!M641"")"),0)</f>
        <v>0</v>
      </c>
      <c r="H64" s="58">
        <f t="shared" ca="1" si="24"/>
        <v>0</v>
      </c>
      <c r="I64" s="59">
        <f t="shared" ca="1" si="1"/>
        <v>0</v>
      </c>
      <c r="J64" s="60">
        <f t="shared" ca="1" si="59"/>
        <v>0</v>
      </c>
      <c r="K64" s="61">
        <f t="shared" ca="1" si="31"/>
        <v>0</v>
      </c>
      <c r="L64" s="61">
        <f t="shared" ca="1" si="32"/>
        <v>0</v>
      </c>
      <c r="M64" s="64">
        <f ca="1">IFERROR(__xludf.DUMMYFUNCTION("IMPORTRANGE(""https://docs.google.com/spreadsheets/d/1nNHCLO8ZAXOMfQvxux7cf_hrzPAh8FAvaHq_ClKbZNo/edit?usp=sharing"",""พระนครศรีอยุธยา!N635"")"),0)</f>
        <v>0</v>
      </c>
      <c r="N64" s="64">
        <f ca="1">IFERROR(__xludf.DUMMYFUNCTION("IMPORTRANGE(""https://docs.google.com/spreadsheets/d/1nNHCLO8ZAXOMfQvxux7cf_hrzPAh8FAvaHq_ClKbZNo/edit?usp=sharing"",""พระนครศรีอยุธยา!N636"")"),0)</f>
        <v>0</v>
      </c>
      <c r="O64" s="64">
        <f ca="1">IFERROR(__xludf.DUMMYFUNCTION("IMPORTRANGE(""https://docs.google.com/spreadsheets/d/1nNHCLO8ZAXOMfQvxux7cf_hrzPAh8FAvaHq_ClKbZNo/edit?usp=sharing"",""พระนครศรีอยุธยา!N637"")"),0)</f>
        <v>0</v>
      </c>
      <c r="P64" s="64">
        <f ca="1">IFERROR(__xludf.DUMMYFUNCTION("IMPORTRANGE(""https://docs.google.com/spreadsheets/d/1nNHCLO8ZAXOMfQvxux7cf_hrzPAh8FAvaHq_ClKbZNo/edit?usp=sharing"",""พระนครศรีอยุธยา!N638"")"),0)</f>
        <v>0</v>
      </c>
      <c r="Q64" s="62">
        <f ca="1">IFERROR(__xludf.DUMMYFUNCTION("IMPORTRANGE(""https://docs.google.com/spreadsheets/d/1nNHCLO8ZAXOMfQvxux7cf_hrzPAh8FAvaHq_ClKbZNo/edit?usp=sharing"",""พระนครศรีอยุธยา!N641"")"),0)</f>
        <v>0</v>
      </c>
      <c r="R64" s="62">
        <f t="shared" ca="1" si="34"/>
        <v>0</v>
      </c>
      <c r="S64" s="57">
        <f ca="1">IFERROR(__xludf.DUMMYFUNCTION("IMPORTRANGE(""https://docs.google.com/spreadsheets/d/1nNHCLO8ZAXOMfQvxux7cf_hrzPAh8FAvaHq_ClKbZNo/edit?usp=sharing"",""พระนครศรีอยุธยา!I643"")"),0)</f>
        <v>0</v>
      </c>
      <c r="T64" s="57">
        <f ca="1">IFERROR(__xludf.DUMMYFUNCTION("IMPORTRANGE(""https://docs.google.com/spreadsheets/d/1nNHCLO8ZAXOMfQvxux7cf_hrzPAh8FAvaHq_ClKbZNo/edit?usp=sharing"",""พระนครศรีอยุธยา!J643"")"),0)</f>
        <v>0</v>
      </c>
      <c r="U64" s="63">
        <f t="shared" ca="1" si="25"/>
        <v>0</v>
      </c>
      <c r="V64" s="57">
        <f ca="1">IFERROR(__xludf.DUMMYFUNCTION("IMPORTRANGE(""https://docs.google.com/spreadsheets/d/1nNHCLO8ZAXOMfQvxux7cf_hrzPAh8FAvaHq_ClKbZNo/edit?usp=sharing"",""พระนครศรีอยุธยา!I644"")"),0)</f>
        <v>0</v>
      </c>
      <c r="W64" s="57">
        <f ca="1">IFERROR(__xludf.DUMMYFUNCTION("IMPORTRANGE(""https://docs.google.com/spreadsheets/d/1nNHCLO8ZAXOMfQvxux7cf_hrzPAh8FAvaHq_ClKbZNo/edit?usp=sharing"",""พระนครศรีอยุธยา!J644"")"),0)</f>
        <v>0</v>
      </c>
      <c r="X64" s="63">
        <f t="shared" ca="1" si="26"/>
        <v>0</v>
      </c>
      <c r="Y64" s="57">
        <f ca="1">IFERROR(__xludf.DUMMYFUNCTION("IMPORTRANGE(""https://docs.google.com/spreadsheets/d/1nNHCLO8ZAXOMfQvxux7cf_hrzPAh8FAvaHq_ClKbZNo/edit?usp=sharing"",""พระนครศรีอยุธยา!J645"")"),0)</f>
        <v>0</v>
      </c>
      <c r="Z64" s="63">
        <f ca="1">IFERROR(__xludf.DUMMYFUNCTION("IMPORTRANGE(""https://docs.google.com/spreadsheets/d/1nNHCLO8ZAXOMfQvxux7cf_hrzPAh8FAvaHq_ClKbZNo/edit?usp=sharing"",""พระนครศรีอยุธยา!J646"")"),0)</f>
        <v>0</v>
      </c>
      <c r="AA64" s="57">
        <f ca="1">IFERROR(__xludf.DUMMYFUNCTION("IMPORTRANGE(""https://docs.google.com/spreadsheets/d/1nNHCLO8ZAXOMfQvxux7cf_hrzPAh8FAvaHq_ClKbZNo/edit?usp=sharing"",""พระนครศรีอยุธยา!I647"")"),0)</f>
        <v>0</v>
      </c>
      <c r="AB64" s="57">
        <f ca="1">IFERROR(__xludf.DUMMYFUNCTION("IMPORTRANGE(""https://docs.google.com/spreadsheets/d/1nNHCLO8ZAXOMfQvxux7cf_hrzPAh8FAvaHq_ClKbZNo/edit?usp=sharing"",""พระนครศรีอยุธยา!J647"")"),0)</f>
        <v>0</v>
      </c>
      <c r="AC64" s="63">
        <f ca="1">IFERROR(__xludf.DUMMYFUNCTION("IMPORTRANGE(""https://docs.google.com/spreadsheets/d/1nNHCLO8ZAXOMfQvxux7cf_hrzPAh8FAvaHq_ClKbZNo/edit?usp=sharing"",""พระนครศรีอยุธยา!J648"")"),0)</f>
        <v>0</v>
      </c>
      <c r="AD64" s="63">
        <f t="shared" ca="1" si="27"/>
        <v>0</v>
      </c>
      <c r="AE64" s="140">
        <f ca="1">IFERROR(__xludf.DUMMYFUNCTION("IMPORTRANGE(""https://docs.google.com/spreadsheets/d/1nNHCLO8ZAXOMfQvxux7cf_hrzPAh8FAvaHq_ClKbZNo/edit?usp=sharing"",""พระนครศรีอยุธยา!I649"")"),0)</f>
        <v>0</v>
      </c>
      <c r="AF64" s="57">
        <f ca="1">IFERROR(__xludf.DUMMYFUNCTION("IMPORTRANGE(""https://docs.google.com/spreadsheets/d/1nNHCLO8ZAXOMfQvxux7cf_hrzPAh8FAvaHq_ClKbZNo/edit?usp=sharing"",""พระนครศรีอยุธยา!J649"")"),0)</f>
        <v>0</v>
      </c>
      <c r="AG64" s="63">
        <f ca="1">IFERROR(__xludf.DUMMYFUNCTION("IMPORTRANGE(""https://docs.google.com/spreadsheets/d/1nNHCLO8ZAXOMfQvxux7cf_hrzPAh8FAvaHq_ClKbZNo/edit?usp=sharing"",""พระนครศรีอยุธยา!J650"")"),0)</f>
        <v>0</v>
      </c>
      <c r="AH64" s="63">
        <f t="shared" ca="1" si="28"/>
        <v>0</v>
      </c>
      <c r="AI64" s="140">
        <f ca="1">IFERROR(__xludf.DUMMYFUNCTION("IMPORTRANGE(""https://docs.google.com/spreadsheets/d/1nNHCLO8ZAXOMfQvxux7cf_hrzPAh8FAvaHq_ClKbZNo/edit?usp=sharing"",""พระนครศรีอยุธยา!I651"")"),0)</f>
        <v>0</v>
      </c>
      <c r="AJ64" s="57">
        <f ca="1">IFERROR(__xludf.DUMMYFUNCTION("IMPORTRANGE(""https://docs.google.com/spreadsheets/d/1nNHCLO8ZAXOMfQvxux7cf_hrzPAh8FAvaHq_ClKbZNo/edit?usp=sharing"",""พระนครศรีอยุธยา!J651"")"),0)</f>
        <v>0</v>
      </c>
      <c r="AK64" s="63">
        <f ca="1">IFERROR(__xludf.DUMMYFUNCTION("IMPORTRANGE(""https://docs.google.com/spreadsheets/d/1nNHCLO8ZAXOMfQvxux7cf_hrzPAh8FAvaHq_ClKbZNo/edit?usp=sharing"",""พระนครศรีอยุธยา!J652"")"),0)</f>
        <v>0</v>
      </c>
      <c r="AL64" s="63">
        <f t="shared" ca="1" si="29"/>
        <v>0</v>
      </c>
    </row>
    <row r="65" spans="1:38" ht="21" customHeight="1" x14ac:dyDescent="0.3">
      <c r="A65" s="54">
        <v>13</v>
      </c>
      <c r="B65" s="55" t="s">
        <v>86</v>
      </c>
      <c r="C65" s="56">
        <f t="shared" ca="1" si="58"/>
        <v>0</v>
      </c>
      <c r="D65" s="57">
        <f ca="1">IFERROR(__xludf.DUMMYFUNCTION("IMPORTRANGE(""https://docs.google.com/spreadsheets/d/1CdNicvf3i6yt4tJlCePe3V1Va76wYqW0QzMzTsaGRrA/edit?usp=sharing"",""เพชรบุรี!L634"")"),0)</f>
        <v>0</v>
      </c>
      <c r="E65" s="64">
        <f ca="1">IFERROR(__xludf.DUMMYFUNCTION("IMPORTRANGE(""https://docs.google.com/spreadsheets/d/1CdNicvf3i6yt4tJlCePe3V1Va76wYqW0QzMzTsaGRrA/edit?usp=sharing"",""เพชรบุรี!L641"")"),0)</f>
        <v>0</v>
      </c>
      <c r="F65" s="64">
        <f ca="1">IFERROR(__xludf.DUMMYFUNCTION("IMPORTRANGE(""https://docs.google.com/spreadsheets/d/1CdNicvf3i6yt4tJlCePe3V1Va76wYqW0QzMzTsaGRrA/edit?usp=sharing"",""เพชรบุรี!M634"")"),0)</f>
        <v>0</v>
      </c>
      <c r="G65" s="64">
        <f ca="1">IFERROR(__xludf.DUMMYFUNCTION("IMPORTRANGE(""https://docs.google.com/spreadsheets/d/1CdNicvf3i6yt4tJlCePe3V1Va76wYqW0QzMzTsaGRrA/edit?usp=sharing"",""เพชรบุรี!M641"")"),0)</f>
        <v>0</v>
      </c>
      <c r="H65" s="58">
        <f t="shared" ca="1" si="24"/>
        <v>0</v>
      </c>
      <c r="I65" s="59">
        <f t="shared" ca="1" si="1"/>
        <v>0</v>
      </c>
      <c r="J65" s="60">
        <f t="shared" ca="1" si="59"/>
        <v>0</v>
      </c>
      <c r="K65" s="61">
        <f t="shared" ca="1" si="31"/>
        <v>0</v>
      </c>
      <c r="L65" s="61">
        <f t="shared" ca="1" si="32"/>
        <v>0</v>
      </c>
      <c r="M65" s="64">
        <f ca="1">IFERROR(__xludf.DUMMYFUNCTION("IMPORTRANGE(""https://docs.google.com/spreadsheets/d/1CdNicvf3i6yt4tJlCePe3V1Va76wYqW0QzMzTsaGRrA/edit?usp=sharing"",""เพชรบุรี!N635"")"),0)</f>
        <v>0</v>
      </c>
      <c r="N65" s="64">
        <f ca="1">IFERROR(__xludf.DUMMYFUNCTION("IMPORTRANGE(""https://docs.google.com/spreadsheets/d/1CdNicvf3i6yt4tJlCePe3V1Va76wYqW0QzMzTsaGRrA/edit?usp=sharing"",""เพชรบุรี!N636"")"),0)</f>
        <v>0</v>
      </c>
      <c r="O65" s="64">
        <f ca="1">IFERROR(__xludf.DUMMYFUNCTION("IMPORTRANGE(""https://docs.google.com/spreadsheets/d/1CdNicvf3i6yt4tJlCePe3V1Va76wYqW0QzMzTsaGRrA/edit?usp=sharing"",""เพชรบุรี!N637"")"),0)</f>
        <v>0</v>
      </c>
      <c r="P65" s="64">
        <f ca="1">IFERROR(__xludf.DUMMYFUNCTION("IMPORTRANGE(""https://docs.google.com/spreadsheets/d/1CdNicvf3i6yt4tJlCePe3V1Va76wYqW0QzMzTsaGRrA/edit?usp=sharing"",""เพชรบุรี!N638"")"),0)</f>
        <v>0</v>
      </c>
      <c r="Q65" s="62">
        <f ca="1">IFERROR(__xludf.DUMMYFUNCTION("IMPORTRANGE(""https://docs.google.com/spreadsheets/d/1CdNicvf3i6yt4tJlCePe3V1Va76wYqW0QzMzTsaGRrA/edit?usp=sharing"",""เพชรบุรี!N641"")"),0)</f>
        <v>0</v>
      </c>
      <c r="R65" s="62">
        <f t="shared" ca="1" si="34"/>
        <v>0</v>
      </c>
      <c r="S65" s="57">
        <f ca="1">IFERROR(__xludf.DUMMYFUNCTION("IMPORTRANGE(""https://docs.google.com/spreadsheets/d/1CdNicvf3i6yt4tJlCePe3V1Va76wYqW0QzMzTsaGRrA/edit?usp=sharing"",""เพชรบุรี!I643"")"),0)</f>
        <v>0</v>
      </c>
      <c r="T65" s="57">
        <f ca="1">IFERROR(__xludf.DUMMYFUNCTION("IMPORTRANGE(""https://docs.google.com/spreadsheets/d/1CdNicvf3i6yt4tJlCePe3V1Va76wYqW0QzMzTsaGRrA/edit?usp=sharing"",""เพชรบุรี!J643"")"),0)</f>
        <v>0</v>
      </c>
      <c r="U65" s="63">
        <f t="shared" ca="1" si="25"/>
        <v>0</v>
      </c>
      <c r="V65" s="57">
        <f ca="1">IFERROR(__xludf.DUMMYFUNCTION("IMPORTRANGE(""https://docs.google.com/spreadsheets/d/1CdNicvf3i6yt4tJlCePe3V1Va76wYqW0QzMzTsaGRrA/edit?usp=sharing"",""เพชรบุรี!I644"")"),0)</f>
        <v>0</v>
      </c>
      <c r="W65" s="57">
        <f ca="1">IFERROR(__xludf.DUMMYFUNCTION("IMPORTRANGE(""https://docs.google.com/spreadsheets/d/1CdNicvf3i6yt4tJlCePe3V1Va76wYqW0QzMzTsaGRrA/edit?usp=sharing"",""เพชรบุรี!J644"")"),0)</f>
        <v>0</v>
      </c>
      <c r="X65" s="63">
        <f t="shared" ca="1" si="26"/>
        <v>0</v>
      </c>
      <c r="Y65" s="57">
        <f ca="1">IFERROR(__xludf.DUMMYFUNCTION("IMPORTRANGE(""https://docs.google.com/spreadsheets/d/1CdNicvf3i6yt4tJlCePe3V1Va76wYqW0QzMzTsaGRrA/edit?usp=sharing"",""เพชรบุรี!J645"")"),0)</f>
        <v>0</v>
      </c>
      <c r="Z65" s="63">
        <f ca="1">IFERROR(__xludf.DUMMYFUNCTION("IMPORTRANGE(""https://docs.google.com/spreadsheets/d/1CdNicvf3i6yt4tJlCePe3V1Va76wYqW0QzMzTsaGRrA/edit?usp=sharing"",""เพชรบุรี!J646"")"),0)</f>
        <v>0</v>
      </c>
      <c r="AA65" s="57">
        <f ca="1">IFERROR(__xludf.DUMMYFUNCTION("IMPORTRANGE(""https://docs.google.com/spreadsheets/d/1CdNicvf3i6yt4tJlCePe3V1Va76wYqW0QzMzTsaGRrA/edit?usp=sharing"",""เพชรบุรี!I647"")"),0)</f>
        <v>0</v>
      </c>
      <c r="AB65" s="57">
        <f ca="1">IFERROR(__xludf.DUMMYFUNCTION("IMPORTRANGE(""https://docs.google.com/spreadsheets/d/1CdNicvf3i6yt4tJlCePe3V1Va76wYqW0QzMzTsaGRrA/edit?usp=sharing"",""เพชรบุรี!J647"")"),0)</f>
        <v>0</v>
      </c>
      <c r="AC65" s="63">
        <f ca="1">IFERROR(__xludf.DUMMYFUNCTION("IMPORTRANGE(""https://docs.google.com/spreadsheets/d/1CdNicvf3i6yt4tJlCePe3V1Va76wYqW0QzMzTsaGRrA/edit?usp=sharing"",""เพชรบุรี!J648"")"),0)</f>
        <v>0</v>
      </c>
      <c r="AD65" s="63">
        <f t="shared" ca="1" si="27"/>
        <v>0</v>
      </c>
      <c r="AE65" s="140">
        <f ca="1">IFERROR(__xludf.DUMMYFUNCTION("IMPORTRANGE(""https://docs.google.com/spreadsheets/d/1CdNicvf3i6yt4tJlCePe3V1Va76wYqW0QzMzTsaGRrA/edit?usp=sharing"",""เพชรบุรี!I649"")"),0)</f>
        <v>0</v>
      </c>
      <c r="AF65" s="57">
        <f ca="1">IFERROR(__xludf.DUMMYFUNCTION("IMPORTRANGE(""https://docs.google.com/spreadsheets/d/1CdNicvf3i6yt4tJlCePe3V1Va76wYqW0QzMzTsaGRrA/edit?usp=sharing"",""เพชรบุรี!J649"")"),0)</f>
        <v>0</v>
      </c>
      <c r="AG65" s="63">
        <f ca="1">IFERROR(__xludf.DUMMYFUNCTION("IMPORTRANGE(""https://docs.google.com/spreadsheets/d/1CdNicvf3i6yt4tJlCePe3V1Va76wYqW0QzMzTsaGRrA/edit?usp=sharing"",""เพชรบุรี!J650"")"),0)</f>
        <v>0</v>
      </c>
      <c r="AH65" s="63">
        <f t="shared" ca="1" si="28"/>
        <v>0</v>
      </c>
      <c r="AI65" s="140">
        <f ca="1">IFERROR(__xludf.DUMMYFUNCTION("IMPORTRANGE(""https://docs.google.com/spreadsheets/d/1CdNicvf3i6yt4tJlCePe3V1Va76wYqW0QzMzTsaGRrA/edit?usp=sharing"",""เพชรบุรี!I651"")"),0)</f>
        <v>0</v>
      </c>
      <c r="AJ65" s="57">
        <f ca="1">IFERROR(__xludf.DUMMYFUNCTION("IMPORTRANGE(""https://docs.google.com/spreadsheets/d/1CdNicvf3i6yt4tJlCePe3V1Va76wYqW0QzMzTsaGRrA/edit?usp=sharing"",""เพชรบุรี!J651"")"),0)</f>
        <v>0</v>
      </c>
      <c r="AK65" s="63">
        <f ca="1">IFERROR(__xludf.DUMMYFUNCTION("IMPORTRANGE(""https://docs.google.com/spreadsheets/d/1CdNicvf3i6yt4tJlCePe3V1Va76wYqW0QzMzTsaGRrA/edit?usp=sharing"",""เพชรบุรี!J652"")"),0)</f>
        <v>0</v>
      </c>
      <c r="AL65" s="63">
        <f t="shared" ca="1" si="29"/>
        <v>0</v>
      </c>
    </row>
    <row r="66" spans="1:38" ht="21" customHeight="1" x14ac:dyDescent="0.3">
      <c r="A66" s="54">
        <v>14</v>
      </c>
      <c r="B66" s="55" t="s">
        <v>87</v>
      </c>
      <c r="C66" s="56">
        <f t="shared" ca="1" si="58"/>
        <v>173410</v>
      </c>
      <c r="D66" s="57">
        <f ca="1">IFERROR(__xludf.DUMMYFUNCTION("IMPORTRANGE(""https://docs.google.com/spreadsheets/d/1XiF77UIVHV0Kjc6xbXuOuJ10WgJYxd4p_22ngKVV5oM/edit?usp=sharing"",""ระยอง!L634"")"),173410)</f>
        <v>173410</v>
      </c>
      <c r="E66" s="64">
        <f ca="1">IFERROR(__xludf.DUMMYFUNCTION("IMPORTRANGE(""https://docs.google.com/spreadsheets/d/1XiF77UIVHV0Kjc6xbXuOuJ10WgJYxd4p_22ngKVV5oM/edit?usp=sharing"",""ระยอง!L641"")"),0)</f>
        <v>0</v>
      </c>
      <c r="F66" s="64">
        <f ca="1">IFERROR(__xludf.DUMMYFUNCTION("IMPORTRANGE(""https://docs.google.com/spreadsheets/d/1XiF77UIVHV0Kjc6xbXuOuJ10WgJYxd4p_22ngKVV5oM/edit?usp=sharing"",""ระยอง!M634"")"),173410)</f>
        <v>173410</v>
      </c>
      <c r="G66" s="64">
        <f ca="1">IFERROR(__xludf.DUMMYFUNCTION("IMPORTRANGE(""https://docs.google.com/spreadsheets/d/1XiF77UIVHV0Kjc6xbXuOuJ10WgJYxd4p_22ngKVV5oM/edit?usp=sharing"",""ระยอง!M641"")"),0)</f>
        <v>0</v>
      </c>
      <c r="H66" s="58">
        <f t="shared" ca="1" si="24"/>
        <v>0</v>
      </c>
      <c r="I66" s="59">
        <f t="shared" ca="1" si="1"/>
        <v>0</v>
      </c>
      <c r="J66" s="60">
        <f t="shared" ca="1" si="59"/>
        <v>0</v>
      </c>
      <c r="K66" s="61">
        <f t="shared" ca="1" si="31"/>
        <v>0</v>
      </c>
      <c r="L66" s="61">
        <f t="shared" ca="1" si="32"/>
        <v>0</v>
      </c>
      <c r="M66" s="64">
        <f ca="1">IFERROR(__xludf.DUMMYFUNCTION("IMPORTRANGE(""https://docs.google.com/spreadsheets/d/1XiF77UIVHV0Kjc6xbXuOuJ10WgJYxd4p_22ngKVV5oM/edit?usp=sharing"",""ระยอง!N635"")"),0)</f>
        <v>0</v>
      </c>
      <c r="N66" s="64">
        <f ca="1">IFERROR(__xludf.DUMMYFUNCTION("IMPORTRANGE(""https://docs.google.com/spreadsheets/d/1XiF77UIVHV0Kjc6xbXuOuJ10WgJYxd4p_22ngKVV5oM/edit?usp=sharing"",""ระยอง!N636"")"),0)</f>
        <v>0</v>
      </c>
      <c r="O66" s="64">
        <f ca="1">IFERROR(__xludf.DUMMYFUNCTION("IMPORTRANGE(""https://docs.google.com/spreadsheets/d/1XiF77UIVHV0Kjc6xbXuOuJ10WgJYxd4p_22ngKVV5oM/edit?usp=sharing"",""ระยอง!N637"")"),0)</f>
        <v>0</v>
      </c>
      <c r="P66" s="64">
        <f ca="1">IFERROR(__xludf.DUMMYFUNCTION("IMPORTRANGE(""https://docs.google.com/spreadsheets/d/1XiF77UIVHV0Kjc6xbXuOuJ10WgJYxd4p_22ngKVV5oM/edit?usp=sharing"",""ระยอง!N638"")"),0)</f>
        <v>0</v>
      </c>
      <c r="Q66" s="62">
        <f ca="1">IFERROR(__xludf.DUMMYFUNCTION("IMPORTRANGE(""https://docs.google.com/spreadsheets/d/1XiF77UIVHV0Kjc6xbXuOuJ10WgJYxd4p_22ngKVV5oM/edit?usp=sharing"",""ระยอง!N641"")"),0)</f>
        <v>0</v>
      </c>
      <c r="R66" s="62">
        <f t="shared" ca="1" si="34"/>
        <v>0</v>
      </c>
      <c r="S66" s="57">
        <f ca="1">IFERROR(__xludf.DUMMYFUNCTION("IMPORTRANGE(""https://docs.google.com/spreadsheets/d/1XiF77UIVHV0Kjc6xbXuOuJ10WgJYxd4p_22ngKVV5oM/edit?usp=sharing"",""ระยอง!I643"")"),1)</f>
        <v>1</v>
      </c>
      <c r="T66" s="57">
        <f ca="1">IFERROR(__xludf.DUMMYFUNCTION("IMPORTRANGE(""https://docs.google.com/spreadsheets/d/1XiF77UIVHV0Kjc6xbXuOuJ10WgJYxd4p_22ngKVV5oM/edit?usp=sharing"",""ระยอง!J643"")"),0)</f>
        <v>0</v>
      </c>
      <c r="U66" s="63">
        <f t="shared" ca="1" si="25"/>
        <v>0</v>
      </c>
      <c r="V66" s="57">
        <f ca="1">IFERROR(__xludf.DUMMYFUNCTION("IMPORTRANGE(""https://docs.google.com/spreadsheets/d/1XiF77UIVHV0Kjc6xbXuOuJ10WgJYxd4p_22ngKVV5oM/edit?usp=sharing"",""ระยอง!I644"")"),1)</f>
        <v>1</v>
      </c>
      <c r="W66" s="57">
        <f ca="1">IFERROR(__xludf.DUMMYFUNCTION("IMPORTRANGE(""https://docs.google.com/spreadsheets/d/1XiF77UIVHV0Kjc6xbXuOuJ10WgJYxd4p_22ngKVV5oM/edit?usp=sharing"",""ระยอง!J644"")"),0)</f>
        <v>0</v>
      </c>
      <c r="X66" s="63">
        <f t="shared" ca="1" si="26"/>
        <v>0</v>
      </c>
      <c r="Y66" s="57">
        <f ca="1">IFERROR(__xludf.DUMMYFUNCTION("IMPORTRANGE(""https://docs.google.com/spreadsheets/d/1XiF77UIVHV0Kjc6xbXuOuJ10WgJYxd4p_22ngKVV5oM/edit?usp=sharing"",""ระยอง!J645"")"),7)</f>
        <v>7</v>
      </c>
      <c r="Z66" s="63">
        <f ca="1">IFERROR(__xludf.DUMMYFUNCTION("IMPORTRANGE(""https://docs.google.com/spreadsheets/d/1XiF77UIVHV0Kjc6xbXuOuJ10WgJYxd4p_22ngKVV5oM/edit?usp=sharing"",""ระยอง!J646"")"),1.94)</f>
        <v>1.94</v>
      </c>
      <c r="AA66" s="57">
        <f ca="1">IFERROR(__xludf.DUMMYFUNCTION("IMPORTRANGE(""https://docs.google.com/spreadsheets/d/1XiF77UIVHV0Kjc6xbXuOuJ10WgJYxd4p_22ngKVV5oM/edit?usp=sharing"",""ระยอง!I647"")"),19)</f>
        <v>19</v>
      </c>
      <c r="AB66" s="57">
        <f ca="1">IFERROR(__xludf.DUMMYFUNCTION("IMPORTRANGE(""https://docs.google.com/spreadsheets/d/1XiF77UIVHV0Kjc6xbXuOuJ10WgJYxd4p_22ngKVV5oM/edit?usp=sharing"",""ระยอง!J647"")"),1)</f>
        <v>1</v>
      </c>
      <c r="AC66" s="63">
        <f ca="1">IFERROR(__xludf.DUMMYFUNCTION("IMPORTRANGE(""https://docs.google.com/spreadsheets/d/1XiF77UIVHV0Kjc6xbXuOuJ10WgJYxd4p_22ngKVV5oM/edit?usp=sharing"",""ระยอง!J648"")"),0.47)</f>
        <v>0.47</v>
      </c>
      <c r="AD66" s="63">
        <f t="shared" ca="1" si="27"/>
        <v>5.2631578947368425</v>
      </c>
      <c r="AE66" s="140">
        <f ca="1">IFERROR(__xludf.DUMMYFUNCTION("IMPORTRANGE(""https://docs.google.com/spreadsheets/d/1XiF77UIVHV0Kjc6xbXuOuJ10WgJYxd4p_22ngKVV5oM/edit?usp=sharing"",""ระยอง!I649"")"),19)</f>
        <v>19</v>
      </c>
      <c r="AF66" s="57">
        <f ca="1">IFERROR(__xludf.DUMMYFUNCTION("IMPORTRANGE(""https://docs.google.com/spreadsheets/d/1XiF77UIVHV0Kjc6xbXuOuJ10WgJYxd4p_22ngKVV5oM/edit?usp=sharing"",""ระยอง!J649"")"),0)</f>
        <v>0</v>
      </c>
      <c r="AG66" s="63">
        <f ca="1">IFERROR(__xludf.DUMMYFUNCTION("IMPORTRANGE(""https://docs.google.com/spreadsheets/d/1XiF77UIVHV0Kjc6xbXuOuJ10WgJYxd4p_22ngKVV5oM/edit?usp=sharing"",""ระยอง!J650"")"),0)</f>
        <v>0</v>
      </c>
      <c r="AH66" s="63">
        <f t="shared" ca="1" si="28"/>
        <v>0</v>
      </c>
      <c r="AI66" s="140">
        <f ca="1">IFERROR(__xludf.DUMMYFUNCTION("IMPORTRANGE(""https://docs.google.com/spreadsheets/d/1XiF77UIVHV0Kjc6xbXuOuJ10WgJYxd4p_22ngKVV5oM/edit?usp=sharing"",""ระยอง!I651"")"),19)</f>
        <v>19</v>
      </c>
      <c r="AJ66" s="57">
        <f ca="1">IFERROR(__xludf.DUMMYFUNCTION("IMPORTRANGE(""https://docs.google.com/spreadsheets/d/1XiF77UIVHV0Kjc6xbXuOuJ10WgJYxd4p_22ngKVV5oM/edit?usp=sharing"",""ระยอง!J651"")"),0)</f>
        <v>0</v>
      </c>
      <c r="AK66" s="63">
        <f ca="1">IFERROR(__xludf.DUMMYFUNCTION("IMPORTRANGE(""https://docs.google.com/spreadsheets/d/1XiF77UIVHV0Kjc6xbXuOuJ10WgJYxd4p_22ngKVV5oM/edit?usp=sharing"",""ระยอง!J652"")"),0)</f>
        <v>0</v>
      </c>
      <c r="AL66" s="63">
        <f t="shared" ca="1" si="29"/>
        <v>0</v>
      </c>
    </row>
    <row r="67" spans="1:38" ht="21" customHeight="1" x14ac:dyDescent="0.3">
      <c r="A67" s="54">
        <v>15</v>
      </c>
      <c r="B67" s="55" t="s">
        <v>88</v>
      </c>
      <c r="C67" s="56">
        <f t="shared" ca="1" si="58"/>
        <v>619055</v>
      </c>
      <c r="D67" s="57">
        <f ca="1">IFERROR(__xludf.DUMMYFUNCTION("IMPORTRANGE(""https://docs.google.com/spreadsheets/d/1qU-W_9MCQD1pgIVXGEOjCFo9QqlmJywuebyGgaN92r8/edit?usp=sharing"",""ราชบุรี!L634"")"),619055)</f>
        <v>619055</v>
      </c>
      <c r="E67" s="64">
        <f ca="1">IFERROR(__xludf.DUMMYFUNCTION("IMPORTRANGE(""https://docs.google.com/spreadsheets/d/1qU-W_9MCQD1pgIVXGEOjCFo9QqlmJywuebyGgaN92r8/edit?usp=sharing"",""ราชบุรี!L641"")"),0)</f>
        <v>0</v>
      </c>
      <c r="F67" s="64">
        <f ca="1">IFERROR(__xludf.DUMMYFUNCTION("IMPORTRANGE(""https://docs.google.com/spreadsheets/d/1qU-W_9MCQD1pgIVXGEOjCFo9QqlmJywuebyGgaN92r8/edit?usp=sharing"",""ราชบุรี!M634"")"),619055)</f>
        <v>619055</v>
      </c>
      <c r="G67" s="64">
        <f ca="1">IFERROR(__xludf.DUMMYFUNCTION("IMPORTRANGE(""https://docs.google.com/spreadsheets/d/1qU-W_9MCQD1pgIVXGEOjCFo9QqlmJywuebyGgaN92r8/edit?usp=sharing"",""ราชบุรี!M641"")"),0)</f>
        <v>0</v>
      </c>
      <c r="H67" s="58">
        <f t="shared" ca="1" si="24"/>
        <v>211676.61</v>
      </c>
      <c r="I67" s="59">
        <f t="shared" ca="1" si="1"/>
        <v>34.193506231271861</v>
      </c>
      <c r="J67" s="60">
        <f t="shared" ca="1" si="59"/>
        <v>211676.61</v>
      </c>
      <c r="K67" s="61">
        <f t="shared" ca="1" si="31"/>
        <v>34.193506231271861</v>
      </c>
      <c r="L67" s="61">
        <f t="shared" ca="1" si="32"/>
        <v>34.193506231271861</v>
      </c>
      <c r="M67" s="64">
        <f ca="1">IFERROR(__xludf.DUMMYFUNCTION("IMPORTRANGE(""https://docs.google.com/spreadsheets/d/1qU-W_9MCQD1pgIVXGEOjCFo9QqlmJywuebyGgaN92r8/edit?usp=sharing"",""ราชบุรี!N635"")"),0)</f>
        <v>0</v>
      </c>
      <c r="N67" s="64">
        <f ca="1">IFERROR(__xludf.DUMMYFUNCTION("IMPORTRANGE(""https://docs.google.com/spreadsheets/d/1qU-W_9MCQD1pgIVXGEOjCFo9QqlmJywuebyGgaN92r8/edit?usp=sharing"",""ราชบุรี!N636"")"),0)</f>
        <v>0</v>
      </c>
      <c r="O67" s="64">
        <f ca="1">IFERROR(__xludf.DUMMYFUNCTION("IMPORTRANGE(""https://docs.google.com/spreadsheets/d/1qU-W_9MCQD1pgIVXGEOjCFo9QqlmJywuebyGgaN92r8/edit?usp=sharing"",""ราชบุรี!N637"")"),65000)</f>
        <v>65000</v>
      </c>
      <c r="P67" s="64">
        <f ca="1">IFERROR(__xludf.DUMMYFUNCTION("IMPORTRANGE(""https://docs.google.com/spreadsheets/d/1qU-W_9MCQD1pgIVXGEOjCFo9QqlmJywuebyGgaN92r8/edit?usp=sharing"",""ราชบุรี!N638"")"),146676.61)</f>
        <v>146676.60999999999</v>
      </c>
      <c r="Q67" s="62">
        <f ca="1">IFERROR(__xludf.DUMMYFUNCTION("IMPORTRANGE(""https://docs.google.com/spreadsheets/d/1qU-W_9MCQD1pgIVXGEOjCFo9QqlmJywuebyGgaN92r8/edit?usp=sharing"",""ราชบุรี!N641"")"),0)</f>
        <v>0</v>
      </c>
      <c r="R67" s="62">
        <f t="shared" ca="1" si="34"/>
        <v>0</v>
      </c>
      <c r="S67" s="57">
        <f ca="1">IFERROR(__xludf.DUMMYFUNCTION("IMPORTRANGE(""https://docs.google.com/spreadsheets/d/1qU-W_9MCQD1pgIVXGEOjCFo9QqlmJywuebyGgaN92r8/edit?usp=sharing"",""ราชบุรี!I643"")"),7)</f>
        <v>7</v>
      </c>
      <c r="T67" s="57">
        <f ca="1">IFERROR(__xludf.DUMMYFUNCTION("IMPORTRANGE(""https://docs.google.com/spreadsheets/d/1qU-W_9MCQD1pgIVXGEOjCFo9QqlmJywuebyGgaN92r8/edit?usp=sharing"",""ราชบุรี!J643"")"),7)</f>
        <v>7</v>
      </c>
      <c r="U67" s="63">
        <f t="shared" ca="1" si="25"/>
        <v>100</v>
      </c>
      <c r="V67" s="57">
        <f ca="1">IFERROR(__xludf.DUMMYFUNCTION("IMPORTRANGE(""https://docs.google.com/spreadsheets/d/1qU-W_9MCQD1pgIVXGEOjCFo9QqlmJywuebyGgaN92r8/edit?usp=sharing"",""ราชบุรี!I644"")"),7)</f>
        <v>7</v>
      </c>
      <c r="W67" s="57">
        <f ca="1">IFERROR(__xludf.DUMMYFUNCTION("IMPORTRANGE(""https://docs.google.com/spreadsheets/d/1qU-W_9MCQD1pgIVXGEOjCFo9QqlmJywuebyGgaN92r8/edit?usp=sharing"",""ราชบุรี!J644"")"),0)</f>
        <v>0</v>
      </c>
      <c r="X67" s="63">
        <f t="shared" ca="1" si="26"/>
        <v>0</v>
      </c>
      <c r="Y67" s="57">
        <f ca="1">IFERROR(__xludf.DUMMYFUNCTION("IMPORTRANGE(""https://docs.google.com/spreadsheets/d/1qU-W_9MCQD1pgIVXGEOjCFo9QqlmJywuebyGgaN92r8/edit?usp=sharing"",""ราชบุรี!J645"")"),0)</f>
        <v>0</v>
      </c>
      <c r="Z67" s="63">
        <f ca="1">IFERROR(__xludf.DUMMYFUNCTION("IMPORTRANGE(""https://docs.google.com/spreadsheets/d/1qU-W_9MCQD1pgIVXGEOjCFo9QqlmJywuebyGgaN92r8/edit?usp=sharing"",""ราชบุรี!J646"")"),0)</f>
        <v>0</v>
      </c>
      <c r="AA67" s="57">
        <f ca="1">IFERROR(__xludf.DUMMYFUNCTION("IMPORTRANGE(""https://docs.google.com/spreadsheets/d/1qU-W_9MCQD1pgIVXGEOjCFo9QqlmJywuebyGgaN92r8/edit?usp=sharing"",""ราชบุรี!I647"")"),400)</f>
        <v>400</v>
      </c>
      <c r="AB67" s="57">
        <f ca="1">IFERROR(__xludf.DUMMYFUNCTION("IMPORTRANGE(""https://docs.google.com/spreadsheets/d/1qU-W_9MCQD1pgIVXGEOjCFo9QqlmJywuebyGgaN92r8/edit?usp=sharing"",""ราชบุรี!J647"")"),0)</f>
        <v>0</v>
      </c>
      <c r="AC67" s="63">
        <f ca="1">IFERROR(__xludf.DUMMYFUNCTION("IMPORTRANGE(""https://docs.google.com/spreadsheets/d/1qU-W_9MCQD1pgIVXGEOjCFo9QqlmJywuebyGgaN92r8/edit?usp=sharing"",""ราชบุรี!J648"")"),0)</f>
        <v>0</v>
      </c>
      <c r="AD67" s="63">
        <f t="shared" ca="1" si="27"/>
        <v>0</v>
      </c>
      <c r="AE67" s="140">
        <f ca="1">IFERROR(__xludf.DUMMYFUNCTION("IMPORTRANGE(""https://docs.google.com/spreadsheets/d/1qU-W_9MCQD1pgIVXGEOjCFo9QqlmJywuebyGgaN92r8/edit?usp=sharing"",""ราชบุรี!I649"")"),400)</f>
        <v>400</v>
      </c>
      <c r="AF67" s="57">
        <f ca="1">IFERROR(__xludf.DUMMYFUNCTION("IMPORTRANGE(""https://docs.google.com/spreadsheets/d/1qU-W_9MCQD1pgIVXGEOjCFo9QqlmJywuebyGgaN92r8/edit?usp=sharing"",""ราชบุรี!J649"")"),0)</f>
        <v>0</v>
      </c>
      <c r="AG67" s="63">
        <f ca="1">IFERROR(__xludf.DUMMYFUNCTION("IMPORTRANGE(""https://docs.google.com/spreadsheets/d/1qU-W_9MCQD1pgIVXGEOjCFo9QqlmJywuebyGgaN92r8/edit?usp=sharing"",""ราชบุรี!J650"")"),0)</f>
        <v>0</v>
      </c>
      <c r="AH67" s="63">
        <f t="shared" ca="1" si="28"/>
        <v>0</v>
      </c>
      <c r="AI67" s="140">
        <f ca="1">IFERROR(__xludf.DUMMYFUNCTION("IMPORTRANGE(""https://docs.google.com/spreadsheets/d/1qU-W_9MCQD1pgIVXGEOjCFo9QqlmJywuebyGgaN92r8/edit?usp=sharing"",""ราชบุรี!I651"")"),400)</f>
        <v>400</v>
      </c>
      <c r="AJ67" s="57">
        <f ca="1">IFERROR(__xludf.DUMMYFUNCTION("IMPORTRANGE(""https://docs.google.com/spreadsheets/d/1qU-W_9MCQD1pgIVXGEOjCFo9QqlmJywuebyGgaN92r8/edit?usp=sharing"",""ราชบุรี!J651"")"),0)</f>
        <v>0</v>
      </c>
      <c r="AK67" s="63">
        <f ca="1">IFERROR(__xludf.DUMMYFUNCTION("IMPORTRANGE(""https://docs.google.com/spreadsheets/d/1qU-W_9MCQD1pgIVXGEOjCFo9QqlmJywuebyGgaN92r8/edit?usp=sharing"",""ราชบุรี!J652"")"),0)</f>
        <v>0</v>
      </c>
      <c r="AL67" s="63">
        <f t="shared" ca="1" si="29"/>
        <v>0</v>
      </c>
    </row>
    <row r="68" spans="1:38" ht="24" customHeight="1" x14ac:dyDescent="0.3">
      <c r="A68" s="54">
        <v>16</v>
      </c>
      <c r="B68" s="55" t="s">
        <v>89</v>
      </c>
      <c r="C68" s="56">
        <f t="shared" ca="1" si="58"/>
        <v>341770</v>
      </c>
      <c r="D68" s="57">
        <f ca="1">IFERROR(__xludf.DUMMYFUNCTION("IMPORTRANGE(""https://docs.google.com/spreadsheets/d/1xYFIxIM_CspAP5Q-5Zx_V0T_Ut3cjryrjd2hss28vGk/edit?usp=sharing"",""ลพบุรี!L634"")"),341770)</f>
        <v>341770</v>
      </c>
      <c r="E68" s="64">
        <f ca="1">IFERROR(__xludf.DUMMYFUNCTION("IMPORTRANGE(""https://docs.google.com/spreadsheets/d/1xYFIxIM_CspAP5Q-5Zx_V0T_Ut3cjryrjd2hss28vGk/edit?usp=sharing"",""ลพบุรี!L641"")"),0)</f>
        <v>0</v>
      </c>
      <c r="F68" s="64">
        <f ca="1">IFERROR(__xludf.DUMMYFUNCTION("IMPORTRANGE(""https://docs.google.com/spreadsheets/d/1xYFIxIM_CspAP5Q-5Zx_V0T_Ut3cjryrjd2hss28vGk/edit?usp=sharing"",""ลพบุรี!M634"")"),341770)</f>
        <v>341770</v>
      </c>
      <c r="G68" s="64">
        <f ca="1">IFERROR(__xludf.DUMMYFUNCTION("IMPORTRANGE(""https://docs.google.com/spreadsheets/d/1xYFIxIM_CspAP5Q-5Zx_V0T_Ut3cjryrjd2hss28vGk/edit?usp=sharing"",""ลพบุรี!M641"")"),0)</f>
        <v>0</v>
      </c>
      <c r="H68" s="58">
        <f t="shared" ca="1" si="24"/>
        <v>117551.59</v>
      </c>
      <c r="I68" s="59">
        <f t="shared" ca="1" si="1"/>
        <v>34.394941042221376</v>
      </c>
      <c r="J68" s="60">
        <f t="shared" ca="1" si="59"/>
        <v>117551.59</v>
      </c>
      <c r="K68" s="61">
        <f t="shared" ca="1" si="31"/>
        <v>34.394941042221376</v>
      </c>
      <c r="L68" s="61">
        <f t="shared" ca="1" si="32"/>
        <v>34.394941042221376</v>
      </c>
      <c r="M68" s="64">
        <f ca="1">IFERROR(__xludf.DUMMYFUNCTION("IMPORTRANGE(""https://docs.google.com/spreadsheets/d/1xYFIxIM_CspAP5Q-5Zx_V0T_Ut3cjryrjd2hss28vGk/edit?usp=sharing"",""ลพบุรี!N635"")"),0)</f>
        <v>0</v>
      </c>
      <c r="N68" s="64">
        <f ca="1">IFERROR(__xludf.DUMMYFUNCTION("IMPORTRANGE(""https://docs.google.com/spreadsheets/d/1xYFIxIM_CspAP5Q-5Zx_V0T_Ut3cjryrjd2hss28vGk/edit?usp=sharing"",""ลพบุรี!N636"")"),0)</f>
        <v>0</v>
      </c>
      <c r="O68" s="64">
        <f ca="1">IFERROR(__xludf.DUMMYFUNCTION("IMPORTRANGE(""https://docs.google.com/spreadsheets/d/1xYFIxIM_CspAP5Q-5Zx_V0T_Ut3cjryrjd2hss28vGk/edit?usp=sharing"",""ลพบุรี!N637"")"),91000)</f>
        <v>91000</v>
      </c>
      <c r="P68" s="64">
        <f ca="1">IFERROR(__xludf.DUMMYFUNCTION("IMPORTRANGE(""https://docs.google.com/spreadsheets/d/1xYFIxIM_CspAP5Q-5Zx_V0T_Ut3cjryrjd2hss28vGk/edit?usp=sharing"",""ลพบุรี!N638"")"),26551.59)</f>
        <v>26551.59</v>
      </c>
      <c r="Q68" s="62">
        <f ca="1">IFERROR(__xludf.DUMMYFUNCTION("IMPORTRANGE(""https://docs.google.com/spreadsheets/d/1xYFIxIM_CspAP5Q-5Zx_V0T_Ut3cjryrjd2hss28vGk/edit?usp=sharing"",""ลพบุรี!N641"")"),0)</f>
        <v>0</v>
      </c>
      <c r="R68" s="62">
        <f t="shared" ca="1" si="34"/>
        <v>0</v>
      </c>
      <c r="S68" s="57">
        <f ca="1">IFERROR(__xludf.DUMMYFUNCTION("IMPORTRANGE(""https://docs.google.com/spreadsheets/d/1xYFIxIM_CspAP5Q-5Zx_V0T_Ut3cjryrjd2hss28vGk/edit?usp=sharing"",""ลพบุรี!I643"")"),0)</f>
        <v>0</v>
      </c>
      <c r="T68" s="57">
        <f ca="1">IFERROR(__xludf.DUMMYFUNCTION("IMPORTRANGE(""https://docs.google.com/spreadsheets/d/1xYFIxIM_CspAP5Q-5Zx_V0T_Ut3cjryrjd2hss28vGk/edit?usp=sharing"",""ลพบุรี!J643"")"),0)</f>
        <v>0</v>
      </c>
      <c r="U68" s="63">
        <f t="shared" ca="1" si="25"/>
        <v>0</v>
      </c>
      <c r="V68" s="57">
        <f ca="1">IFERROR(__xludf.DUMMYFUNCTION("IMPORTRANGE(""https://docs.google.com/spreadsheets/d/1xYFIxIM_CspAP5Q-5Zx_V0T_Ut3cjryrjd2hss28vGk/edit?usp=sharing"",""ลพบุรี!I644"")"),0)</f>
        <v>0</v>
      </c>
      <c r="W68" s="57">
        <f ca="1">IFERROR(__xludf.DUMMYFUNCTION("IMPORTRANGE(""https://docs.google.com/spreadsheets/d/1xYFIxIM_CspAP5Q-5Zx_V0T_Ut3cjryrjd2hss28vGk/edit?usp=sharing"",""ลพบุรี!J644"")"),0)</f>
        <v>0</v>
      </c>
      <c r="X68" s="63">
        <f t="shared" ca="1" si="26"/>
        <v>0</v>
      </c>
      <c r="Y68" s="57">
        <f ca="1">IFERROR(__xludf.DUMMYFUNCTION("IMPORTRANGE(""https://docs.google.com/spreadsheets/d/1xYFIxIM_CspAP5Q-5Zx_V0T_Ut3cjryrjd2hss28vGk/edit?usp=sharing"",""ลพบุรี!J645"")"),25)</f>
        <v>25</v>
      </c>
      <c r="Z68" s="63">
        <f ca="1">IFERROR(__xludf.DUMMYFUNCTION("IMPORTRANGE(""https://docs.google.com/spreadsheets/d/1xYFIxIM_CspAP5Q-5Zx_V0T_Ut3cjryrjd2hss28vGk/edit?usp=sharing"",""ลพบุรี!J646"")"),14.04)</f>
        <v>14.04</v>
      </c>
      <c r="AA68" s="57">
        <f ca="1">IFERROR(__xludf.DUMMYFUNCTION("IMPORTRANGE(""https://docs.google.com/spreadsheets/d/1xYFIxIM_CspAP5Q-5Zx_V0T_Ut3cjryrjd2hss28vGk/edit?usp=sharing"",""ลพบุรี!I647"")"),70)</f>
        <v>70</v>
      </c>
      <c r="AB68" s="57">
        <f ca="1">IFERROR(__xludf.DUMMYFUNCTION("IMPORTRANGE(""https://docs.google.com/spreadsheets/d/1xYFIxIM_CspAP5Q-5Zx_V0T_Ut3cjryrjd2hss28vGk/edit?usp=sharing"",""ลพบุรี!J647"")"),25)</f>
        <v>25</v>
      </c>
      <c r="AC68" s="63">
        <f ca="1">IFERROR(__xludf.DUMMYFUNCTION("IMPORTRANGE(""https://docs.google.com/spreadsheets/d/1xYFIxIM_CspAP5Q-5Zx_V0T_Ut3cjryrjd2hss28vGk/edit?usp=sharing"",""ลพบุรี!J648"")"),14.04)</f>
        <v>14.04</v>
      </c>
      <c r="AD68" s="63">
        <f t="shared" ca="1" si="27"/>
        <v>35.714285714285715</v>
      </c>
      <c r="AE68" s="140">
        <f ca="1">IFERROR(__xludf.DUMMYFUNCTION("IMPORTRANGE(""https://docs.google.com/spreadsheets/d/1xYFIxIM_CspAP5Q-5Zx_V0T_Ut3cjryrjd2hss28vGk/edit?usp=sharing"",""ลพบุรี!I649"")"),70)</f>
        <v>70</v>
      </c>
      <c r="AF68" s="57">
        <f ca="1">IFERROR(__xludf.DUMMYFUNCTION("IMPORTRANGE(""https://docs.google.com/spreadsheets/d/1xYFIxIM_CspAP5Q-5Zx_V0T_Ut3cjryrjd2hss28vGk/edit?usp=sharing"",""ลพบุรี!J649"")"),0)</f>
        <v>0</v>
      </c>
      <c r="AG68" s="63">
        <f ca="1">IFERROR(__xludf.DUMMYFUNCTION("IMPORTRANGE(""https://docs.google.com/spreadsheets/d/1xYFIxIM_CspAP5Q-5Zx_V0T_Ut3cjryrjd2hss28vGk/edit?usp=sharing"",""ลพบุรี!J650"")"),0)</f>
        <v>0</v>
      </c>
      <c r="AH68" s="63">
        <f t="shared" ca="1" si="28"/>
        <v>0</v>
      </c>
      <c r="AI68" s="140">
        <f ca="1">IFERROR(__xludf.DUMMYFUNCTION("IMPORTRANGE(""https://docs.google.com/spreadsheets/d/1xYFIxIM_CspAP5Q-5Zx_V0T_Ut3cjryrjd2hss28vGk/edit?usp=sharing"",""ลพบุรี!I651"")"),70)</f>
        <v>70</v>
      </c>
      <c r="AJ68" s="57">
        <f ca="1">IFERROR(__xludf.DUMMYFUNCTION("IMPORTRANGE(""https://docs.google.com/spreadsheets/d/1xYFIxIM_CspAP5Q-5Zx_V0T_Ut3cjryrjd2hss28vGk/edit?usp=sharing"",""ลพบุรี!J651"")"),0)</f>
        <v>0</v>
      </c>
      <c r="AK68" s="63">
        <f ca="1">IFERROR(__xludf.DUMMYFUNCTION("IMPORTRANGE(""https://docs.google.com/spreadsheets/d/1xYFIxIM_CspAP5Q-5Zx_V0T_Ut3cjryrjd2hss28vGk/edit?usp=sharing"",""ลพบุรี!J652"")"),0)</f>
        <v>0</v>
      </c>
      <c r="AL68" s="63">
        <f t="shared" ca="1" si="29"/>
        <v>0</v>
      </c>
    </row>
    <row r="69" spans="1:38" ht="21" customHeight="1" x14ac:dyDescent="0.3">
      <c r="A69" s="54">
        <v>17</v>
      </c>
      <c r="B69" s="55" t="s">
        <v>90</v>
      </c>
      <c r="C69" s="56">
        <f t="shared" ca="1" si="58"/>
        <v>364940</v>
      </c>
      <c r="D69" s="57">
        <f ca="1">IFERROR(__xludf.DUMMYFUNCTION("IMPORTRANGE(""https://docs.google.com/spreadsheets/d/11s9m3tKsCBdPWq6syhZm27eBGbKneDLZc75co106bio/edit?usp=sharing"",""สระแก้ว!L634"")"),364940)</f>
        <v>364940</v>
      </c>
      <c r="E69" s="64">
        <f ca="1">IFERROR(__xludf.DUMMYFUNCTION("IMPORTRANGE(""https://docs.google.com/spreadsheets/d/11s9m3tKsCBdPWq6syhZm27eBGbKneDLZc75co106bio/edit?usp=sharing"",""สระแก้ว!L641"")"),0)</f>
        <v>0</v>
      </c>
      <c r="F69" s="64">
        <f ca="1">IFERROR(__xludf.DUMMYFUNCTION("IMPORTRANGE(""https://docs.google.com/spreadsheets/d/11s9m3tKsCBdPWq6syhZm27eBGbKneDLZc75co106bio/edit?usp=sharing"",""สระแก้ว!M634"")"),364940)</f>
        <v>364940</v>
      </c>
      <c r="G69" s="64">
        <f ca="1">IFERROR(__xludf.DUMMYFUNCTION("IMPORTRANGE(""https://docs.google.com/spreadsheets/d/11s9m3tKsCBdPWq6syhZm27eBGbKneDLZc75co106bio/edit?usp=sharing"",""สระแก้ว!M641"")"),0)</f>
        <v>0</v>
      </c>
      <c r="H69" s="58">
        <f t="shared" ca="1" si="24"/>
        <v>84793.33</v>
      </c>
      <c r="I69" s="59">
        <f t="shared" ca="1" si="1"/>
        <v>23.234868745547214</v>
      </c>
      <c r="J69" s="60">
        <f t="shared" ca="1" si="59"/>
        <v>84793.33</v>
      </c>
      <c r="K69" s="61">
        <f t="shared" ca="1" si="31"/>
        <v>23.234868745547214</v>
      </c>
      <c r="L69" s="61">
        <f t="shared" ca="1" si="32"/>
        <v>23.234868745547214</v>
      </c>
      <c r="M69" s="64">
        <f ca="1">IFERROR(__xludf.DUMMYFUNCTION("IMPORTRANGE(""https://docs.google.com/spreadsheets/d/11s9m3tKsCBdPWq6syhZm27eBGbKneDLZc75co106bio/edit?usp=sharing"",""สระแก้ว!N635"")"),0)</f>
        <v>0</v>
      </c>
      <c r="N69" s="64">
        <f ca="1">IFERROR(__xludf.DUMMYFUNCTION("IMPORTRANGE(""https://docs.google.com/spreadsheets/d/11s9m3tKsCBdPWq6syhZm27eBGbKneDLZc75co106bio/edit?usp=sharing"",""สระแก้ว!N636"")"),0)</f>
        <v>0</v>
      </c>
      <c r="O69" s="64">
        <f ca="1">IFERROR(__xludf.DUMMYFUNCTION("IMPORTRANGE(""https://docs.google.com/spreadsheets/d/11s9m3tKsCBdPWq6syhZm27eBGbKneDLZc75co106bio/edit?usp=sharing"",""สระแก้ว!N637"")"),64133.33)</f>
        <v>64133.33</v>
      </c>
      <c r="P69" s="64">
        <f ca="1">IFERROR(__xludf.DUMMYFUNCTION("IMPORTRANGE(""https://docs.google.com/spreadsheets/d/11s9m3tKsCBdPWq6syhZm27eBGbKneDLZc75co106bio/edit?usp=sharing"",""สระแก้ว!N638"")"),20660)</f>
        <v>20660</v>
      </c>
      <c r="Q69" s="62">
        <f ca="1">IFERROR(__xludf.DUMMYFUNCTION("IMPORTRANGE(""https://docs.google.com/spreadsheets/d/11s9m3tKsCBdPWq6syhZm27eBGbKneDLZc75co106bio/edit?usp=sharing"",""สระแก้ว!N641"")"),0)</f>
        <v>0</v>
      </c>
      <c r="R69" s="62">
        <f t="shared" ca="1" si="34"/>
        <v>0</v>
      </c>
      <c r="S69" s="57">
        <f ca="1">IFERROR(__xludf.DUMMYFUNCTION("IMPORTRANGE(""https://docs.google.com/spreadsheets/d/11s9m3tKsCBdPWq6syhZm27eBGbKneDLZc75co106bio/edit?usp=sharing"",""สระแก้ว!I643"")"),0)</f>
        <v>0</v>
      </c>
      <c r="T69" s="57">
        <f ca="1">IFERROR(__xludf.DUMMYFUNCTION("IMPORTRANGE(""https://docs.google.com/spreadsheets/d/11s9m3tKsCBdPWq6syhZm27eBGbKneDLZc75co106bio/edit?usp=sharing"",""สระแก้ว!J643"")"),0)</f>
        <v>0</v>
      </c>
      <c r="U69" s="63">
        <f t="shared" ca="1" si="25"/>
        <v>0</v>
      </c>
      <c r="V69" s="57">
        <f ca="1">IFERROR(__xludf.DUMMYFUNCTION("IMPORTRANGE(""https://docs.google.com/spreadsheets/d/11s9m3tKsCBdPWq6syhZm27eBGbKneDLZc75co106bio/edit?usp=sharing"",""สระแก้ว!I644"")"),0)</f>
        <v>0</v>
      </c>
      <c r="W69" s="57">
        <f ca="1">IFERROR(__xludf.DUMMYFUNCTION("IMPORTRANGE(""https://docs.google.com/spreadsheets/d/11s9m3tKsCBdPWq6syhZm27eBGbKneDLZc75co106bio/edit?usp=sharing"",""สระแก้ว!J644"")"),0)</f>
        <v>0</v>
      </c>
      <c r="X69" s="63">
        <f t="shared" ca="1" si="26"/>
        <v>0</v>
      </c>
      <c r="Y69" s="57">
        <f ca="1">IFERROR(__xludf.DUMMYFUNCTION("IMPORTRANGE(""https://docs.google.com/spreadsheets/d/11s9m3tKsCBdPWq6syhZm27eBGbKneDLZc75co106bio/edit?usp=sharing"",""สระแก้ว!J645"")"),55)</f>
        <v>55</v>
      </c>
      <c r="Z69" s="63">
        <f ca="1">IFERROR(__xludf.DUMMYFUNCTION("IMPORTRANGE(""https://docs.google.com/spreadsheets/d/11s9m3tKsCBdPWq6syhZm27eBGbKneDLZc75co106bio/edit?usp=sharing"",""สระแก้ว!J646"")"),60.32)</f>
        <v>60.32</v>
      </c>
      <c r="AA69" s="57">
        <f ca="1">IFERROR(__xludf.DUMMYFUNCTION("IMPORTRANGE(""https://docs.google.com/spreadsheets/d/11s9m3tKsCBdPWq6syhZm27eBGbKneDLZc75co106bio/edit?usp=sharing"",""สระแก้ว!I647"")"),100)</f>
        <v>100</v>
      </c>
      <c r="AB69" s="57">
        <f ca="1">IFERROR(__xludf.DUMMYFUNCTION("IMPORTRANGE(""https://docs.google.com/spreadsheets/d/11s9m3tKsCBdPWq6syhZm27eBGbKneDLZc75co106bio/edit?usp=sharing"",""สระแก้ว!J647"")"),53)</f>
        <v>53</v>
      </c>
      <c r="AC69" s="63">
        <f ca="1">IFERROR(__xludf.DUMMYFUNCTION("IMPORTRANGE(""https://docs.google.com/spreadsheets/d/11s9m3tKsCBdPWq6syhZm27eBGbKneDLZc75co106bio/edit?usp=sharing"",""สระแก้ว!J648"")"),60.32)</f>
        <v>60.32</v>
      </c>
      <c r="AD69" s="63">
        <f t="shared" ca="1" si="27"/>
        <v>53</v>
      </c>
      <c r="AE69" s="140">
        <f ca="1">IFERROR(__xludf.DUMMYFUNCTION("IMPORTRANGE(""https://docs.google.com/spreadsheets/d/11s9m3tKsCBdPWq6syhZm27eBGbKneDLZc75co106bio/edit?usp=sharing"",""สระแก้ว!I649"")"),100)</f>
        <v>100</v>
      </c>
      <c r="AF69" s="57">
        <f ca="1">IFERROR(__xludf.DUMMYFUNCTION("IMPORTRANGE(""https://docs.google.com/spreadsheets/d/11s9m3tKsCBdPWq6syhZm27eBGbKneDLZc75co106bio/edit?usp=sharing"",""สระแก้ว!J649"")"),0)</f>
        <v>0</v>
      </c>
      <c r="AG69" s="63">
        <f ca="1">IFERROR(__xludf.DUMMYFUNCTION("IMPORTRANGE(""https://docs.google.com/spreadsheets/d/11s9m3tKsCBdPWq6syhZm27eBGbKneDLZc75co106bio/edit?usp=sharing"",""สระแก้ว!J650"")"),0)</f>
        <v>0</v>
      </c>
      <c r="AH69" s="63">
        <f t="shared" ca="1" si="28"/>
        <v>0</v>
      </c>
      <c r="AI69" s="140">
        <f ca="1">IFERROR(__xludf.DUMMYFUNCTION("IMPORTRANGE(""https://docs.google.com/spreadsheets/d/11s9m3tKsCBdPWq6syhZm27eBGbKneDLZc75co106bio/edit?usp=sharing"",""สระแก้ว!I651"")"),100)</f>
        <v>100</v>
      </c>
      <c r="AJ69" s="57">
        <f ca="1">IFERROR(__xludf.DUMMYFUNCTION("IMPORTRANGE(""https://docs.google.com/spreadsheets/d/11s9m3tKsCBdPWq6syhZm27eBGbKneDLZc75co106bio/edit?usp=sharing"",""สระแก้ว!J651"")"),0)</f>
        <v>0</v>
      </c>
      <c r="AK69" s="63">
        <f ca="1">IFERROR(__xludf.DUMMYFUNCTION("IMPORTRANGE(""https://docs.google.com/spreadsheets/d/11s9m3tKsCBdPWq6syhZm27eBGbKneDLZc75co106bio/edit?usp=sharing"",""สระแก้ว!J652"")"),0)</f>
        <v>0</v>
      </c>
      <c r="AL69" s="63">
        <f t="shared" ca="1" si="29"/>
        <v>0</v>
      </c>
    </row>
    <row r="70" spans="1:38" ht="21" customHeight="1" x14ac:dyDescent="0.3">
      <c r="A70" s="54">
        <v>18</v>
      </c>
      <c r="B70" s="55" t="s">
        <v>91</v>
      </c>
      <c r="C70" s="56">
        <f t="shared" ca="1" si="58"/>
        <v>565480</v>
      </c>
      <c r="D70" s="57">
        <f ca="1">IFERROR(__xludf.DUMMYFUNCTION("IMPORTRANGE(""https://docs.google.com/spreadsheets/d/1Nn1EvsFPtXldgpgVb3Rcng2K2cls68LFQsBh2FyW0Bg/edit?usp=sharing"",""สระบุรี!L634"")"),565480)</f>
        <v>565480</v>
      </c>
      <c r="E70" s="64">
        <f ca="1">IFERROR(__xludf.DUMMYFUNCTION("IMPORTRANGE(""https://docs.google.com/spreadsheets/d/1Nn1EvsFPtXldgpgVb3Rcng2K2cls68LFQsBh2FyW0Bg/edit?usp=sharing"",""สระบุรี!L641"")"),0)</f>
        <v>0</v>
      </c>
      <c r="F70" s="64">
        <f ca="1">IFERROR(__xludf.DUMMYFUNCTION("IMPORTRANGE(""https://docs.google.com/spreadsheets/d/1Nn1EvsFPtXldgpgVb3Rcng2K2cls68LFQsBh2FyW0Bg/edit?usp=sharing"",""สระบุรี!M634"")"),565480)</f>
        <v>565480</v>
      </c>
      <c r="G70" s="64">
        <f ca="1">IFERROR(__xludf.DUMMYFUNCTION("IMPORTRANGE(""https://docs.google.com/spreadsheets/d/1Nn1EvsFPtXldgpgVb3Rcng2K2cls68LFQsBh2FyW0Bg/edit?usp=sharing"",""สระบุรี!M641"")"),0)</f>
        <v>0</v>
      </c>
      <c r="H70" s="58">
        <f t="shared" ca="1" si="24"/>
        <v>134577</v>
      </c>
      <c r="I70" s="59">
        <f t="shared" ca="1" si="1"/>
        <v>23.798719671783264</v>
      </c>
      <c r="J70" s="60">
        <f t="shared" ca="1" si="59"/>
        <v>134577</v>
      </c>
      <c r="K70" s="61">
        <f t="shared" ca="1" si="31"/>
        <v>23.798719671783264</v>
      </c>
      <c r="L70" s="61">
        <f t="shared" ca="1" si="32"/>
        <v>23.798719671783264</v>
      </c>
      <c r="M70" s="64">
        <f ca="1">IFERROR(__xludf.DUMMYFUNCTION("IMPORTRANGE(""https://docs.google.com/spreadsheets/d/1Nn1EvsFPtXldgpgVb3Rcng2K2cls68LFQsBh2FyW0Bg/edit?usp=sharing"",""สระบุรี!N635"")"),26080)</f>
        <v>26080</v>
      </c>
      <c r="N70" s="64">
        <f ca="1">IFERROR(__xludf.DUMMYFUNCTION("IMPORTRANGE(""https://docs.google.com/spreadsheets/d/1Nn1EvsFPtXldgpgVb3Rcng2K2cls68LFQsBh2FyW0Bg/edit?usp=sharing"",""สระบุรี!N636"")"),0)</f>
        <v>0</v>
      </c>
      <c r="O70" s="64">
        <f ca="1">IFERROR(__xludf.DUMMYFUNCTION("IMPORTRANGE(""https://docs.google.com/spreadsheets/d/1Nn1EvsFPtXldgpgVb3Rcng2K2cls68LFQsBh2FyW0Bg/edit?usp=sharing"",""สระบุรี!N637"")"),76701)</f>
        <v>76701</v>
      </c>
      <c r="P70" s="64">
        <f ca="1">IFERROR(__xludf.DUMMYFUNCTION("IMPORTRANGE(""https://docs.google.com/spreadsheets/d/1Nn1EvsFPtXldgpgVb3Rcng2K2cls68LFQsBh2FyW0Bg/edit?usp=sharing"",""สระบุรี!N638"")"),31796)</f>
        <v>31796</v>
      </c>
      <c r="Q70" s="62">
        <f ca="1">IFERROR(__xludf.DUMMYFUNCTION("IMPORTRANGE(""https://docs.google.com/spreadsheets/d/1Nn1EvsFPtXldgpgVb3Rcng2K2cls68LFQsBh2FyW0Bg/edit?usp=sharing"",""สระบุรี!N641"")"),0)</f>
        <v>0</v>
      </c>
      <c r="R70" s="62">
        <f t="shared" ca="1" si="34"/>
        <v>0</v>
      </c>
      <c r="S70" s="57">
        <f ca="1">IFERROR(__xludf.DUMMYFUNCTION("IMPORTRANGE(""https://docs.google.com/spreadsheets/d/1Nn1EvsFPtXldgpgVb3Rcng2K2cls68LFQsBh2FyW0Bg/edit?usp=sharing"",""สระบุรี!I643"")"),0)</f>
        <v>0</v>
      </c>
      <c r="T70" s="57">
        <f ca="1">IFERROR(__xludf.DUMMYFUNCTION("IMPORTRANGE(""https://docs.google.com/spreadsheets/d/1Nn1EvsFPtXldgpgVb3Rcng2K2cls68LFQsBh2FyW0Bg/edit?usp=sharing"",""สระบุรี!J643"")"),0)</f>
        <v>0</v>
      </c>
      <c r="U70" s="63">
        <f t="shared" ca="1" si="25"/>
        <v>0</v>
      </c>
      <c r="V70" s="57">
        <f ca="1">IFERROR(__xludf.DUMMYFUNCTION("IMPORTRANGE(""https://docs.google.com/spreadsheets/d/1Nn1EvsFPtXldgpgVb3Rcng2K2cls68LFQsBh2FyW0Bg/edit?usp=sharing"",""สระบุรี!I644"")"),0)</f>
        <v>0</v>
      </c>
      <c r="W70" s="57">
        <f ca="1">IFERROR(__xludf.DUMMYFUNCTION("IMPORTRANGE(""https://docs.google.com/spreadsheets/d/1Nn1EvsFPtXldgpgVb3Rcng2K2cls68LFQsBh2FyW0Bg/edit?usp=sharing"",""สระบุรี!J644"")"),0)</f>
        <v>0</v>
      </c>
      <c r="X70" s="63">
        <f t="shared" ca="1" si="26"/>
        <v>0</v>
      </c>
      <c r="Y70" s="57">
        <f ca="1">IFERROR(__xludf.DUMMYFUNCTION("IMPORTRANGE(""https://docs.google.com/spreadsheets/d/1Nn1EvsFPtXldgpgVb3Rcng2K2cls68LFQsBh2FyW0Bg/edit?usp=sharing"",""สระบุรี!J645"")"),26)</f>
        <v>26</v>
      </c>
      <c r="Z70" s="63">
        <f ca="1">IFERROR(__xludf.DUMMYFUNCTION("IMPORTRANGE(""https://docs.google.com/spreadsheets/d/1Nn1EvsFPtXldgpgVb3Rcng2K2cls68LFQsBh2FyW0Bg/edit?usp=sharing"",""สระบุรี!J646"")"),31.66)</f>
        <v>31.66</v>
      </c>
      <c r="AA70" s="57">
        <f ca="1">IFERROR(__xludf.DUMMYFUNCTION("IMPORTRANGE(""https://docs.google.com/spreadsheets/d/1Nn1EvsFPtXldgpgVb3Rcng2K2cls68LFQsBh2FyW0Bg/edit?usp=sharing"",""สระบุรี!I647"")"),500)</f>
        <v>500</v>
      </c>
      <c r="AB70" s="57">
        <f ca="1">IFERROR(__xludf.DUMMYFUNCTION("IMPORTRANGE(""https://docs.google.com/spreadsheets/d/1Nn1EvsFPtXldgpgVb3Rcng2K2cls68LFQsBh2FyW0Bg/edit?usp=sharing"",""สระบุรี!J647"")"),31)</f>
        <v>31</v>
      </c>
      <c r="AC70" s="63">
        <f ca="1">IFERROR(__xludf.DUMMYFUNCTION("IMPORTRANGE(""https://docs.google.com/spreadsheets/d/1Nn1EvsFPtXldgpgVb3Rcng2K2cls68LFQsBh2FyW0Bg/edit?usp=sharing"",""สระบุรี!J648"")"),37.56)</f>
        <v>37.56</v>
      </c>
      <c r="AD70" s="63">
        <f t="shared" ca="1" si="27"/>
        <v>6.2</v>
      </c>
      <c r="AE70" s="140">
        <f ca="1">IFERROR(__xludf.DUMMYFUNCTION("IMPORTRANGE(""https://docs.google.com/spreadsheets/d/1Nn1EvsFPtXldgpgVb3Rcng2K2cls68LFQsBh2FyW0Bg/edit?usp=sharing"",""สระบุรี!I649"")"),500)</f>
        <v>500</v>
      </c>
      <c r="AF70" s="57">
        <f ca="1">IFERROR(__xludf.DUMMYFUNCTION("IMPORTRANGE(""https://docs.google.com/spreadsheets/d/1Nn1EvsFPtXldgpgVb3Rcng2K2cls68LFQsBh2FyW0Bg/edit?usp=sharing"",""สระบุรี!J649"")"),0)</f>
        <v>0</v>
      </c>
      <c r="AG70" s="63">
        <f ca="1">IFERROR(__xludf.DUMMYFUNCTION("IMPORTRANGE(""https://docs.google.com/spreadsheets/d/1Nn1EvsFPtXldgpgVb3Rcng2K2cls68LFQsBh2FyW0Bg/edit?usp=sharing"",""สระบุรี!J650"")"),0)</f>
        <v>0</v>
      </c>
      <c r="AH70" s="63">
        <f t="shared" ca="1" si="28"/>
        <v>0</v>
      </c>
      <c r="AI70" s="140">
        <f ca="1">IFERROR(__xludf.DUMMYFUNCTION("IMPORTRANGE(""https://docs.google.com/spreadsheets/d/1Nn1EvsFPtXldgpgVb3Rcng2K2cls68LFQsBh2FyW0Bg/edit?usp=sharing"",""สระบุรี!I651"")"),500)</f>
        <v>500</v>
      </c>
      <c r="AJ70" s="57">
        <f ca="1">IFERROR(__xludf.DUMMYFUNCTION("IMPORTRANGE(""https://docs.google.com/spreadsheets/d/1Nn1EvsFPtXldgpgVb3Rcng2K2cls68LFQsBh2FyW0Bg/edit?usp=sharing"",""สระบุรี!J651"")"),0)</f>
        <v>0</v>
      </c>
      <c r="AK70" s="63">
        <f ca="1">IFERROR(__xludf.DUMMYFUNCTION("IMPORTRANGE(""https://docs.google.com/spreadsheets/d/1Nn1EvsFPtXldgpgVb3Rcng2K2cls68LFQsBh2FyW0Bg/edit?usp=sharing"",""สระบุรี!J652"")"),0)</f>
        <v>0</v>
      </c>
      <c r="AL70" s="63">
        <f t="shared" ca="1" si="29"/>
        <v>0</v>
      </c>
    </row>
    <row r="71" spans="1:38" ht="21" customHeight="1" x14ac:dyDescent="0.3">
      <c r="A71" s="54">
        <v>19</v>
      </c>
      <c r="B71" s="55" t="s">
        <v>92</v>
      </c>
      <c r="C71" s="56">
        <f t="shared" ca="1" si="58"/>
        <v>0</v>
      </c>
      <c r="D71" s="57">
        <f ca="1">IFERROR(__xludf.DUMMYFUNCTION("IMPORTRANGE(""https://docs.google.com/spreadsheets/d/149xufxukrnEciK3WPbNpHwUK8BKEJxp3UcBG3Al6dA4/edit?usp=sharing"",""สิงห์บุรี!L634"")"),0)</f>
        <v>0</v>
      </c>
      <c r="E71" s="64">
        <f ca="1">IFERROR(__xludf.DUMMYFUNCTION("IMPORTRANGE(""https://docs.google.com/spreadsheets/d/149xufxukrnEciK3WPbNpHwUK8BKEJxp3UcBG3Al6dA4/edit?usp=sharing"",""สิงห์บุรี!L641"")"),0)</f>
        <v>0</v>
      </c>
      <c r="F71" s="64">
        <f ca="1">IFERROR(__xludf.DUMMYFUNCTION("IMPORTRANGE(""https://docs.google.com/spreadsheets/d/149xufxukrnEciK3WPbNpHwUK8BKEJxp3UcBG3Al6dA4/edit?usp=sharing"",""สิงห์บุรี!M634"")"),0)</f>
        <v>0</v>
      </c>
      <c r="G71" s="64">
        <f ca="1">IFERROR(__xludf.DUMMYFUNCTION("IMPORTRANGE(""https://docs.google.com/spreadsheets/d/149xufxukrnEciK3WPbNpHwUK8BKEJxp3UcBG3Al6dA4/edit?usp=sharing"",""สิงห์บุรี!M641"")"),0)</f>
        <v>0</v>
      </c>
      <c r="H71" s="58">
        <f t="shared" ca="1" si="24"/>
        <v>0</v>
      </c>
      <c r="I71" s="59">
        <f t="shared" ca="1" si="1"/>
        <v>0</v>
      </c>
      <c r="J71" s="60">
        <f t="shared" ca="1" si="59"/>
        <v>0</v>
      </c>
      <c r="K71" s="61">
        <f t="shared" ca="1" si="31"/>
        <v>0</v>
      </c>
      <c r="L71" s="61">
        <f t="shared" ca="1" si="32"/>
        <v>0</v>
      </c>
      <c r="M71" s="64">
        <f ca="1">IFERROR(__xludf.DUMMYFUNCTION("IMPORTRANGE(""https://docs.google.com/spreadsheets/d/149xufxukrnEciK3WPbNpHwUK8BKEJxp3UcBG3Al6dA4/edit?usp=sharing"",""สิงห์บุรี!N635"")"),0)</f>
        <v>0</v>
      </c>
      <c r="N71" s="64">
        <f ca="1">IFERROR(__xludf.DUMMYFUNCTION("IMPORTRANGE(""https://docs.google.com/spreadsheets/d/149xufxukrnEciK3WPbNpHwUK8BKEJxp3UcBG3Al6dA4/edit?usp=sharing"",""สิงห์บุรี!N636"")"),0)</f>
        <v>0</v>
      </c>
      <c r="O71" s="64">
        <f ca="1">IFERROR(__xludf.DUMMYFUNCTION("IMPORTRANGE(""https://docs.google.com/spreadsheets/d/149xufxukrnEciK3WPbNpHwUK8BKEJxp3UcBG3Al6dA4/edit?usp=sharing"",""สิงห์บุรี!N637"")"),0)</f>
        <v>0</v>
      </c>
      <c r="P71" s="64">
        <f ca="1">IFERROR(__xludf.DUMMYFUNCTION("IMPORTRANGE(""https://docs.google.com/spreadsheets/d/149xufxukrnEciK3WPbNpHwUK8BKEJxp3UcBG3Al6dA4/edit?usp=sharing"",""สิงห์บุรี!N638"")"),0)</f>
        <v>0</v>
      </c>
      <c r="Q71" s="62">
        <f ca="1">IFERROR(__xludf.DUMMYFUNCTION("IMPORTRANGE(""https://docs.google.com/spreadsheets/d/149xufxukrnEciK3WPbNpHwUK8BKEJxp3UcBG3Al6dA4/edit?usp=sharing"",""สิงห์บุรี!N641"")"),0)</f>
        <v>0</v>
      </c>
      <c r="R71" s="62">
        <f t="shared" ca="1" si="34"/>
        <v>0</v>
      </c>
      <c r="S71" s="57">
        <f ca="1">IFERROR(__xludf.DUMMYFUNCTION("IMPORTRANGE(""https://docs.google.com/spreadsheets/d/149xufxukrnEciK3WPbNpHwUK8BKEJxp3UcBG3Al6dA4/edit?usp=sharing"",""สิงห์บุรี!I643"")"),0)</f>
        <v>0</v>
      </c>
      <c r="T71" s="57">
        <f ca="1">IFERROR(__xludf.DUMMYFUNCTION("IMPORTRANGE(""https://docs.google.com/spreadsheets/d/149xufxukrnEciK3WPbNpHwUK8BKEJxp3UcBG3Al6dA4/edit?usp=sharing"",""สิงห์บุรี!J643"")"),0)</f>
        <v>0</v>
      </c>
      <c r="U71" s="63">
        <f t="shared" ca="1" si="25"/>
        <v>0</v>
      </c>
      <c r="V71" s="57">
        <f ca="1">IFERROR(__xludf.DUMMYFUNCTION("IMPORTRANGE(""https://docs.google.com/spreadsheets/d/149xufxukrnEciK3WPbNpHwUK8BKEJxp3UcBG3Al6dA4/edit?usp=sharing"",""สิงห์บุรี!I644"")"),0)</f>
        <v>0</v>
      </c>
      <c r="W71" s="57">
        <f ca="1">IFERROR(__xludf.DUMMYFUNCTION("IMPORTRANGE(""https://docs.google.com/spreadsheets/d/149xufxukrnEciK3WPbNpHwUK8BKEJxp3UcBG3Al6dA4/edit?usp=sharing"",""สิงห์บุรี!J644"")"),0)</f>
        <v>0</v>
      </c>
      <c r="X71" s="63">
        <f t="shared" ca="1" si="26"/>
        <v>0</v>
      </c>
      <c r="Y71" s="57">
        <f ca="1">IFERROR(__xludf.DUMMYFUNCTION("IMPORTRANGE(""https://docs.google.com/spreadsheets/d/149xufxukrnEciK3WPbNpHwUK8BKEJxp3UcBG3Al6dA4/edit?usp=sharing"",""สิงห์บุรี!J645"")"),0)</f>
        <v>0</v>
      </c>
      <c r="Z71" s="63">
        <f ca="1">IFERROR(__xludf.DUMMYFUNCTION("IMPORTRANGE(""https://docs.google.com/spreadsheets/d/149xufxukrnEciK3WPbNpHwUK8BKEJxp3UcBG3Al6dA4/edit?usp=sharing"",""สิงห์บุรี!J646"")"),0)</f>
        <v>0</v>
      </c>
      <c r="AA71" s="57">
        <f ca="1">IFERROR(__xludf.DUMMYFUNCTION("IMPORTRANGE(""https://docs.google.com/spreadsheets/d/149xufxukrnEciK3WPbNpHwUK8BKEJxp3UcBG3Al6dA4/edit?usp=sharing"",""สิงห์บุรี!I647"")"),0)</f>
        <v>0</v>
      </c>
      <c r="AB71" s="57">
        <f ca="1">IFERROR(__xludf.DUMMYFUNCTION("IMPORTRANGE(""https://docs.google.com/spreadsheets/d/149xufxukrnEciK3WPbNpHwUK8BKEJxp3UcBG3Al6dA4/edit?usp=sharing"",""สิงห์บุรี!J647"")"),0)</f>
        <v>0</v>
      </c>
      <c r="AC71" s="63">
        <f ca="1">IFERROR(__xludf.DUMMYFUNCTION("IMPORTRANGE(""https://docs.google.com/spreadsheets/d/149xufxukrnEciK3WPbNpHwUK8BKEJxp3UcBG3Al6dA4/edit?usp=sharing"",""สิงห์บุรี!J648"")"),0)</f>
        <v>0</v>
      </c>
      <c r="AD71" s="63">
        <f t="shared" ca="1" si="27"/>
        <v>0</v>
      </c>
      <c r="AE71" s="140">
        <f ca="1">IFERROR(__xludf.DUMMYFUNCTION("IMPORTRANGE(""https://docs.google.com/spreadsheets/d/149xufxukrnEciK3WPbNpHwUK8BKEJxp3UcBG3Al6dA4/edit?usp=sharing"",""สิงห์บุรี!I649"")"),0)</f>
        <v>0</v>
      </c>
      <c r="AF71" s="57">
        <f ca="1">IFERROR(__xludf.DUMMYFUNCTION("IMPORTRANGE(""https://docs.google.com/spreadsheets/d/149xufxukrnEciK3WPbNpHwUK8BKEJxp3UcBG3Al6dA4/edit?usp=sharing"",""สิงห์บุรี!J649"")"),0)</f>
        <v>0</v>
      </c>
      <c r="AG71" s="63">
        <f ca="1">IFERROR(__xludf.DUMMYFUNCTION("IMPORTRANGE(""https://docs.google.com/spreadsheets/d/149xufxukrnEciK3WPbNpHwUK8BKEJxp3UcBG3Al6dA4/edit?usp=sharing"",""สิงห์บุรี!J650"")"),0)</f>
        <v>0</v>
      </c>
      <c r="AH71" s="63">
        <f t="shared" ca="1" si="28"/>
        <v>0</v>
      </c>
      <c r="AI71" s="140">
        <f ca="1">IFERROR(__xludf.DUMMYFUNCTION("IMPORTRANGE(""https://docs.google.com/spreadsheets/d/149xufxukrnEciK3WPbNpHwUK8BKEJxp3UcBG3Al6dA4/edit?usp=sharing"",""สิงห์บุรี!I651"")"),0)</f>
        <v>0</v>
      </c>
      <c r="AJ71" s="57">
        <f ca="1">IFERROR(__xludf.DUMMYFUNCTION("IMPORTRANGE(""https://docs.google.com/spreadsheets/d/149xufxukrnEciK3WPbNpHwUK8BKEJxp3UcBG3Al6dA4/edit?usp=sharing"",""สิงห์บุรี!J651"")"),0)</f>
        <v>0</v>
      </c>
      <c r="AK71" s="63">
        <f ca="1">IFERROR(__xludf.DUMMYFUNCTION("IMPORTRANGE(""https://docs.google.com/spreadsheets/d/149xufxukrnEciK3WPbNpHwUK8BKEJxp3UcBG3Al6dA4/edit?usp=sharing"",""สิงห์บุรี!J652"")"),0)</f>
        <v>0</v>
      </c>
      <c r="AL71" s="63">
        <f t="shared" ca="1" si="29"/>
        <v>0</v>
      </c>
    </row>
    <row r="72" spans="1:38" ht="21" customHeight="1" x14ac:dyDescent="0.3">
      <c r="A72" s="54">
        <v>20</v>
      </c>
      <c r="B72" s="55" t="s">
        <v>93</v>
      </c>
      <c r="C72" s="56">
        <f t="shared" ca="1" si="58"/>
        <v>381515</v>
      </c>
      <c r="D72" s="57">
        <f ca="1">IFERROR(__xludf.DUMMYFUNCTION("IMPORTRANGE(""https://docs.google.com/spreadsheets/d/132g-zJpz2uMKimp17uOIx8A7o3w1Z25zwJyXnwsB56c/edit?usp=sharing"",""สุพรรณบุรี!L634"")"),381515)</f>
        <v>381515</v>
      </c>
      <c r="E72" s="64">
        <f ca="1">IFERROR(__xludf.DUMMYFUNCTION("IMPORTRANGE(""https://docs.google.com/spreadsheets/d/132g-zJpz2uMKimp17uOIx8A7o3w1Z25zwJyXnwsB56c/edit?usp=sharing"",""สุพรรณบุรี!L641"")"),0)</f>
        <v>0</v>
      </c>
      <c r="F72" s="64">
        <f ca="1">IFERROR(__xludf.DUMMYFUNCTION("IMPORTRANGE(""https://docs.google.com/spreadsheets/d/132g-zJpz2uMKimp17uOIx8A7o3w1Z25zwJyXnwsB56c/edit?usp=sharing"",""สุพรรณบุรี!M634"")"),381515)</f>
        <v>381515</v>
      </c>
      <c r="G72" s="64">
        <f ca="1">IFERROR(__xludf.DUMMYFUNCTION("IMPORTRANGE(""https://docs.google.com/spreadsheets/d/132g-zJpz2uMKimp17uOIx8A7o3w1Z25zwJyXnwsB56c/edit?usp=sharing"",""สุพรรณบุรี!M641"")"),0)</f>
        <v>0</v>
      </c>
      <c r="H72" s="58">
        <f t="shared" ca="1" si="24"/>
        <v>263772</v>
      </c>
      <c r="I72" s="59">
        <f t="shared" ca="1" si="1"/>
        <v>69.138041754583696</v>
      </c>
      <c r="J72" s="60">
        <f t="shared" ca="1" si="59"/>
        <v>263772</v>
      </c>
      <c r="K72" s="61">
        <f t="shared" ca="1" si="31"/>
        <v>69.138041754583696</v>
      </c>
      <c r="L72" s="61">
        <f t="shared" ca="1" si="32"/>
        <v>69.138041754583696</v>
      </c>
      <c r="M72" s="64">
        <f ca="1">IFERROR(__xludf.DUMMYFUNCTION("IMPORTRANGE(""https://docs.google.com/spreadsheets/d/132g-zJpz2uMKimp17uOIx8A7o3w1Z25zwJyXnwsB56c/edit?usp=sharing"",""สุพรรณบุรี!N635"")"),0)</f>
        <v>0</v>
      </c>
      <c r="N72" s="64">
        <f ca="1">IFERROR(__xludf.DUMMYFUNCTION("IMPORTRANGE(""https://docs.google.com/spreadsheets/d/132g-zJpz2uMKimp17uOIx8A7o3w1Z25zwJyXnwsB56c/edit?usp=sharing"",""สุพรรณบุรี!N636"")"),0)</f>
        <v>0</v>
      </c>
      <c r="O72" s="64">
        <f ca="1">IFERROR(__xludf.DUMMYFUNCTION("IMPORTRANGE(""https://docs.google.com/spreadsheets/d/132g-zJpz2uMKimp17uOIx8A7o3w1Z25zwJyXnwsB56c/edit?usp=sharing"",""สุพรรณบุรี!N637"")"),78000)</f>
        <v>78000</v>
      </c>
      <c r="P72" s="64">
        <f ca="1">IFERROR(__xludf.DUMMYFUNCTION("IMPORTRANGE(""https://docs.google.com/spreadsheets/d/132g-zJpz2uMKimp17uOIx8A7o3w1Z25zwJyXnwsB56c/edit?usp=sharing"",""สุพรรณบุรี!N638"")"),185772)</f>
        <v>185772</v>
      </c>
      <c r="Q72" s="62">
        <f ca="1">IFERROR(__xludf.DUMMYFUNCTION("IMPORTRANGE(""https://docs.google.com/spreadsheets/d/132g-zJpz2uMKimp17uOIx8A7o3w1Z25zwJyXnwsB56c/edit?usp=sharing"",""สุพรรณบุรี!N641"")"),0)</f>
        <v>0</v>
      </c>
      <c r="R72" s="62">
        <f t="shared" ca="1" si="34"/>
        <v>0</v>
      </c>
      <c r="S72" s="57">
        <f ca="1">IFERROR(__xludf.DUMMYFUNCTION("IMPORTRANGE(""https://docs.google.com/spreadsheets/d/132g-zJpz2uMKimp17uOIx8A7o3w1Z25zwJyXnwsB56c/edit?usp=sharing"",""สุพรรณบุรี!I643"")"),0)</f>
        <v>0</v>
      </c>
      <c r="T72" s="57">
        <f ca="1">IFERROR(__xludf.DUMMYFUNCTION("IMPORTRANGE(""https://docs.google.com/spreadsheets/d/132g-zJpz2uMKimp17uOIx8A7o3w1Z25zwJyXnwsB56c/edit?usp=sharing"",""สุพรรณบุรี!J643"")"),0)</f>
        <v>0</v>
      </c>
      <c r="U72" s="63">
        <f t="shared" ca="1" si="25"/>
        <v>0</v>
      </c>
      <c r="V72" s="57">
        <f ca="1">IFERROR(__xludf.DUMMYFUNCTION("IMPORTRANGE(""https://docs.google.com/spreadsheets/d/132g-zJpz2uMKimp17uOIx8A7o3w1Z25zwJyXnwsB56c/edit?usp=sharing"",""สุพรรณบุรี!I644"")"),0)</f>
        <v>0</v>
      </c>
      <c r="W72" s="57">
        <f ca="1">IFERROR(__xludf.DUMMYFUNCTION("IMPORTRANGE(""https://docs.google.com/spreadsheets/d/132g-zJpz2uMKimp17uOIx8A7o3w1Z25zwJyXnwsB56c/edit?usp=sharing"",""สุพรรณบุรี!J644"")"),0)</f>
        <v>0</v>
      </c>
      <c r="X72" s="63">
        <f t="shared" ca="1" si="26"/>
        <v>0</v>
      </c>
      <c r="Y72" s="57">
        <f ca="1">IFERROR(__xludf.DUMMYFUNCTION("IMPORTRANGE(""https://docs.google.com/spreadsheets/d/132g-zJpz2uMKimp17uOIx8A7o3w1Z25zwJyXnwsB56c/edit?usp=sharing"",""สุพรรณบุรี!J645"")"),113)</f>
        <v>113</v>
      </c>
      <c r="Z72" s="63">
        <f ca="1">IFERROR(__xludf.DUMMYFUNCTION("IMPORTRANGE(""https://docs.google.com/spreadsheets/d/132g-zJpz2uMKimp17uOIx8A7o3w1Z25zwJyXnwsB56c/edit?usp=sharing"",""สุพรรณบุรี!J646"")"),71.22)</f>
        <v>71.22</v>
      </c>
      <c r="AA72" s="57">
        <f ca="1">IFERROR(__xludf.DUMMYFUNCTION("IMPORTRANGE(""https://docs.google.com/spreadsheets/d/132g-zJpz2uMKimp17uOIx8A7o3w1Z25zwJyXnwsB56c/edit?usp=sharing"",""สุพรรณบุรี!I647"")"),100)</f>
        <v>100</v>
      </c>
      <c r="AB72" s="57">
        <f ca="1">IFERROR(__xludf.DUMMYFUNCTION("IMPORTRANGE(""https://docs.google.com/spreadsheets/d/132g-zJpz2uMKimp17uOIx8A7o3w1Z25zwJyXnwsB56c/edit?usp=sharing"",""สุพรรณบุรี!J647"")"),55)</f>
        <v>55</v>
      </c>
      <c r="AC72" s="63">
        <f ca="1">IFERROR(__xludf.DUMMYFUNCTION("IMPORTRANGE(""https://docs.google.com/spreadsheets/d/132g-zJpz2uMKimp17uOIx8A7o3w1Z25zwJyXnwsB56c/edit?usp=sharing"",""สุพรรณบุรี!J648"")"),36.12)</f>
        <v>36.119999999999997</v>
      </c>
      <c r="AD72" s="63">
        <f t="shared" ca="1" si="27"/>
        <v>55</v>
      </c>
      <c r="AE72" s="140">
        <f ca="1">IFERROR(__xludf.DUMMYFUNCTION("IMPORTRANGE(""https://docs.google.com/spreadsheets/d/132g-zJpz2uMKimp17uOIx8A7o3w1Z25zwJyXnwsB56c/edit?usp=sharing"",""สุพรรณบุรี!I649"")"),100)</f>
        <v>100</v>
      </c>
      <c r="AF72" s="57">
        <f ca="1">IFERROR(__xludf.DUMMYFUNCTION("IMPORTRANGE(""https://docs.google.com/spreadsheets/d/132g-zJpz2uMKimp17uOIx8A7o3w1Z25zwJyXnwsB56c/edit?usp=sharing"",""สุพรรณบุรี!J649"")"),54)</f>
        <v>54</v>
      </c>
      <c r="AG72" s="63">
        <f ca="1">IFERROR(__xludf.DUMMYFUNCTION("IMPORTRANGE(""https://docs.google.com/spreadsheets/d/132g-zJpz2uMKimp17uOIx8A7o3w1Z25zwJyXnwsB56c/edit?usp=sharing"",""สุพรรณบุรี!J650"")"),35.54)</f>
        <v>35.54</v>
      </c>
      <c r="AH72" s="63">
        <f t="shared" ca="1" si="28"/>
        <v>54</v>
      </c>
      <c r="AI72" s="140">
        <f ca="1">IFERROR(__xludf.DUMMYFUNCTION("IMPORTRANGE(""https://docs.google.com/spreadsheets/d/132g-zJpz2uMKimp17uOIx8A7o3w1Z25zwJyXnwsB56c/edit?usp=sharing"",""สุพรรณบุรี!I651"")"),100)</f>
        <v>100</v>
      </c>
      <c r="AJ72" s="57">
        <f ca="1">IFERROR(__xludf.DUMMYFUNCTION("IMPORTRANGE(""https://docs.google.com/spreadsheets/d/132g-zJpz2uMKimp17uOIx8A7o3w1Z25zwJyXnwsB56c/edit?usp=sharing"",""สุพรรณบุรี!J651"")"),54)</f>
        <v>54</v>
      </c>
      <c r="AK72" s="63">
        <f ca="1">IFERROR(__xludf.DUMMYFUNCTION("IMPORTRANGE(""https://docs.google.com/spreadsheets/d/132g-zJpz2uMKimp17uOIx8A7o3w1Z25zwJyXnwsB56c/edit?usp=sharing"",""สุพรรณบุรี!J652"")"),35.5375)</f>
        <v>35.537500000000001</v>
      </c>
      <c r="AL72" s="63">
        <f t="shared" ca="1" si="29"/>
        <v>54</v>
      </c>
    </row>
    <row r="73" spans="1:38" ht="21" customHeight="1" x14ac:dyDescent="0.3">
      <c r="A73" s="65">
        <v>21</v>
      </c>
      <c r="B73" s="66" t="s">
        <v>94</v>
      </c>
      <c r="C73" s="67">
        <f t="shared" ca="1" si="58"/>
        <v>0</v>
      </c>
      <c r="D73" s="68">
        <f ca="1">IFERROR(__xludf.DUMMYFUNCTION("IMPORTRANGE(""https://docs.google.com/spreadsheets/d/12Q_U0nVnFdxDFwa0pej9xvx8ZvLC9Dpi_vRro_aiG5g/edit?usp=sharing"",""อ่างทอง!L634"")"),0)</f>
        <v>0</v>
      </c>
      <c r="E73" s="69">
        <f ca="1">IFERROR(__xludf.DUMMYFUNCTION("IMPORTRANGE(""https://docs.google.com/spreadsheets/d/12Q_U0nVnFdxDFwa0pej9xvx8ZvLC9Dpi_vRro_aiG5g/edit?usp=sharing"",""อ่างทอง!L641"")"),0)</f>
        <v>0</v>
      </c>
      <c r="F73" s="69">
        <f ca="1">IFERROR(__xludf.DUMMYFUNCTION("IMPORTRANGE(""https://docs.google.com/spreadsheets/d/12Q_U0nVnFdxDFwa0pej9xvx8ZvLC9Dpi_vRro_aiG5g/edit?usp=sharing"",""อ่างทอง!M634"")"),0)</f>
        <v>0</v>
      </c>
      <c r="G73" s="69">
        <f ca="1">IFERROR(__xludf.DUMMYFUNCTION("IMPORTRANGE(""https://docs.google.com/spreadsheets/d/12Q_U0nVnFdxDFwa0pej9xvx8ZvLC9Dpi_vRro_aiG5g/edit?usp=sharing"",""อ่างทอง!M641"")"),0)</f>
        <v>0</v>
      </c>
      <c r="H73" s="70">
        <f t="shared" ca="1" si="24"/>
        <v>0</v>
      </c>
      <c r="I73" s="71">
        <f t="shared" ca="1" si="1"/>
        <v>0</v>
      </c>
      <c r="J73" s="72">
        <f t="shared" ca="1" si="59"/>
        <v>0</v>
      </c>
      <c r="K73" s="73">
        <f t="shared" ca="1" si="31"/>
        <v>0</v>
      </c>
      <c r="L73" s="73">
        <f t="shared" ca="1" si="32"/>
        <v>0</v>
      </c>
      <c r="M73" s="69">
        <f ca="1">IFERROR(__xludf.DUMMYFUNCTION("IMPORTRANGE(""https://docs.google.com/spreadsheets/d/12Q_U0nVnFdxDFwa0pej9xvx8ZvLC9Dpi_vRro_aiG5g/edit?usp=sharing"",""อ่างทอง!N635"")"),0)</f>
        <v>0</v>
      </c>
      <c r="N73" s="69">
        <f ca="1">IFERROR(__xludf.DUMMYFUNCTION("IMPORTRANGE(""https://docs.google.com/spreadsheets/d/12Q_U0nVnFdxDFwa0pej9xvx8ZvLC9Dpi_vRro_aiG5g/edit?usp=sharing"",""อ่างทอง!N636"")"),0)</f>
        <v>0</v>
      </c>
      <c r="O73" s="69">
        <f ca="1">IFERROR(__xludf.DUMMYFUNCTION("IMPORTRANGE(""https://docs.google.com/spreadsheets/d/12Q_U0nVnFdxDFwa0pej9xvx8ZvLC9Dpi_vRro_aiG5g/edit?usp=sharing"",""อ่างทอง!N637"")"),0)</f>
        <v>0</v>
      </c>
      <c r="P73" s="69">
        <f ca="1">IFERROR(__xludf.DUMMYFUNCTION("IMPORTRANGE(""https://docs.google.com/spreadsheets/d/12Q_U0nVnFdxDFwa0pej9xvx8ZvLC9Dpi_vRro_aiG5g/edit?usp=sharing"",""อ่างทอง!N638"")"),0)</f>
        <v>0</v>
      </c>
      <c r="Q73" s="74">
        <f ca="1">IFERROR(__xludf.DUMMYFUNCTION("IMPORTRANGE(""https://docs.google.com/spreadsheets/d/12Q_U0nVnFdxDFwa0pej9xvx8ZvLC9Dpi_vRro_aiG5g/edit?usp=sharing"",""อ่างทอง!N641"")"),0)</f>
        <v>0</v>
      </c>
      <c r="R73" s="74">
        <f t="shared" ca="1" si="34"/>
        <v>0</v>
      </c>
      <c r="S73" s="68">
        <f ca="1">IFERROR(__xludf.DUMMYFUNCTION("IMPORTRANGE(""https://docs.google.com/spreadsheets/d/12Q_U0nVnFdxDFwa0pej9xvx8ZvLC9Dpi_vRro_aiG5g/edit?usp=sharing"",""อ่างทอง!I643"")"),0)</f>
        <v>0</v>
      </c>
      <c r="T73" s="68">
        <f ca="1">IFERROR(__xludf.DUMMYFUNCTION("IMPORTRANGE(""https://docs.google.com/spreadsheets/d/12Q_U0nVnFdxDFwa0pej9xvx8ZvLC9Dpi_vRro_aiG5g/edit?usp=sharing"",""อ่างทอง!J643"")"),0)</f>
        <v>0</v>
      </c>
      <c r="U73" s="75">
        <f t="shared" ca="1" si="25"/>
        <v>0</v>
      </c>
      <c r="V73" s="68">
        <f ca="1">IFERROR(__xludf.DUMMYFUNCTION("IMPORTRANGE(""https://docs.google.com/spreadsheets/d/12Q_U0nVnFdxDFwa0pej9xvx8ZvLC9Dpi_vRro_aiG5g/edit?usp=sharing"",""อ่างทอง!I644"")"),0)</f>
        <v>0</v>
      </c>
      <c r="W73" s="68">
        <f ca="1">IFERROR(__xludf.DUMMYFUNCTION("IMPORTRANGE(""https://docs.google.com/spreadsheets/d/12Q_U0nVnFdxDFwa0pej9xvx8ZvLC9Dpi_vRro_aiG5g/edit?usp=sharing"",""อ่างทอง!J644"")"),0)</f>
        <v>0</v>
      </c>
      <c r="X73" s="75">
        <f t="shared" ca="1" si="26"/>
        <v>0</v>
      </c>
      <c r="Y73" s="68">
        <f ca="1">IFERROR(__xludf.DUMMYFUNCTION("IMPORTRANGE(""https://docs.google.com/spreadsheets/d/12Q_U0nVnFdxDFwa0pej9xvx8ZvLC9Dpi_vRro_aiG5g/edit?usp=sharing"",""อ่างทอง!J645"")"),0)</f>
        <v>0</v>
      </c>
      <c r="Z73" s="75">
        <f ca="1">IFERROR(__xludf.DUMMYFUNCTION("IMPORTRANGE(""https://docs.google.com/spreadsheets/d/12Q_U0nVnFdxDFwa0pej9xvx8ZvLC9Dpi_vRro_aiG5g/edit?usp=sharing"",""อ่างทอง!J646"")"),0)</f>
        <v>0</v>
      </c>
      <c r="AA73" s="68">
        <f ca="1">IFERROR(__xludf.DUMMYFUNCTION("IMPORTRANGE(""https://docs.google.com/spreadsheets/d/12Q_U0nVnFdxDFwa0pej9xvx8ZvLC9Dpi_vRro_aiG5g/edit?usp=sharing"",""อ่างทอง!I647"")"),0)</f>
        <v>0</v>
      </c>
      <c r="AB73" s="68">
        <f ca="1">IFERROR(__xludf.DUMMYFUNCTION("IMPORTRANGE(""https://docs.google.com/spreadsheets/d/12Q_U0nVnFdxDFwa0pej9xvx8ZvLC9Dpi_vRro_aiG5g/edit?usp=sharing"",""อ่างทอง!J647"")"),0)</f>
        <v>0</v>
      </c>
      <c r="AC73" s="75">
        <f ca="1">IFERROR(__xludf.DUMMYFUNCTION("IMPORTRANGE(""https://docs.google.com/spreadsheets/d/12Q_U0nVnFdxDFwa0pej9xvx8ZvLC9Dpi_vRro_aiG5g/edit?usp=sharing"",""อ่างทอง!J648"")"),0)</f>
        <v>0</v>
      </c>
      <c r="AD73" s="75">
        <f t="shared" ca="1" si="27"/>
        <v>0</v>
      </c>
      <c r="AE73" s="142">
        <f ca="1">IFERROR(__xludf.DUMMYFUNCTION("IMPORTRANGE(""https://docs.google.com/spreadsheets/d/12Q_U0nVnFdxDFwa0pej9xvx8ZvLC9Dpi_vRro_aiG5g/edit?usp=sharing"",""อ่างทอง!I649"")"),0)</f>
        <v>0</v>
      </c>
      <c r="AF73" s="68">
        <f ca="1">IFERROR(__xludf.DUMMYFUNCTION("IMPORTRANGE(""https://docs.google.com/spreadsheets/d/12Q_U0nVnFdxDFwa0pej9xvx8ZvLC9Dpi_vRro_aiG5g/edit?usp=sharing"",""อ่างทอง!J649"")"),0)</f>
        <v>0</v>
      </c>
      <c r="AG73" s="75">
        <f ca="1">IFERROR(__xludf.DUMMYFUNCTION("IMPORTRANGE(""https://docs.google.com/spreadsheets/d/12Q_U0nVnFdxDFwa0pej9xvx8ZvLC9Dpi_vRro_aiG5g/edit?usp=sharing"",""อ่างทอง!J650"")"),0)</f>
        <v>0</v>
      </c>
      <c r="AH73" s="75">
        <f t="shared" ca="1" si="28"/>
        <v>0</v>
      </c>
      <c r="AI73" s="142">
        <f ca="1">IFERROR(__xludf.DUMMYFUNCTION("IMPORTRANGE(""https://docs.google.com/spreadsheets/d/12Q_U0nVnFdxDFwa0pej9xvx8ZvLC9Dpi_vRro_aiG5g/edit?usp=sharing"",""อ่างทอง!I651"")"),0)</f>
        <v>0</v>
      </c>
      <c r="AJ73" s="68">
        <f ca="1">IFERROR(__xludf.DUMMYFUNCTION("IMPORTRANGE(""https://docs.google.com/spreadsheets/d/12Q_U0nVnFdxDFwa0pej9xvx8ZvLC9Dpi_vRro_aiG5g/edit?usp=sharing"",""อ่างทอง!J651"")"),0)</f>
        <v>0</v>
      </c>
      <c r="AK73" s="75">
        <f ca="1">IFERROR(__xludf.DUMMYFUNCTION("IMPORTRANGE(""https://docs.google.com/spreadsheets/d/12Q_U0nVnFdxDFwa0pej9xvx8ZvLC9Dpi_vRro_aiG5g/edit?usp=sharing"",""อ่างทอง!J652"")"),0)</f>
        <v>0</v>
      </c>
      <c r="AL73" s="75">
        <f t="shared" ca="1" si="29"/>
        <v>0</v>
      </c>
    </row>
    <row r="74" spans="1:38" ht="21" customHeight="1" x14ac:dyDescent="0.3">
      <c r="A74" s="177" t="s">
        <v>95</v>
      </c>
      <c r="B74" s="178"/>
      <c r="C74" s="76">
        <f t="shared" ref="C74:G74" ca="1" si="60">SUM(C75:C88)</f>
        <v>1558770</v>
      </c>
      <c r="D74" s="34">
        <f t="shared" ca="1" si="60"/>
        <v>1558770</v>
      </c>
      <c r="E74" s="34">
        <f t="shared" ca="1" si="60"/>
        <v>0</v>
      </c>
      <c r="F74" s="34">
        <f t="shared" ca="1" si="60"/>
        <v>1558770</v>
      </c>
      <c r="G74" s="34">
        <f t="shared" ca="1" si="60"/>
        <v>0</v>
      </c>
      <c r="H74" s="34">
        <f t="shared" ca="1" si="24"/>
        <v>392775</v>
      </c>
      <c r="I74" s="35">
        <f t="shared" ca="1" si="1"/>
        <v>25.197752073750458</v>
      </c>
      <c r="J74" s="34">
        <f ca="1">SUM(J75:J88)</f>
        <v>392775</v>
      </c>
      <c r="K74" s="35">
        <f t="shared" ca="1" si="31"/>
        <v>25.197752073750458</v>
      </c>
      <c r="L74" s="35">
        <f t="shared" ca="1" si="32"/>
        <v>25.197752073750458</v>
      </c>
      <c r="M74" s="34">
        <f t="shared" ref="M74:Q74" ca="1" si="61">SUM(M75:M88)</f>
        <v>0</v>
      </c>
      <c r="N74" s="34">
        <f t="shared" ca="1" si="61"/>
        <v>0</v>
      </c>
      <c r="O74" s="34">
        <f t="shared" ca="1" si="61"/>
        <v>143000</v>
      </c>
      <c r="P74" s="34">
        <f t="shared" ca="1" si="61"/>
        <v>249775</v>
      </c>
      <c r="Q74" s="36">
        <f t="shared" ca="1" si="61"/>
        <v>0</v>
      </c>
      <c r="R74" s="36">
        <f t="shared" ca="1" si="34"/>
        <v>0</v>
      </c>
      <c r="S74" s="34">
        <f t="shared" ref="S74:T74" ca="1" si="62">SUM(S75:S88)</f>
        <v>5</v>
      </c>
      <c r="T74" s="34">
        <f t="shared" ca="1" si="62"/>
        <v>2</v>
      </c>
      <c r="U74" s="37">
        <f t="shared" ca="1" si="25"/>
        <v>40</v>
      </c>
      <c r="V74" s="34">
        <f t="shared" ref="V74:W74" ca="1" si="63">SUM(V75:V88)</f>
        <v>5</v>
      </c>
      <c r="W74" s="34">
        <f t="shared" ca="1" si="63"/>
        <v>0</v>
      </c>
      <c r="X74" s="37">
        <f t="shared" ca="1" si="26"/>
        <v>0</v>
      </c>
      <c r="Y74" s="34">
        <f t="shared" ref="Y74:AC74" ca="1" si="64">SUM(Y75:Y88)</f>
        <v>26</v>
      </c>
      <c r="Z74" s="37">
        <f t="shared" ca="1" si="64"/>
        <v>7.87</v>
      </c>
      <c r="AA74" s="34">
        <f t="shared" ca="1" si="64"/>
        <v>324</v>
      </c>
      <c r="AB74" s="34">
        <f t="shared" ca="1" si="64"/>
        <v>82</v>
      </c>
      <c r="AC74" s="37">
        <f t="shared" ca="1" si="64"/>
        <v>20.63</v>
      </c>
      <c r="AD74" s="37">
        <f t="shared" ca="1" si="27"/>
        <v>25.308641975308642</v>
      </c>
      <c r="AE74" s="113">
        <f t="shared" ref="AE74:AG74" ca="1" si="65">SUM(AE75:AE88)</f>
        <v>324</v>
      </c>
      <c r="AF74" s="34">
        <f t="shared" ca="1" si="65"/>
        <v>82</v>
      </c>
      <c r="AG74" s="37">
        <f t="shared" ca="1" si="65"/>
        <v>22.52</v>
      </c>
      <c r="AH74" s="37">
        <f t="shared" ca="1" si="28"/>
        <v>25.308641975308642</v>
      </c>
      <c r="AI74" s="113">
        <f t="shared" ref="AI74:AK74" ca="1" si="66">SUM(AI75:AI88)</f>
        <v>324</v>
      </c>
      <c r="AJ74" s="34">
        <f t="shared" ca="1" si="66"/>
        <v>80</v>
      </c>
      <c r="AK74" s="37">
        <f t="shared" ca="1" si="66"/>
        <v>20.125</v>
      </c>
      <c r="AL74" s="37">
        <f t="shared" ca="1" si="29"/>
        <v>24.691358024691358</v>
      </c>
    </row>
    <row r="75" spans="1:38" ht="21" customHeight="1" x14ac:dyDescent="0.3">
      <c r="A75" s="54">
        <v>1</v>
      </c>
      <c r="B75" s="55" t="s">
        <v>96</v>
      </c>
      <c r="C75" s="56">
        <f t="shared" ref="C75:C88" ca="1" si="67">D75+E75</f>
        <v>252900</v>
      </c>
      <c r="D75" s="57">
        <f ca="1">IFERROR(__xludf.DUMMYFUNCTION("IMPORTRANGE(""https://docs.google.com/spreadsheets/d/1kC41EOXpGBFOW658Fs3oD8beYlym0-zO54WY-2Qnp9I/edit?usp=sharing"",""กระบี่!L634"")"),252900)</f>
        <v>252900</v>
      </c>
      <c r="E75" s="64">
        <f ca="1">IFERROR(__xludf.DUMMYFUNCTION("IMPORTRANGE(""https://docs.google.com/spreadsheets/d/1kC41EOXpGBFOW658Fs3oD8beYlym0-zO54WY-2Qnp9I/edit?usp=sharing"",""กระบี่!L641"")"),0)</f>
        <v>0</v>
      </c>
      <c r="F75" s="64">
        <f ca="1">IFERROR(__xludf.DUMMYFUNCTION("IMPORTRANGE(""https://docs.google.com/spreadsheets/d/1kC41EOXpGBFOW658Fs3oD8beYlym0-zO54WY-2Qnp9I/edit?usp=sharing"",""กระบี่!M634"")"),252900)</f>
        <v>252900</v>
      </c>
      <c r="G75" s="64">
        <f ca="1">IFERROR(__xludf.DUMMYFUNCTION("IMPORTRANGE(""https://docs.google.com/spreadsheets/d/1kC41EOXpGBFOW658Fs3oD8beYlym0-zO54WY-2Qnp9I/edit?usp=sharing"",""กระบี่!M641"")"),0)</f>
        <v>0</v>
      </c>
      <c r="H75" s="58">
        <f t="shared" ca="1" si="24"/>
        <v>0</v>
      </c>
      <c r="I75" s="59">
        <f t="shared" ca="1" si="1"/>
        <v>0</v>
      </c>
      <c r="J75" s="60">
        <f t="shared" ref="J75:J88" ca="1" si="68">M75+N75+O75+P75</f>
        <v>0</v>
      </c>
      <c r="K75" s="61">
        <f t="shared" ca="1" si="31"/>
        <v>0</v>
      </c>
      <c r="L75" s="61">
        <f t="shared" ca="1" si="32"/>
        <v>0</v>
      </c>
      <c r="M75" s="64">
        <f ca="1">IFERROR(__xludf.DUMMYFUNCTION("IMPORTRANGE(""https://docs.google.com/spreadsheets/d/1kC41EOXpGBFOW658Fs3oD8beYlym0-zO54WY-2Qnp9I/edit?usp=sharing"",""กระบี่!N635"")"),0)</f>
        <v>0</v>
      </c>
      <c r="N75" s="64">
        <f ca="1">IFERROR(__xludf.DUMMYFUNCTION("IMPORTRANGE(""https://docs.google.com/spreadsheets/d/1kC41EOXpGBFOW658Fs3oD8beYlym0-zO54WY-2Qnp9I/edit?usp=sharing"",""กระบี่!N636"")"),0)</f>
        <v>0</v>
      </c>
      <c r="O75" s="64">
        <f ca="1">IFERROR(__xludf.DUMMYFUNCTION("IMPORTRANGE(""https://docs.google.com/spreadsheets/d/1kC41EOXpGBFOW658Fs3oD8beYlym0-zO54WY-2Qnp9I/edit?usp=sharing"",""กระบี่!N637"")"),0)</f>
        <v>0</v>
      </c>
      <c r="P75" s="64">
        <f ca="1">IFERROR(__xludf.DUMMYFUNCTION("IMPORTRANGE(""https://docs.google.com/spreadsheets/d/1kC41EOXpGBFOW658Fs3oD8beYlym0-zO54WY-2Qnp9I/edit?usp=sharing"",""กระบี่!N638"")"),0)</f>
        <v>0</v>
      </c>
      <c r="Q75" s="62">
        <f ca="1">IFERROR(__xludf.DUMMYFUNCTION("IMPORTRANGE(""https://docs.google.com/spreadsheets/d/1kC41EOXpGBFOW658Fs3oD8beYlym0-zO54WY-2Qnp9I/edit?usp=sharing"",""กระบี่!N641"")"),0)</f>
        <v>0</v>
      </c>
      <c r="R75" s="62">
        <f t="shared" ca="1" si="34"/>
        <v>0</v>
      </c>
      <c r="S75" s="57">
        <f ca="1">IFERROR(__xludf.DUMMYFUNCTION("IMPORTRANGE(""https://docs.google.com/spreadsheets/d/1kC41EOXpGBFOW658Fs3oD8beYlym0-zO54WY-2Qnp9I/edit?usp=sharing"",""กระบี่!I643"")"),2)</f>
        <v>2</v>
      </c>
      <c r="T75" s="57">
        <f ca="1">IFERROR(__xludf.DUMMYFUNCTION("IMPORTRANGE(""https://docs.google.com/spreadsheets/d/1kC41EOXpGBFOW658Fs3oD8beYlym0-zO54WY-2Qnp9I/edit?usp=sharing"",""กระบี่!J643"")"),0)</f>
        <v>0</v>
      </c>
      <c r="U75" s="63">
        <f t="shared" ca="1" si="25"/>
        <v>0</v>
      </c>
      <c r="V75" s="57">
        <f ca="1">IFERROR(__xludf.DUMMYFUNCTION("IMPORTRANGE(""https://docs.google.com/spreadsheets/d/1kC41EOXpGBFOW658Fs3oD8beYlym0-zO54WY-2Qnp9I/edit?usp=sharing"",""กระบี่!I644"")"),2)</f>
        <v>2</v>
      </c>
      <c r="W75" s="57">
        <f ca="1">IFERROR(__xludf.DUMMYFUNCTION("IMPORTRANGE(""https://docs.google.com/spreadsheets/d/1kC41EOXpGBFOW658Fs3oD8beYlym0-zO54WY-2Qnp9I/edit?usp=sharing"",""กระบี่!J644"")"),0)</f>
        <v>0</v>
      </c>
      <c r="X75" s="63">
        <f t="shared" ca="1" si="26"/>
        <v>0</v>
      </c>
      <c r="Y75" s="57">
        <f ca="1">IFERROR(__xludf.DUMMYFUNCTION("IMPORTRANGE(""https://docs.google.com/spreadsheets/d/1kC41EOXpGBFOW658Fs3oD8beYlym0-zO54WY-2Qnp9I/edit?usp=sharing"",""กระบี่!J645"")"),0)</f>
        <v>0</v>
      </c>
      <c r="Z75" s="63">
        <f ca="1">IFERROR(__xludf.DUMMYFUNCTION("IMPORTRANGE(""https://docs.google.com/spreadsheets/d/1kC41EOXpGBFOW658Fs3oD8beYlym0-zO54WY-2Qnp9I/edit?usp=sharing"",""กระบี่!J646"")"),0)</f>
        <v>0</v>
      </c>
      <c r="AA75" s="57">
        <f ca="1">IFERROR(__xludf.DUMMYFUNCTION("IMPORTRANGE(""https://docs.google.com/spreadsheets/d/1kC41EOXpGBFOW658Fs3oD8beYlym0-zO54WY-2Qnp9I/edit?usp=sharing"",""กระบี่!I647"")"),50)</f>
        <v>50</v>
      </c>
      <c r="AB75" s="57">
        <f ca="1">IFERROR(__xludf.DUMMYFUNCTION("IMPORTRANGE(""https://docs.google.com/spreadsheets/d/1kC41EOXpGBFOW658Fs3oD8beYlym0-zO54WY-2Qnp9I/edit?usp=sharing"",""กระบี่!J647"")"),0)</f>
        <v>0</v>
      </c>
      <c r="AC75" s="63">
        <f ca="1">IFERROR(__xludf.DUMMYFUNCTION("IMPORTRANGE(""https://docs.google.com/spreadsheets/d/1kC41EOXpGBFOW658Fs3oD8beYlym0-zO54WY-2Qnp9I/edit?usp=sharing"",""กระบี่!J648"")"),0)</f>
        <v>0</v>
      </c>
      <c r="AD75" s="63">
        <f t="shared" ca="1" si="27"/>
        <v>0</v>
      </c>
      <c r="AE75" s="140">
        <f ca="1">IFERROR(__xludf.DUMMYFUNCTION("IMPORTRANGE(""https://docs.google.com/spreadsheets/d/1kC41EOXpGBFOW658Fs3oD8beYlym0-zO54WY-2Qnp9I/edit?usp=sharing"",""กระบี่!I649"")"),50)</f>
        <v>50</v>
      </c>
      <c r="AF75" s="57">
        <f ca="1">IFERROR(__xludf.DUMMYFUNCTION("IMPORTRANGE(""https://docs.google.com/spreadsheets/d/1kC41EOXpGBFOW658Fs3oD8beYlym0-zO54WY-2Qnp9I/edit?usp=sharing"",""กระบี่!J649"")"),0)</f>
        <v>0</v>
      </c>
      <c r="AG75" s="63">
        <f ca="1">IFERROR(__xludf.DUMMYFUNCTION("IMPORTRANGE(""https://docs.google.com/spreadsheets/d/1kC41EOXpGBFOW658Fs3oD8beYlym0-zO54WY-2Qnp9I/edit?usp=sharing"",""กระบี่!J650"")"),0)</f>
        <v>0</v>
      </c>
      <c r="AH75" s="63">
        <f t="shared" ca="1" si="28"/>
        <v>0</v>
      </c>
      <c r="AI75" s="140">
        <f ca="1">IFERROR(__xludf.DUMMYFUNCTION("IMPORTRANGE(""https://docs.google.com/spreadsheets/d/1kC41EOXpGBFOW658Fs3oD8beYlym0-zO54WY-2Qnp9I/edit?usp=sharing"",""กระบี่!I651"")"),50)</f>
        <v>50</v>
      </c>
      <c r="AJ75" s="57">
        <f ca="1">IFERROR(__xludf.DUMMYFUNCTION("IMPORTRANGE(""https://docs.google.com/spreadsheets/d/1kC41EOXpGBFOW658Fs3oD8beYlym0-zO54WY-2Qnp9I/edit?usp=sharing"",""กระบี่!J651"")"),0)</f>
        <v>0</v>
      </c>
      <c r="AK75" s="63">
        <f ca="1">IFERROR(__xludf.DUMMYFUNCTION("IMPORTRANGE(""https://docs.google.com/spreadsheets/d/1kC41EOXpGBFOW658Fs3oD8beYlym0-zO54WY-2Qnp9I/edit?usp=sharing"",""กระบี่!J652"")"),0)</f>
        <v>0</v>
      </c>
      <c r="AL75" s="63">
        <f t="shared" ca="1" si="29"/>
        <v>0</v>
      </c>
    </row>
    <row r="76" spans="1:38" ht="21" customHeight="1" x14ac:dyDescent="0.3">
      <c r="A76" s="54">
        <v>2</v>
      </c>
      <c r="B76" s="55" t="s">
        <v>97</v>
      </c>
      <c r="C76" s="56">
        <f t="shared" ca="1" si="67"/>
        <v>0</v>
      </c>
      <c r="D76" s="57">
        <f ca="1">IFERROR(__xludf.DUMMYFUNCTION("IMPORTRANGE(""https://docs.google.com/spreadsheets/d/1FbzMZY_f3MDiEuK7RpCQKrilJ_kpX0Wm7QBZ1L7EjIU/edit?usp=sharing"",""ชุมพร!L634"")"),0)</f>
        <v>0</v>
      </c>
      <c r="E76" s="64">
        <f ca="1">IFERROR(__xludf.DUMMYFUNCTION("IMPORTRANGE(""https://docs.google.com/spreadsheets/d/1FbzMZY_f3MDiEuK7RpCQKrilJ_kpX0Wm7QBZ1L7EjIU/edit?usp=sharing"",""ชุมพร!L641"")"),0)</f>
        <v>0</v>
      </c>
      <c r="F76" s="64">
        <f ca="1">IFERROR(__xludf.DUMMYFUNCTION("IMPORTRANGE(""https://docs.google.com/spreadsheets/d/1FbzMZY_f3MDiEuK7RpCQKrilJ_kpX0Wm7QBZ1L7EjIU/edit?usp=sharing"",""ชุมพร!M634"")"),0)</f>
        <v>0</v>
      </c>
      <c r="G76" s="64">
        <f ca="1">IFERROR(__xludf.DUMMYFUNCTION("IMPORTRANGE(""https://docs.google.com/spreadsheets/d/1FbzMZY_f3MDiEuK7RpCQKrilJ_kpX0Wm7QBZ1L7EjIU/edit?usp=sharing"",""ชุมพร!M641"")"),0)</f>
        <v>0</v>
      </c>
      <c r="H76" s="58">
        <f t="shared" ca="1" si="24"/>
        <v>0</v>
      </c>
      <c r="I76" s="59">
        <f t="shared" ca="1" si="1"/>
        <v>0</v>
      </c>
      <c r="J76" s="60">
        <f t="shared" ca="1" si="68"/>
        <v>0</v>
      </c>
      <c r="K76" s="61">
        <f t="shared" ca="1" si="31"/>
        <v>0</v>
      </c>
      <c r="L76" s="61">
        <f t="shared" ca="1" si="32"/>
        <v>0</v>
      </c>
      <c r="M76" s="64">
        <f ca="1">IFERROR(__xludf.DUMMYFUNCTION("IMPORTRANGE(""https://docs.google.com/spreadsheets/d/1FbzMZY_f3MDiEuK7RpCQKrilJ_kpX0Wm7QBZ1L7EjIU/edit?usp=sharing"",""ชุมพร!N635"")"),0)</f>
        <v>0</v>
      </c>
      <c r="N76" s="64">
        <f ca="1">IFERROR(__xludf.DUMMYFUNCTION("IMPORTRANGE(""https://docs.google.com/spreadsheets/d/1FbzMZY_f3MDiEuK7RpCQKrilJ_kpX0Wm7QBZ1L7EjIU/edit?usp=sharing"",""ชุมพร!N636"")"),0)</f>
        <v>0</v>
      </c>
      <c r="O76" s="64">
        <f ca="1">IFERROR(__xludf.DUMMYFUNCTION("IMPORTRANGE(""https://docs.google.com/spreadsheets/d/1FbzMZY_f3MDiEuK7RpCQKrilJ_kpX0Wm7QBZ1L7EjIU/edit?usp=sharing"",""ชุมพร!N637"")"),0)</f>
        <v>0</v>
      </c>
      <c r="P76" s="64">
        <f ca="1">IFERROR(__xludf.DUMMYFUNCTION("IMPORTRANGE(""https://docs.google.com/spreadsheets/d/1FbzMZY_f3MDiEuK7RpCQKrilJ_kpX0Wm7QBZ1L7EjIU/edit?usp=sharing"",""ชุมพร!N638"")"),0)</f>
        <v>0</v>
      </c>
      <c r="Q76" s="62">
        <f ca="1">IFERROR(__xludf.DUMMYFUNCTION("IMPORTRANGE(""https://docs.google.com/spreadsheets/d/1FbzMZY_f3MDiEuK7RpCQKrilJ_kpX0Wm7QBZ1L7EjIU/edit?usp=sharing"",""ชุมพร!N641"")"),0)</f>
        <v>0</v>
      </c>
      <c r="R76" s="62">
        <f t="shared" ca="1" si="34"/>
        <v>0</v>
      </c>
      <c r="S76" s="57">
        <f ca="1">IFERROR(__xludf.DUMMYFUNCTION("IMPORTRANGE(""https://docs.google.com/spreadsheets/d/1FbzMZY_f3MDiEuK7RpCQKrilJ_kpX0Wm7QBZ1L7EjIU/edit?usp=sharing"",""ชุมพร!I643"")"),0)</f>
        <v>0</v>
      </c>
      <c r="T76" s="57">
        <f ca="1">IFERROR(__xludf.DUMMYFUNCTION("IMPORTRANGE(""https://docs.google.com/spreadsheets/d/1FbzMZY_f3MDiEuK7RpCQKrilJ_kpX0Wm7QBZ1L7EjIU/edit?usp=sharing"",""ชุมพร!J643"")"),0)</f>
        <v>0</v>
      </c>
      <c r="U76" s="63">
        <f t="shared" ca="1" si="25"/>
        <v>0</v>
      </c>
      <c r="V76" s="57">
        <f ca="1">IFERROR(__xludf.DUMMYFUNCTION("IMPORTRANGE(""https://docs.google.com/spreadsheets/d/1FbzMZY_f3MDiEuK7RpCQKrilJ_kpX0Wm7QBZ1L7EjIU/edit?usp=sharing"",""ชุมพร!I644"")"),0)</f>
        <v>0</v>
      </c>
      <c r="W76" s="57">
        <f ca="1">IFERROR(__xludf.DUMMYFUNCTION("IMPORTRANGE(""https://docs.google.com/spreadsheets/d/1FbzMZY_f3MDiEuK7RpCQKrilJ_kpX0Wm7QBZ1L7EjIU/edit?usp=sharing"",""ชุมพร!J644"")"),0)</f>
        <v>0</v>
      </c>
      <c r="X76" s="63">
        <f t="shared" ca="1" si="26"/>
        <v>0</v>
      </c>
      <c r="Y76" s="57">
        <f ca="1">IFERROR(__xludf.DUMMYFUNCTION("IMPORTRANGE(""https://docs.google.com/spreadsheets/d/1FbzMZY_f3MDiEuK7RpCQKrilJ_kpX0Wm7QBZ1L7EjIU/edit?usp=sharing"",""ชุมพร!J645"")"),0)</f>
        <v>0</v>
      </c>
      <c r="Z76" s="63">
        <f ca="1">IFERROR(__xludf.DUMMYFUNCTION("IMPORTRANGE(""https://docs.google.com/spreadsheets/d/1FbzMZY_f3MDiEuK7RpCQKrilJ_kpX0Wm7QBZ1L7EjIU/edit?usp=sharing"",""ชุมพร!J646"")"),0)</f>
        <v>0</v>
      </c>
      <c r="AA76" s="57">
        <f ca="1">IFERROR(__xludf.DUMMYFUNCTION("IMPORTRANGE(""https://docs.google.com/spreadsheets/d/1FbzMZY_f3MDiEuK7RpCQKrilJ_kpX0Wm7QBZ1L7EjIU/edit?usp=sharing"",""ชุมพร!I647"")"),0)</f>
        <v>0</v>
      </c>
      <c r="AB76" s="57">
        <f ca="1">IFERROR(__xludf.DUMMYFUNCTION("IMPORTRANGE(""https://docs.google.com/spreadsheets/d/1FbzMZY_f3MDiEuK7RpCQKrilJ_kpX0Wm7QBZ1L7EjIU/edit?usp=sharing"",""ชุมพร!J647"")"),0)</f>
        <v>0</v>
      </c>
      <c r="AC76" s="63">
        <f ca="1">IFERROR(__xludf.DUMMYFUNCTION("IMPORTRANGE(""https://docs.google.com/spreadsheets/d/1FbzMZY_f3MDiEuK7RpCQKrilJ_kpX0Wm7QBZ1L7EjIU/edit?usp=sharing"",""ชุมพร!J648"")"),0)</f>
        <v>0</v>
      </c>
      <c r="AD76" s="63">
        <f t="shared" ca="1" si="27"/>
        <v>0</v>
      </c>
      <c r="AE76" s="140">
        <f ca="1">IFERROR(__xludf.DUMMYFUNCTION("IMPORTRANGE(""https://docs.google.com/spreadsheets/d/1FbzMZY_f3MDiEuK7RpCQKrilJ_kpX0Wm7QBZ1L7EjIU/edit?usp=sharing"",""ชุมพร!I649"")"),0)</f>
        <v>0</v>
      </c>
      <c r="AF76" s="57">
        <f ca="1">IFERROR(__xludf.DUMMYFUNCTION("IMPORTRANGE(""https://docs.google.com/spreadsheets/d/1FbzMZY_f3MDiEuK7RpCQKrilJ_kpX0Wm7QBZ1L7EjIU/edit?usp=sharing"",""ชุมพร!J649"")"),0)</f>
        <v>0</v>
      </c>
      <c r="AG76" s="63">
        <f ca="1">IFERROR(__xludf.DUMMYFUNCTION("IMPORTRANGE(""https://docs.google.com/spreadsheets/d/1FbzMZY_f3MDiEuK7RpCQKrilJ_kpX0Wm7QBZ1L7EjIU/edit?usp=sharing"",""ชุมพร!J650"")"),0)</f>
        <v>0</v>
      </c>
      <c r="AH76" s="63">
        <f t="shared" ca="1" si="28"/>
        <v>0</v>
      </c>
      <c r="AI76" s="140">
        <f ca="1">IFERROR(__xludf.DUMMYFUNCTION("IMPORTRANGE(""https://docs.google.com/spreadsheets/d/1FbzMZY_f3MDiEuK7RpCQKrilJ_kpX0Wm7QBZ1L7EjIU/edit?usp=sharing"",""ชุมพร!I651"")"),0)</f>
        <v>0</v>
      </c>
      <c r="AJ76" s="57">
        <f ca="1">IFERROR(__xludf.DUMMYFUNCTION("IMPORTRANGE(""https://docs.google.com/spreadsheets/d/1FbzMZY_f3MDiEuK7RpCQKrilJ_kpX0Wm7QBZ1L7EjIU/edit?usp=sharing"",""ชุมพร!J651"")"),0)</f>
        <v>0</v>
      </c>
      <c r="AK76" s="63">
        <f ca="1">IFERROR(__xludf.DUMMYFUNCTION("IMPORTRANGE(""https://docs.google.com/spreadsheets/d/1FbzMZY_f3MDiEuK7RpCQKrilJ_kpX0Wm7QBZ1L7EjIU/edit?usp=sharing"",""ชุมพร!J652"")"),0)</f>
        <v>0</v>
      </c>
      <c r="AL76" s="63">
        <f t="shared" ca="1" si="29"/>
        <v>0</v>
      </c>
    </row>
    <row r="77" spans="1:38" ht="21" customHeight="1" x14ac:dyDescent="0.3">
      <c r="A77" s="54">
        <v>3</v>
      </c>
      <c r="B77" s="55" t="s">
        <v>98</v>
      </c>
      <c r="C77" s="56">
        <f t="shared" ca="1" si="67"/>
        <v>0</v>
      </c>
      <c r="D77" s="57">
        <f ca="1">IFERROR(__xludf.DUMMYFUNCTION("IMPORTRANGE(""https://docs.google.com/spreadsheets/d/1v5sN-00LrXuhBxw4dkh2GrG_z4l5oAqOdJRBCsUyMaM/edit?usp=sharing"",""ตรัง!L634"")"),0)</f>
        <v>0</v>
      </c>
      <c r="E77" s="64">
        <f ca="1">IFERROR(__xludf.DUMMYFUNCTION("IMPORTRANGE(""https://docs.google.com/spreadsheets/d/1v5sN-00LrXuhBxw4dkh2GrG_z4l5oAqOdJRBCsUyMaM/edit?usp=sharing"",""ตรัง!L641"")"),0)</f>
        <v>0</v>
      </c>
      <c r="F77" s="64">
        <f ca="1">IFERROR(__xludf.DUMMYFUNCTION("IMPORTRANGE(""https://docs.google.com/spreadsheets/d/1v5sN-00LrXuhBxw4dkh2GrG_z4l5oAqOdJRBCsUyMaM/edit?usp=sharing"",""ตรัง!M634"")"),0)</f>
        <v>0</v>
      </c>
      <c r="G77" s="64">
        <f ca="1">IFERROR(__xludf.DUMMYFUNCTION("IMPORTRANGE(""https://docs.google.com/spreadsheets/d/1v5sN-00LrXuhBxw4dkh2GrG_z4l5oAqOdJRBCsUyMaM/edit?usp=sharing"",""ตรัง!M641"")"),0)</f>
        <v>0</v>
      </c>
      <c r="H77" s="58">
        <f t="shared" ca="1" si="24"/>
        <v>0</v>
      </c>
      <c r="I77" s="59">
        <f t="shared" ca="1" si="1"/>
        <v>0</v>
      </c>
      <c r="J77" s="60">
        <f t="shared" ca="1" si="68"/>
        <v>0</v>
      </c>
      <c r="K77" s="61">
        <f t="shared" ca="1" si="31"/>
        <v>0</v>
      </c>
      <c r="L77" s="61">
        <f t="shared" ca="1" si="32"/>
        <v>0</v>
      </c>
      <c r="M77" s="64">
        <f ca="1">IFERROR(__xludf.DUMMYFUNCTION("IMPORTRANGE(""https://docs.google.com/spreadsheets/d/1v5sN-00LrXuhBxw4dkh2GrG_z4l5oAqOdJRBCsUyMaM/edit?usp=sharing"",""ตรัง!N635"")"),0)</f>
        <v>0</v>
      </c>
      <c r="N77" s="64">
        <f ca="1">IFERROR(__xludf.DUMMYFUNCTION("IMPORTRANGE(""https://docs.google.com/spreadsheets/d/1v5sN-00LrXuhBxw4dkh2GrG_z4l5oAqOdJRBCsUyMaM/edit?usp=sharing"",""ตรัง!N636"")"),0)</f>
        <v>0</v>
      </c>
      <c r="O77" s="64">
        <f ca="1">IFERROR(__xludf.DUMMYFUNCTION("IMPORTRANGE(""https://docs.google.com/spreadsheets/d/1v5sN-00LrXuhBxw4dkh2GrG_z4l5oAqOdJRBCsUyMaM/edit?usp=sharing"",""ตรัง!N637"")"),0)</f>
        <v>0</v>
      </c>
      <c r="P77" s="64">
        <f ca="1">IFERROR(__xludf.DUMMYFUNCTION("IMPORTRANGE(""https://docs.google.com/spreadsheets/d/1v5sN-00LrXuhBxw4dkh2GrG_z4l5oAqOdJRBCsUyMaM/edit?usp=sharing"",""ตรัง!N638"")"),0)</f>
        <v>0</v>
      </c>
      <c r="Q77" s="62">
        <f ca="1">IFERROR(__xludf.DUMMYFUNCTION("IMPORTRANGE(""https://docs.google.com/spreadsheets/d/1v5sN-00LrXuhBxw4dkh2GrG_z4l5oAqOdJRBCsUyMaM/edit?usp=sharing"",""ตรัง!N641"")"),0)</f>
        <v>0</v>
      </c>
      <c r="R77" s="62">
        <f t="shared" ca="1" si="34"/>
        <v>0</v>
      </c>
      <c r="S77" s="57">
        <f ca="1">IFERROR(__xludf.DUMMYFUNCTION("IMPORTRANGE(""https://docs.google.com/spreadsheets/d/1v5sN-00LrXuhBxw4dkh2GrG_z4l5oAqOdJRBCsUyMaM/edit?usp=sharing"",""ตรัง!I643"")"),0)</f>
        <v>0</v>
      </c>
      <c r="T77" s="57">
        <f ca="1">IFERROR(__xludf.DUMMYFUNCTION("IMPORTRANGE(""https://docs.google.com/spreadsheets/d/1v5sN-00LrXuhBxw4dkh2GrG_z4l5oAqOdJRBCsUyMaM/edit?usp=sharing"",""ตรัง!J643"")"),0)</f>
        <v>0</v>
      </c>
      <c r="U77" s="63">
        <f t="shared" ca="1" si="25"/>
        <v>0</v>
      </c>
      <c r="V77" s="57">
        <f ca="1">IFERROR(__xludf.DUMMYFUNCTION("IMPORTRANGE(""https://docs.google.com/spreadsheets/d/1v5sN-00LrXuhBxw4dkh2GrG_z4l5oAqOdJRBCsUyMaM/edit?usp=sharing"",""ตรัง!I644"")"),0)</f>
        <v>0</v>
      </c>
      <c r="W77" s="57">
        <f ca="1">IFERROR(__xludf.DUMMYFUNCTION("IMPORTRANGE(""https://docs.google.com/spreadsheets/d/1v5sN-00LrXuhBxw4dkh2GrG_z4l5oAqOdJRBCsUyMaM/edit?usp=sharing"",""ตรัง!J644"")"),0)</f>
        <v>0</v>
      </c>
      <c r="X77" s="63">
        <f t="shared" ca="1" si="26"/>
        <v>0</v>
      </c>
      <c r="Y77" s="57">
        <f ca="1">IFERROR(__xludf.DUMMYFUNCTION("IMPORTRANGE(""https://docs.google.com/spreadsheets/d/1v5sN-00LrXuhBxw4dkh2GrG_z4l5oAqOdJRBCsUyMaM/edit?usp=sharing"",""ตรัง!J645"")"),0)</f>
        <v>0</v>
      </c>
      <c r="Z77" s="63">
        <f ca="1">IFERROR(__xludf.DUMMYFUNCTION("IMPORTRANGE(""https://docs.google.com/spreadsheets/d/1v5sN-00LrXuhBxw4dkh2GrG_z4l5oAqOdJRBCsUyMaM/edit?usp=sharing"",""ตรัง!J646"")"),0)</f>
        <v>0</v>
      </c>
      <c r="AA77" s="57">
        <f ca="1">IFERROR(__xludf.DUMMYFUNCTION("IMPORTRANGE(""https://docs.google.com/spreadsheets/d/1v5sN-00LrXuhBxw4dkh2GrG_z4l5oAqOdJRBCsUyMaM/edit?usp=sharing"",""ตรัง!I647"")"),0)</f>
        <v>0</v>
      </c>
      <c r="AB77" s="57">
        <f ca="1">IFERROR(__xludf.DUMMYFUNCTION("IMPORTRANGE(""https://docs.google.com/spreadsheets/d/1v5sN-00LrXuhBxw4dkh2GrG_z4l5oAqOdJRBCsUyMaM/edit?usp=sharing"",""ตรัง!J647"")"),1)</f>
        <v>1</v>
      </c>
      <c r="AC77" s="63">
        <f ca="1">IFERROR(__xludf.DUMMYFUNCTION("IMPORTRANGE(""https://docs.google.com/spreadsheets/d/1v5sN-00LrXuhBxw4dkh2GrG_z4l5oAqOdJRBCsUyMaM/edit?usp=sharing"",""ตรัง!J648"")"),0.15)</f>
        <v>0.15</v>
      </c>
      <c r="AD77" s="63">
        <f t="shared" ca="1" si="27"/>
        <v>0</v>
      </c>
      <c r="AE77" s="140">
        <f ca="1">IFERROR(__xludf.DUMMYFUNCTION("IMPORTRANGE(""https://docs.google.com/spreadsheets/d/1v5sN-00LrXuhBxw4dkh2GrG_z4l5oAqOdJRBCsUyMaM/edit?usp=sharing"",""ตรัง!I649"")"),0)</f>
        <v>0</v>
      </c>
      <c r="AF77" s="57">
        <f ca="1">IFERROR(__xludf.DUMMYFUNCTION("IMPORTRANGE(""https://docs.google.com/spreadsheets/d/1v5sN-00LrXuhBxw4dkh2GrG_z4l5oAqOdJRBCsUyMaM/edit?usp=sharing"",""ตรัง!J649"")"),0)</f>
        <v>0</v>
      </c>
      <c r="AG77" s="63">
        <f ca="1">IFERROR(__xludf.DUMMYFUNCTION("IMPORTRANGE(""https://docs.google.com/spreadsheets/d/1v5sN-00LrXuhBxw4dkh2GrG_z4l5oAqOdJRBCsUyMaM/edit?usp=sharing"",""ตรัง!J650"")"),0)</f>
        <v>0</v>
      </c>
      <c r="AH77" s="63">
        <f t="shared" ca="1" si="28"/>
        <v>0</v>
      </c>
      <c r="AI77" s="140">
        <f ca="1">IFERROR(__xludf.DUMMYFUNCTION("IMPORTRANGE(""https://docs.google.com/spreadsheets/d/1v5sN-00LrXuhBxw4dkh2GrG_z4l5oAqOdJRBCsUyMaM/edit?usp=sharing"",""ตรัง!I651"")"),0)</f>
        <v>0</v>
      </c>
      <c r="AJ77" s="57">
        <f ca="1">IFERROR(__xludf.DUMMYFUNCTION("IMPORTRANGE(""https://docs.google.com/spreadsheets/d/1v5sN-00LrXuhBxw4dkh2GrG_z4l5oAqOdJRBCsUyMaM/edit?usp=sharing"",""ตรัง!J651"")"),0)</f>
        <v>0</v>
      </c>
      <c r="AK77" s="63">
        <f ca="1">IFERROR(__xludf.DUMMYFUNCTION("IMPORTRANGE(""https://docs.google.com/spreadsheets/d/1v5sN-00LrXuhBxw4dkh2GrG_z4l5oAqOdJRBCsUyMaM/edit?usp=sharing"",""ตรัง!J652"")"),0)</f>
        <v>0</v>
      </c>
      <c r="AL77" s="63">
        <f t="shared" ca="1" si="29"/>
        <v>0</v>
      </c>
    </row>
    <row r="78" spans="1:38" ht="21" customHeight="1" x14ac:dyDescent="0.3">
      <c r="A78" s="54">
        <v>4</v>
      </c>
      <c r="B78" s="55" t="s">
        <v>99</v>
      </c>
      <c r="C78" s="56">
        <f t="shared" ca="1" si="67"/>
        <v>221445</v>
      </c>
      <c r="D78" s="57">
        <f ca="1">IFERROR(__xludf.DUMMYFUNCTION("IMPORTRANGE(""https://docs.google.com/spreadsheets/d/1T5rRTzFc79aSIvqnzkZNvwPstq829QYz_xALlO1Z0s8/edit?usp=sharing"",""นครศรีธรรมราช!L634"")"),221445)</f>
        <v>221445</v>
      </c>
      <c r="E78" s="64">
        <f ca="1">IFERROR(__xludf.DUMMYFUNCTION("IMPORTRANGE(""https://docs.google.com/spreadsheets/d/1T5rRTzFc79aSIvqnzkZNvwPstq829QYz_xALlO1Z0s8/edit?usp=sharing"",""นครศรีธรรมราช!L641"")"),0)</f>
        <v>0</v>
      </c>
      <c r="F78" s="64">
        <f ca="1">IFERROR(__xludf.DUMMYFUNCTION("IMPORTRANGE(""https://docs.google.com/spreadsheets/d/1T5rRTzFc79aSIvqnzkZNvwPstq829QYz_xALlO1Z0s8/edit?usp=sharing"",""นครศรีธรรมราช!M634"")"),221445)</f>
        <v>221445</v>
      </c>
      <c r="G78" s="64">
        <f ca="1">IFERROR(__xludf.DUMMYFUNCTION("IMPORTRANGE(""https://docs.google.com/spreadsheets/d/1T5rRTzFc79aSIvqnzkZNvwPstq829QYz_xALlO1Z0s8/edit?usp=sharing"",""นครศรีธรรมราช!M641"")"),0)</f>
        <v>0</v>
      </c>
      <c r="H78" s="58">
        <f t="shared" ca="1" si="24"/>
        <v>2350</v>
      </c>
      <c r="I78" s="59">
        <f t="shared" ca="1" si="1"/>
        <v>1.0612115875273771</v>
      </c>
      <c r="J78" s="60">
        <f t="shared" ca="1" si="68"/>
        <v>2350</v>
      </c>
      <c r="K78" s="61">
        <f t="shared" ca="1" si="31"/>
        <v>1.0612115875273771</v>
      </c>
      <c r="L78" s="61">
        <f t="shared" ca="1" si="32"/>
        <v>1.0612115875273771</v>
      </c>
      <c r="M78" s="64">
        <f ca="1">IFERROR(__xludf.DUMMYFUNCTION("IMPORTRANGE(""https://docs.google.com/spreadsheets/d/1T5rRTzFc79aSIvqnzkZNvwPstq829QYz_xALlO1Z0s8/edit?usp=sharing"",""นครศรีธรรมราช!N635"")"),0)</f>
        <v>0</v>
      </c>
      <c r="N78" s="64">
        <f ca="1">IFERROR(__xludf.DUMMYFUNCTION("IMPORTRANGE(""https://docs.google.com/spreadsheets/d/1T5rRTzFc79aSIvqnzkZNvwPstq829QYz_xALlO1Z0s8/edit?usp=sharing"",""นครศรีธรรมราช!N636"")"),0)</f>
        <v>0</v>
      </c>
      <c r="O78" s="64">
        <f ca="1">IFERROR(__xludf.DUMMYFUNCTION("IMPORTRANGE(""https://docs.google.com/spreadsheets/d/1T5rRTzFc79aSIvqnzkZNvwPstq829QYz_xALlO1Z0s8/edit?usp=sharing"",""นครศรีธรรมราช!N637"")"),0)</f>
        <v>0</v>
      </c>
      <c r="P78" s="64">
        <f ca="1">IFERROR(__xludf.DUMMYFUNCTION("IMPORTRANGE(""https://docs.google.com/spreadsheets/d/1T5rRTzFc79aSIvqnzkZNvwPstq829QYz_xALlO1Z0s8/edit?usp=sharing"",""นครศรีธรรมราช!N638"")"),2350)</f>
        <v>2350</v>
      </c>
      <c r="Q78" s="62">
        <f ca="1">IFERROR(__xludf.DUMMYFUNCTION("IMPORTRANGE(""https://docs.google.com/spreadsheets/d/1T5rRTzFc79aSIvqnzkZNvwPstq829QYz_xALlO1Z0s8/edit?usp=sharing"",""นครศรีธรรมราช!N641"")"),0)</f>
        <v>0</v>
      </c>
      <c r="R78" s="62">
        <f t="shared" ca="1" si="34"/>
        <v>0</v>
      </c>
      <c r="S78" s="57">
        <f ca="1">IFERROR(__xludf.DUMMYFUNCTION("IMPORTRANGE(""https://docs.google.com/spreadsheets/d/1T5rRTzFc79aSIvqnzkZNvwPstq829QYz_xALlO1Z0s8/edit?usp=sharing"",""นครศรีธรรมราช!I643"")"),1)</f>
        <v>1</v>
      </c>
      <c r="T78" s="57">
        <f ca="1">IFERROR(__xludf.DUMMYFUNCTION("IMPORTRANGE(""https://docs.google.com/spreadsheets/d/1T5rRTzFc79aSIvqnzkZNvwPstq829QYz_xALlO1Z0s8/edit?usp=sharing"",""นครศรีธรรมราช!J643"")"),0)</f>
        <v>0</v>
      </c>
      <c r="U78" s="63">
        <f t="shared" ca="1" si="25"/>
        <v>0</v>
      </c>
      <c r="V78" s="57">
        <f ca="1">IFERROR(__xludf.DUMMYFUNCTION("IMPORTRANGE(""https://docs.google.com/spreadsheets/d/1T5rRTzFc79aSIvqnzkZNvwPstq829QYz_xALlO1Z0s8/edit?usp=sharing"",""นครศรีธรรมราช!I644"")"),1)</f>
        <v>1</v>
      </c>
      <c r="W78" s="57">
        <f ca="1">IFERROR(__xludf.DUMMYFUNCTION("IMPORTRANGE(""https://docs.google.com/spreadsheets/d/1T5rRTzFc79aSIvqnzkZNvwPstq829QYz_xALlO1Z0s8/edit?usp=sharing"",""นครศรีธรรมราช!J644"")"),0)</f>
        <v>0</v>
      </c>
      <c r="X78" s="63">
        <f t="shared" ca="1" si="26"/>
        <v>0</v>
      </c>
      <c r="Y78" s="57">
        <f ca="1">IFERROR(__xludf.DUMMYFUNCTION("IMPORTRANGE(""https://docs.google.com/spreadsheets/d/1T5rRTzFc79aSIvqnzkZNvwPstq829QYz_xALlO1Z0s8/edit?usp=sharing"",""นครศรีธรรมราช!J645"")"),0)</f>
        <v>0</v>
      </c>
      <c r="Z78" s="63">
        <f ca="1">IFERROR(__xludf.DUMMYFUNCTION("IMPORTRANGE(""https://docs.google.com/spreadsheets/d/1T5rRTzFc79aSIvqnzkZNvwPstq829QYz_xALlO1Z0s8/edit?usp=sharing"",""นครศรีธรรมราช!J646"")"),0)</f>
        <v>0</v>
      </c>
      <c r="AA78" s="57">
        <f ca="1">IFERROR(__xludf.DUMMYFUNCTION("IMPORTRANGE(""https://docs.google.com/spreadsheets/d/1T5rRTzFc79aSIvqnzkZNvwPstq829QYz_xALlO1Z0s8/edit?usp=sharing"",""นครศรีธรรมราช!I647"")"),40)</f>
        <v>40</v>
      </c>
      <c r="AB78" s="57">
        <f ca="1">IFERROR(__xludf.DUMMYFUNCTION("IMPORTRANGE(""https://docs.google.com/spreadsheets/d/1T5rRTzFc79aSIvqnzkZNvwPstq829QYz_xALlO1Z0s8/edit?usp=sharing"",""นครศรีธรรมราช!J647"")"),0)</f>
        <v>0</v>
      </c>
      <c r="AC78" s="63">
        <f ca="1">IFERROR(__xludf.DUMMYFUNCTION("IMPORTRANGE(""https://docs.google.com/spreadsheets/d/1T5rRTzFc79aSIvqnzkZNvwPstq829QYz_xALlO1Z0s8/edit?usp=sharing"",""นครศรีธรรมราช!J648"")"),0)</f>
        <v>0</v>
      </c>
      <c r="AD78" s="63">
        <f t="shared" ca="1" si="27"/>
        <v>0</v>
      </c>
      <c r="AE78" s="140">
        <f ca="1">IFERROR(__xludf.DUMMYFUNCTION("IMPORTRANGE(""https://docs.google.com/spreadsheets/d/1T5rRTzFc79aSIvqnzkZNvwPstq829QYz_xALlO1Z0s8/edit?usp=sharing"",""นครศรีธรรมราช!I649"")"),40)</f>
        <v>40</v>
      </c>
      <c r="AF78" s="57">
        <f ca="1">IFERROR(__xludf.DUMMYFUNCTION("IMPORTRANGE(""https://docs.google.com/spreadsheets/d/1T5rRTzFc79aSIvqnzkZNvwPstq829QYz_xALlO1Z0s8/edit?usp=sharing"",""นครศรีธรรมราช!J649"")"),0)</f>
        <v>0</v>
      </c>
      <c r="AG78" s="63">
        <f ca="1">IFERROR(__xludf.DUMMYFUNCTION("IMPORTRANGE(""https://docs.google.com/spreadsheets/d/1T5rRTzFc79aSIvqnzkZNvwPstq829QYz_xALlO1Z0s8/edit?usp=sharing"",""นครศรีธรรมราช!J650"")"),0)</f>
        <v>0</v>
      </c>
      <c r="AH78" s="63">
        <f t="shared" ca="1" si="28"/>
        <v>0</v>
      </c>
      <c r="AI78" s="140">
        <f ca="1">IFERROR(__xludf.DUMMYFUNCTION("IMPORTRANGE(""https://docs.google.com/spreadsheets/d/1T5rRTzFc79aSIvqnzkZNvwPstq829QYz_xALlO1Z0s8/edit?usp=sharing"",""นครศรีธรรมราช!I651"")"),40)</f>
        <v>40</v>
      </c>
      <c r="AJ78" s="57">
        <f ca="1">IFERROR(__xludf.DUMMYFUNCTION("IMPORTRANGE(""https://docs.google.com/spreadsheets/d/1T5rRTzFc79aSIvqnzkZNvwPstq829QYz_xALlO1Z0s8/edit?usp=sharing"",""นครศรีธรรมราช!J651"")"),0)</f>
        <v>0</v>
      </c>
      <c r="AK78" s="63">
        <f ca="1">IFERROR(__xludf.DUMMYFUNCTION("IMPORTRANGE(""https://docs.google.com/spreadsheets/d/1T5rRTzFc79aSIvqnzkZNvwPstq829QYz_xALlO1Z0s8/edit?usp=sharing"",""นครศรีธรรมราช!J652"")"),0)</f>
        <v>0</v>
      </c>
      <c r="AL78" s="63">
        <f t="shared" ca="1" si="29"/>
        <v>0</v>
      </c>
    </row>
    <row r="79" spans="1:38" ht="21" customHeight="1" x14ac:dyDescent="0.3">
      <c r="A79" s="54">
        <v>5</v>
      </c>
      <c r="B79" s="55" t="s">
        <v>100</v>
      </c>
      <c r="C79" s="56">
        <f t="shared" ca="1" si="67"/>
        <v>167365</v>
      </c>
      <c r="D79" s="57">
        <f ca="1">IFERROR(__xludf.DUMMYFUNCTION("IMPORTRANGE(""https://docs.google.com/spreadsheets/d/1BeghqumK0IvCmRd2QOy6_afsZq7ZtAGrSnVJy2u7WmY/edit?usp=sharing"",""นราธิวาส!L634"")"),167365)</f>
        <v>167365</v>
      </c>
      <c r="E79" s="64">
        <f ca="1">IFERROR(__xludf.DUMMYFUNCTION("IMPORTRANGE(""https://docs.google.com/spreadsheets/d/1BeghqumK0IvCmRd2QOy6_afsZq7ZtAGrSnVJy2u7WmY/edit?usp=sharing"",""นราธิวาส!L641"")"),0)</f>
        <v>0</v>
      </c>
      <c r="F79" s="64">
        <f ca="1">IFERROR(__xludf.DUMMYFUNCTION("IMPORTRANGE(""https://docs.google.com/spreadsheets/d/1BeghqumK0IvCmRd2QOy6_afsZq7ZtAGrSnVJy2u7WmY/edit?usp=sharing"",""นราธิวาส!M634"")"),167365)</f>
        <v>167365</v>
      </c>
      <c r="G79" s="64">
        <f ca="1">IFERROR(__xludf.DUMMYFUNCTION("IMPORTRANGE(""https://docs.google.com/spreadsheets/d/1BeghqumK0IvCmRd2QOy6_afsZq7ZtAGrSnVJy2u7WmY/edit?usp=sharing"",""นราธิวาส!M641"")"),0)</f>
        <v>0</v>
      </c>
      <c r="H79" s="58">
        <f t="shared" ca="1" si="24"/>
        <v>67230</v>
      </c>
      <c r="I79" s="59">
        <f t="shared" ca="1" si="1"/>
        <v>40.16968900307711</v>
      </c>
      <c r="J79" s="60">
        <f t="shared" ca="1" si="68"/>
        <v>67230</v>
      </c>
      <c r="K79" s="61">
        <f t="shared" ca="1" si="31"/>
        <v>40.16968900307711</v>
      </c>
      <c r="L79" s="61">
        <f t="shared" ca="1" si="32"/>
        <v>40.16968900307711</v>
      </c>
      <c r="M79" s="64">
        <f ca="1">IFERROR(__xludf.DUMMYFUNCTION("IMPORTRANGE(""https://docs.google.com/spreadsheets/d/1BeghqumK0IvCmRd2QOy6_afsZq7ZtAGrSnVJy2u7WmY/edit?usp=sharing"",""นราธิวาส!N635"")"),0)</f>
        <v>0</v>
      </c>
      <c r="N79" s="64">
        <f ca="1">IFERROR(__xludf.DUMMYFUNCTION("IMPORTRANGE(""https://docs.google.com/spreadsheets/d/1BeghqumK0IvCmRd2QOy6_afsZq7ZtAGrSnVJy2u7WmY/edit?usp=sharing"",""นราธิวาส!N636"")"),0)</f>
        <v>0</v>
      </c>
      <c r="O79" s="64">
        <f ca="1">IFERROR(__xludf.DUMMYFUNCTION("IMPORTRANGE(""https://docs.google.com/spreadsheets/d/1BeghqumK0IvCmRd2QOy6_afsZq7ZtAGrSnVJy2u7WmY/edit?usp=sharing"",""นราธิวาส!N637"")"),0)</f>
        <v>0</v>
      </c>
      <c r="P79" s="64">
        <f ca="1">IFERROR(__xludf.DUMMYFUNCTION("IMPORTRANGE(""https://docs.google.com/spreadsheets/d/1BeghqumK0IvCmRd2QOy6_afsZq7ZtAGrSnVJy2u7WmY/edit?usp=sharing"",""นราธิวาส!N638"")"),67230)</f>
        <v>67230</v>
      </c>
      <c r="Q79" s="62">
        <f ca="1">IFERROR(__xludf.DUMMYFUNCTION("IMPORTRANGE(""https://docs.google.com/spreadsheets/d/1BeghqumK0IvCmRd2QOy6_afsZq7ZtAGrSnVJy2u7WmY/edit?usp=sharing"",""นราธิวาส!N641"")"),0)</f>
        <v>0</v>
      </c>
      <c r="R79" s="62">
        <f t="shared" ca="1" si="34"/>
        <v>0</v>
      </c>
      <c r="S79" s="57">
        <f ca="1">IFERROR(__xludf.DUMMYFUNCTION("IMPORTRANGE(""https://docs.google.com/spreadsheets/d/1BeghqumK0IvCmRd2QOy6_afsZq7ZtAGrSnVJy2u7WmY/edit?usp=sharing"",""นราธิวาส!I643"")"),0)</f>
        <v>0</v>
      </c>
      <c r="T79" s="57">
        <f ca="1">IFERROR(__xludf.DUMMYFUNCTION("IMPORTRANGE(""https://docs.google.com/spreadsheets/d/1BeghqumK0IvCmRd2QOy6_afsZq7ZtAGrSnVJy2u7WmY/edit?usp=sharing"",""นราธิวาส!J643"")"),0)</f>
        <v>0</v>
      </c>
      <c r="U79" s="63">
        <f t="shared" ca="1" si="25"/>
        <v>0</v>
      </c>
      <c r="V79" s="57">
        <f ca="1">IFERROR(__xludf.DUMMYFUNCTION("IMPORTRANGE(""https://docs.google.com/spreadsheets/d/1BeghqumK0IvCmRd2QOy6_afsZq7ZtAGrSnVJy2u7WmY/edit?usp=sharing"",""นราธิวาส!I644"")"),0)</f>
        <v>0</v>
      </c>
      <c r="W79" s="57">
        <f ca="1">IFERROR(__xludf.DUMMYFUNCTION("IMPORTRANGE(""https://docs.google.com/spreadsheets/d/1BeghqumK0IvCmRd2QOy6_afsZq7ZtAGrSnVJy2u7WmY/edit?usp=sharing"",""นราธิวาส!J644"")"),0)</f>
        <v>0</v>
      </c>
      <c r="X79" s="63">
        <f t="shared" ca="1" si="26"/>
        <v>0</v>
      </c>
      <c r="Y79" s="57">
        <f ca="1">IFERROR(__xludf.DUMMYFUNCTION("IMPORTRANGE(""https://docs.google.com/spreadsheets/d/1BeghqumK0IvCmRd2QOy6_afsZq7ZtAGrSnVJy2u7WmY/edit?usp=sharing"",""นราธิวาส!J645"")"),23)</f>
        <v>23</v>
      </c>
      <c r="Z79" s="63">
        <f ca="1">IFERROR(__xludf.DUMMYFUNCTION("IMPORTRANGE(""https://docs.google.com/spreadsheets/d/1BeghqumK0IvCmRd2QOy6_afsZq7ZtAGrSnVJy2u7WmY/edit?usp=sharing"",""นราธิวาส!J646"")"),5.61)</f>
        <v>5.61</v>
      </c>
      <c r="AA79" s="57">
        <f ca="1">IFERROR(__xludf.DUMMYFUNCTION("IMPORTRANGE(""https://docs.google.com/spreadsheets/d/1BeghqumK0IvCmRd2QOy6_afsZq7ZtAGrSnVJy2u7WmY/edit?usp=sharing"",""นราธิวาส!I647"")"),7)</f>
        <v>7</v>
      </c>
      <c r="AB79" s="57">
        <f ca="1">IFERROR(__xludf.DUMMYFUNCTION("IMPORTRANGE(""https://docs.google.com/spreadsheets/d/1BeghqumK0IvCmRd2QOy6_afsZq7ZtAGrSnVJy2u7WmY/edit?usp=sharing"",""นราธิวาส!J647"")"),22)</f>
        <v>22</v>
      </c>
      <c r="AC79" s="63">
        <f ca="1">IFERROR(__xludf.DUMMYFUNCTION("IMPORTRANGE(""https://docs.google.com/spreadsheets/d/1BeghqumK0IvCmRd2QOy6_afsZq7ZtAGrSnVJy2u7WmY/edit?usp=sharing"",""นราธิวาส!J648"")"),5.38)</f>
        <v>5.38</v>
      </c>
      <c r="AD79" s="63">
        <f t="shared" ca="1" si="27"/>
        <v>314.28571428571428</v>
      </c>
      <c r="AE79" s="140">
        <f ca="1">IFERROR(__xludf.DUMMYFUNCTION("IMPORTRANGE(""https://docs.google.com/spreadsheets/d/1BeghqumK0IvCmRd2QOy6_afsZq7ZtAGrSnVJy2u7WmY/edit?usp=sharing"",""นราธิวาส!I649"")"),7)</f>
        <v>7</v>
      </c>
      <c r="AF79" s="57">
        <f ca="1">IFERROR(__xludf.DUMMYFUNCTION("IMPORTRANGE(""https://docs.google.com/spreadsheets/d/1BeghqumK0IvCmRd2QOy6_afsZq7ZtAGrSnVJy2u7WmY/edit?usp=sharing"",""นราธิวาส!J649"")"),22)</f>
        <v>22</v>
      </c>
      <c r="AG79" s="63">
        <f ca="1">IFERROR(__xludf.DUMMYFUNCTION("IMPORTRANGE(""https://docs.google.com/spreadsheets/d/1BeghqumK0IvCmRd2QOy6_afsZq7ZtAGrSnVJy2u7WmY/edit?usp=sharing"",""นราธิวาส!J650"")"),5.38)</f>
        <v>5.38</v>
      </c>
      <c r="AH79" s="63">
        <f t="shared" ca="1" si="28"/>
        <v>314.28571428571428</v>
      </c>
      <c r="AI79" s="140">
        <f ca="1">IFERROR(__xludf.DUMMYFUNCTION("IMPORTRANGE(""https://docs.google.com/spreadsheets/d/1BeghqumK0IvCmRd2QOy6_afsZq7ZtAGrSnVJy2u7WmY/edit?usp=sharing"",""นราธิวาส!I651"")"),7)</f>
        <v>7</v>
      </c>
      <c r="AJ79" s="57">
        <f ca="1">IFERROR(__xludf.DUMMYFUNCTION("IMPORTRANGE(""https://docs.google.com/spreadsheets/d/1BeghqumK0IvCmRd2QOy6_afsZq7ZtAGrSnVJy2u7WmY/edit?usp=sharing"",""นราธิวาส!J651"")"),22)</f>
        <v>22</v>
      </c>
      <c r="AK79" s="63">
        <f ca="1">IFERROR(__xludf.DUMMYFUNCTION("IMPORTRANGE(""https://docs.google.com/spreadsheets/d/1BeghqumK0IvCmRd2QOy6_afsZq7ZtAGrSnVJy2u7WmY/edit?usp=sharing"",""นราธิวาส!J652"")"),5.3825)</f>
        <v>5.3825000000000003</v>
      </c>
      <c r="AL79" s="63">
        <f t="shared" ca="1" si="29"/>
        <v>314.28571428571428</v>
      </c>
    </row>
    <row r="80" spans="1:38" ht="21" customHeight="1" x14ac:dyDescent="0.3">
      <c r="A80" s="54">
        <v>6</v>
      </c>
      <c r="B80" s="55" t="s">
        <v>101</v>
      </c>
      <c r="C80" s="56">
        <f t="shared" ca="1" si="67"/>
        <v>0</v>
      </c>
      <c r="D80" s="57">
        <f ca="1">IFERROR(__xludf.DUMMYFUNCTION("IMPORTRANGE(""https://docs.google.com/spreadsheets/d/1IwnW3-jjRf74MCLW-6PiFwMUffRQXZwZA7YM609NmRc/edit?usp=sharing"",""ปัตตานี!L634"")"),0)</f>
        <v>0</v>
      </c>
      <c r="E80" s="64">
        <f ca="1">IFERROR(__xludf.DUMMYFUNCTION("IMPORTRANGE(""https://docs.google.com/spreadsheets/d/1IwnW3-jjRf74MCLW-6PiFwMUffRQXZwZA7YM609NmRc/edit?usp=sharing"",""ปัตตานี!L641"")"),0)</f>
        <v>0</v>
      </c>
      <c r="F80" s="64">
        <f ca="1">IFERROR(__xludf.DUMMYFUNCTION("IMPORTRANGE(""https://docs.google.com/spreadsheets/d/1IwnW3-jjRf74MCLW-6PiFwMUffRQXZwZA7YM609NmRc/edit?usp=sharing"",""ปัตตานี!M634"")"),0)</f>
        <v>0</v>
      </c>
      <c r="G80" s="64">
        <f ca="1">IFERROR(__xludf.DUMMYFUNCTION("IMPORTRANGE(""https://docs.google.com/spreadsheets/d/1IwnW3-jjRf74MCLW-6PiFwMUffRQXZwZA7YM609NmRc/edit?usp=sharing"",""ปัตตานี!M641"")"),0)</f>
        <v>0</v>
      </c>
      <c r="H80" s="58">
        <f t="shared" ca="1" si="24"/>
        <v>0</v>
      </c>
      <c r="I80" s="59">
        <f t="shared" ca="1" si="1"/>
        <v>0</v>
      </c>
      <c r="J80" s="60">
        <f t="shared" ca="1" si="68"/>
        <v>0</v>
      </c>
      <c r="K80" s="61">
        <f t="shared" ca="1" si="31"/>
        <v>0</v>
      </c>
      <c r="L80" s="61">
        <f t="shared" ca="1" si="32"/>
        <v>0</v>
      </c>
      <c r="M80" s="64">
        <f ca="1">IFERROR(__xludf.DUMMYFUNCTION("IMPORTRANGE(""https://docs.google.com/spreadsheets/d/1IwnW3-jjRf74MCLW-6PiFwMUffRQXZwZA7YM609NmRc/edit?usp=sharing"",""ปัตตานี!N635"")"),0)</f>
        <v>0</v>
      </c>
      <c r="N80" s="64">
        <f ca="1">IFERROR(__xludf.DUMMYFUNCTION("IMPORTRANGE(""https://docs.google.com/spreadsheets/d/1IwnW3-jjRf74MCLW-6PiFwMUffRQXZwZA7YM609NmRc/edit?usp=sharing"",""ปัตตานี!N636"")"),0)</f>
        <v>0</v>
      </c>
      <c r="O80" s="64">
        <f ca="1">IFERROR(__xludf.DUMMYFUNCTION("IMPORTRANGE(""https://docs.google.com/spreadsheets/d/1IwnW3-jjRf74MCLW-6PiFwMUffRQXZwZA7YM609NmRc/edit?usp=sharing"",""ปัตตานี!N637"")"),0)</f>
        <v>0</v>
      </c>
      <c r="P80" s="64">
        <f ca="1">IFERROR(__xludf.DUMMYFUNCTION("IMPORTRANGE(""https://docs.google.com/spreadsheets/d/1IwnW3-jjRf74MCLW-6PiFwMUffRQXZwZA7YM609NmRc/edit?usp=sharing"",""ปัตตานี!N638"")"),0)</f>
        <v>0</v>
      </c>
      <c r="Q80" s="62">
        <f ca="1">IFERROR(__xludf.DUMMYFUNCTION("IMPORTRANGE(""https://docs.google.com/spreadsheets/d/1IwnW3-jjRf74MCLW-6PiFwMUffRQXZwZA7YM609NmRc/edit?usp=sharing"",""ปัตตานี!N641"")"),0)</f>
        <v>0</v>
      </c>
      <c r="R80" s="62">
        <f t="shared" ca="1" si="34"/>
        <v>0</v>
      </c>
      <c r="S80" s="57">
        <f ca="1">IFERROR(__xludf.DUMMYFUNCTION("IMPORTRANGE(""https://docs.google.com/spreadsheets/d/1IwnW3-jjRf74MCLW-6PiFwMUffRQXZwZA7YM609NmRc/edit?usp=sharing"",""ปัตตานี!I643"")"),0)</f>
        <v>0</v>
      </c>
      <c r="T80" s="57">
        <f ca="1">IFERROR(__xludf.DUMMYFUNCTION("IMPORTRANGE(""https://docs.google.com/spreadsheets/d/1IwnW3-jjRf74MCLW-6PiFwMUffRQXZwZA7YM609NmRc/edit?usp=sharing"",""ปัตตานี!J643"")"),0)</f>
        <v>0</v>
      </c>
      <c r="U80" s="63">
        <f t="shared" ca="1" si="25"/>
        <v>0</v>
      </c>
      <c r="V80" s="57">
        <f ca="1">IFERROR(__xludf.DUMMYFUNCTION("IMPORTRANGE(""https://docs.google.com/spreadsheets/d/1IwnW3-jjRf74MCLW-6PiFwMUffRQXZwZA7YM609NmRc/edit?usp=sharing"",""ปัตตานี!I644"")"),0)</f>
        <v>0</v>
      </c>
      <c r="W80" s="57">
        <f ca="1">IFERROR(__xludf.DUMMYFUNCTION("IMPORTRANGE(""https://docs.google.com/spreadsheets/d/1IwnW3-jjRf74MCLW-6PiFwMUffRQXZwZA7YM609NmRc/edit?usp=sharing"",""ปัตตานี!J644"")"),0)</f>
        <v>0</v>
      </c>
      <c r="X80" s="63">
        <f t="shared" ca="1" si="26"/>
        <v>0</v>
      </c>
      <c r="Y80" s="57">
        <f ca="1">IFERROR(__xludf.DUMMYFUNCTION("IMPORTRANGE(""https://docs.google.com/spreadsheets/d/1IwnW3-jjRf74MCLW-6PiFwMUffRQXZwZA7YM609NmRc/edit?usp=sharing"",""ปัตตานี!J645"")"),0)</f>
        <v>0</v>
      </c>
      <c r="Z80" s="63">
        <f ca="1">IFERROR(__xludf.DUMMYFUNCTION("IMPORTRANGE(""https://docs.google.com/spreadsheets/d/1IwnW3-jjRf74MCLW-6PiFwMUffRQXZwZA7YM609NmRc/edit?usp=sharing"",""ปัตตานี!J646"")"),0)</f>
        <v>0</v>
      </c>
      <c r="AA80" s="57">
        <f ca="1">IFERROR(__xludf.DUMMYFUNCTION("IMPORTRANGE(""https://docs.google.com/spreadsheets/d/1IwnW3-jjRf74MCLW-6PiFwMUffRQXZwZA7YM609NmRc/edit?usp=sharing"",""ปัตตานี!I647"")"),0)</f>
        <v>0</v>
      </c>
      <c r="AB80" s="57">
        <f ca="1">IFERROR(__xludf.DUMMYFUNCTION("IMPORTRANGE(""https://docs.google.com/spreadsheets/d/1IwnW3-jjRf74MCLW-6PiFwMUffRQXZwZA7YM609NmRc/edit?usp=sharing"",""ปัตตานี!J647"")"),0)</f>
        <v>0</v>
      </c>
      <c r="AC80" s="63">
        <f ca="1">IFERROR(__xludf.DUMMYFUNCTION("IMPORTRANGE(""https://docs.google.com/spreadsheets/d/1IwnW3-jjRf74MCLW-6PiFwMUffRQXZwZA7YM609NmRc/edit?usp=sharing"",""ปัตตานี!J648"")"),0)</f>
        <v>0</v>
      </c>
      <c r="AD80" s="63">
        <f t="shared" ca="1" si="27"/>
        <v>0</v>
      </c>
      <c r="AE80" s="140">
        <f ca="1">IFERROR(__xludf.DUMMYFUNCTION("IMPORTRANGE(""https://docs.google.com/spreadsheets/d/1IwnW3-jjRf74MCLW-6PiFwMUffRQXZwZA7YM609NmRc/edit?usp=sharing"",""ปัตตานี!I649"")"),0)</f>
        <v>0</v>
      </c>
      <c r="AF80" s="57">
        <f ca="1">IFERROR(__xludf.DUMMYFUNCTION("IMPORTRANGE(""https://docs.google.com/spreadsheets/d/1IwnW3-jjRf74MCLW-6PiFwMUffRQXZwZA7YM609NmRc/edit?usp=sharing"",""ปัตตานี!J649"")"),0)</f>
        <v>0</v>
      </c>
      <c r="AG80" s="63">
        <f ca="1">IFERROR(__xludf.DUMMYFUNCTION("IMPORTRANGE(""https://docs.google.com/spreadsheets/d/1IwnW3-jjRf74MCLW-6PiFwMUffRQXZwZA7YM609NmRc/edit?usp=sharing"",""ปัตตานี!J650"")"),0)</f>
        <v>0</v>
      </c>
      <c r="AH80" s="63">
        <f t="shared" ca="1" si="28"/>
        <v>0</v>
      </c>
      <c r="AI80" s="140">
        <f ca="1">IFERROR(__xludf.DUMMYFUNCTION("IMPORTRANGE(""https://docs.google.com/spreadsheets/d/1IwnW3-jjRf74MCLW-6PiFwMUffRQXZwZA7YM609NmRc/edit?usp=sharing"",""ปัตตานี!I651"")"),0)</f>
        <v>0</v>
      </c>
      <c r="AJ80" s="57">
        <f ca="1">IFERROR(__xludf.DUMMYFUNCTION("IMPORTRANGE(""https://docs.google.com/spreadsheets/d/1IwnW3-jjRf74MCLW-6PiFwMUffRQXZwZA7YM609NmRc/edit?usp=sharing"",""ปัตตานี!J651"")"),0)</f>
        <v>0</v>
      </c>
      <c r="AK80" s="63">
        <f ca="1">IFERROR(__xludf.DUMMYFUNCTION("IMPORTRANGE(""https://docs.google.com/spreadsheets/d/1IwnW3-jjRf74MCLW-6PiFwMUffRQXZwZA7YM609NmRc/edit?usp=sharing"",""ปัตตานี!J652"")"),0)</f>
        <v>0</v>
      </c>
      <c r="AL80" s="63">
        <f t="shared" ca="1" si="29"/>
        <v>0</v>
      </c>
    </row>
    <row r="81" spans="1:38" ht="21" customHeight="1" x14ac:dyDescent="0.3">
      <c r="A81" s="54">
        <v>7</v>
      </c>
      <c r="B81" s="55" t="s">
        <v>102</v>
      </c>
      <c r="C81" s="56">
        <f t="shared" ca="1" si="67"/>
        <v>0</v>
      </c>
      <c r="D81" s="57">
        <f ca="1">IFERROR(__xludf.DUMMYFUNCTION("IMPORTRANGE(""https://docs.google.com/spreadsheets/d/1vl4QWbWdFruual5o_wdo6ZSqXZ_it806oja4CctTLKs/edit?usp=sharing"",""พังงา!L634"")"),0)</f>
        <v>0</v>
      </c>
      <c r="E81" s="64">
        <f ca="1">IFERROR(__xludf.DUMMYFUNCTION("IMPORTRANGE(""https://docs.google.com/spreadsheets/d/1vl4QWbWdFruual5o_wdo6ZSqXZ_it806oja4CctTLKs/edit?usp=sharing"",""พังงา!L641"")"),0)</f>
        <v>0</v>
      </c>
      <c r="F81" s="64">
        <f ca="1">IFERROR(__xludf.DUMMYFUNCTION("IMPORTRANGE(""https://docs.google.com/spreadsheets/d/1vl4QWbWdFruual5o_wdo6ZSqXZ_it806oja4CctTLKs/edit?usp=sharing"",""พังงา!M634"")"),0)</f>
        <v>0</v>
      </c>
      <c r="G81" s="64">
        <f ca="1">IFERROR(__xludf.DUMMYFUNCTION("IMPORTRANGE(""https://docs.google.com/spreadsheets/d/1vl4QWbWdFruual5o_wdo6ZSqXZ_it806oja4CctTLKs/edit?usp=sharing"",""พังงา!M641"")"),0)</f>
        <v>0</v>
      </c>
      <c r="H81" s="58">
        <f t="shared" ca="1" si="24"/>
        <v>0</v>
      </c>
      <c r="I81" s="59">
        <f t="shared" ca="1" si="1"/>
        <v>0</v>
      </c>
      <c r="J81" s="60">
        <f t="shared" ca="1" si="68"/>
        <v>0</v>
      </c>
      <c r="K81" s="61">
        <f t="shared" ca="1" si="31"/>
        <v>0</v>
      </c>
      <c r="L81" s="61">
        <f t="shared" ca="1" si="32"/>
        <v>0</v>
      </c>
      <c r="M81" s="64">
        <f ca="1">IFERROR(__xludf.DUMMYFUNCTION("IMPORTRANGE(""https://docs.google.com/spreadsheets/d/1vl4QWbWdFruual5o_wdo6ZSqXZ_it806oja4CctTLKs/edit?usp=sharing"",""พังงา!N635"")"),0)</f>
        <v>0</v>
      </c>
      <c r="N81" s="64">
        <f ca="1">IFERROR(__xludf.DUMMYFUNCTION("IMPORTRANGE(""https://docs.google.com/spreadsheets/d/1vl4QWbWdFruual5o_wdo6ZSqXZ_it806oja4CctTLKs/edit?usp=sharing"",""พังงา!N636"")"),0)</f>
        <v>0</v>
      </c>
      <c r="O81" s="64">
        <f ca="1">IFERROR(__xludf.DUMMYFUNCTION("IMPORTRANGE(""https://docs.google.com/spreadsheets/d/1vl4QWbWdFruual5o_wdo6ZSqXZ_it806oja4CctTLKs/edit?usp=sharing"",""พังงา!N637"")"),0)</f>
        <v>0</v>
      </c>
      <c r="P81" s="64">
        <f ca="1">IFERROR(__xludf.DUMMYFUNCTION("IMPORTRANGE(""https://docs.google.com/spreadsheets/d/1vl4QWbWdFruual5o_wdo6ZSqXZ_it806oja4CctTLKs/edit?usp=sharing"",""พังงา!N638"")"),0)</f>
        <v>0</v>
      </c>
      <c r="Q81" s="62">
        <f ca="1">IFERROR(__xludf.DUMMYFUNCTION("IMPORTRANGE(""https://docs.google.com/spreadsheets/d/1vl4QWbWdFruual5o_wdo6ZSqXZ_it806oja4CctTLKs/edit?usp=sharing"",""พังงา!N641"")"),0)</f>
        <v>0</v>
      </c>
      <c r="R81" s="62">
        <f t="shared" ca="1" si="34"/>
        <v>0</v>
      </c>
      <c r="S81" s="57">
        <f ca="1">IFERROR(__xludf.DUMMYFUNCTION("IMPORTRANGE(""https://docs.google.com/spreadsheets/d/1vl4QWbWdFruual5o_wdo6ZSqXZ_it806oja4CctTLKs/edit?usp=sharing"",""พังงา!I643"")"),0)</f>
        <v>0</v>
      </c>
      <c r="T81" s="57">
        <f ca="1">IFERROR(__xludf.DUMMYFUNCTION("IMPORTRANGE(""https://docs.google.com/spreadsheets/d/1vl4QWbWdFruual5o_wdo6ZSqXZ_it806oja4CctTLKs/edit?usp=sharing"",""พังงา!J643"")"),0)</f>
        <v>0</v>
      </c>
      <c r="U81" s="63">
        <f t="shared" ca="1" si="25"/>
        <v>0</v>
      </c>
      <c r="V81" s="57">
        <f ca="1">IFERROR(__xludf.DUMMYFUNCTION("IMPORTRANGE(""https://docs.google.com/spreadsheets/d/1vl4QWbWdFruual5o_wdo6ZSqXZ_it806oja4CctTLKs/edit?usp=sharing"",""พังงา!I644"")"),0)</f>
        <v>0</v>
      </c>
      <c r="W81" s="57">
        <f ca="1">IFERROR(__xludf.DUMMYFUNCTION("IMPORTRANGE(""https://docs.google.com/spreadsheets/d/1vl4QWbWdFruual5o_wdo6ZSqXZ_it806oja4CctTLKs/edit?usp=sharing"",""พังงา!J644"")"),0)</f>
        <v>0</v>
      </c>
      <c r="X81" s="63">
        <f t="shared" ca="1" si="26"/>
        <v>0</v>
      </c>
      <c r="Y81" s="57">
        <f ca="1">IFERROR(__xludf.DUMMYFUNCTION("IMPORTRANGE(""https://docs.google.com/spreadsheets/d/1vl4QWbWdFruual5o_wdo6ZSqXZ_it806oja4CctTLKs/edit?usp=sharing"",""พังงา!J645"")"),0)</f>
        <v>0</v>
      </c>
      <c r="Z81" s="63">
        <f ca="1">IFERROR(__xludf.DUMMYFUNCTION("IMPORTRANGE(""https://docs.google.com/spreadsheets/d/1vl4QWbWdFruual5o_wdo6ZSqXZ_it806oja4CctTLKs/edit?usp=sharing"",""พังงา!J646"")"),0)</f>
        <v>0</v>
      </c>
      <c r="AA81" s="57">
        <f ca="1">IFERROR(__xludf.DUMMYFUNCTION("IMPORTRANGE(""https://docs.google.com/spreadsheets/d/1vl4QWbWdFruual5o_wdo6ZSqXZ_it806oja4CctTLKs/edit?usp=sharing"",""พังงา!I647"")"),0)</f>
        <v>0</v>
      </c>
      <c r="AB81" s="57">
        <f ca="1">IFERROR(__xludf.DUMMYFUNCTION("IMPORTRANGE(""https://docs.google.com/spreadsheets/d/1vl4QWbWdFruual5o_wdo6ZSqXZ_it806oja4CctTLKs/edit?usp=sharing"",""พังงา!J647"")"),0)</f>
        <v>0</v>
      </c>
      <c r="AC81" s="63">
        <f ca="1">IFERROR(__xludf.DUMMYFUNCTION("IMPORTRANGE(""https://docs.google.com/spreadsheets/d/1vl4QWbWdFruual5o_wdo6ZSqXZ_it806oja4CctTLKs/edit?usp=sharing"",""พังงา!J648"")"),0)</f>
        <v>0</v>
      </c>
      <c r="AD81" s="63">
        <f t="shared" ca="1" si="27"/>
        <v>0</v>
      </c>
      <c r="AE81" s="140">
        <f ca="1">IFERROR(__xludf.DUMMYFUNCTION("IMPORTRANGE(""https://docs.google.com/spreadsheets/d/1vl4QWbWdFruual5o_wdo6ZSqXZ_it806oja4CctTLKs/edit?usp=sharing"",""พังงา!I649"")"),0)</f>
        <v>0</v>
      </c>
      <c r="AF81" s="57">
        <f ca="1">IFERROR(__xludf.DUMMYFUNCTION("IMPORTRANGE(""https://docs.google.com/spreadsheets/d/1vl4QWbWdFruual5o_wdo6ZSqXZ_it806oja4CctTLKs/edit?usp=sharing"",""พังงา!J649"")"),0)</f>
        <v>0</v>
      </c>
      <c r="AG81" s="63">
        <f ca="1">IFERROR(__xludf.DUMMYFUNCTION("IMPORTRANGE(""https://docs.google.com/spreadsheets/d/1vl4QWbWdFruual5o_wdo6ZSqXZ_it806oja4CctTLKs/edit?usp=sharing"",""พังงา!J650"")"),0)</f>
        <v>0</v>
      </c>
      <c r="AH81" s="63">
        <f t="shared" ca="1" si="28"/>
        <v>0</v>
      </c>
      <c r="AI81" s="140">
        <f ca="1">IFERROR(__xludf.DUMMYFUNCTION("IMPORTRANGE(""https://docs.google.com/spreadsheets/d/1vl4QWbWdFruual5o_wdo6ZSqXZ_it806oja4CctTLKs/edit?usp=sharing"",""พังงา!I651"")"),0)</f>
        <v>0</v>
      </c>
      <c r="AJ81" s="57">
        <f ca="1">IFERROR(__xludf.DUMMYFUNCTION("IMPORTRANGE(""https://docs.google.com/spreadsheets/d/1vl4QWbWdFruual5o_wdo6ZSqXZ_it806oja4CctTLKs/edit?usp=sharing"",""พังงา!J651"")"),0)</f>
        <v>0</v>
      </c>
      <c r="AK81" s="63">
        <f ca="1">IFERROR(__xludf.DUMMYFUNCTION("IMPORTRANGE(""https://docs.google.com/spreadsheets/d/1vl4QWbWdFruual5o_wdo6ZSqXZ_it806oja4CctTLKs/edit?usp=sharing"",""พังงา!J652"")"),0)</f>
        <v>0</v>
      </c>
      <c r="AL81" s="63">
        <f t="shared" ca="1" si="29"/>
        <v>0</v>
      </c>
    </row>
    <row r="82" spans="1:38" ht="21" customHeight="1" x14ac:dyDescent="0.3">
      <c r="A82" s="54">
        <v>8</v>
      </c>
      <c r="B82" s="55" t="s">
        <v>103</v>
      </c>
      <c r="C82" s="56">
        <f t="shared" ca="1" si="67"/>
        <v>0</v>
      </c>
      <c r="D82" s="57">
        <f ca="1">IFERROR(__xludf.DUMMYFUNCTION("IMPORTRANGE(""https://docs.google.com/spreadsheets/d/1b6QssHQp2FoAPSMKHOy273KNzAomaIKhtdlvuZ_zDNE/edit?usp=sharing"",""พัทลุง!L634"")"),0)</f>
        <v>0</v>
      </c>
      <c r="E82" s="64">
        <f ca="1">IFERROR(__xludf.DUMMYFUNCTION("IMPORTRANGE(""https://docs.google.com/spreadsheets/d/1b6QssHQp2FoAPSMKHOy273KNzAomaIKhtdlvuZ_zDNE/edit?usp=sharing"",""พัทลุง!L641"")"),0)</f>
        <v>0</v>
      </c>
      <c r="F82" s="64">
        <f ca="1">IFERROR(__xludf.DUMMYFUNCTION("IMPORTRANGE(""https://docs.google.com/spreadsheets/d/1b6QssHQp2FoAPSMKHOy273KNzAomaIKhtdlvuZ_zDNE/edit?usp=sharing"",""พัทลุง!M634"")"),0)</f>
        <v>0</v>
      </c>
      <c r="G82" s="64">
        <f ca="1">IFERROR(__xludf.DUMMYFUNCTION("IMPORTRANGE(""https://docs.google.com/spreadsheets/d/1b6QssHQp2FoAPSMKHOy273KNzAomaIKhtdlvuZ_zDNE/edit?usp=sharing"",""พัทลุง!M641"")"),0)</f>
        <v>0</v>
      </c>
      <c r="H82" s="58">
        <f t="shared" ca="1" si="24"/>
        <v>0</v>
      </c>
      <c r="I82" s="59">
        <f t="shared" ca="1" si="1"/>
        <v>0</v>
      </c>
      <c r="J82" s="60">
        <f t="shared" ca="1" si="68"/>
        <v>0</v>
      </c>
      <c r="K82" s="61">
        <f t="shared" ca="1" si="31"/>
        <v>0</v>
      </c>
      <c r="L82" s="61">
        <f t="shared" ca="1" si="32"/>
        <v>0</v>
      </c>
      <c r="M82" s="64">
        <f ca="1">IFERROR(__xludf.DUMMYFUNCTION("IMPORTRANGE(""https://docs.google.com/spreadsheets/d/1b6QssHQp2FoAPSMKHOy273KNzAomaIKhtdlvuZ_zDNE/edit?usp=sharing"",""พัทลุง!N635"")"),0)</f>
        <v>0</v>
      </c>
      <c r="N82" s="64">
        <f ca="1">IFERROR(__xludf.DUMMYFUNCTION("IMPORTRANGE(""https://docs.google.com/spreadsheets/d/1b6QssHQp2FoAPSMKHOy273KNzAomaIKhtdlvuZ_zDNE/edit?usp=sharing"",""พัทลุง!N636"")"),0)</f>
        <v>0</v>
      </c>
      <c r="O82" s="64">
        <f ca="1">IFERROR(__xludf.DUMMYFUNCTION("IMPORTRANGE(""https://docs.google.com/spreadsheets/d/1b6QssHQp2FoAPSMKHOy273KNzAomaIKhtdlvuZ_zDNE/edit?usp=sharing"",""พัทลุง!N637"")"),0)</f>
        <v>0</v>
      </c>
      <c r="P82" s="64">
        <f ca="1">IFERROR(__xludf.DUMMYFUNCTION("IMPORTRANGE(""https://docs.google.com/spreadsheets/d/1b6QssHQp2FoAPSMKHOy273KNzAomaIKhtdlvuZ_zDNE/edit?usp=sharing"",""พัทลุง!N638"")"),0)</f>
        <v>0</v>
      </c>
      <c r="Q82" s="62">
        <f ca="1">IFERROR(__xludf.DUMMYFUNCTION("IMPORTRANGE(""https://docs.google.com/spreadsheets/d/1b6QssHQp2FoAPSMKHOy273KNzAomaIKhtdlvuZ_zDNE/edit?usp=sharing"",""พัทลุง!N641"")"),0)</f>
        <v>0</v>
      </c>
      <c r="R82" s="62">
        <f t="shared" ca="1" si="34"/>
        <v>0</v>
      </c>
      <c r="S82" s="57">
        <f ca="1">IFERROR(__xludf.DUMMYFUNCTION("IMPORTRANGE(""https://docs.google.com/spreadsheets/d/1b6QssHQp2FoAPSMKHOy273KNzAomaIKhtdlvuZ_zDNE/edit?usp=sharing"",""พัทลุง!I643"")"),0)</f>
        <v>0</v>
      </c>
      <c r="T82" s="57">
        <f ca="1">IFERROR(__xludf.DUMMYFUNCTION("IMPORTRANGE(""https://docs.google.com/spreadsheets/d/1b6QssHQp2FoAPSMKHOy273KNzAomaIKhtdlvuZ_zDNE/edit?usp=sharing"",""พัทลุง!J643"")"),0)</f>
        <v>0</v>
      </c>
      <c r="U82" s="63">
        <f t="shared" ca="1" si="25"/>
        <v>0</v>
      </c>
      <c r="V82" s="57">
        <f ca="1">IFERROR(__xludf.DUMMYFUNCTION("IMPORTRANGE(""https://docs.google.com/spreadsheets/d/1b6QssHQp2FoAPSMKHOy273KNzAomaIKhtdlvuZ_zDNE/edit?usp=sharing"",""พัทลุง!I644"")"),0)</f>
        <v>0</v>
      </c>
      <c r="W82" s="57">
        <f ca="1">IFERROR(__xludf.DUMMYFUNCTION("IMPORTRANGE(""https://docs.google.com/spreadsheets/d/1b6QssHQp2FoAPSMKHOy273KNzAomaIKhtdlvuZ_zDNE/edit?usp=sharing"",""พัทลุง!J644"")"),0)</f>
        <v>0</v>
      </c>
      <c r="X82" s="63">
        <f t="shared" ca="1" si="26"/>
        <v>0</v>
      </c>
      <c r="Y82" s="57">
        <f ca="1">IFERROR(__xludf.DUMMYFUNCTION("IMPORTRANGE(""https://docs.google.com/spreadsheets/d/1b6QssHQp2FoAPSMKHOy273KNzAomaIKhtdlvuZ_zDNE/edit?usp=sharing"",""พัทลุง!J645"")"),0)</f>
        <v>0</v>
      </c>
      <c r="Z82" s="63">
        <f ca="1">IFERROR(__xludf.DUMMYFUNCTION("IMPORTRANGE(""https://docs.google.com/spreadsheets/d/1b6QssHQp2FoAPSMKHOy273KNzAomaIKhtdlvuZ_zDNE/edit?usp=sharing"",""พัทลุง!J646"")"),0)</f>
        <v>0</v>
      </c>
      <c r="AA82" s="57">
        <f ca="1">IFERROR(__xludf.DUMMYFUNCTION("IMPORTRANGE(""https://docs.google.com/spreadsheets/d/1b6QssHQp2FoAPSMKHOy273KNzAomaIKhtdlvuZ_zDNE/edit?usp=sharing"",""พัทลุง!I647"")"),0)</f>
        <v>0</v>
      </c>
      <c r="AB82" s="57">
        <f ca="1">IFERROR(__xludf.DUMMYFUNCTION("IMPORTRANGE(""https://docs.google.com/spreadsheets/d/1b6QssHQp2FoAPSMKHOy273KNzAomaIKhtdlvuZ_zDNE/edit?usp=sharing"",""พัทลุง!J647"")"),0)</f>
        <v>0</v>
      </c>
      <c r="AC82" s="63">
        <f ca="1">IFERROR(__xludf.DUMMYFUNCTION("IMPORTRANGE(""https://docs.google.com/spreadsheets/d/1b6QssHQp2FoAPSMKHOy273KNzAomaIKhtdlvuZ_zDNE/edit?usp=sharing"",""พัทลุง!J648"")"),0)</f>
        <v>0</v>
      </c>
      <c r="AD82" s="63">
        <f t="shared" ca="1" si="27"/>
        <v>0</v>
      </c>
      <c r="AE82" s="140">
        <f ca="1">IFERROR(__xludf.DUMMYFUNCTION("IMPORTRANGE(""https://docs.google.com/spreadsheets/d/1b6QssHQp2FoAPSMKHOy273KNzAomaIKhtdlvuZ_zDNE/edit?usp=sharing"",""พัทลุง!I649"")"),0)</f>
        <v>0</v>
      </c>
      <c r="AF82" s="57">
        <f ca="1">IFERROR(__xludf.DUMMYFUNCTION("IMPORTRANGE(""https://docs.google.com/spreadsheets/d/1b6QssHQp2FoAPSMKHOy273KNzAomaIKhtdlvuZ_zDNE/edit?usp=sharing"",""พัทลุง!J649"")"),0)</f>
        <v>0</v>
      </c>
      <c r="AG82" s="63">
        <f ca="1">IFERROR(__xludf.DUMMYFUNCTION("IMPORTRANGE(""https://docs.google.com/spreadsheets/d/1b6QssHQp2FoAPSMKHOy273KNzAomaIKhtdlvuZ_zDNE/edit?usp=sharing"",""พัทลุง!J650"")"),0)</f>
        <v>0</v>
      </c>
      <c r="AH82" s="63">
        <f t="shared" ca="1" si="28"/>
        <v>0</v>
      </c>
      <c r="AI82" s="140">
        <f ca="1">IFERROR(__xludf.DUMMYFUNCTION("IMPORTRANGE(""https://docs.google.com/spreadsheets/d/1b6QssHQp2FoAPSMKHOy273KNzAomaIKhtdlvuZ_zDNE/edit?usp=sharing"",""พัทลุง!I651"")"),0)</f>
        <v>0</v>
      </c>
      <c r="AJ82" s="57">
        <f ca="1">IFERROR(__xludf.DUMMYFUNCTION("IMPORTRANGE(""https://docs.google.com/spreadsheets/d/1b6QssHQp2FoAPSMKHOy273KNzAomaIKhtdlvuZ_zDNE/edit?usp=sharing"",""พัทลุง!J651"")"),0)</f>
        <v>0</v>
      </c>
      <c r="AK82" s="63">
        <f ca="1">IFERROR(__xludf.DUMMYFUNCTION("IMPORTRANGE(""https://docs.google.com/spreadsheets/d/1b6QssHQp2FoAPSMKHOy273KNzAomaIKhtdlvuZ_zDNE/edit?usp=sharing"",""พัทลุง!J652"")"),0)</f>
        <v>0</v>
      </c>
      <c r="AL82" s="63">
        <f t="shared" ca="1" si="29"/>
        <v>0</v>
      </c>
    </row>
    <row r="83" spans="1:38" ht="21" customHeight="1" x14ac:dyDescent="0.3">
      <c r="A83" s="54">
        <v>9</v>
      </c>
      <c r="B83" s="55" t="s">
        <v>104</v>
      </c>
      <c r="C83" s="56">
        <f t="shared" ca="1" si="67"/>
        <v>0</v>
      </c>
      <c r="D83" s="57">
        <f ca="1">IFERROR(__xludf.DUMMYFUNCTION("IMPORTRANGE(""https://docs.google.com/spreadsheets/d/1o7UZe4_OqlqtLDHrj01Z2YFRSZDf1DMy1n3XViHaxRc/edit?usp=sharing"",""ภูเก็ต!L634"")"),0)</f>
        <v>0</v>
      </c>
      <c r="E83" s="64">
        <f ca="1">IFERROR(__xludf.DUMMYFUNCTION("IMPORTRANGE(""https://docs.google.com/spreadsheets/d/1o7UZe4_OqlqtLDHrj01Z2YFRSZDf1DMy1n3XViHaxRc/edit?usp=sharing"",""ภูเก็ต!L641"")"),0)</f>
        <v>0</v>
      </c>
      <c r="F83" s="64">
        <f ca="1">IFERROR(__xludf.DUMMYFUNCTION("IMPORTRANGE(""https://docs.google.com/spreadsheets/d/1o7UZe4_OqlqtLDHrj01Z2YFRSZDf1DMy1n3XViHaxRc/edit?usp=sharing"",""ภูเก็ต!M634"")"),0)</f>
        <v>0</v>
      </c>
      <c r="G83" s="64">
        <f ca="1">IFERROR(__xludf.DUMMYFUNCTION("IMPORTRANGE(""https://docs.google.com/spreadsheets/d/1o7UZe4_OqlqtLDHrj01Z2YFRSZDf1DMy1n3XViHaxRc/edit?usp=sharing"",""ภูเก็ต!M641"")"),0)</f>
        <v>0</v>
      </c>
      <c r="H83" s="58">
        <f t="shared" ca="1" si="24"/>
        <v>0</v>
      </c>
      <c r="I83" s="59">
        <f t="shared" ca="1" si="1"/>
        <v>0</v>
      </c>
      <c r="J83" s="60">
        <f t="shared" ca="1" si="68"/>
        <v>0</v>
      </c>
      <c r="K83" s="61">
        <f t="shared" ca="1" si="31"/>
        <v>0</v>
      </c>
      <c r="L83" s="61">
        <f t="shared" ca="1" si="32"/>
        <v>0</v>
      </c>
      <c r="M83" s="64">
        <f ca="1">IFERROR(__xludf.DUMMYFUNCTION("IMPORTRANGE(""https://docs.google.com/spreadsheets/d/1o7UZe4_OqlqtLDHrj01Z2YFRSZDf1DMy1n3XViHaxRc/edit?usp=sharing"",""ภูเก็ต!N635"")"),0)</f>
        <v>0</v>
      </c>
      <c r="N83" s="64">
        <f ca="1">IFERROR(__xludf.DUMMYFUNCTION("IMPORTRANGE(""https://docs.google.com/spreadsheets/d/1o7UZe4_OqlqtLDHrj01Z2YFRSZDf1DMy1n3XViHaxRc/edit?usp=sharing"",""ภูเก็ต!N636"")"),0)</f>
        <v>0</v>
      </c>
      <c r="O83" s="64">
        <f ca="1">IFERROR(__xludf.DUMMYFUNCTION("IMPORTRANGE(""https://docs.google.com/spreadsheets/d/1o7UZe4_OqlqtLDHrj01Z2YFRSZDf1DMy1n3XViHaxRc/edit?usp=sharing"",""ภูเก็ต!N637"")"),0)</f>
        <v>0</v>
      </c>
      <c r="P83" s="64">
        <f ca="1">IFERROR(__xludf.DUMMYFUNCTION("IMPORTRANGE(""https://docs.google.com/spreadsheets/d/1o7UZe4_OqlqtLDHrj01Z2YFRSZDf1DMy1n3XViHaxRc/edit?usp=sharing"",""ภูเก็ต!N638"")"),0)</f>
        <v>0</v>
      </c>
      <c r="Q83" s="62">
        <f ca="1">IFERROR(__xludf.DUMMYFUNCTION("IMPORTRANGE(""https://docs.google.com/spreadsheets/d/1o7UZe4_OqlqtLDHrj01Z2YFRSZDf1DMy1n3XViHaxRc/edit?usp=sharing"",""ภูเก็ต!N641"")"),0)</f>
        <v>0</v>
      </c>
      <c r="R83" s="62">
        <f t="shared" ca="1" si="34"/>
        <v>0</v>
      </c>
      <c r="S83" s="57">
        <f ca="1">IFERROR(__xludf.DUMMYFUNCTION("IMPORTRANGE(""https://docs.google.com/spreadsheets/d/1o7UZe4_OqlqtLDHrj01Z2YFRSZDf1DMy1n3XViHaxRc/edit?usp=sharing"",""ภูเก็ต!I643"")"),0)</f>
        <v>0</v>
      </c>
      <c r="T83" s="57">
        <f ca="1">IFERROR(__xludf.DUMMYFUNCTION("IMPORTRANGE(""https://docs.google.com/spreadsheets/d/1o7UZe4_OqlqtLDHrj01Z2YFRSZDf1DMy1n3XViHaxRc/edit?usp=sharing"",""ภูเก็ต!J643"")"),0)</f>
        <v>0</v>
      </c>
      <c r="U83" s="63">
        <f t="shared" ca="1" si="25"/>
        <v>0</v>
      </c>
      <c r="V83" s="57">
        <f ca="1">IFERROR(__xludf.DUMMYFUNCTION("IMPORTRANGE(""https://docs.google.com/spreadsheets/d/1o7UZe4_OqlqtLDHrj01Z2YFRSZDf1DMy1n3XViHaxRc/edit?usp=sharing"",""ภูเก็ต!I644"")"),0)</f>
        <v>0</v>
      </c>
      <c r="W83" s="57">
        <f ca="1">IFERROR(__xludf.DUMMYFUNCTION("IMPORTRANGE(""https://docs.google.com/spreadsheets/d/1o7UZe4_OqlqtLDHrj01Z2YFRSZDf1DMy1n3XViHaxRc/edit?usp=sharing"",""ภูเก็ต!J644"")"),0)</f>
        <v>0</v>
      </c>
      <c r="X83" s="63">
        <f t="shared" ca="1" si="26"/>
        <v>0</v>
      </c>
      <c r="Y83" s="57">
        <f ca="1">IFERROR(__xludf.DUMMYFUNCTION("IMPORTRANGE(""https://docs.google.com/spreadsheets/d/1o7UZe4_OqlqtLDHrj01Z2YFRSZDf1DMy1n3XViHaxRc/edit?usp=sharing"",""ภูเก็ต!J645"")"),0)</f>
        <v>0</v>
      </c>
      <c r="Z83" s="63">
        <f ca="1">IFERROR(__xludf.DUMMYFUNCTION("IMPORTRANGE(""https://docs.google.com/spreadsheets/d/1o7UZe4_OqlqtLDHrj01Z2YFRSZDf1DMy1n3XViHaxRc/edit?usp=sharing"",""ภูเก็ต!J646"")"),0)</f>
        <v>0</v>
      </c>
      <c r="AA83" s="57">
        <f ca="1">IFERROR(__xludf.DUMMYFUNCTION("IMPORTRANGE(""https://docs.google.com/spreadsheets/d/1o7UZe4_OqlqtLDHrj01Z2YFRSZDf1DMy1n3XViHaxRc/edit?usp=sharing"",""ภูเก็ต!I647"")"),0)</f>
        <v>0</v>
      </c>
      <c r="AB83" s="57">
        <f ca="1">IFERROR(__xludf.DUMMYFUNCTION("IMPORTRANGE(""https://docs.google.com/spreadsheets/d/1o7UZe4_OqlqtLDHrj01Z2YFRSZDf1DMy1n3XViHaxRc/edit?usp=sharing"",""ภูเก็ต!J647"")"),0)</f>
        <v>0</v>
      </c>
      <c r="AC83" s="63">
        <f ca="1">IFERROR(__xludf.DUMMYFUNCTION("IMPORTRANGE(""https://docs.google.com/spreadsheets/d/1o7UZe4_OqlqtLDHrj01Z2YFRSZDf1DMy1n3XViHaxRc/edit?usp=sharing"",""ภูเก็ต!J648"")"),0)</f>
        <v>0</v>
      </c>
      <c r="AD83" s="63">
        <f t="shared" ca="1" si="27"/>
        <v>0</v>
      </c>
      <c r="AE83" s="140">
        <f ca="1">IFERROR(__xludf.DUMMYFUNCTION("IMPORTRANGE(""https://docs.google.com/spreadsheets/d/1o7UZe4_OqlqtLDHrj01Z2YFRSZDf1DMy1n3XViHaxRc/edit?usp=sharing"",""ภูเก็ต!I649"")"),0)</f>
        <v>0</v>
      </c>
      <c r="AF83" s="57">
        <f ca="1">IFERROR(__xludf.DUMMYFUNCTION("IMPORTRANGE(""https://docs.google.com/spreadsheets/d/1o7UZe4_OqlqtLDHrj01Z2YFRSZDf1DMy1n3XViHaxRc/edit?usp=sharing"",""ภูเก็ต!J649"")"),0)</f>
        <v>0</v>
      </c>
      <c r="AG83" s="63">
        <f ca="1">IFERROR(__xludf.DUMMYFUNCTION("IMPORTRANGE(""https://docs.google.com/spreadsheets/d/1o7UZe4_OqlqtLDHrj01Z2YFRSZDf1DMy1n3XViHaxRc/edit?usp=sharing"",""ภูเก็ต!J650"")"),0)</f>
        <v>0</v>
      </c>
      <c r="AH83" s="63">
        <f t="shared" ca="1" si="28"/>
        <v>0</v>
      </c>
      <c r="AI83" s="140">
        <f ca="1">IFERROR(__xludf.DUMMYFUNCTION("IMPORTRANGE(""https://docs.google.com/spreadsheets/d/1o7UZe4_OqlqtLDHrj01Z2YFRSZDf1DMy1n3XViHaxRc/edit?usp=sharing"",""ภูเก็ต!I651"")"),0)</f>
        <v>0</v>
      </c>
      <c r="AJ83" s="57">
        <f ca="1">IFERROR(__xludf.DUMMYFUNCTION("IMPORTRANGE(""https://docs.google.com/spreadsheets/d/1o7UZe4_OqlqtLDHrj01Z2YFRSZDf1DMy1n3XViHaxRc/edit?usp=sharing"",""ภูเก็ต!J651"")"),0)</f>
        <v>0</v>
      </c>
      <c r="AK83" s="63">
        <f ca="1">IFERROR(__xludf.DUMMYFUNCTION("IMPORTRANGE(""https://docs.google.com/spreadsheets/d/1o7UZe4_OqlqtLDHrj01Z2YFRSZDf1DMy1n3XViHaxRc/edit?usp=sharing"",""ภูเก็ต!J652"")"),0)</f>
        <v>0</v>
      </c>
      <c r="AL83" s="63">
        <f t="shared" ca="1" si="29"/>
        <v>0</v>
      </c>
    </row>
    <row r="84" spans="1:38" ht="21" customHeight="1" x14ac:dyDescent="0.3">
      <c r="A84" s="54">
        <v>10</v>
      </c>
      <c r="B84" s="55" t="s">
        <v>105</v>
      </c>
      <c r="C84" s="56">
        <f t="shared" ca="1" si="67"/>
        <v>384755</v>
      </c>
      <c r="D84" s="57">
        <f ca="1">IFERROR(__xludf.DUMMYFUNCTION("IMPORTRANGE(""https://docs.google.com/spreadsheets/d/1ctPm1vUzcUCPuOj9-eoHUD85PqINFqUB0TjdSWmR5-c/edit?usp=sharing"",""ยะลา!L634"")"),384755)</f>
        <v>384755</v>
      </c>
      <c r="E84" s="64">
        <f ca="1">IFERROR(__xludf.DUMMYFUNCTION("IMPORTRANGE(""https://docs.google.com/spreadsheets/d/1ctPm1vUzcUCPuOj9-eoHUD85PqINFqUB0TjdSWmR5-c/edit?usp=sharing"",""ยะลา!L641"")"),0)</f>
        <v>0</v>
      </c>
      <c r="F84" s="64">
        <f ca="1">IFERROR(__xludf.DUMMYFUNCTION("IMPORTRANGE(""https://docs.google.com/spreadsheets/d/1ctPm1vUzcUCPuOj9-eoHUD85PqINFqUB0TjdSWmR5-c/edit?usp=sharing"",""ยะลา!M634"")"),384755)</f>
        <v>384755</v>
      </c>
      <c r="G84" s="64">
        <f ca="1">IFERROR(__xludf.DUMMYFUNCTION("IMPORTRANGE(""https://docs.google.com/spreadsheets/d/1ctPm1vUzcUCPuOj9-eoHUD85PqINFqUB0TjdSWmR5-c/edit?usp=sharing"",""ยะลา!M641"")"),0)</f>
        <v>0</v>
      </c>
      <c r="H84" s="58">
        <f t="shared" ca="1" si="24"/>
        <v>111895</v>
      </c>
      <c r="I84" s="59">
        <f t="shared" ca="1" si="1"/>
        <v>29.082143182024925</v>
      </c>
      <c r="J84" s="60">
        <f t="shared" ca="1" si="68"/>
        <v>111895</v>
      </c>
      <c r="K84" s="61">
        <f t="shared" ca="1" si="31"/>
        <v>29.082143182024925</v>
      </c>
      <c r="L84" s="61">
        <f t="shared" ca="1" si="32"/>
        <v>29.082143182024925</v>
      </c>
      <c r="M84" s="64">
        <f ca="1">IFERROR(__xludf.DUMMYFUNCTION("IMPORTRANGE(""https://docs.google.com/spreadsheets/d/1ctPm1vUzcUCPuOj9-eoHUD85PqINFqUB0TjdSWmR5-c/edit?usp=sharing"",""ยะลา!N635"")"),0)</f>
        <v>0</v>
      </c>
      <c r="N84" s="64">
        <f ca="1">IFERROR(__xludf.DUMMYFUNCTION("IMPORTRANGE(""https://docs.google.com/spreadsheets/d/1ctPm1vUzcUCPuOj9-eoHUD85PqINFqUB0TjdSWmR5-c/edit?usp=sharing"",""ยะลา!N636"")"),0)</f>
        <v>0</v>
      </c>
      <c r="O84" s="64">
        <f ca="1">IFERROR(__xludf.DUMMYFUNCTION("IMPORTRANGE(""https://docs.google.com/spreadsheets/d/1ctPm1vUzcUCPuOj9-eoHUD85PqINFqUB0TjdSWmR5-c/edit?usp=sharing"",""ยะลา!N637"")"),65000)</f>
        <v>65000</v>
      </c>
      <c r="P84" s="64">
        <f ca="1">IFERROR(__xludf.DUMMYFUNCTION("IMPORTRANGE(""https://docs.google.com/spreadsheets/d/1ctPm1vUzcUCPuOj9-eoHUD85PqINFqUB0TjdSWmR5-c/edit?usp=sharing"",""ยะลา!N638"")"),46895)</f>
        <v>46895</v>
      </c>
      <c r="Q84" s="62">
        <f ca="1">IFERROR(__xludf.DUMMYFUNCTION("IMPORTRANGE(""https://docs.google.com/spreadsheets/d/1ctPm1vUzcUCPuOj9-eoHUD85PqINFqUB0TjdSWmR5-c/edit?usp=sharing"",""ยะลา!N641"")"),0)</f>
        <v>0</v>
      </c>
      <c r="R84" s="62">
        <f t="shared" ca="1" si="34"/>
        <v>0</v>
      </c>
      <c r="S84" s="57">
        <f ca="1">IFERROR(__xludf.DUMMYFUNCTION("IMPORTRANGE(""https://docs.google.com/spreadsheets/d/1ctPm1vUzcUCPuOj9-eoHUD85PqINFqUB0TjdSWmR5-c/edit?usp=sharing"",""ยะลา!I643"")"),2)</f>
        <v>2</v>
      </c>
      <c r="T84" s="57">
        <f ca="1">IFERROR(__xludf.DUMMYFUNCTION("IMPORTRANGE(""https://docs.google.com/spreadsheets/d/1ctPm1vUzcUCPuOj9-eoHUD85PqINFqUB0TjdSWmR5-c/edit?usp=sharing"",""ยะลา!J643"")"),2)</f>
        <v>2</v>
      </c>
      <c r="U84" s="63">
        <f t="shared" ca="1" si="25"/>
        <v>100</v>
      </c>
      <c r="V84" s="57">
        <f ca="1">IFERROR(__xludf.DUMMYFUNCTION("IMPORTRANGE(""https://docs.google.com/spreadsheets/d/1ctPm1vUzcUCPuOj9-eoHUD85PqINFqUB0TjdSWmR5-c/edit?usp=sharing"",""ยะลา!I644"")"),2)</f>
        <v>2</v>
      </c>
      <c r="W84" s="57">
        <f ca="1">IFERROR(__xludf.DUMMYFUNCTION("IMPORTRANGE(""https://docs.google.com/spreadsheets/d/1ctPm1vUzcUCPuOj9-eoHUD85PqINFqUB0TjdSWmR5-c/edit?usp=sharing"",""ยะลา!J644"")"),0)</f>
        <v>0</v>
      </c>
      <c r="X84" s="63">
        <f t="shared" ca="1" si="26"/>
        <v>0</v>
      </c>
      <c r="Y84" s="57">
        <f ca="1">IFERROR(__xludf.DUMMYFUNCTION("IMPORTRANGE(""https://docs.google.com/spreadsheets/d/1ctPm1vUzcUCPuOj9-eoHUD85PqINFqUB0TjdSWmR5-c/edit?usp=sharing"",""ยะลา!J645"")"),0)</f>
        <v>0</v>
      </c>
      <c r="Z84" s="63">
        <f ca="1">IFERROR(__xludf.DUMMYFUNCTION("IMPORTRANGE(""https://docs.google.com/spreadsheets/d/1ctPm1vUzcUCPuOj9-eoHUD85PqINFqUB0TjdSWmR5-c/edit?usp=sharing"",""ยะลา!J646"")"),0)</f>
        <v>0</v>
      </c>
      <c r="AA84" s="57">
        <f ca="1">IFERROR(__xludf.DUMMYFUNCTION("IMPORTRANGE(""https://docs.google.com/spreadsheets/d/1ctPm1vUzcUCPuOj9-eoHUD85PqINFqUB0TjdSWmR5-c/edit?usp=sharing"",""ยะลา!I647"")"),120)</f>
        <v>120</v>
      </c>
      <c r="AB84" s="57">
        <f ca="1">IFERROR(__xludf.DUMMYFUNCTION("IMPORTRANGE(""https://docs.google.com/spreadsheets/d/1ctPm1vUzcUCPuOj9-eoHUD85PqINFqUB0TjdSWmR5-c/edit?usp=sharing"",""ยะลา!J647"")"),0)</f>
        <v>0</v>
      </c>
      <c r="AC84" s="63">
        <f ca="1">IFERROR(__xludf.DUMMYFUNCTION("IMPORTRANGE(""https://docs.google.com/spreadsheets/d/1ctPm1vUzcUCPuOj9-eoHUD85PqINFqUB0TjdSWmR5-c/edit?usp=sharing"",""ยะลา!J648"")"),0)</f>
        <v>0</v>
      </c>
      <c r="AD84" s="63">
        <f t="shared" ca="1" si="27"/>
        <v>0</v>
      </c>
      <c r="AE84" s="140">
        <f ca="1">IFERROR(__xludf.DUMMYFUNCTION("IMPORTRANGE(""https://docs.google.com/spreadsheets/d/1ctPm1vUzcUCPuOj9-eoHUD85PqINFqUB0TjdSWmR5-c/edit?usp=sharing"",""ยะลา!I649"")"),120)</f>
        <v>120</v>
      </c>
      <c r="AF84" s="57">
        <f ca="1">IFERROR(__xludf.DUMMYFUNCTION("IMPORTRANGE(""https://docs.google.com/spreadsheets/d/1ctPm1vUzcUCPuOj9-eoHUD85PqINFqUB0TjdSWmR5-c/edit?usp=sharing"",""ยะลา!J649"")"),0)</f>
        <v>0</v>
      </c>
      <c r="AG84" s="63">
        <f ca="1">IFERROR(__xludf.DUMMYFUNCTION("IMPORTRANGE(""https://docs.google.com/spreadsheets/d/1ctPm1vUzcUCPuOj9-eoHUD85PqINFqUB0TjdSWmR5-c/edit?usp=sharing"",""ยะลา!J650"")"),0)</f>
        <v>0</v>
      </c>
      <c r="AH84" s="63">
        <f t="shared" ca="1" si="28"/>
        <v>0</v>
      </c>
      <c r="AI84" s="140">
        <f ca="1">IFERROR(__xludf.DUMMYFUNCTION("IMPORTRANGE(""https://docs.google.com/spreadsheets/d/1ctPm1vUzcUCPuOj9-eoHUD85PqINFqUB0TjdSWmR5-c/edit?usp=sharing"",""ยะลา!I651"")"),120)</f>
        <v>120</v>
      </c>
      <c r="AJ84" s="57">
        <f ca="1">IFERROR(__xludf.DUMMYFUNCTION("IMPORTRANGE(""https://docs.google.com/spreadsheets/d/1ctPm1vUzcUCPuOj9-eoHUD85PqINFqUB0TjdSWmR5-c/edit?usp=sharing"",""ยะลา!J651"")"),0)</f>
        <v>0</v>
      </c>
      <c r="AK84" s="63">
        <f ca="1">IFERROR(__xludf.DUMMYFUNCTION("IMPORTRANGE(""https://docs.google.com/spreadsheets/d/1ctPm1vUzcUCPuOj9-eoHUD85PqINFqUB0TjdSWmR5-c/edit?usp=sharing"",""ยะลา!J652"")"),0)</f>
        <v>0</v>
      </c>
      <c r="AL84" s="63">
        <f t="shared" ca="1" si="29"/>
        <v>0</v>
      </c>
    </row>
    <row r="85" spans="1:38" ht="21" customHeight="1" x14ac:dyDescent="0.3">
      <c r="A85" s="54">
        <v>11</v>
      </c>
      <c r="B85" s="55" t="s">
        <v>106</v>
      </c>
      <c r="C85" s="56">
        <f t="shared" ca="1" si="67"/>
        <v>164050</v>
      </c>
      <c r="D85" s="57">
        <f ca="1">IFERROR(__xludf.DUMMYFUNCTION("IMPORTRANGE(""https://docs.google.com/spreadsheets/d/1YiDIE7Klmt8osgdapRqYWNr7iPGFSsiJqq46S7PYRE0/edit?usp=sharing"",""ระนอง!L634"")"),164050)</f>
        <v>164050</v>
      </c>
      <c r="E85" s="64">
        <f ca="1">IFERROR(__xludf.DUMMYFUNCTION("IMPORTRANGE(""https://docs.google.com/spreadsheets/d/1YiDIE7Klmt8osgdapRqYWNr7iPGFSsiJqq46S7PYRE0/edit?usp=sharing"",""ระนอง!L641"")"),0)</f>
        <v>0</v>
      </c>
      <c r="F85" s="64">
        <f ca="1">IFERROR(__xludf.DUMMYFUNCTION("IMPORTRANGE(""https://docs.google.com/spreadsheets/d/1YiDIE7Klmt8osgdapRqYWNr7iPGFSsiJqq46S7PYRE0/edit?usp=sharing"",""ระนอง!M634"")"),164050)</f>
        <v>164050</v>
      </c>
      <c r="G85" s="64">
        <f ca="1">IFERROR(__xludf.DUMMYFUNCTION("IMPORTRANGE(""https://docs.google.com/spreadsheets/d/1YiDIE7Klmt8osgdapRqYWNr7iPGFSsiJqq46S7PYRE0/edit?usp=sharing"",""ระนอง!M641"")"),0)</f>
        <v>0</v>
      </c>
      <c r="H85" s="58">
        <f t="shared" ca="1" si="24"/>
        <v>26440</v>
      </c>
      <c r="I85" s="59">
        <f t="shared" ca="1" si="1"/>
        <v>16.117037488570556</v>
      </c>
      <c r="J85" s="60">
        <f t="shared" ca="1" si="68"/>
        <v>26440</v>
      </c>
      <c r="K85" s="61">
        <f t="shared" ca="1" si="31"/>
        <v>16.117037488570556</v>
      </c>
      <c r="L85" s="61">
        <f t="shared" ca="1" si="32"/>
        <v>16.117037488570556</v>
      </c>
      <c r="M85" s="64">
        <f ca="1">IFERROR(__xludf.DUMMYFUNCTION("IMPORTRANGE(""https://docs.google.com/spreadsheets/d/1YiDIE7Klmt8osgdapRqYWNr7iPGFSsiJqq46S7PYRE0/edit?usp=sharing"",""ระนอง!N635"")"),0)</f>
        <v>0</v>
      </c>
      <c r="N85" s="64">
        <f ca="1">IFERROR(__xludf.DUMMYFUNCTION("IMPORTRANGE(""https://docs.google.com/spreadsheets/d/1YiDIE7Klmt8osgdapRqYWNr7iPGFSsiJqq46S7PYRE0/edit?usp=sharing"",""ระนอง!N636"")"),0)</f>
        <v>0</v>
      </c>
      <c r="O85" s="64">
        <f ca="1">IFERROR(__xludf.DUMMYFUNCTION("IMPORTRANGE(""https://docs.google.com/spreadsheets/d/1YiDIE7Klmt8osgdapRqYWNr7iPGFSsiJqq46S7PYRE0/edit?usp=sharing"",""ระนอง!N637"")"),0)</f>
        <v>0</v>
      </c>
      <c r="P85" s="64">
        <f ca="1">IFERROR(__xludf.DUMMYFUNCTION("IMPORTRANGE(""https://docs.google.com/spreadsheets/d/1YiDIE7Klmt8osgdapRqYWNr7iPGFSsiJqq46S7PYRE0/edit?usp=sharing"",""ระนอง!N638"")"),26440)</f>
        <v>26440</v>
      </c>
      <c r="Q85" s="62">
        <f ca="1">IFERROR(__xludf.DUMMYFUNCTION("IMPORTRANGE(""https://docs.google.com/spreadsheets/d/1YiDIE7Klmt8osgdapRqYWNr7iPGFSsiJqq46S7PYRE0/edit?usp=sharing"",""ระนอง!N641"")"),0)</f>
        <v>0</v>
      </c>
      <c r="R85" s="62">
        <f t="shared" ca="1" si="34"/>
        <v>0</v>
      </c>
      <c r="S85" s="57">
        <f ca="1">IFERROR(__xludf.DUMMYFUNCTION("IMPORTRANGE(""https://docs.google.com/spreadsheets/d/1YiDIE7Klmt8osgdapRqYWNr7iPGFSsiJqq46S7PYRE0/edit?usp=sharing"",""ระนอง!I643"")"),0)</f>
        <v>0</v>
      </c>
      <c r="T85" s="57">
        <f ca="1">IFERROR(__xludf.DUMMYFUNCTION("IMPORTRANGE(""https://docs.google.com/spreadsheets/d/1YiDIE7Klmt8osgdapRqYWNr7iPGFSsiJqq46S7PYRE0/edit?usp=sharing"",""ระนอง!J643"")"),0)</f>
        <v>0</v>
      </c>
      <c r="U85" s="63">
        <f t="shared" ca="1" si="25"/>
        <v>0</v>
      </c>
      <c r="V85" s="57">
        <f ca="1">IFERROR(__xludf.DUMMYFUNCTION("IMPORTRANGE(""https://docs.google.com/spreadsheets/d/1YiDIE7Klmt8osgdapRqYWNr7iPGFSsiJqq46S7PYRE0/edit?usp=sharing"",""ระนอง!I644"")"),0)</f>
        <v>0</v>
      </c>
      <c r="W85" s="57">
        <f ca="1">IFERROR(__xludf.DUMMYFUNCTION("IMPORTRANGE(""https://docs.google.com/spreadsheets/d/1YiDIE7Klmt8osgdapRqYWNr7iPGFSsiJqq46S7PYRE0/edit?usp=sharing"",""ระนอง!J644"")"),0)</f>
        <v>0</v>
      </c>
      <c r="X85" s="63">
        <f t="shared" ca="1" si="26"/>
        <v>0</v>
      </c>
      <c r="Y85" s="57">
        <f ca="1">IFERROR(__xludf.DUMMYFUNCTION("IMPORTRANGE(""https://docs.google.com/spreadsheets/d/1YiDIE7Klmt8osgdapRqYWNr7iPGFSsiJqq46S7PYRE0/edit?usp=sharing"",""ระนอง!J645"")"),3)</f>
        <v>3</v>
      </c>
      <c r="Z85" s="63">
        <f ca="1">IFERROR(__xludf.DUMMYFUNCTION("IMPORTRANGE(""https://docs.google.com/spreadsheets/d/1YiDIE7Klmt8osgdapRqYWNr7iPGFSsiJqq46S7PYRE0/edit?usp=sharing"",""ระนอง!J646"")"),2.26)</f>
        <v>2.2599999999999998</v>
      </c>
      <c r="AA85" s="57">
        <f ca="1">IFERROR(__xludf.DUMMYFUNCTION("IMPORTRANGE(""https://docs.google.com/spreadsheets/d/1YiDIE7Klmt8osgdapRqYWNr7iPGFSsiJqq46S7PYRE0/edit?usp=sharing"",""ระนอง!I647"")"),7)</f>
        <v>7</v>
      </c>
      <c r="AB85" s="57">
        <f ca="1">IFERROR(__xludf.DUMMYFUNCTION("IMPORTRANGE(""https://docs.google.com/spreadsheets/d/1YiDIE7Klmt8osgdapRqYWNr7iPGFSsiJqq46S7PYRE0/edit?usp=sharing"",""ระนอง!J647"")"),0)</f>
        <v>0</v>
      </c>
      <c r="AC85" s="63">
        <f ca="1">IFERROR(__xludf.DUMMYFUNCTION("IMPORTRANGE(""https://docs.google.com/spreadsheets/d/1YiDIE7Klmt8osgdapRqYWNr7iPGFSsiJqq46S7PYRE0/edit?usp=sharing"",""ระนอง!J648"")"),0)</f>
        <v>0</v>
      </c>
      <c r="AD85" s="63">
        <f t="shared" ca="1" si="27"/>
        <v>0</v>
      </c>
      <c r="AE85" s="140">
        <f ca="1">IFERROR(__xludf.DUMMYFUNCTION("IMPORTRANGE(""https://docs.google.com/spreadsheets/d/1YiDIE7Klmt8osgdapRqYWNr7iPGFSsiJqq46S7PYRE0/edit?usp=sharing"",""ระนอง!I649"")"),7)</f>
        <v>7</v>
      </c>
      <c r="AF85" s="57">
        <f ca="1">IFERROR(__xludf.DUMMYFUNCTION("IMPORTRANGE(""https://docs.google.com/spreadsheets/d/1YiDIE7Klmt8osgdapRqYWNr7iPGFSsiJqq46S7PYRE0/edit?usp=sharing"",""ระนอง!J649"")"),1)</f>
        <v>1</v>
      </c>
      <c r="AG85" s="63">
        <f ca="1">IFERROR(__xludf.DUMMYFUNCTION("IMPORTRANGE(""https://docs.google.com/spreadsheets/d/1YiDIE7Klmt8osgdapRqYWNr7iPGFSsiJqq46S7PYRE0/edit?usp=sharing"",""ระนอง!J650"")"),2.04)</f>
        <v>2.04</v>
      </c>
      <c r="AH85" s="63">
        <f t="shared" ca="1" si="28"/>
        <v>14.285714285714286</v>
      </c>
      <c r="AI85" s="140">
        <f ca="1">IFERROR(__xludf.DUMMYFUNCTION("IMPORTRANGE(""https://docs.google.com/spreadsheets/d/1YiDIE7Klmt8osgdapRqYWNr7iPGFSsiJqq46S7PYRE0/edit?usp=sharing"",""ระนอง!I651"")"),7)</f>
        <v>7</v>
      </c>
      <c r="AJ85" s="57">
        <f ca="1">IFERROR(__xludf.DUMMYFUNCTION("IMPORTRANGE(""https://docs.google.com/spreadsheets/d/1YiDIE7Klmt8osgdapRqYWNr7iPGFSsiJqq46S7PYRE0/edit?usp=sharing"",""ระนอง!J651"")"),0)</f>
        <v>0</v>
      </c>
      <c r="AK85" s="63">
        <f ca="1">IFERROR(__xludf.DUMMYFUNCTION("IMPORTRANGE(""https://docs.google.com/spreadsheets/d/1YiDIE7Klmt8osgdapRqYWNr7iPGFSsiJqq46S7PYRE0/edit?usp=sharing"",""ระนอง!J652"")"),0)</f>
        <v>0</v>
      </c>
      <c r="AL85" s="63">
        <f t="shared" ca="1" si="29"/>
        <v>0</v>
      </c>
    </row>
    <row r="86" spans="1:38" ht="24" customHeight="1" x14ac:dyDescent="0.3">
      <c r="A86" s="54">
        <v>12</v>
      </c>
      <c r="B86" s="55" t="s">
        <v>107</v>
      </c>
      <c r="C86" s="56">
        <f t="shared" ca="1" si="67"/>
        <v>368255</v>
      </c>
      <c r="D86" s="57">
        <f ca="1">IFERROR(__xludf.DUMMYFUNCTION("IMPORTRANGE(""https://docs.google.com/spreadsheets/d/16o_4B-V7AWw_6E93bSpXj_XxVv1oVQctk-B6z1dNEWU/edit?usp=sharing"",""สงขลา!L634"")"),368255)</f>
        <v>368255</v>
      </c>
      <c r="E86" s="64">
        <f ca="1">IFERROR(__xludf.DUMMYFUNCTION("IMPORTRANGE(""https://docs.google.com/spreadsheets/d/16o_4B-V7AWw_6E93bSpXj_XxVv1oVQctk-B6z1dNEWU/edit?usp=sharing"",""สงขลา!L641"")"),0)</f>
        <v>0</v>
      </c>
      <c r="F86" s="64">
        <f ca="1">IFERROR(__xludf.DUMMYFUNCTION("IMPORTRANGE(""https://docs.google.com/spreadsheets/d/16o_4B-V7AWw_6E93bSpXj_XxVv1oVQctk-B6z1dNEWU/edit?usp=sharing"",""สงขลา!M634"")"),368255)</f>
        <v>368255</v>
      </c>
      <c r="G86" s="64">
        <f ca="1">IFERROR(__xludf.DUMMYFUNCTION("IMPORTRANGE(""https://docs.google.com/spreadsheets/d/16o_4B-V7AWw_6E93bSpXj_XxVv1oVQctk-B6z1dNEWU/edit?usp=sharing"",""สงขลา!M641"")"),0)</f>
        <v>0</v>
      </c>
      <c r="H86" s="58">
        <f t="shared" ca="1" si="24"/>
        <v>184860</v>
      </c>
      <c r="I86" s="59">
        <f t="shared" ca="1" si="1"/>
        <v>50.19891108063706</v>
      </c>
      <c r="J86" s="60">
        <f t="shared" ca="1" si="68"/>
        <v>184860</v>
      </c>
      <c r="K86" s="61">
        <f t="shared" ca="1" si="31"/>
        <v>50.19891108063706</v>
      </c>
      <c r="L86" s="61">
        <f t="shared" ca="1" si="32"/>
        <v>50.19891108063706</v>
      </c>
      <c r="M86" s="64">
        <f ca="1">IFERROR(__xludf.DUMMYFUNCTION("IMPORTRANGE(""https://docs.google.com/spreadsheets/d/16o_4B-V7AWw_6E93bSpXj_XxVv1oVQctk-B6z1dNEWU/edit?usp=sharing"",""สงขลา!N635"")"),0)</f>
        <v>0</v>
      </c>
      <c r="N86" s="64">
        <f ca="1">IFERROR(__xludf.DUMMYFUNCTION("IMPORTRANGE(""https://docs.google.com/spreadsheets/d/16o_4B-V7AWw_6E93bSpXj_XxVv1oVQctk-B6z1dNEWU/edit?usp=sharing"",""สงขลา!N636"")"),0)</f>
        <v>0</v>
      </c>
      <c r="O86" s="64">
        <f ca="1">IFERROR(__xludf.DUMMYFUNCTION("IMPORTRANGE(""https://docs.google.com/spreadsheets/d/16o_4B-V7AWw_6E93bSpXj_XxVv1oVQctk-B6z1dNEWU/edit?usp=sharing"",""สงขลา!N637"")"),78000)</f>
        <v>78000</v>
      </c>
      <c r="P86" s="64">
        <f ca="1">IFERROR(__xludf.DUMMYFUNCTION("IMPORTRANGE(""https://docs.google.com/spreadsheets/d/16o_4B-V7AWw_6E93bSpXj_XxVv1oVQctk-B6z1dNEWU/edit?usp=sharing"",""สงขลา!N638"")"),106860)</f>
        <v>106860</v>
      </c>
      <c r="Q86" s="62">
        <f ca="1">IFERROR(__xludf.DUMMYFUNCTION("IMPORTRANGE(""https://docs.google.com/spreadsheets/d/16o_4B-V7AWw_6E93bSpXj_XxVv1oVQctk-B6z1dNEWU/edit?usp=sharing"",""สงขลา!N641"")"),0)</f>
        <v>0</v>
      </c>
      <c r="R86" s="62">
        <f t="shared" ca="1" si="34"/>
        <v>0</v>
      </c>
      <c r="S86" s="57">
        <f ca="1">IFERROR(__xludf.DUMMYFUNCTION("IMPORTRANGE(""https://docs.google.com/spreadsheets/d/16o_4B-V7AWw_6E93bSpXj_XxVv1oVQctk-B6z1dNEWU/edit?usp=sharing"",""สงขลา!I643"")"),0)</f>
        <v>0</v>
      </c>
      <c r="T86" s="57">
        <f ca="1">IFERROR(__xludf.DUMMYFUNCTION("IMPORTRANGE(""https://docs.google.com/spreadsheets/d/16o_4B-V7AWw_6E93bSpXj_XxVv1oVQctk-B6z1dNEWU/edit?usp=sharing"",""สงขลา!J643"")"),0)</f>
        <v>0</v>
      </c>
      <c r="U86" s="63">
        <f t="shared" ca="1" si="25"/>
        <v>0</v>
      </c>
      <c r="V86" s="57">
        <f ca="1">IFERROR(__xludf.DUMMYFUNCTION("IMPORTRANGE(""https://docs.google.com/spreadsheets/d/16o_4B-V7AWw_6E93bSpXj_XxVv1oVQctk-B6z1dNEWU/edit?usp=sharing"",""สงขลา!I644"")"),0)</f>
        <v>0</v>
      </c>
      <c r="W86" s="57">
        <f ca="1">IFERROR(__xludf.DUMMYFUNCTION("IMPORTRANGE(""https://docs.google.com/spreadsheets/d/16o_4B-V7AWw_6E93bSpXj_XxVv1oVQctk-B6z1dNEWU/edit?usp=sharing"",""สงขลา!J644"")"),0)</f>
        <v>0</v>
      </c>
      <c r="X86" s="63">
        <f t="shared" ca="1" si="26"/>
        <v>0</v>
      </c>
      <c r="Y86" s="57">
        <f ca="1">IFERROR(__xludf.DUMMYFUNCTION("IMPORTRANGE(""https://docs.google.com/spreadsheets/d/16o_4B-V7AWw_6E93bSpXj_XxVv1oVQctk-B6z1dNEWU/edit?usp=sharing"",""สงขลา!J645"")"),0)</f>
        <v>0</v>
      </c>
      <c r="Z86" s="63">
        <f ca="1">IFERROR(__xludf.DUMMYFUNCTION("IMPORTRANGE(""https://docs.google.com/spreadsheets/d/16o_4B-V7AWw_6E93bSpXj_XxVv1oVQctk-B6z1dNEWU/edit?usp=sharing"",""สงขลา!J646"")"),0)</f>
        <v>0</v>
      </c>
      <c r="AA86" s="57">
        <f ca="1">IFERROR(__xludf.DUMMYFUNCTION("IMPORTRANGE(""https://docs.google.com/spreadsheets/d/16o_4B-V7AWw_6E93bSpXj_XxVv1oVQctk-B6z1dNEWU/edit?usp=sharing"",""สงขลา!I647"")"),100)</f>
        <v>100</v>
      </c>
      <c r="AB86" s="57">
        <f ca="1">IFERROR(__xludf.DUMMYFUNCTION("IMPORTRANGE(""https://docs.google.com/spreadsheets/d/16o_4B-V7AWw_6E93bSpXj_XxVv1oVQctk-B6z1dNEWU/edit?usp=sharing"",""สงขลา!J647"")"),59)</f>
        <v>59</v>
      </c>
      <c r="AC86" s="63">
        <f ca="1">IFERROR(__xludf.DUMMYFUNCTION("IMPORTRANGE(""https://docs.google.com/spreadsheets/d/16o_4B-V7AWw_6E93bSpXj_XxVv1oVQctk-B6z1dNEWU/edit?usp=sharing"",""สงขลา!J648"")"),15.1)</f>
        <v>15.1</v>
      </c>
      <c r="AD86" s="63">
        <f t="shared" ca="1" si="27"/>
        <v>59</v>
      </c>
      <c r="AE86" s="140">
        <f ca="1">IFERROR(__xludf.DUMMYFUNCTION("IMPORTRANGE(""https://docs.google.com/spreadsheets/d/16o_4B-V7AWw_6E93bSpXj_XxVv1oVQctk-B6z1dNEWU/edit?usp=sharing"",""สงขลา!I649"")"),100)</f>
        <v>100</v>
      </c>
      <c r="AF86" s="57">
        <f ca="1">IFERROR(__xludf.DUMMYFUNCTION("IMPORTRANGE(""https://docs.google.com/spreadsheets/d/16o_4B-V7AWw_6E93bSpXj_XxVv1oVQctk-B6z1dNEWU/edit?usp=sharing"",""สงขลา!J649"")"),59)</f>
        <v>59</v>
      </c>
      <c r="AG86" s="63">
        <f ca="1">IFERROR(__xludf.DUMMYFUNCTION("IMPORTRANGE(""https://docs.google.com/spreadsheets/d/16o_4B-V7AWw_6E93bSpXj_XxVv1oVQctk-B6z1dNEWU/edit?usp=sharing"",""สงขลา!J650"")"),15.1)</f>
        <v>15.1</v>
      </c>
      <c r="AH86" s="63">
        <f t="shared" ca="1" si="28"/>
        <v>59</v>
      </c>
      <c r="AI86" s="140">
        <f ca="1">IFERROR(__xludf.DUMMYFUNCTION("IMPORTRANGE(""https://docs.google.com/spreadsheets/d/16o_4B-V7AWw_6E93bSpXj_XxVv1oVQctk-B6z1dNEWU/edit?usp=sharing"",""สงขลา!I651"")"),100)</f>
        <v>100</v>
      </c>
      <c r="AJ86" s="57">
        <f ca="1">IFERROR(__xludf.DUMMYFUNCTION("IMPORTRANGE(""https://docs.google.com/spreadsheets/d/16o_4B-V7AWw_6E93bSpXj_XxVv1oVQctk-B6z1dNEWU/edit?usp=sharing"",""สงขลา!J651"")"),58)</f>
        <v>58</v>
      </c>
      <c r="AK86" s="63">
        <f ca="1">IFERROR(__xludf.DUMMYFUNCTION("IMPORTRANGE(""https://docs.google.com/spreadsheets/d/16o_4B-V7AWw_6E93bSpXj_XxVv1oVQctk-B6z1dNEWU/edit?usp=sharing"",""สงขลา!J652"")"),14.7425)</f>
        <v>14.7425</v>
      </c>
      <c r="AL86" s="63">
        <f t="shared" ca="1" si="29"/>
        <v>58</v>
      </c>
    </row>
    <row r="87" spans="1:38" ht="24" customHeight="1" x14ac:dyDescent="0.3">
      <c r="A87" s="54">
        <v>13</v>
      </c>
      <c r="B87" s="55" t="s">
        <v>108</v>
      </c>
      <c r="C87" s="56">
        <f t="shared" ca="1" si="67"/>
        <v>0</v>
      </c>
      <c r="D87" s="57">
        <f ca="1">IFERROR(__xludf.DUMMYFUNCTION("IMPORTRANGE(""https://docs.google.com/spreadsheets/d/16cywr71Fj4fA5OGRHsZh30ZG2gwJhMAQv69oVBzYHv0/edit?usp=sharing"",""สตูล!L634"")"),0)</f>
        <v>0</v>
      </c>
      <c r="E87" s="64">
        <f ca="1">IFERROR(__xludf.DUMMYFUNCTION("IMPORTRANGE(""https://docs.google.com/spreadsheets/d/16cywr71Fj4fA5OGRHsZh30ZG2gwJhMAQv69oVBzYHv0/edit?usp=sharing"",""สตูล!L641"")"),0)</f>
        <v>0</v>
      </c>
      <c r="F87" s="64">
        <f ca="1">IFERROR(__xludf.DUMMYFUNCTION("IMPORTRANGE(""https://docs.google.com/spreadsheets/d/16cywr71Fj4fA5OGRHsZh30ZG2gwJhMAQv69oVBzYHv0/edit?usp=sharing"",""สตูล!M634"")"),0)</f>
        <v>0</v>
      </c>
      <c r="G87" s="64">
        <f ca="1">IFERROR(__xludf.DUMMYFUNCTION("IMPORTRANGE(""https://docs.google.com/spreadsheets/d/16cywr71Fj4fA5OGRHsZh30ZG2gwJhMAQv69oVBzYHv0/edit?usp=sharing"",""สตูล!M641"")"),0)</f>
        <v>0</v>
      </c>
      <c r="H87" s="58">
        <f t="shared" ca="1" si="24"/>
        <v>0</v>
      </c>
      <c r="I87" s="59">
        <f t="shared" ca="1" si="1"/>
        <v>0</v>
      </c>
      <c r="J87" s="60">
        <f t="shared" ca="1" si="68"/>
        <v>0</v>
      </c>
      <c r="K87" s="61">
        <f t="shared" ca="1" si="31"/>
        <v>0</v>
      </c>
      <c r="L87" s="61">
        <f t="shared" ca="1" si="32"/>
        <v>0</v>
      </c>
      <c r="M87" s="64">
        <f ca="1">IFERROR(__xludf.DUMMYFUNCTION("IMPORTRANGE(""https://docs.google.com/spreadsheets/d/16cywr71Fj4fA5OGRHsZh30ZG2gwJhMAQv69oVBzYHv0/edit?usp=sharing"",""สตูล!N635"")"),0)</f>
        <v>0</v>
      </c>
      <c r="N87" s="64">
        <f ca="1">IFERROR(__xludf.DUMMYFUNCTION("IMPORTRANGE(""https://docs.google.com/spreadsheets/d/16cywr71Fj4fA5OGRHsZh30ZG2gwJhMAQv69oVBzYHv0/edit?usp=sharing"",""สตูล!N636"")"),0)</f>
        <v>0</v>
      </c>
      <c r="O87" s="64">
        <f ca="1">IFERROR(__xludf.DUMMYFUNCTION("IMPORTRANGE(""https://docs.google.com/spreadsheets/d/16cywr71Fj4fA5OGRHsZh30ZG2gwJhMAQv69oVBzYHv0/edit?usp=sharing"",""สตูล!N637"")"),0)</f>
        <v>0</v>
      </c>
      <c r="P87" s="64">
        <f ca="1">IFERROR(__xludf.DUMMYFUNCTION("IMPORTRANGE(""https://docs.google.com/spreadsheets/d/16cywr71Fj4fA5OGRHsZh30ZG2gwJhMAQv69oVBzYHv0/edit?usp=sharing"",""สตูล!N638"")"),0)</f>
        <v>0</v>
      </c>
      <c r="Q87" s="62">
        <f ca="1">IFERROR(__xludf.DUMMYFUNCTION("IMPORTRANGE(""https://docs.google.com/spreadsheets/d/16cywr71Fj4fA5OGRHsZh30ZG2gwJhMAQv69oVBzYHv0/edit?usp=sharing"",""สตูล!N641"")"),0)</f>
        <v>0</v>
      </c>
      <c r="R87" s="62">
        <f t="shared" ca="1" si="34"/>
        <v>0</v>
      </c>
      <c r="S87" s="57">
        <f ca="1">IFERROR(__xludf.DUMMYFUNCTION("IMPORTRANGE(""https://docs.google.com/spreadsheets/d/16cywr71Fj4fA5OGRHsZh30ZG2gwJhMAQv69oVBzYHv0/edit?usp=sharing"",""สตูล!I643"")"),0)</f>
        <v>0</v>
      </c>
      <c r="T87" s="57">
        <f ca="1">IFERROR(__xludf.DUMMYFUNCTION("IMPORTRANGE(""https://docs.google.com/spreadsheets/d/16cywr71Fj4fA5OGRHsZh30ZG2gwJhMAQv69oVBzYHv0/edit?usp=sharing"",""สตูล!J643"")"),0)</f>
        <v>0</v>
      </c>
      <c r="U87" s="63">
        <f t="shared" ca="1" si="25"/>
        <v>0</v>
      </c>
      <c r="V87" s="57">
        <f ca="1">IFERROR(__xludf.DUMMYFUNCTION("IMPORTRANGE(""https://docs.google.com/spreadsheets/d/16cywr71Fj4fA5OGRHsZh30ZG2gwJhMAQv69oVBzYHv0/edit?usp=sharing"",""สตูล!I644"")"),0)</f>
        <v>0</v>
      </c>
      <c r="W87" s="57">
        <f ca="1">IFERROR(__xludf.DUMMYFUNCTION("IMPORTRANGE(""https://docs.google.com/spreadsheets/d/16cywr71Fj4fA5OGRHsZh30ZG2gwJhMAQv69oVBzYHv0/edit?usp=sharing"",""สตูล!J644"")"),0)</f>
        <v>0</v>
      </c>
      <c r="X87" s="63">
        <f t="shared" ca="1" si="26"/>
        <v>0</v>
      </c>
      <c r="Y87" s="57">
        <f ca="1">IFERROR(__xludf.DUMMYFUNCTION("IMPORTRANGE(""https://docs.google.com/spreadsheets/d/16cywr71Fj4fA5OGRHsZh30ZG2gwJhMAQv69oVBzYHv0/edit?usp=sharing"",""สตูล!J645"")"),0)</f>
        <v>0</v>
      </c>
      <c r="Z87" s="63">
        <f ca="1">IFERROR(__xludf.DUMMYFUNCTION("IMPORTRANGE(""https://docs.google.com/spreadsheets/d/16cywr71Fj4fA5OGRHsZh30ZG2gwJhMAQv69oVBzYHv0/edit?usp=sharing"",""สตูล!J646"")"),0)</f>
        <v>0</v>
      </c>
      <c r="AA87" s="57">
        <f ca="1">IFERROR(__xludf.DUMMYFUNCTION("IMPORTRANGE(""https://docs.google.com/spreadsheets/d/16cywr71Fj4fA5OGRHsZh30ZG2gwJhMAQv69oVBzYHv0/edit?usp=sharing"",""สตูล!I647"")"),0)</f>
        <v>0</v>
      </c>
      <c r="AB87" s="57">
        <f ca="1">IFERROR(__xludf.DUMMYFUNCTION("IMPORTRANGE(""https://docs.google.com/spreadsheets/d/16cywr71Fj4fA5OGRHsZh30ZG2gwJhMAQv69oVBzYHv0/edit?usp=sharing"",""สตูล!J647"")"),0)</f>
        <v>0</v>
      </c>
      <c r="AC87" s="63">
        <f ca="1">IFERROR(__xludf.DUMMYFUNCTION("IMPORTRANGE(""https://docs.google.com/spreadsheets/d/16cywr71Fj4fA5OGRHsZh30ZG2gwJhMAQv69oVBzYHv0/edit?usp=sharing"",""สตูล!J648"")"),0)</f>
        <v>0</v>
      </c>
      <c r="AD87" s="63">
        <f t="shared" ca="1" si="27"/>
        <v>0</v>
      </c>
      <c r="AE87" s="140">
        <f ca="1">IFERROR(__xludf.DUMMYFUNCTION("IMPORTRANGE(""https://docs.google.com/spreadsheets/d/16cywr71Fj4fA5OGRHsZh30ZG2gwJhMAQv69oVBzYHv0/edit?usp=sharing"",""สตูล!I649"")"),0)</f>
        <v>0</v>
      </c>
      <c r="AF87" s="57">
        <f ca="1">IFERROR(__xludf.DUMMYFUNCTION("IMPORTRANGE(""https://docs.google.com/spreadsheets/d/16cywr71Fj4fA5OGRHsZh30ZG2gwJhMAQv69oVBzYHv0/edit?usp=sharing"",""สตูล!J649"")"),0)</f>
        <v>0</v>
      </c>
      <c r="AG87" s="63">
        <f ca="1">IFERROR(__xludf.DUMMYFUNCTION("IMPORTRANGE(""https://docs.google.com/spreadsheets/d/16cywr71Fj4fA5OGRHsZh30ZG2gwJhMAQv69oVBzYHv0/edit?usp=sharing"",""สตูล!J650"")"),0)</f>
        <v>0</v>
      </c>
      <c r="AH87" s="63">
        <f t="shared" ca="1" si="28"/>
        <v>0</v>
      </c>
      <c r="AI87" s="140">
        <f ca="1">IFERROR(__xludf.DUMMYFUNCTION("IMPORTRANGE(""https://docs.google.com/spreadsheets/d/16cywr71Fj4fA5OGRHsZh30ZG2gwJhMAQv69oVBzYHv0/edit?usp=sharing"",""สตูล!I651"")"),0)</f>
        <v>0</v>
      </c>
      <c r="AJ87" s="57">
        <f ca="1">IFERROR(__xludf.DUMMYFUNCTION("IMPORTRANGE(""https://docs.google.com/spreadsheets/d/16cywr71Fj4fA5OGRHsZh30ZG2gwJhMAQv69oVBzYHv0/edit?usp=sharing"",""สตูล!J651"")"),0)</f>
        <v>0</v>
      </c>
      <c r="AK87" s="63">
        <f ca="1">IFERROR(__xludf.DUMMYFUNCTION("IMPORTRANGE(""https://docs.google.com/spreadsheets/d/16cywr71Fj4fA5OGRHsZh30ZG2gwJhMAQv69oVBzYHv0/edit?usp=sharing"",""สตูล!J652"")"),0)</f>
        <v>0</v>
      </c>
      <c r="AL87" s="63">
        <f t="shared" ca="1" si="29"/>
        <v>0</v>
      </c>
    </row>
    <row r="88" spans="1:38" ht="24" customHeight="1" x14ac:dyDescent="0.3">
      <c r="A88" s="65">
        <v>14</v>
      </c>
      <c r="B88" s="66" t="s">
        <v>109</v>
      </c>
      <c r="C88" s="67">
        <f t="shared" ca="1" si="67"/>
        <v>0</v>
      </c>
      <c r="D88" s="68">
        <f ca="1">IFERROR(__xludf.DUMMYFUNCTION("IMPORTRANGE(""https://docs.google.com/spreadsheets/d/1vO9Sws6kMtrVtyvrAJptINXjK8TFBoX9xLYOVK_C8bQ/edit?usp=sharing"",""สุราษฎร์ธานี!L634"")"),0)</f>
        <v>0</v>
      </c>
      <c r="E88" s="69">
        <f ca="1">IFERROR(__xludf.DUMMYFUNCTION("IMPORTRANGE(""https://docs.google.com/spreadsheets/d/1vO9Sws6kMtrVtyvrAJptINXjK8TFBoX9xLYOVK_C8bQ/edit?usp=sharing"",""สุราษฎร์ธานี!L641"")"),0)</f>
        <v>0</v>
      </c>
      <c r="F88" s="69">
        <f ca="1">IFERROR(__xludf.DUMMYFUNCTION("IMPORTRANGE(""https://docs.google.com/spreadsheets/d/1vO9Sws6kMtrVtyvrAJptINXjK8TFBoX9xLYOVK_C8bQ/edit?usp=sharing"",""สุราษฎร์ธานี!M634"")"),0)</f>
        <v>0</v>
      </c>
      <c r="G88" s="69">
        <f ca="1">IFERROR(__xludf.DUMMYFUNCTION("IMPORTRANGE(""https://docs.google.com/spreadsheets/d/1vO9Sws6kMtrVtyvrAJptINXjK8TFBoX9xLYOVK_C8bQ/edit?usp=sharing"",""สุราษฎร์ธานี!M641"")"),0)</f>
        <v>0</v>
      </c>
      <c r="H88" s="70">
        <f t="shared" ca="1" si="24"/>
        <v>0</v>
      </c>
      <c r="I88" s="71">
        <f t="shared" ca="1" si="1"/>
        <v>0</v>
      </c>
      <c r="J88" s="72">
        <f t="shared" ca="1" si="68"/>
        <v>0</v>
      </c>
      <c r="K88" s="73">
        <f t="shared" ca="1" si="31"/>
        <v>0</v>
      </c>
      <c r="L88" s="73">
        <f t="shared" ca="1" si="32"/>
        <v>0</v>
      </c>
      <c r="M88" s="69">
        <f ca="1">IFERROR(__xludf.DUMMYFUNCTION("IMPORTRANGE(""https://docs.google.com/spreadsheets/d/1vO9Sws6kMtrVtyvrAJptINXjK8TFBoX9xLYOVK_C8bQ/edit?usp=sharing"",""สุราษฎร์ธานี!N635"")"),0)</f>
        <v>0</v>
      </c>
      <c r="N88" s="69">
        <f ca="1">IFERROR(__xludf.DUMMYFUNCTION("IMPORTRANGE(""https://docs.google.com/spreadsheets/d/1vO9Sws6kMtrVtyvrAJptINXjK8TFBoX9xLYOVK_C8bQ/edit?usp=sharing"",""สุราษฎร์ธานี!N636"")"),0)</f>
        <v>0</v>
      </c>
      <c r="O88" s="69">
        <f ca="1">IFERROR(__xludf.DUMMYFUNCTION("IMPORTRANGE(""https://docs.google.com/spreadsheets/d/1vO9Sws6kMtrVtyvrAJptINXjK8TFBoX9xLYOVK_C8bQ/edit?usp=sharing"",""สุราษฎร์ธานี!N637"")"),0)</f>
        <v>0</v>
      </c>
      <c r="P88" s="69">
        <f ca="1">IFERROR(__xludf.DUMMYFUNCTION("IMPORTRANGE(""https://docs.google.com/spreadsheets/d/1vO9Sws6kMtrVtyvrAJptINXjK8TFBoX9xLYOVK_C8bQ/edit?usp=sharing"",""สุราษฎร์ธานี!N638"")"),0)</f>
        <v>0</v>
      </c>
      <c r="Q88" s="74">
        <f ca="1">IFERROR(__xludf.DUMMYFUNCTION("IMPORTRANGE(""https://docs.google.com/spreadsheets/d/1vO9Sws6kMtrVtyvrAJptINXjK8TFBoX9xLYOVK_C8bQ/edit?usp=sharing"",""สุราษฎร์ธานี!N641"")"),0)</f>
        <v>0</v>
      </c>
      <c r="R88" s="74">
        <f t="shared" ca="1" si="34"/>
        <v>0</v>
      </c>
      <c r="S88" s="68">
        <f ca="1">IFERROR(__xludf.DUMMYFUNCTION("IMPORTRANGE(""https://docs.google.com/spreadsheets/d/1vO9Sws6kMtrVtyvrAJptINXjK8TFBoX9xLYOVK_C8bQ/edit?usp=sharing"",""สุราษฎร์ธานี!I643"")"),0)</f>
        <v>0</v>
      </c>
      <c r="T88" s="68">
        <f ca="1">IFERROR(__xludf.DUMMYFUNCTION("IMPORTRANGE(""https://docs.google.com/spreadsheets/d/1vO9Sws6kMtrVtyvrAJptINXjK8TFBoX9xLYOVK_C8bQ/edit?usp=sharing"",""สุราษฎร์ธานี!J643"")"),0)</f>
        <v>0</v>
      </c>
      <c r="U88" s="75">
        <f t="shared" ca="1" si="25"/>
        <v>0</v>
      </c>
      <c r="V88" s="68">
        <f ca="1">IFERROR(__xludf.DUMMYFUNCTION("IMPORTRANGE(""https://docs.google.com/spreadsheets/d/1vO9Sws6kMtrVtyvrAJptINXjK8TFBoX9xLYOVK_C8bQ/edit?usp=sharing"",""สุราษฎร์ธานี!I644"")"),0)</f>
        <v>0</v>
      </c>
      <c r="W88" s="68">
        <f ca="1">IFERROR(__xludf.DUMMYFUNCTION("IMPORTRANGE(""https://docs.google.com/spreadsheets/d/1vO9Sws6kMtrVtyvrAJptINXjK8TFBoX9xLYOVK_C8bQ/edit?usp=sharing"",""สุราษฎร์ธานี!J644"")"),0)</f>
        <v>0</v>
      </c>
      <c r="X88" s="75">
        <f t="shared" ca="1" si="26"/>
        <v>0</v>
      </c>
      <c r="Y88" s="68">
        <f ca="1">IFERROR(__xludf.DUMMYFUNCTION("IMPORTRANGE(""https://docs.google.com/spreadsheets/d/1vO9Sws6kMtrVtyvrAJptINXjK8TFBoX9xLYOVK_C8bQ/edit?usp=sharing"",""สุราษฎร์ธานี!J645"")"),0)</f>
        <v>0</v>
      </c>
      <c r="Z88" s="75">
        <f ca="1">IFERROR(__xludf.DUMMYFUNCTION("IMPORTRANGE(""https://docs.google.com/spreadsheets/d/1vO9Sws6kMtrVtyvrAJptINXjK8TFBoX9xLYOVK_C8bQ/edit?usp=sharing"",""สุราษฎร์ธานี!J646"")"),0)</f>
        <v>0</v>
      </c>
      <c r="AA88" s="68">
        <f ca="1">IFERROR(__xludf.DUMMYFUNCTION("IMPORTRANGE(""https://docs.google.com/spreadsheets/d/1vO9Sws6kMtrVtyvrAJptINXjK8TFBoX9xLYOVK_C8bQ/edit?usp=sharing"",""สุราษฎร์ธานี!I647"")"),0)</f>
        <v>0</v>
      </c>
      <c r="AB88" s="68">
        <f ca="1">IFERROR(__xludf.DUMMYFUNCTION("IMPORTRANGE(""https://docs.google.com/spreadsheets/d/1vO9Sws6kMtrVtyvrAJptINXjK8TFBoX9xLYOVK_C8bQ/edit?usp=sharing"",""สุราษฎร์ธานี!J647"")"),0)</f>
        <v>0</v>
      </c>
      <c r="AC88" s="75">
        <f ca="1">IFERROR(__xludf.DUMMYFUNCTION("IMPORTRANGE(""https://docs.google.com/spreadsheets/d/1vO9Sws6kMtrVtyvrAJptINXjK8TFBoX9xLYOVK_C8bQ/edit?usp=sharing"",""สุราษฎร์ธานี!J648"")"),0)</f>
        <v>0</v>
      </c>
      <c r="AD88" s="75">
        <f t="shared" ca="1" si="27"/>
        <v>0</v>
      </c>
      <c r="AE88" s="142">
        <f ca="1">IFERROR(__xludf.DUMMYFUNCTION("IMPORTRANGE(""https://docs.google.com/spreadsheets/d/1vO9Sws6kMtrVtyvrAJptINXjK8TFBoX9xLYOVK_C8bQ/edit?usp=sharing"",""สุราษฎร์ธานี!I649"")"),0)</f>
        <v>0</v>
      </c>
      <c r="AF88" s="68">
        <f ca="1">IFERROR(__xludf.DUMMYFUNCTION("IMPORTRANGE(""https://docs.google.com/spreadsheets/d/1vO9Sws6kMtrVtyvrAJptINXjK8TFBoX9xLYOVK_C8bQ/edit?usp=sharing"",""สุราษฎร์ธานี!J649"")"),0)</f>
        <v>0</v>
      </c>
      <c r="AG88" s="75">
        <f ca="1">IFERROR(__xludf.DUMMYFUNCTION("IMPORTRANGE(""https://docs.google.com/spreadsheets/d/1vO9Sws6kMtrVtyvrAJptINXjK8TFBoX9xLYOVK_C8bQ/edit?usp=sharing"",""สุราษฎร์ธานี!J650"")"),0)</f>
        <v>0</v>
      </c>
      <c r="AH88" s="75">
        <f t="shared" ca="1" si="28"/>
        <v>0</v>
      </c>
      <c r="AI88" s="142">
        <f ca="1">IFERROR(__xludf.DUMMYFUNCTION("IMPORTRANGE(""https://docs.google.com/spreadsheets/d/1vO9Sws6kMtrVtyvrAJptINXjK8TFBoX9xLYOVK_C8bQ/edit?usp=sharing"",""สุราษฎร์ธานี!I651"")"),0)</f>
        <v>0</v>
      </c>
      <c r="AJ88" s="68">
        <f ca="1">IFERROR(__xludf.DUMMYFUNCTION("IMPORTRANGE(""https://docs.google.com/spreadsheets/d/1vO9Sws6kMtrVtyvrAJptINXjK8TFBoX9xLYOVK_C8bQ/edit?usp=sharing"",""สุราษฎร์ธานี!J651"")"),0)</f>
        <v>0</v>
      </c>
      <c r="AK88" s="75">
        <f ca="1">IFERROR(__xludf.DUMMYFUNCTION("IMPORTRANGE(""https://docs.google.com/spreadsheets/d/1vO9Sws6kMtrVtyvrAJptINXjK8TFBoX9xLYOVK_C8bQ/edit?usp=sharing"",""สุราษฎร์ธานี!J652"")"),0)</f>
        <v>0</v>
      </c>
      <c r="AL88" s="75">
        <f t="shared" ca="1" si="29"/>
        <v>0</v>
      </c>
    </row>
    <row r="89" spans="1:38" ht="21" hidden="1" customHeight="1" x14ac:dyDescent="0.3">
      <c r="A89" s="187" t="s">
        <v>110</v>
      </c>
      <c r="B89" s="178"/>
      <c r="C89" s="77">
        <f>+C90+C91+C92+C93+C94+C95+C96+C97+C98+C99+C100+C101+C102+C103</f>
        <v>0</v>
      </c>
      <c r="D89" s="43"/>
      <c r="E89" s="43"/>
      <c r="F89" s="43"/>
      <c r="G89" s="43"/>
      <c r="H89" s="40">
        <f t="shared" si="24"/>
        <v>0</v>
      </c>
      <c r="I89" s="41">
        <f t="shared" si="1"/>
        <v>0</v>
      </c>
      <c r="J89" s="40">
        <f>+J90+J91+J92+J93+J94+J95+J96+J97+J98+J99+J100+J101+J102+J103</f>
        <v>0</v>
      </c>
      <c r="K89" s="43"/>
      <c r="L89" s="43"/>
      <c r="M89" s="43"/>
      <c r="N89" s="43"/>
      <c r="O89" s="43"/>
      <c r="P89" s="43"/>
      <c r="Q89" s="78"/>
      <c r="R89" s="78">
        <f t="shared" si="34"/>
        <v>0</v>
      </c>
      <c r="S89" s="43"/>
      <c r="T89" s="43"/>
      <c r="U89" s="44"/>
      <c r="V89" s="43"/>
      <c r="W89" s="43"/>
      <c r="X89" s="44"/>
      <c r="Y89" s="43"/>
      <c r="Z89" s="43"/>
      <c r="AA89" s="43"/>
      <c r="AB89" s="43"/>
      <c r="AC89" s="43"/>
      <c r="AD89" s="44"/>
      <c r="AE89" s="144"/>
      <c r="AF89" s="43"/>
      <c r="AG89" s="43"/>
      <c r="AH89" s="44"/>
      <c r="AI89" s="144"/>
      <c r="AJ89" s="43"/>
      <c r="AK89" s="43"/>
      <c r="AL89" s="44"/>
    </row>
    <row r="90" spans="1:38" ht="24" hidden="1" customHeight="1" x14ac:dyDescent="0.3">
      <c r="A90" s="54">
        <v>1</v>
      </c>
      <c r="B90" s="55" t="s">
        <v>111</v>
      </c>
      <c r="C90" s="56">
        <f t="shared" ref="C90:C103" si="69">D90+E90</f>
        <v>0</v>
      </c>
      <c r="D90" s="57">
        <v>0</v>
      </c>
      <c r="E90" s="64">
        <v>0</v>
      </c>
      <c r="F90" s="79"/>
      <c r="G90" s="79"/>
      <c r="H90" s="58">
        <f t="shared" si="24"/>
        <v>0</v>
      </c>
      <c r="I90" s="59">
        <f t="shared" si="1"/>
        <v>0</v>
      </c>
      <c r="J90" s="60">
        <f t="shared" ref="J90:J103" si="70">M90+N90+O90+P90</f>
        <v>0</v>
      </c>
      <c r="K90" s="80"/>
      <c r="L90" s="80"/>
      <c r="M90" s="64">
        <v>0</v>
      </c>
      <c r="N90" s="64">
        <v>0</v>
      </c>
      <c r="O90" s="64">
        <v>0</v>
      </c>
      <c r="P90" s="64">
        <v>0</v>
      </c>
      <c r="Q90" s="62">
        <v>0</v>
      </c>
      <c r="R90" s="62">
        <f t="shared" si="34"/>
        <v>0</v>
      </c>
      <c r="S90" s="79"/>
      <c r="T90" s="79"/>
      <c r="U90" s="81"/>
      <c r="V90" s="79"/>
      <c r="W90" s="79"/>
      <c r="X90" s="81"/>
      <c r="Y90" s="79"/>
      <c r="Z90" s="79"/>
      <c r="AA90" s="79"/>
      <c r="AB90" s="79"/>
      <c r="AC90" s="79"/>
      <c r="AD90" s="81"/>
      <c r="AE90" s="146"/>
      <c r="AF90" s="79"/>
      <c r="AG90" s="79"/>
      <c r="AH90" s="81"/>
      <c r="AI90" s="146"/>
      <c r="AJ90" s="79"/>
      <c r="AK90" s="79"/>
      <c r="AL90" s="81"/>
    </row>
    <row r="91" spans="1:38" ht="24" hidden="1" customHeight="1" x14ac:dyDescent="0.3">
      <c r="A91" s="54">
        <v>2</v>
      </c>
      <c r="B91" s="55" t="s">
        <v>112</v>
      </c>
      <c r="C91" s="56">
        <f t="shared" si="69"/>
        <v>0</v>
      </c>
      <c r="D91" s="57">
        <v>0</v>
      </c>
      <c r="E91" s="64">
        <v>0</v>
      </c>
      <c r="F91" s="79"/>
      <c r="G91" s="79"/>
      <c r="H91" s="58">
        <f t="shared" si="24"/>
        <v>0</v>
      </c>
      <c r="I91" s="59">
        <f t="shared" si="1"/>
        <v>0</v>
      </c>
      <c r="J91" s="60">
        <f t="shared" si="70"/>
        <v>0</v>
      </c>
      <c r="K91" s="80"/>
      <c r="L91" s="80"/>
      <c r="M91" s="64">
        <v>0</v>
      </c>
      <c r="N91" s="64">
        <v>0</v>
      </c>
      <c r="O91" s="64">
        <v>0</v>
      </c>
      <c r="P91" s="64">
        <v>0</v>
      </c>
      <c r="Q91" s="62">
        <v>0</v>
      </c>
      <c r="R91" s="62">
        <f t="shared" si="34"/>
        <v>0</v>
      </c>
      <c r="S91" s="79"/>
      <c r="T91" s="79"/>
      <c r="U91" s="81"/>
      <c r="V91" s="79"/>
      <c r="W91" s="79"/>
      <c r="X91" s="81"/>
      <c r="Y91" s="79"/>
      <c r="Z91" s="79"/>
      <c r="AA91" s="79"/>
      <c r="AB91" s="79"/>
      <c r="AC91" s="79"/>
      <c r="AD91" s="81"/>
      <c r="AE91" s="146"/>
      <c r="AF91" s="79"/>
      <c r="AG91" s="79"/>
      <c r="AH91" s="81"/>
      <c r="AI91" s="146"/>
      <c r="AJ91" s="79"/>
      <c r="AK91" s="79"/>
      <c r="AL91" s="81"/>
    </row>
    <row r="92" spans="1:38" ht="24" hidden="1" customHeight="1" x14ac:dyDescent="0.3">
      <c r="A92" s="54">
        <v>3</v>
      </c>
      <c r="B92" s="55" t="s">
        <v>113</v>
      </c>
      <c r="C92" s="56">
        <f t="shared" si="69"/>
        <v>0</v>
      </c>
      <c r="D92" s="57">
        <v>0</v>
      </c>
      <c r="E92" s="64">
        <v>0</v>
      </c>
      <c r="F92" s="79"/>
      <c r="G92" s="79"/>
      <c r="H92" s="58">
        <f t="shared" si="24"/>
        <v>0</v>
      </c>
      <c r="I92" s="59">
        <f t="shared" si="1"/>
        <v>0</v>
      </c>
      <c r="J92" s="60">
        <f t="shared" si="70"/>
        <v>0</v>
      </c>
      <c r="K92" s="80"/>
      <c r="L92" s="80"/>
      <c r="M92" s="64">
        <v>0</v>
      </c>
      <c r="N92" s="64">
        <v>0</v>
      </c>
      <c r="O92" s="64">
        <v>0</v>
      </c>
      <c r="P92" s="64">
        <v>0</v>
      </c>
      <c r="Q92" s="62">
        <v>0</v>
      </c>
      <c r="R92" s="62">
        <f t="shared" si="34"/>
        <v>0</v>
      </c>
      <c r="S92" s="79"/>
      <c r="T92" s="79"/>
      <c r="U92" s="81"/>
      <c r="V92" s="79"/>
      <c r="W92" s="79"/>
      <c r="X92" s="81"/>
      <c r="Y92" s="79"/>
      <c r="Z92" s="79"/>
      <c r="AA92" s="79"/>
      <c r="AB92" s="79"/>
      <c r="AC92" s="79"/>
      <c r="AD92" s="81"/>
      <c r="AE92" s="146"/>
      <c r="AF92" s="79"/>
      <c r="AG92" s="79"/>
      <c r="AH92" s="81"/>
      <c r="AI92" s="146"/>
      <c r="AJ92" s="79"/>
      <c r="AK92" s="79"/>
      <c r="AL92" s="81"/>
    </row>
    <row r="93" spans="1:38" ht="24" hidden="1" customHeight="1" x14ac:dyDescent="0.3">
      <c r="A93" s="54">
        <f t="shared" ref="A93:A103" si="71">+A92+1</f>
        <v>4</v>
      </c>
      <c r="B93" s="55" t="s">
        <v>114</v>
      </c>
      <c r="C93" s="56">
        <f t="shared" si="69"/>
        <v>0</v>
      </c>
      <c r="D93" s="57">
        <v>0</v>
      </c>
      <c r="E93" s="64">
        <v>0</v>
      </c>
      <c r="F93" s="79"/>
      <c r="G93" s="79"/>
      <c r="H93" s="58">
        <f t="shared" si="24"/>
        <v>0</v>
      </c>
      <c r="I93" s="59">
        <f t="shared" si="1"/>
        <v>0</v>
      </c>
      <c r="J93" s="60">
        <f t="shared" si="70"/>
        <v>0</v>
      </c>
      <c r="K93" s="80"/>
      <c r="L93" s="80"/>
      <c r="M93" s="64">
        <v>0</v>
      </c>
      <c r="N93" s="64">
        <v>0</v>
      </c>
      <c r="O93" s="64">
        <v>0</v>
      </c>
      <c r="P93" s="64">
        <v>0</v>
      </c>
      <c r="Q93" s="62">
        <v>0</v>
      </c>
      <c r="R93" s="62">
        <f t="shared" si="34"/>
        <v>0</v>
      </c>
      <c r="S93" s="79"/>
      <c r="T93" s="79"/>
      <c r="U93" s="81"/>
      <c r="V93" s="79"/>
      <c r="W93" s="79"/>
      <c r="X93" s="81"/>
      <c r="Y93" s="79"/>
      <c r="Z93" s="79"/>
      <c r="AA93" s="79"/>
      <c r="AB93" s="79"/>
      <c r="AC93" s="79"/>
      <c r="AD93" s="81"/>
      <c r="AE93" s="146"/>
      <c r="AF93" s="79"/>
      <c r="AG93" s="79"/>
      <c r="AH93" s="81"/>
      <c r="AI93" s="146"/>
      <c r="AJ93" s="79"/>
      <c r="AK93" s="79"/>
      <c r="AL93" s="81"/>
    </row>
    <row r="94" spans="1:38" ht="24" hidden="1" customHeight="1" x14ac:dyDescent="0.3">
      <c r="A94" s="54">
        <f t="shared" si="71"/>
        <v>5</v>
      </c>
      <c r="B94" s="55" t="s">
        <v>115</v>
      </c>
      <c r="C94" s="56">
        <f t="shared" si="69"/>
        <v>0</v>
      </c>
      <c r="D94" s="57">
        <v>0</v>
      </c>
      <c r="E94" s="64">
        <v>0</v>
      </c>
      <c r="F94" s="79"/>
      <c r="G94" s="79"/>
      <c r="H94" s="58">
        <f t="shared" si="24"/>
        <v>0</v>
      </c>
      <c r="I94" s="59">
        <f t="shared" si="1"/>
        <v>0</v>
      </c>
      <c r="J94" s="60">
        <f t="shared" si="70"/>
        <v>0</v>
      </c>
      <c r="K94" s="80"/>
      <c r="L94" s="80"/>
      <c r="M94" s="64">
        <v>0</v>
      </c>
      <c r="N94" s="64">
        <v>0</v>
      </c>
      <c r="O94" s="64">
        <v>0</v>
      </c>
      <c r="P94" s="64">
        <v>0</v>
      </c>
      <c r="Q94" s="62">
        <v>0</v>
      </c>
      <c r="R94" s="62">
        <f t="shared" si="34"/>
        <v>0</v>
      </c>
      <c r="S94" s="79"/>
      <c r="T94" s="79"/>
      <c r="U94" s="81"/>
      <c r="V94" s="79"/>
      <c r="W94" s="79"/>
      <c r="X94" s="81"/>
      <c r="Y94" s="79"/>
      <c r="Z94" s="79"/>
      <c r="AA94" s="79"/>
      <c r="AB94" s="79"/>
      <c r="AC94" s="79"/>
      <c r="AD94" s="81"/>
      <c r="AE94" s="146"/>
      <c r="AF94" s="79"/>
      <c r="AG94" s="79"/>
      <c r="AH94" s="81"/>
      <c r="AI94" s="146"/>
      <c r="AJ94" s="79"/>
      <c r="AK94" s="79"/>
      <c r="AL94" s="81"/>
    </row>
    <row r="95" spans="1:38" ht="24" hidden="1" customHeight="1" x14ac:dyDescent="0.3">
      <c r="A95" s="54">
        <f t="shared" si="71"/>
        <v>6</v>
      </c>
      <c r="B95" s="55" t="s">
        <v>116</v>
      </c>
      <c r="C95" s="56">
        <f t="shared" si="69"/>
        <v>0</v>
      </c>
      <c r="D95" s="57">
        <v>0</v>
      </c>
      <c r="E95" s="64">
        <v>0</v>
      </c>
      <c r="F95" s="79"/>
      <c r="G95" s="79"/>
      <c r="H95" s="58">
        <f t="shared" si="24"/>
        <v>0</v>
      </c>
      <c r="I95" s="59">
        <f t="shared" si="1"/>
        <v>0</v>
      </c>
      <c r="J95" s="60">
        <f t="shared" si="70"/>
        <v>0</v>
      </c>
      <c r="K95" s="80"/>
      <c r="L95" s="80"/>
      <c r="M95" s="64">
        <v>0</v>
      </c>
      <c r="N95" s="64">
        <v>0</v>
      </c>
      <c r="O95" s="64">
        <v>0</v>
      </c>
      <c r="P95" s="64">
        <v>0</v>
      </c>
      <c r="Q95" s="62">
        <v>0</v>
      </c>
      <c r="R95" s="62">
        <f t="shared" si="34"/>
        <v>0</v>
      </c>
      <c r="S95" s="79"/>
      <c r="T95" s="79"/>
      <c r="U95" s="81"/>
      <c r="V95" s="79"/>
      <c r="W95" s="79"/>
      <c r="X95" s="81"/>
      <c r="Y95" s="79"/>
      <c r="Z95" s="79"/>
      <c r="AA95" s="79"/>
      <c r="AB95" s="79"/>
      <c r="AC95" s="79"/>
      <c r="AD95" s="81"/>
      <c r="AE95" s="146"/>
      <c r="AF95" s="79"/>
      <c r="AG95" s="79"/>
      <c r="AH95" s="81"/>
      <c r="AI95" s="146"/>
      <c r="AJ95" s="79"/>
      <c r="AK95" s="79"/>
      <c r="AL95" s="81"/>
    </row>
    <row r="96" spans="1:38" ht="24" hidden="1" customHeight="1" x14ac:dyDescent="0.3">
      <c r="A96" s="54">
        <f t="shared" si="71"/>
        <v>7</v>
      </c>
      <c r="B96" s="55" t="s">
        <v>117</v>
      </c>
      <c r="C96" s="56">
        <f t="shared" si="69"/>
        <v>0</v>
      </c>
      <c r="D96" s="57">
        <v>0</v>
      </c>
      <c r="E96" s="64">
        <v>0</v>
      </c>
      <c r="F96" s="79"/>
      <c r="G96" s="79"/>
      <c r="H96" s="58">
        <f t="shared" si="24"/>
        <v>0</v>
      </c>
      <c r="I96" s="59">
        <f t="shared" si="1"/>
        <v>0</v>
      </c>
      <c r="J96" s="60">
        <f t="shared" si="70"/>
        <v>0</v>
      </c>
      <c r="K96" s="80"/>
      <c r="L96" s="80"/>
      <c r="M96" s="64">
        <v>0</v>
      </c>
      <c r="N96" s="64">
        <v>0</v>
      </c>
      <c r="O96" s="64">
        <v>0</v>
      </c>
      <c r="P96" s="64">
        <v>0</v>
      </c>
      <c r="Q96" s="62">
        <v>0</v>
      </c>
      <c r="R96" s="62">
        <f t="shared" si="34"/>
        <v>0</v>
      </c>
      <c r="S96" s="79"/>
      <c r="T96" s="79"/>
      <c r="U96" s="81"/>
      <c r="V96" s="79"/>
      <c r="W96" s="79"/>
      <c r="X96" s="81"/>
      <c r="Y96" s="79"/>
      <c r="Z96" s="79"/>
      <c r="AA96" s="79"/>
      <c r="AB96" s="79"/>
      <c r="AC96" s="79"/>
      <c r="AD96" s="81"/>
      <c r="AE96" s="146"/>
      <c r="AF96" s="79"/>
      <c r="AG96" s="79"/>
      <c r="AH96" s="81"/>
      <c r="AI96" s="146"/>
      <c r="AJ96" s="79"/>
      <c r="AK96" s="79"/>
      <c r="AL96" s="81"/>
    </row>
    <row r="97" spans="1:38" ht="24" hidden="1" customHeight="1" x14ac:dyDescent="0.3">
      <c r="A97" s="54">
        <f t="shared" si="71"/>
        <v>8</v>
      </c>
      <c r="B97" s="55" t="s">
        <v>118</v>
      </c>
      <c r="C97" s="56">
        <f t="shared" si="69"/>
        <v>0</v>
      </c>
      <c r="D97" s="57">
        <v>0</v>
      </c>
      <c r="E97" s="64">
        <v>0</v>
      </c>
      <c r="F97" s="79"/>
      <c r="G97" s="79"/>
      <c r="H97" s="58">
        <f t="shared" si="24"/>
        <v>0</v>
      </c>
      <c r="I97" s="59">
        <f t="shared" si="1"/>
        <v>0</v>
      </c>
      <c r="J97" s="60">
        <f t="shared" si="70"/>
        <v>0</v>
      </c>
      <c r="K97" s="80"/>
      <c r="L97" s="80"/>
      <c r="M97" s="64">
        <v>0</v>
      </c>
      <c r="N97" s="64">
        <v>0</v>
      </c>
      <c r="O97" s="64">
        <v>0</v>
      </c>
      <c r="P97" s="64">
        <v>0</v>
      </c>
      <c r="Q97" s="62">
        <v>0</v>
      </c>
      <c r="R97" s="62">
        <f t="shared" si="34"/>
        <v>0</v>
      </c>
      <c r="S97" s="79"/>
      <c r="T97" s="79"/>
      <c r="U97" s="81"/>
      <c r="V97" s="79"/>
      <c r="W97" s="79"/>
      <c r="X97" s="81"/>
      <c r="Y97" s="79"/>
      <c r="Z97" s="79"/>
      <c r="AA97" s="79"/>
      <c r="AB97" s="79"/>
      <c r="AC97" s="79"/>
      <c r="AD97" s="81"/>
      <c r="AE97" s="146"/>
      <c r="AF97" s="79"/>
      <c r="AG97" s="79"/>
      <c r="AH97" s="81"/>
      <c r="AI97" s="146"/>
      <c r="AJ97" s="79"/>
      <c r="AK97" s="79"/>
      <c r="AL97" s="81"/>
    </row>
    <row r="98" spans="1:38" ht="24" hidden="1" customHeight="1" x14ac:dyDescent="0.3">
      <c r="A98" s="54">
        <f t="shared" si="71"/>
        <v>9</v>
      </c>
      <c r="B98" s="55" t="s">
        <v>119</v>
      </c>
      <c r="C98" s="56">
        <f t="shared" si="69"/>
        <v>0</v>
      </c>
      <c r="D98" s="57">
        <v>0</v>
      </c>
      <c r="E98" s="64">
        <v>0</v>
      </c>
      <c r="F98" s="79"/>
      <c r="G98" s="79"/>
      <c r="H98" s="58">
        <f t="shared" si="24"/>
        <v>0</v>
      </c>
      <c r="I98" s="59">
        <f t="shared" si="1"/>
        <v>0</v>
      </c>
      <c r="J98" s="60">
        <f t="shared" si="70"/>
        <v>0</v>
      </c>
      <c r="K98" s="80"/>
      <c r="L98" s="80"/>
      <c r="M98" s="64">
        <v>0</v>
      </c>
      <c r="N98" s="64">
        <v>0</v>
      </c>
      <c r="O98" s="64">
        <v>0</v>
      </c>
      <c r="P98" s="64">
        <v>0</v>
      </c>
      <c r="Q98" s="62">
        <v>0</v>
      </c>
      <c r="R98" s="62">
        <f t="shared" si="34"/>
        <v>0</v>
      </c>
      <c r="S98" s="79"/>
      <c r="T98" s="79"/>
      <c r="U98" s="81"/>
      <c r="V98" s="79"/>
      <c r="W98" s="79"/>
      <c r="X98" s="81"/>
      <c r="Y98" s="79"/>
      <c r="Z98" s="79"/>
      <c r="AA98" s="79"/>
      <c r="AB98" s="79"/>
      <c r="AC98" s="79"/>
      <c r="AD98" s="81"/>
      <c r="AE98" s="146"/>
      <c r="AF98" s="79"/>
      <c r="AG98" s="79"/>
      <c r="AH98" s="81"/>
      <c r="AI98" s="146"/>
      <c r="AJ98" s="79"/>
      <c r="AK98" s="79"/>
      <c r="AL98" s="81"/>
    </row>
    <row r="99" spans="1:38" ht="24" hidden="1" customHeight="1" x14ac:dyDescent="0.3">
      <c r="A99" s="54">
        <f t="shared" si="71"/>
        <v>10</v>
      </c>
      <c r="B99" s="55" t="s">
        <v>120</v>
      </c>
      <c r="C99" s="56">
        <f t="shared" si="69"/>
        <v>0</v>
      </c>
      <c r="D99" s="57">
        <v>0</v>
      </c>
      <c r="E99" s="64">
        <v>0</v>
      </c>
      <c r="F99" s="79"/>
      <c r="G99" s="79"/>
      <c r="H99" s="58">
        <f t="shared" si="24"/>
        <v>0</v>
      </c>
      <c r="I99" s="59">
        <f t="shared" si="1"/>
        <v>0</v>
      </c>
      <c r="J99" s="60">
        <f t="shared" si="70"/>
        <v>0</v>
      </c>
      <c r="K99" s="80"/>
      <c r="L99" s="80"/>
      <c r="M99" s="64">
        <v>0</v>
      </c>
      <c r="N99" s="64">
        <v>0</v>
      </c>
      <c r="O99" s="64">
        <v>0</v>
      </c>
      <c r="P99" s="64">
        <v>0</v>
      </c>
      <c r="Q99" s="62">
        <v>0</v>
      </c>
      <c r="R99" s="62">
        <f t="shared" si="34"/>
        <v>0</v>
      </c>
      <c r="S99" s="79"/>
      <c r="T99" s="79"/>
      <c r="U99" s="81"/>
      <c r="V99" s="79"/>
      <c r="W99" s="79"/>
      <c r="X99" s="81"/>
      <c r="Y99" s="79"/>
      <c r="Z99" s="79"/>
      <c r="AA99" s="79"/>
      <c r="AB99" s="79"/>
      <c r="AC99" s="79"/>
      <c r="AD99" s="81"/>
      <c r="AE99" s="146"/>
      <c r="AF99" s="79"/>
      <c r="AG99" s="79"/>
      <c r="AH99" s="81"/>
      <c r="AI99" s="146"/>
      <c r="AJ99" s="79"/>
      <c r="AK99" s="79"/>
      <c r="AL99" s="81"/>
    </row>
    <row r="100" spans="1:38" ht="24" hidden="1" customHeight="1" x14ac:dyDescent="0.3">
      <c r="A100" s="54">
        <f t="shared" si="71"/>
        <v>11</v>
      </c>
      <c r="B100" s="55" t="s">
        <v>121</v>
      </c>
      <c r="C100" s="56">
        <f t="shared" si="69"/>
        <v>0</v>
      </c>
      <c r="D100" s="57">
        <v>0</v>
      </c>
      <c r="E100" s="64">
        <v>0</v>
      </c>
      <c r="F100" s="79"/>
      <c r="G100" s="79"/>
      <c r="H100" s="58">
        <f t="shared" si="24"/>
        <v>0</v>
      </c>
      <c r="I100" s="59">
        <f t="shared" si="1"/>
        <v>0</v>
      </c>
      <c r="J100" s="60">
        <f t="shared" si="70"/>
        <v>0</v>
      </c>
      <c r="K100" s="80"/>
      <c r="L100" s="80"/>
      <c r="M100" s="64">
        <v>0</v>
      </c>
      <c r="N100" s="64">
        <v>0</v>
      </c>
      <c r="O100" s="64">
        <v>0</v>
      </c>
      <c r="P100" s="64">
        <v>0</v>
      </c>
      <c r="Q100" s="62">
        <v>0</v>
      </c>
      <c r="R100" s="62">
        <f t="shared" si="34"/>
        <v>0</v>
      </c>
      <c r="S100" s="79"/>
      <c r="T100" s="79"/>
      <c r="U100" s="81"/>
      <c r="V100" s="79"/>
      <c r="W100" s="79"/>
      <c r="X100" s="81"/>
      <c r="Y100" s="79"/>
      <c r="Z100" s="79"/>
      <c r="AA100" s="79"/>
      <c r="AB100" s="79"/>
      <c r="AC100" s="79"/>
      <c r="AD100" s="81"/>
      <c r="AE100" s="146"/>
      <c r="AF100" s="79"/>
      <c r="AG100" s="79"/>
      <c r="AH100" s="81"/>
      <c r="AI100" s="146"/>
      <c r="AJ100" s="79"/>
      <c r="AK100" s="79"/>
      <c r="AL100" s="81"/>
    </row>
    <row r="101" spans="1:38" ht="24" hidden="1" customHeight="1" x14ac:dyDescent="0.3">
      <c r="A101" s="54">
        <f t="shared" si="71"/>
        <v>12</v>
      </c>
      <c r="B101" s="55" t="s">
        <v>122</v>
      </c>
      <c r="C101" s="56">
        <f t="shared" si="69"/>
        <v>0</v>
      </c>
      <c r="D101" s="57">
        <v>0</v>
      </c>
      <c r="E101" s="64">
        <v>0</v>
      </c>
      <c r="F101" s="79"/>
      <c r="G101" s="79"/>
      <c r="H101" s="58">
        <f t="shared" si="24"/>
        <v>0</v>
      </c>
      <c r="I101" s="59">
        <f t="shared" si="1"/>
        <v>0</v>
      </c>
      <c r="J101" s="60">
        <f t="shared" si="70"/>
        <v>0</v>
      </c>
      <c r="K101" s="80"/>
      <c r="L101" s="80"/>
      <c r="M101" s="64">
        <v>0</v>
      </c>
      <c r="N101" s="64">
        <v>0</v>
      </c>
      <c r="O101" s="64">
        <v>0</v>
      </c>
      <c r="P101" s="64">
        <v>0</v>
      </c>
      <c r="Q101" s="62">
        <v>0</v>
      </c>
      <c r="R101" s="62">
        <f t="shared" si="34"/>
        <v>0</v>
      </c>
      <c r="S101" s="79"/>
      <c r="T101" s="79"/>
      <c r="U101" s="81"/>
      <c r="V101" s="79"/>
      <c r="W101" s="79"/>
      <c r="X101" s="81"/>
      <c r="Y101" s="79"/>
      <c r="Z101" s="79"/>
      <c r="AA101" s="79"/>
      <c r="AB101" s="79"/>
      <c r="AC101" s="79"/>
      <c r="AD101" s="81"/>
      <c r="AE101" s="146"/>
      <c r="AF101" s="79"/>
      <c r="AG101" s="79"/>
      <c r="AH101" s="81"/>
      <c r="AI101" s="146"/>
      <c r="AJ101" s="79"/>
      <c r="AK101" s="79"/>
      <c r="AL101" s="81"/>
    </row>
    <row r="102" spans="1:38" ht="24" hidden="1" customHeight="1" x14ac:dyDescent="0.3">
      <c r="A102" s="54">
        <f t="shared" si="71"/>
        <v>13</v>
      </c>
      <c r="B102" s="55" t="s">
        <v>123</v>
      </c>
      <c r="C102" s="56">
        <f t="shared" si="69"/>
        <v>0</v>
      </c>
      <c r="D102" s="57">
        <v>0</v>
      </c>
      <c r="E102" s="64">
        <v>0</v>
      </c>
      <c r="F102" s="79"/>
      <c r="G102" s="79"/>
      <c r="H102" s="58">
        <f t="shared" si="24"/>
        <v>0</v>
      </c>
      <c r="I102" s="59">
        <f t="shared" si="1"/>
        <v>0</v>
      </c>
      <c r="J102" s="60">
        <f t="shared" si="70"/>
        <v>0</v>
      </c>
      <c r="K102" s="80"/>
      <c r="L102" s="80"/>
      <c r="M102" s="64">
        <v>0</v>
      </c>
      <c r="N102" s="64">
        <v>0</v>
      </c>
      <c r="O102" s="64">
        <v>0</v>
      </c>
      <c r="P102" s="64">
        <v>0</v>
      </c>
      <c r="Q102" s="62">
        <v>0</v>
      </c>
      <c r="R102" s="62">
        <f t="shared" si="34"/>
        <v>0</v>
      </c>
      <c r="S102" s="79"/>
      <c r="T102" s="79"/>
      <c r="U102" s="81"/>
      <c r="V102" s="79"/>
      <c r="W102" s="79"/>
      <c r="X102" s="81"/>
      <c r="Y102" s="79"/>
      <c r="Z102" s="79"/>
      <c r="AA102" s="79"/>
      <c r="AB102" s="79"/>
      <c r="AC102" s="79"/>
      <c r="AD102" s="81"/>
      <c r="AE102" s="146"/>
      <c r="AF102" s="79"/>
      <c r="AG102" s="79"/>
      <c r="AH102" s="81"/>
      <c r="AI102" s="146"/>
      <c r="AJ102" s="79"/>
      <c r="AK102" s="79"/>
      <c r="AL102" s="81"/>
    </row>
    <row r="103" spans="1:38" ht="24" hidden="1" customHeight="1" x14ac:dyDescent="0.3">
      <c r="A103" s="65">
        <f t="shared" si="71"/>
        <v>14</v>
      </c>
      <c r="B103" s="66" t="s">
        <v>124</v>
      </c>
      <c r="C103" s="67">
        <f t="shared" si="69"/>
        <v>0</v>
      </c>
      <c r="D103" s="68">
        <v>0</v>
      </c>
      <c r="E103" s="69">
        <v>0</v>
      </c>
      <c r="F103" s="82"/>
      <c r="G103" s="82"/>
      <c r="H103" s="70">
        <f t="shared" si="24"/>
        <v>0</v>
      </c>
      <c r="I103" s="71">
        <f t="shared" si="1"/>
        <v>0</v>
      </c>
      <c r="J103" s="72">
        <f t="shared" si="70"/>
        <v>0</v>
      </c>
      <c r="K103" s="83"/>
      <c r="L103" s="83"/>
      <c r="M103" s="69">
        <v>0</v>
      </c>
      <c r="N103" s="69">
        <v>0</v>
      </c>
      <c r="O103" s="69">
        <v>0</v>
      </c>
      <c r="P103" s="69">
        <v>0</v>
      </c>
      <c r="Q103" s="74">
        <v>0</v>
      </c>
      <c r="R103" s="74">
        <f t="shared" si="34"/>
        <v>0</v>
      </c>
      <c r="S103" s="82"/>
      <c r="T103" s="82"/>
      <c r="U103" s="84"/>
      <c r="V103" s="82"/>
      <c r="W103" s="82"/>
      <c r="X103" s="84"/>
      <c r="Y103" s="82"/>
      <c r="Z103" s="82"/>
      <c r="AA103" s="82"/>
      <c r="AB103" s="82"/>
      <c r="AC103" s="82"/>
      <c r="AD103" s="84"/>
      <c r="AE103" s="148"/>
      <c r="AF103" s="82"/>
      <c r="AG103" s="82"/>
      <c r="AH103" s="84"/>
      <c r="AI103" s="148"/>
      <c r="AJ103" s="82"/>
      <c r="AK103" s="82"/>
      <c r="AL103" s="84"/>
    </row>
    <row r="104" spans="1:38" ht="21" hidden="1" customHeight="1" x14ac:dyDescent="0.3">
      <c r="A104" s="187" t="s">
        <v>125</v>
      </c>
      <c r="B104" s="178"/>
      <c r="C104" s="77">
        <f>SUM(C105:C116)</f>
        <v>0</v>
      </c>
      <c r="D104" s="43"/>
      <c r="E104" s="43"/>
      <c r="F104" s="43"/>
      <c r="G104" s="43"/>
      <c r="H104" s="40">
        <f t="shared" si="24"/>
        <v>0</v>
      </c>
      <c r="I104" s="41">
        <f t="shared" si="1"/>
        <v>0</v>
      </c>
      <c r="J104" s="40">
        <f>SUM(J105:J116)</f>
        <v>0</v>
      </c>
      <c r="K104" s="43"/>
      <c r="L104" s="43"/>
      <c r="M104" s="43"/>
      <c r="N104" s="43"/>
      <c r="O104" s="43"/>
      <c r="P104" s="43"/>
      <c r="Q104" s="43"/>
      <c r="R104" s="40">
        <f t="shared" si="34"/>
        <v>0</v>
      </c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144"/>
      <c r="AF104" s="43"/>
      <c r="AG104" s="43"/>
      <c r="AH104" s="43"/>
      <c r="AI104" s="144"/>
      <c r="AJ104" s="43"/>
      <c r="AK104" s="43"/>
      <c r="AL104" s="43"/>
    </row>
    <row r="105" spans="1:38" ht="24" hidden="1" customHeight="1" x14ac:dyDescent="0.3">
      <c r="A105" s="54">
        <v>1</v>
      </c>
      <c r="B105" s="85" t="s">
        <v>126</v>
      </c>
      <c r="C105" s="56">
        <f t="shared" ref="C105:C116" si="72">D105+E105</f>
        <v>0</v>
      </c>
      <c r="D105" s="57">
        <v>0</v>
      </c>
      <c r="E105" s="64">
        <v>0</v>
      </c>
      <c r="F105" s="79"/>
      <c r="G105" s="79"/>
      <c r="H105" s="58">
        <f t="shared" si="24"/>
        <v>0</v>
      </c>
      <c r="I105" s="59">
        <f t="shared" si="1"/>
        <v>0</v>
      </c>
      <c r="J105" s="60">
        <f t="shared" ref="J105:J116" si="73">M105+N105+O105+P105</f>
        <v>0</v>
      </c>
      <c r="K105" s="80"/>
      <c r="L105" s="80"/>
      <c r="M105" s="64">
        <v>0</v>
      </c>
      <c r="N105" s="64">
        <v>0</v>
      </c>
      <c r="O105" s="64">
        <v>0</v>
      </c>
      <c r="P105" s="64">
        <v>0</v>
      </c>
      <c r="Q105" s="62">
        <v>0</v>
      </c>
      <c r="R105" s="62">
        <f t="shared" si="34"/>
        <v>0</v>
      </c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146"/>
      <c r="AF105" s="79"/>
      <c r="AG105" s="79"/>
      <c r="AH105" s="79"/>
      <c r="AI105" s="146"/>
      <c r="AJ105" s="79"/>
      <c r="AK105" s="79"/>
      <c r="AL105" s="79"/>
    </row>
    <row r="106" spans="1:38" ht="24" hidden="1" customHeight="1" x14ac:dyDescent="0.3">
      <c r="A106" s="54">
        <v>2</v>
      </c>
      <c r="B106" s="85" t="s">
        <v>127</v>
      </c>
      <c r="C106" s="56">
        <f t="shared" si="72"/>
        <v>0</v>
      </c>
      <c r="D106" s="57">
        <v>0</v>
      </c>
      <c r="E106" s="64">
        <v>0</v>
      </c>
      <c r="F106" s="79"/>
      <c r="G106" s="79"/>
      <c r="H106" s="58">
        <f t="shared" si="24"/>
        <v>0</v>
      </c>
      <c r="I106" s="59">
        <f t="shared" si="1"/>
        <v>0</v>
      </c>
      <c r="J106" s="60">
        <f t="shared" si="73"/>
        <v>0</v>
      </c>
      <c r="K106" s="80"/>
      <c r="L106" s="80"/>
      <c r="M106" s="64">
        <v>0</v>
      </c>
      <c r="N106" s="64">
        <v>0</v>
      </c>
      <c r="O106" s="64">
        <v>0</v>
      </c>
      <c r="P106" s="64">
        <v>0</v>
      </c>
      <c r="Q106" s="62">
        <v>0</v>
      </c>
      <c r="R106" s="62">
        <f t="shared" si="34"/>
        <v>0</v>
      </c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146"/>
      <c r="AF106" s="79"/>
      <c r="AG106" s="79"/>
      <c r="AH106" s="79"/>
      <c r="AI106" s="146"/>
      <c r="AJ106" s="79"/>
      <c r="AK106" s="79"/>
      <c r="AL106" s="79"/>
    </row>
    <row r="107" spans="1:38" ht="24" hidden="1" customHeight="1" x14ac:dyDescent="0.3">
      <c r="A107" s="54">
        <v>3</v>
      </c>
      <c r="B107" s="85" t="s">
        <v>128</v>
      </c>
      <c r="C107" s="56">
        <f t="shared" si="72"/>
        <v>0</v>
      </c>
      <c r="D107" s="57">
        <v>0</v>
      </c>
      <c r="E107" s="64">
        <v>0</v>
      </c>
      <c r="F107" s="79"/>
      <c r="G107" s="79"/>
      <c r="H107" s="58">
        <f t="shared" si="24"/>
        <v>0</v>
      </c>
      <c r="I107" s="59">
        <f t="shared" si="1"/>
        <v>0</v>
      </c>
      <c r="J107" s="60">
        <f t="shared" si="73"/>
        <v>0</v>
      </c>
      <c r="K107" s="80"/>
      <c r="L107" s="80"/>
      <c r="M107" s="64">
        <v>0</v>
      </c>
      <c r="N107" s="64">
        <v>0</v>
      </c>
      <c r="O107" s="64">
        <v>0</v>
      </c>
      <c r="P107" s="64">
        <v>0</v>
      </c>
      <c r="Q107" s="62">
        <v>0</v>
      </c>
      <c r="R107" s="62">
        <f t="shared" si="34"/>
        <v>0</v>
      </c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146"/>
      <c r="AF107" s="79"/>
      <c r="AG107" s="79"/>
      <c r="AH107" s="79"/>
      <c r="AI107" s="146"/>
      <c r="AJ107" s="79"/>
      <c r="AK107" s="79"/>
      <c r="AL107" s="79"/>
    </row>
    <row r="108" spans="1:38" ht="24" hidden="1" customHeight="1" x14ac:dyDescent="0.3">
      <c r="A108" s="86">
        <v>4</v>
      </c>
      <c r="B108" s="85" t="s">
        <v>129</v>
      </c>
      <c r="C108" s="56">
        <f t="shared" si="72"/>
        <v>0</v>
      </c>
      <c r="D108" s="57">
        <v>0</v>
      </c>
      <c r="E108" s="64">
        <v>0</v>
      </c>
      <c r="F108" s="79"/>
      <c r="G108" s="79"/>
      <c r="H108" s="58">
        <f t="shared" si="24"/>
        <v>0</v>
      </c>
      <c r="I108" s="59">
        <f t="shared" si="1"/>
        <v>0</v>
      </c>
      <c r="J108" s="60">
        <f t="shared" si="73"/>
        <v>0</v>
      </c>
      <c r="K108" s="80"/>
      <c r="L108" s="80"/>
      <c r="M108" s="64">
        <v>0</v>
      </c>
      <c r="N108" s="64">
        <v>0</v>
      </c>
      <c r="O108" s="64">
        <v>0</v>
      </c>
      <c r="P108" s="64">
        <v>0</v>
      </c>
      <c r="Q108" s="62">
        <v>0</v>
      </c>
      <c r="R108" s="62">
        <f t="shared" si="34"/>
        <v>0</v>
      </c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146"/>
      <c r="AF108" s="79"/>
      <c r="AG108" s="79"/>
      <c r="AH108" s="79"/>
      <c r="AI108" s="146"/>
      <c r="AJ108" s="79"/>
      <c r="AK108" s="79"/>
      <c r="AL108" s="79"/>
    </row>
    <row r="109" spans="1:38" ht="24" hidden="1" customHeight="1" x14ac:dyDescent="0.3">
      <c r="A109" s="86">
        <v>5</v>
      </c>
      <c r="B109" s="85" t="s">
        <v>130</v>
      </c>
      <c r="C109" s="56">
        <f t="shared" si="72"/>
        <v>0</v>
      </c>
      <c r="D109" s="57">
        <v>0</v>
      </c>
      <c r="E109" s="64">
        <v>0</v>
      </c>
      <c r="F109" s="79"/>
      <c r="G109" s="79"/>
      <c r="H109" s="58">
        <f t="shared" si="24"/>
        <v>0</v>
      </c>
      <c r="I109" s="59">
        <f t="shared" si="1"/>
        <v>0</v>
      </c>
      <c r="J109" s="60">
        <f t="shared" si="73"/>
        <v>0</v>
      </c>
      <c r="K109" s="80"/>
      <c r="L109" s="80"/>
      <c r="M109" s="64">
        <v>0</v>
      </c>
      <c r="N109" s="64">
        <v>0</v>
      </c>
      <c r="O109" s="64">
        <v>0</v>
      </c>
      <c r="P109" s="64">
        <v>0</v>
      </c>
      <c r="Q109" s="62">
        <v>0</v>
      </c>
      <c r="R109" s="62">
        <f t="shared" si="34"/>
        <v>0</v>
      </c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146"/>
      <c r="AF109" s="79"/>
      <c r="AG109" s="79"/>
      <c r="AH109" s="79"/>
      <c r="AI109" s="146"/>
      <c r="AJ109" s="79"/>
      <c r="AK109" s="79"/>
      <c r="AL109" s="79"/>
    </row>
    <row r="110" spans="1:38" ht="24" hidden="1" customHeight="1" x14ac:dyDescent="0.3">
      <c r="A110" s="86">
        <v>6</v>
      </c>
      <c r="B110" s="85" t="s">
        <v>131</v>
      </c>
      <c r="C110" s="56">
        <f t="shared" si="72"/>
        <v>0</v>
      </c>
      <c r="D110" s="57">
        <v>0</v>
      </c>
      <c r="E110" s="64">
        <v>0</v>
      </c>
      <c r="F110" s="79"/>
      <c r="G110" s="79"/>
      <c r="H110" s="58">
        <f t="shared" si="24"/>
        <v>0</v>
      </c>
      <c r="I110" s="59">
        <f t="shared" si="1"/>
        <v>0</v>
      </c>
      <c r="J110" s="60">
        <f t="shared" si="73"/>
        <v>0</v>
      </c>
      <c r="K110" s="80"/>
      <c r="L110" s="80"/>
      <c r="M110" s="64">
        <v>0</v>
      </c>
      <c r="N110" s="64">
        <v>0</v>
      </c>
      <c r="O110" s="64">
        <v>0</v>
      </c>
      <c r="P110" s="64">
        <v>0</v>
      </c>
      <c r="Q110" s="62">
        <v>0</v>
      </c>
      <c r="R110" s="62">
        <f t="shared" si="34"/>
        <v>0</v>
      </c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146"/>
      <c r="AF110" s="79"/>
      <c r="AG110" s="79"/>
      <c r="AH110" s="79"/>
      <c r="AI110" s="146"/>
      <c r="AJ110" s="79"/>
      <c r="AK110" s="79"/>
      <c r="AL110" s="79"/>
    </row>
    <row r="111" spans="1:38" ht="24" hidden="1" customHeight="1" x14ac:dyDescent="0.3">
      <c r="A111" s="86">
        <v>7</v>
      </c>
      <c r="B111" s="85" t="s">
        <v>132</v>
      </c>
      <c r="C111" s="56">
        <f t="shared" si="72"/>
        <v>0</v>
      </c>
      <c r="D111" s="57">
        <v>0</v>
      </c>
      <c r="E111" s="64">
        <v>0</v>
      </c>
      <c r="F111" s="79"/>
      <c r="G111" s="79"/>
      <c r="H111" s="58">
        <f t="shared" si="24"/>
        <v>0</v>
      </c>
      <c r="I111" s="59">
        <f t="shared" si="1"/>
        <v>0</v>
      </c>
      <c r="J111" s="60">
        <f t="shared" si="73"/>
        <v>0</v>
      </c>
      <c r="K111" s="80"/>
      <c r="L111" s="80"/>
      <c r="M111" s="64">
        <v>0</v>
      </c>
      <c r="N111" s="64">
        <v>0</v>
      </c>
      <c r="O111" s="64">
        <v>0</v>
      </c>
      <c r="P111" s="64">
        <v>0</v>
      </c>
      <c r="Q111" s="62">
        <v>0</v>
      </c>
      <c r="R111" s="62">
        <f t="shared" si="34"/>
        <v>0</v>
      </c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146"/>
      <c r="AF111" s="79"/>
      <c r="AG111" s="79"/>
      <c r="AH111" s="79"/>
      <c r="AI111" s="146"/>
      <c r="AJ111" s="79"/>
      <c r="AK111" s="79"/>
      <c r="AL111" s="79"/>
    </row>
    <row r="112" spans="1:38" ht="24" hidden="1" customHeight="1" x14ac:dyDescent="0.3">
      <c r="A112" s="86">
        <v>8</v>
      </c>
      <c r="B112" s="85" t="s">
        <v>133</v>
      </c>
      <c r="C112" s="56">
        <f t="shared" si="72"/>
        <v>0</v>
      </c>
      <c r="D112" s="57">
        <v>0</v>
      </c>
      <c r="E112" s="64">
        <v>0</v>
      </c>
      <c r="F112" s="79"/>
      <c r="G112" s="79"/>
      <c r="H112" s="58">
        <f t="shared" si="24"/>
        <v>0</v>
      </c>
      <c r="I112" s="59">
        <f t="shared" si="1"/>
        <v>0</v>
      </c>
      <c r="J112" s="60">
        <f t="shared" si="73"/>
        <v>0</v>
      </c>
      <c r="K112" s="80"/>
      <c r="L112" s="80"/>
      <c r="M112" s="64">
        <v>0</v>
      </c>
      <c r="N112" s="64">
        <v>0</v>
      </c>
      <c r="O112" s="64">
        <v>0</v>
      </c>
      <c r="P112" s="64">
        <v>0</v>
      </c>
      <c r="Q112" s="62">
        <v>0</v>
      </c>
      <c r="R112" s="62">
        <f t="shared" si="34"/>
        <v>0</v>
      </c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146"/>
      <c r="AF112" s="79"/>
      <c r="AG112" s="79"/>
      <c r="AH112" s="79"/>
      <c r="AI112" s="146"/>
      <c r="AJ112" s="79"/>
      <c r="AK112" s="79"/>
      <c r="AL112" s="79"/>
    </row>
    <row r="113" spans="1:38" ht="24" hidden="1" customHeight="1" x14ac:dyDescent="0.3">
      <c r="A113" s="86">
        <v>9</v>
      </c>
      <c r="B113" s="85" t="s">
        <v>134</v>
      </c>
      <c r="C113" s="56">
        <f t="shared" si="72"/>
        <v>0</v>
      </c>
      <c r="D113" s="57">
        <v>0</v>
      </c>
      <c r="E113" s="64">
        <v>0</v>
      </c>
      <c r="F113" s="79"/>
      <c r="G113" s="79"/>
      <c r="H113" s="58">
        <f t="shared" si="24"/>
        <v>0</v>
      </c>
      <c r="I113" s="59">
        <f t="shared" si="1"/>
        <v>0</v>
      </c>
      <c r="J113" s="60">
        <f t="shared" si="73"/>
        <v>0</v>
      </c>
      <c r="K113" s="80"/>
      <c r="L113" s="80"/>
      <c r="M113" s="64">
        <v>0</v>
      </c>
      <c r="N113" s="64">
        <v>0</v>
      </c>
      <c r="O113" s="64">
        <v>0</v>
      </c>
      <c r="P113" s="64">
        <v>0</v>
      </c>
      <c r="Q113" s="62">
        <v>0</v>
      </c>
      <c r="R113" s="62">
        <f t="shared" si="34"/>
        <v>0</v>
      </c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146"/>
      <c r="AF113" s="79"/>
      <c r="AG113" s="79"/>
      <c r="AH113" s="79"/>
      <c r="AI113" s="146"/>
      <c r="AJ113" s="79"/>
      <c r="AK113" s="79"/>
      <c r="AL113" s="79"/>
    </row>
    <row r="114" spans="1:38" ht="24" hidden="1" customHeight="1" x14ac:dyDescent="0.3">
      <c r="A114" s="86">
        <v>10</v>
      </c>
      <c r="B114" s="85" t="s">
        <v>135</v>
      </c>
      <c r="C114" s="56">
        <f t="shared" si="72"/>
        <v>0</v>
      </c>
      <c r="D114" s="57">
        <v>0</v>
      </c>
      <c r="E114" s="64">
        <v>0</v>
      </c>
      <c r="F114" s="79"/>
      <c r="G114" s="79"/>
      <c r="H114" s="58">
        <f t="shared" si="24"/>
        <v>0</v>
      </c>
      <c r="I114" s="59">
        <f t="shared" si="1"/>
        <v>0</v>
      </c>
      <c r="J114" s="60">
        <f t="shared" si="73"/>
        <v>0</v>
      </c>
      <c r="K114" s="80"/>
      <c r="L114" s="80"/>
      <c r="M114" s="64">
        <v>0</v>
      </c>
      <c r="N114" s="64">
        <v>0</v>
      </c>
      <c r="O114" s="64">
        <v>0</v>
      </c>
      <c r="P114" s="64">
        <v>0</v>
      </c>
      <c r="Q114" s="62">
        <v>0</v>
      </c>
      <c r="R114" s="62">
        <f t="shared" si="34"/>
        <v>0</v>
      </c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146"/>
      <c r="AF114" s="79"/>
      <c r="AG114" s="79"/>
      <c r="AH114" s="79"/>
      <c r="AI114" s="146"/>
      <c r="AJ114" s="79"/>
      <c r="AK114" s="79"/>
      <c r="AL114" s="79"/>
    </row>
    <row r="115" spans="1:38" ht="24" hidden="1" customHeight="1" x14ac:dyDescent="0.3">
      <c r="A115" s="86">
        <v>11</v>
      </c>
      <c r="B115" s="85" t="s">
        <v>136</v>
      </c>
      <c r="C115" s="56">
        <f t="shared" si="72"/>
        <v>0</v>
      </c>
      <c r="D115" s="57">
        <v>0</v>
      </c>
      <c r="E115" s="64">
        <v>0</v>
      </c>
      <c r="F115" s="79"/>
      <c r="G115" s="79"/>
      <c r="H115" s="58">
        <f t="shared" si="24"/>
        <v>0</v>
      </c>
      <c r="I115" s="59">
        <f t="shared" si="1"/>
        <v>0</v>
      </c>
      <c r="J115" s="60">
        <f t="shared" si="73"/>
        <v>0</v>
      </c>
      <c r="K115" s="80"/>
      <c r="L115" s="80"/>
      <c r="M115" s="64">
        <v>0</v>
      </c>
      <c r="N115" s="64">
        <v>0</v>
      </c>
      <c r="O115" s="64">
        <v>0</v>
      </c>
      <c r="P115" s="64">
        <v>0</v>
      </c>
      <c r="Q115" s="62">
        <v>0</v>
      </c>
      <c r="R115" s="62">
        <f t="shared" si="34"/>
        <v>0</v>
      </c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146"/>
      <c r="AF115" s="79"/>
      <c r="AG115" s="79"/>
      <c r="AH115" s="79"/>
      <c r="AI115" s="146"/>
      <c r="AJ115" s="79"/>
      <c r="AK115" s="79"/>
      <c r="AL115" s="79"/>
    </row>
    <row r="116" spans="1:38" ht="24" hidden="1" customHeight="1" x14ac:dyDescent="0.3">
      <c r="A116" s="86">
        <v>12</v>
      </c>
      <c r="B116" s="85" t="s">
        <v>137</v>
      </c>
      <c r="C116" s="56">
        <f t="shared" si="72"/>
        <v>0</v>
      </c>
      <c r="D116" s="57">
        <v>0</v>
      </c>
      <c r="E116" s="64">
        <v>0</v>
      </c>
      <c r="F116" s="79"/>
      <c r="G116" s="79"/>
      <c r="H116" s="58">
        <f t="shared" si="24"/>
        <v>0</v>
      </c>
      <c r="I116" s="59">
        <f t="shared" si="1"/>
        <v>0</v>
      </c>
      <c r="J116" s="60">
        <f t="shared" si="73"/>
        <v>0</v>
      </c>
      <c r="K116" s="80"/>
      <c r="L116" s="80"/>
      <c r="M116" s="64">
        <v>0</v>
      </c>
      <c r="N116" s="64">
        <v>0</v>
      </c>
      <c r="O116" s="64">
        <v>0</v>
      </c>
      <c r="P116" s="64">
        <v>0</v>
      </c>
      <c r="Q116" s="62">
        <v>0</v>
      </c>
      <c r="R116" s="62">
        <f t="shared" si="34"/>
        <v>0</v>
      </c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146"/>
      <c r="AF116" s="79"/>
      <c r="AG116" s="79"/>
      <c r="AH116" s="79"/>
      <c r="AI116" s="146"/>
      <c r="AJ116" s="79"/>
      <c r="AK116" s="79"/>
      <c r="AL116" s="79"/>
    </row>
    <row r="117" spans="1:38" ht="24" customHeight="1" x14ac:dyDescent="0.2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8"/>
      <c r="N117" s="88"/>
      <c r="O117" s="8"/>
      <c r="P117" s="8"/>
      <c r="Q117" s="89"/>
      <c r="R117" s="89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</row>
    <row r="118" spans="1:38" ht="24" customHeight="1" x14ac:dyDescent="0.2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8"/>
      <c r="N118" s="88"/>
      <c r="O118" s="8"/>
      <c r="P118" s="8"/>
      <c r="Q118" s="89"/>
      <c r="R118" s="89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</row>
    <row r="119" spans="1:38" ht="24" customHeight="1" x14ac:dyDescent="0.2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8"/>
      <c r="N119" s="88"/>
      <c r="O119" s="8"/>
      <c r="P119" s="8"/>
      <c r="Q119" s="89"/>
      <c r="R119" s="89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</row>
    <row r="120" spans="1:38" ht="24" customHeight="1" x14ac:dyDescent="0.2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8"/>
      <c r="N120" s="88"/>
      <c r="O120" s="8"/>
      <c r="P120" s="8"/>
      <c r="Q120" s="89"/>
      <c r="R120" s="89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</row>
    <row r="121" spans="1:38" ht="24" customHeight="1" x14ac:dyDescent="0.2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8"/>
      <c r="N121" s="88"/>
      <c r="O121" s="8"/>
      <c r="P121" s="8"/>
      <c r="Q121" s="89"/>
      <c r="R121" s="89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</row>
    <row r="122" spans="1:38" ht="24" customHeight="1" x14ac:dyDescent="0.2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8"/>
      <c r="N122" s="88"/>
      <c r="O122" s="8"/>
      <c r="P122" s="8"/>
      <c r="Q122" s="89"/>
      <c r="R122" s="89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</row>
    <row r="123" spans="1:38" ht="24" customHeight="1" x14ac:dyDescent="0.2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8"/>
      <c r="N123" s="88"/>
      <c r="O123" s="8"/>
      <c r="P123" s="8"/>
      <c r="Q123" s="89"/>
      <c r="R123" s="89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</row>
    <row r="124" spans="1:38" ht="24" customHeight="1" x14ac:dyDescent="0.2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8"/>
      <c r="N124" s="88"/>
      <c r="O124" s="8"/>
      <c r="P124" s="8"/>
      <c r="Q124" s="89"/>
      <c r="R124" s="89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</row>
    <row r="125" spans="1:38" ht="24" customHeight="1" x14ac:dyDescent="0.2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8"/>
      <c r="N125" s="88"/>
      <c r="O125" s="8"/>
      <c r="P125" s="8"/>
      <c r="Q125" s="89"/>
      <c r="R125" s="89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</row>
    <row r="126" spans="1:38" ht="24" customHeight="1" x14ac:dyDescent="0.2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8"/>
      <c r="N126" s="88"/>
      <c r="O126" s="8"/>
      <c r="P126" s="8"/>
      <c r="Q126" s="89"/>
      <c r="R126" s="89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</row>
    <row r="127" spans="1:38" ht="24" customHeight="1" x14ac:dyDescent="0.2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8"/>
      <c r="N127" s="88"/>
      <c r="O127" s="8"/>
      <c r="P127" s="8"/>
      <c r="Q127" s="89"/>
      <c r="R127" s="89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</row>
    <row r="128" spans="1:38" ht="24" customHeight="1" x14ac:dyDescent="0.2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8"/>
      <c r="N128" s="88"/>
      <c r="O128" s="8"/>
      <c r="P128" s="8"/>
      <c r="Q128" s="89"/>
      <c r="R128" s="89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</row>
    <row r="129" spans="1:38" ht="24" customHeight="1" x14ac:dyDescent="0.2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8"/>
      <c r="N129" s="88"/>
      <c r="O129" s="8"/>
      <c r="P129" s="8"/>
      <c r="Q129" s="89"/>
      <c r="R129" s="89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</row>
    <row r="130" spans="1:38" ht="24" customHeight="1" x14ac:dyDescent="0.2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8"/>
      <c r="N130" s="88"/>
      <c r="O130" s="8"/>
      <c r="P130" s="8"/>
      <c r="Q130" s="89"/>
      <c r="R130" s="89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</row>
    <row r="131" spans="1:38" ht="24" customHeight="1" x14ac:dyDescent="0.2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8"/>
      <c r="N131" s="88"/>
      <c r="O131" s="8"/>
      <c r="P131" s="8"/>
      <c r="Q131" s="89"/>
      <c r="R131" s="89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</row>
    <row r="132" spans="1:38" ht="24" customHeight="1" x14ac:dyDescent="0.2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8"/>
      <c r="N132" s="88"/>
      <c r="O132" s="8"/>
      <c r="P132" s="8"/>
      <c r="Q132" s="89"/>
      <c r="R132" s="89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</row>
    <row r="133" spans="1:38" ht="24" customHeight="1" x14ac:dyDescent="0.2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8"/>
      <c r="N133" s="88"/>
      <c r="O133" s="8"/>
      <c r="P133" s="8"/>
      <c r="Q133" s="89"/>
      <c r="R133" s="89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</row>
    <row r="134" spans="1:38" ht="24" customHeight="1" x14ac:dyDescent="0.2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8"/>
      <c r="N134" s="88"/>
      <c r="O134" s="8"/>
      <c r="P134" s="8"/>
      <c r="Q134" s="89"/>
      <c r="R134" s="89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</row>
    <row r="135" spans="1:38" ht="24" customHeight="1" x14ac:dyDescent="0.2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8"/>
      <c r="N135" s="88"/>
      <c r="O135" s="8"/>
      <c r="P135" s="8"/>
      <c r="Q135" s="89"/>
      <c r="R135" s="89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</row>
    <row r="136" spans="1:38" ht="24" customHeight="1" x14ac:dyDescent="0.2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8"/>
      <c r="N136" s="88"/>
      <c r="O136" s="8"/>
      <c r="P136" s="8"/>
      <c r="Q136" s="89"/>
      <c r="R136" s="89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</row>
    <row r="137" spans="1:38" ht="24" customHeight="1" x14ac:dyDescent="0.2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8"/>
      <c r="N137" s="88"/>
      <c r="O137" s="8"/>
      <c r="P137" s="8"/>
      <c r="Q137" s="89"/>
      <c r="R137" s="89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</row>
    <row r="138" spans="1:38" ht="24" customHeight="1" x14ac:dyDescent="0.2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8"/>
      <c r="N138" s="88"/>
      <c r="O138" s="8"/>
      <c r="P138" s="8"/>
      <c r="Q138" s="89"/>
      <c r="R138" s="89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</row>
    <row r="139" spans="1:38" ht="24" customHeight="1" x14ac:dyDescent="0.2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8"/>
      <c r="N139" s="88"/>
      <c r="O139" s="8"/>
      <c r="P139" s="8"/>
      <c r="Q139" s="89"/>
      <c r="R139" s="89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</row>
    <row r="140" spans="1:38" ht="24" customHeight="1" x14ac:dyDescent="0.2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8"/>
      <c r="N140" s="88"/>
      <c r="O140" s="8"/>
      <c r="P140" s="8"/>
      <c r="Q140" s="89"/>
      <c r="R140" s="89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</row>
    <row r="141" spans="1:38" ht="24" customHeight="1" x14ac:dyDescent="0.2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8"/>
      <c r="N141" s="88"/>
      <c r="O141" s="8"/>
      <c r="P141" s="8"/>
      <c r="Q141" s="89"/>
      <c r="R141" s="89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</row>
    <row r="142" spans="1:38" ht="24" customHeight="1" x14ac:dyDescent="0.2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8"/>
      <c r="N142" s="88"/>
      <c r="O142" s="8"/>
      <c r="P142" s="8"/>
      <c r="Q142" s="89"/>
      <c r="R142" s="89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</row>
    <row r="143" spans="1:38" ht="24" customHeight="1" x14ac:dyDescent="0.2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8"/>
      <c r="N143" s="88"/>
      <c r="O143" s="8"/>
      <c r="P143" s="8"/>
      <c r="Q143" s="89"/>
      <c r="R143" s="89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</row>
    <row r="144" spans="1:38" ht="24" customHeight="1" x14ac:dyDescent="0.2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8"/>
      <c r="N144" s="88"/>
      <c r="O144" s="8"/>
      <c r="P144" s="8"/>
      <c r="Q144" s="89"/>
      <c r="R144" s="89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</row>
    <row r="145" spans="1:38" ht="24" customHeight="1" x14ac:dyDescent="0.2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8"/>
      <c r="N145" s="88"/>
      <c r="O145" s="8"/>
      <c r="P145" s="8"/>
      <c r="Q145" s="89"/>
      <c r="R145" s="89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</row>
    <row r="146" spans="1:38" ht="24" customHeight="1" x14ac:dyDescent="0.2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8"/>
      <c r="N146" s="88"/>
      <c r="O146" s="8"/>
      <c r="P146" s="8"/>
      <c r="Q146" s="89"/>
      <c r="R146" s="89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</row>
    <row r="147" spans="1:38" ht="24" customHeight="1" x14ac:dyDescent="0.2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8"/>
      <c r="N147" s="88"/>
      <c r="O147" s="8"/>
      <c r="P147" s="8"/>
      <c r="Q147" s="89"/>
      <c r="R147" s="89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</row>
    <row r="148" spans="1:38" ht="24" customHeight="1" x14ac:dyDescent="0.2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8"/>
      <c r="N148" s="88"/>
      <c r="O148" s="8"/>
      <c r="P148" s="8"/>
      <c r="Q148" s="89"/>
      <c r="R148" s="89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</row>
    <row r="149" spans="1:38" ht="24" customHeight="1" x14ac:dyDescent="0.2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8"/>
      <c r="N149" s="88"/>
      <c r="O149" s="8"/>
      <c r="P149" s="8"/>
      <c r="Q149" s="89"/>
      <c r="R149" s="89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</row>
    <row r="150" spans="1:38" ht="24" customHeight="1" x14ac:dyDescent="0.2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8"/>
      <c r="N150" s="88"/>
      <c r="O150" s="8"/>
      <c r="P150" s="8"/>
      <c r="Q150" s="89"/>
      <c r="R150" s="89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</row>
    <row r="151" spans="1:38" ht="24" customHeight="1" x14ac:dyDescent="0.2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8"/>
      <c r="N151" s="88"/>
      <c r="O151" s="8"/>
      <c r="P151" s="8"/>
      <c r="Q151" s="89"/>
      <c r="R151" s="89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</row>
    <row r="152" spans="1:38" ht="24" customHeight="1" x14ac:dyDescent="0.2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8"/>
      <c r="N152" s="88"/>
      <c r="O152" s="8"/>
      <c r="P152" s="8"/>
      <c r="Q152" s="89"/>
      <c r="R152" s="89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</row>
    <row r="153" spans="1:38" ht="24" customHeight="1" x14ac:dyDescent="0.2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8"/>
      <c r="N153" s="88"/>
      <c r="O153" s="8"/>
      <c r="P153" s="8"/>
      <c r="Q153" s="89"/>
      <c r="R153" s="89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</row>
    <row r="154" spans="1:38" ht="24" customHeight="1" x14ac:dyDescent="0.2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8"/>
      <c r="N154" s="88"/>
      <c r="O154" s="8"/>
      <c r="P154" s="8"/>
      <c r="Q154" s="89"/>
      <c r="R154" s="89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</row>
    <row r="155" spans="1:38" ht="24" customHeight="1" x14ac:dyDescent="0.2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8"/>
      <c r="N155" s="88"/>
      <c r="O155" s="8"/>
      <c r="P155" s="8"/>
      <c r="Q155" s="89"/>
      <c r="R155" s="89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</row>
    <row r="156" spans="1:38" ht="24" customHeight="1" x14ac:dyDescent="0.2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8"/>
      <c r="N156" s="88"/>
      <c r="O156" s="8"/>
      <c r="P156" s="8"/>
      <c r="Q156" s="89"/>
      <c r="R156" s="89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</row>
    <row r="157" spans="1:38" ht="24" customHeight="1" x14ac:dyDescent="0.2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8"/>
      <c r="N157" s="88"/>
      <c r="O157" s="8"/>
      <c r="P157" s="8"/>
      <c r="Q157" s="89"/>
      <c r="R157" s="89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</row>
    <row r="158" spans="1:38" ht="24" customHeight="1" x14ac:dyDescent="0.2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8"/>
      <c r="N158" s="88"/>
      <c r="O158" s="8"/>
      <c r="P158" s="8"/>
      <c r="Q158" s="89"/>
      <c r="R158" s="89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</row>
    <row r="159" spans="1:38" ht="24" customHeight="1" x14ac:dyDescent="0.2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8"/>
      <c r="N159" s="88"/>
      <c r="O159" s="8"/>
      <c r="P159" s="8"/>
      <c r="Q159" s="89"/>
      <c r="R159" s="89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</row>
    <row r="160" spans="1:38" ht="24" customHeight="1" x14ac:dyDescent="0.2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8"/>
      <c r="N160" s="88"/>
      <c r="O160" s="8"/>
      <c r="P160" s="8"/>
      <c r="Q160" s="89"/>
      <c r="R160" s="89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</row>
    <row r="161" spans="1:38" ht="24" customHeight="1" x14ac:dyDescent="0.2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8"/>
      <c r="N161" s="88"/>
      <c r="O161" s="8"/>
      <c r="P161" s="8"/>
      <c r="Q161" s="89"/>
      <c r="R161" s="89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</row>
    <row r="162" spans="1:38" ht="24" customHeight="1" x14ac:dyDescent="0.2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8"/>
      <c r="N162" s="88"/>
      <c r="O162" s="8"/>
      <c r="P162" s="8"/>
      <c r="Q162" s="89"/>
      <c r="R162" s="89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</row>
    <row r="163" spans="1:38" ht="24" customHeight="1" x14ac:dyDescent="0.2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8"/>
      <c r="N163" s="88"/>
      <c r="O163" s="8"/>
      <c r="P163" s="8"/>
      <c r="Q163" s="89"/>
      <c r="R163" s="89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</row>
    <row r="164" spans="1:38" ht="24" customHeight="1" x14ac:dyDescent="0.2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8"/>
      <c r="N164" s="88"/>
      <c r="O164" s="8"/>
      <c r="P164" s="8"/>
      <c r="Q164" s="89"/>
      <c r="R164" s="89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</row>
    <row r="165" spans="1:38" ht="24" customHeight="1" x14ac:dyDescent="0.2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8"/>
      <c r="N165" s="88"/>
      <c r="O165" s="8"/>
      <c r="P165" s="8"/>
      <c r="Q165" s="89"/>
      <c r="R165" s="89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</row>
    <row r="166" spans="1:38" ht="24" customHeight="1" x14ac:dyDescent="0.2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8"/>
      <c r="N166" s="88"/>
      <c r="O166" s="8"/>
      <c r="P166" s="8"/>
      <c r="Q166" s="89"/>
      <c r="R166" s="89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</row>
    <row r="167" spans="1:38" ht="24" customHeight="1" x14ac:dyDescent="0.2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8"/>
      <c r="N167" s="88"/>
      <c r="O167" s="8"/>
      <c r="P167" s="8"/>
      <c r="Q167" s="89"/>
      <c r="R167" s="89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</row>
    <row r="168" spans="1:38" ht="24" customHeight="1" x14ac:dyDescent="0.2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8"/>
      <c r="N168" s="88"/>
      <c r="O168" s="8"/>
      <c r="P168" s="8"/>
      <c r="Q168" s="89"/>
      <c r="R168" s="89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</row>
    <row r="169" spans="1:38" ht="24" customHeight="1" x14ac:dyDescent="0.2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8"/>
      <c r="N169" s="88"/>
      <c r="O169" s="8"/>
      <c r="P169" s="8"/>
      <c r="Q169" s="89"/>
      <c r="R169" s="89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</row>
    <row r="170" spans="1:38" ht="24" customHeight="1" x14ac:dyDescent="0.2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8"/>
      <c r="N170" s="88"/>
      <c r="O170" s="8"/>
      <c r="P170" s="8"/>
      <c r="Q170" s="89"/>
      <c r="R170" s="89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</row>
    <row r="171" spans="1:38" ht="24" customHeight="1" x14ac:dyDescent="0.2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8"/>
      <c r="N171" s="88"/>
      <c r="O171" s="8"/>
      <c r="P171" s="8"/>
      <c r="Q171" s="89"/>
      <c r="R171" s="89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</row>
    <row r="172" spans="1:38" ht="24" customHeight="1" x14ac:dyDescent="0.2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8"/>
      <c r="N172" s="88"/>
      <c r="O172" s="8"/>
      <c r="P172" s="8"/>
      <c r="Q172" s="89"/>
      <c r="R172" s="89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</row>
    <row r="173" spans="1:38" ht="24" customHeight="1" x14ac:dyDescent="0.2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8"/>
      <c r="N173" s="88"/>
      <c r="O173" s="8"/>
      <c r="P173" s="8"/>
      <c r="Q173" s="89"/>
      <c r="R173" s="89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</row>
    <row r="174" spans="1:38" ht="24" customHeight="1" x14ac:dyDescent="0.2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8"/>
      <c r="N174" s="88"/>
      <c r="O174" s="8"/>
      <c r="P174" s="8"/>
      <c r="Q174" s="89"/>
      <c r="R174" s="89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</row>
    <row r="175" spans="1:38" ht="24" customHeight="1" x14ac:dyDescent="0.2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8"/>
      <c r="N175" s="88"/>
      <c r="O175" s="8"/>
      <c r="P175" s="8"/>
      <c r="Q175" s="89"/>
      <c r="R175" s="89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</row>
    <row r="176" spans="1:38" ht="24" customHeight="1" x14ac:dyDescent="0.2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8"/>
      <c r="N176" s="88"/>
      <c r="O176" s="8"/>
      <c r="P176" s="8"/>
      <c r="Q176" s="89"/>
      <c r="R176" s="89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</row>
    <row r="177" spans="1:38" ht="24" customHeight="1" x14ac:dyDescent="0.2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8"/>
      <c r="N177" s="88"/>
      <c r="O177" s="8"/>
      <c r="P177" s="8"/>
      <c r="Q177" s="89"/>
      <c r="R177" s="89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</row>
    <row r="178" spans="1:38" ht="24" customHeight="1" x14ac:dyDescent="0.2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8"/>
      <c r="N178" s="88"/>
      <c r="O178" s="8"/>
      <c r="P178" s="8"/>
      <c r="Q178" s="89"/>
      <c r="R178" s="89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</row>
    <row r="179" spans="1:38" ht="24" customHeight="1" x14ac:dyDescent="0.2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8"/>
      <c r="N179" s="88"/>
      <c r="O179" s="8"/>
      <c r="P179" s="8"/>
      <c r="Q179" s="89"/>
      <c r="R179" s="89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</row>
    <row r="180" spans="1:38" ht="24" customHeight="1" x14ac:dyDescent="0.2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8"/>
      <c r="N180" s="88"/>
      <c r="O180" s="8"/>
      <c r="P180" s="8"/>
      <c r="Q180" s="89"/>
      <c r="R180" s="89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</row>
    <row r="181" spans="1:38" ht="24" customHeight="1" x14ac:dyDescent="0.2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8"/>
      <c r="N181" s="88"/>
      <c r="O181" s="8"/>
      <c r="P181" s="8"/>
      <c r="Q181" s="89"/>
      <c r="R181" s="89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</row>
    <row r="182" spans="1:38" ht="24" customHeight="1" x14ac:dyDescent="0.2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8"/>
      <c r="N182" s="88"/>
      <c r="O182" s="8"/>
      <c r="P182" s="8"/>
      <c r="Q182" s="89"/>
      <c r="R182" s="89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</row>
    <row r="183" spans="1:38" ht="24" customHeight="1" x14ac:dyDescent="0.2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8"/>
      <c r="N183" s="88"/>
      <c r="O183" s="8"/>
      <c r="P183" s="8"/>
      <c r="Q183" s="89"/>
      <c r="R183" s="89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</row>
    <row r="184" spans="1:38" ht="24" customHeight="1" x14ac:dyDescent="0.2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8"/>
      <c r="N184" s="88"/>
      <c r="O184" s="8"/>
      <c r="P184" s="8"/>
      <c r="Q184" s="89"/>
      <c r="R184" s="89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</row>
    <row r="185" spans="1:38" ht="24" customHeight="1" x14ac:dyDescent="0.2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8"/>
      <c r="N185" s="88"/>
      <c r="O185" s="8"/>
      <c r="P185" s="8"/>
      <c r="Q185" s="89"/>
      <c r="R185" s="89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</row>
    <row r="186" spans="1:38" ht="24" customHeight="1" x14ac:dyDescent="0.2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8"/>
      <c r="N186" s="88"/>
      <c r="O186" s="8"/>
      <c r="P186" s="8"/>
      <c r="Q186" s="89"/>
      <c r="R186" s="89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</row>
    <row r="187" spans="1:38" ht="24" customHeight="1" x14ac:dyDescent="0.2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8"/>
      <c r="N187" s="88"/>
      <c r="O187" s="8"/>
      <c r="P187" s="8"/>
      <c r="Q187" s="89"/>
      <c r="R187" s="89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</row>
    <row r="188" spans="1:38" ht="24" customHeight="1" x14ac:dyDescent="0.2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8"/>
      <c r="N188" s="88"/>
      <c r="O188" s="8"/>
      <c r="P188" s="8"/>
      <c r="Q188" s="89"/>
      <c r="R188" s="89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</row>
    <row r="189" spans="1:38" ht="24" customHeight="1" x14ac:dyDescent="0.2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8"/>
      <c r="N189" s="88"/>
      <c r="O189" s="8"/>
      <c r="P189" s="8"/>
      <c r="Q189" s="89"/>
      <c r="R189" s="89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</row>
    <row r="190" spans="1:38" ht="24" customHeight="1" x14ac:dyDescent="0.2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8"/>
      <c r="N190" s="88"/>
      <c r="O190" s="8"/>
      <c r="P190" s="8"/>
      <c r="Q190" s="89"/>
      <c r="R190" s="89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</row>
    <row r="191" spans="1:38" ht="24" customHeight="1" x14ac:dyDescent="0.2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8"/>
      <c r="N191" s="88"/>
      <c r="O191" s="8"/>
      <c r="P191" s="8"/>
      <c r="Q191" s="89"/>
      <c r="R191" s="89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</row>
    <row r="192" spans="1:38" ht="24" customHeight="1" x14ac:dyDescent="0.2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8"/>
      <c r="N192" s="88"/>
      <c r="O192" s="8"/>
      <c r="P192" s="8"/>
      <c r="Q192" s="89"/>
      <c r="R192" s="89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</row>
    <row r="193" spans="1:38" ht="24" customHeight="1" x14ac:dyDescent="0.2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8"/>
      <c r="N193" s="88"/>
      <c r="O193" s="8"/>
      <c r="P193" s="8"/>
      <c r="Q193" s="89"/>
      <c r="R193" s="89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</row>
    <row r="194" spans="1:38" ht="24" customHeight="1" x14ac:dyDescent="0.2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8"/>
      <c r="N194" s="88"/>
      <c r="O194" s="8"/>
      <c r="P194" s="8"/>
      <c r="Q194" s="89"/>
      <c r="R194" s="89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</row>
    <row r="195" spans="1:38" ht="24" customHeight="1" x14ac:dyDescent="0.2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8"/>
      <c r="N195" s="88"/>
      <c r="O195" s="8"/>
      <c r="P195" s="8"/>
      <c r="Q195" s="89"/>
      <c r="R195" s="89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</row>
    <row r="196" spans="1:38" ht="24" customHeight="1" x14ac:dyDescent="0.2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8"/>
      <c r="N196" s="88"/>
      <c r="O196" s="8"/>
      <c r="P196" s="8"/>
      <c r="Q196" s="89"/>
      <c r="R196" s="89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</row>
    <row r="197" spans="1:38" ht="24" customHeight="1" x14ac:dyDescent="0.2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8"/>
      <c r="N197" s="88"/>
      <c r="O197" s="8"/>
      <c r="P197" s="8"/>
      <c r="Q197" s="89"/>
      <c r="R197" s="89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</row>
    <row r="198" spans="1:38" ht="24" customHeight="1" x14ac:dyDescent="0.2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8"/>
      <c r="N198" s="88"/>
      <c r="O198" s="8"/>
      <c r="P198" s="8"/>
      <c r="Q198" s="89"/>
      <c r="R198" s="89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</row>
    <row r="199" spans="1:38" ht="24" customHeight="1" x14ac:dyDescent="0.2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8"/>
      <c r="N199" s="88"/>
      <c r="O199" s="8"/>
      <c r="P199" s="8"/>
      <c r="Q199" s="89"/>
      <c r="R199" s="89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</row>
    <row r="200" spans="1:38" ht="24" customHeight="1" x14ac:dyDescent="0.2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8"/>
      <c r="N200" s="88"/>
      <c r="O200" s="8"/>
      <c r="P200" s="8"/>
      <c r="Q200" s="89"/>
      <c r="R200" s="89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</row>
    <row r="201" spans="1:38" ht="24" customHeight="1" x14ac:dyDescent="0.2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8"/>
      <c r="N201" s="88"/>
      <c r="O201" s="8"/>
      <c r="P201" s="8"/>
      <c r="Q201" s="89"/>
      <c r="R201" s="89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</row>
    <row r="202" spans="1:38" ht="24" customHeight="1" x14ac:dyDescent="0.2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8"/>
      <c r="N202" s="88"/>
      <c r="O202" s="8"/>
      <c r="P202" s="8"/>
      <c r="Q202" s="89"/>
      <c r="R202" s="89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</row>
    <row r="203" spans="1:38" ht="24" customHeight="1" x14ac:dyDescent="0.2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8"/>
      <c r="N203" s="88"/>
      <c r="O203" s="8"/>
      <c r="P203" s="8"/>
      <c r="Q203" s="89"/>
      <c r="R203" s="89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</row>
    <row r="204" spans="1:38" ht="24" customHeight="1" x14ac:dyDescent="0.2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8"/>
      <c r="N204" s="88"/>
      <c r="O204" s="8"/>
      <c r="P204" s="8"/>
      <c r="Q204" s="89"/>
      <c r="R204" s="89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</row>
    <row r="205" spans="1:38" ht="24" customHeight="1" x14ac:dyDescent="0.2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8"/>
      <c r="N205" s="88"/>
      <c r="O205" s="8"/>
      <c r="P205" s="8"/>
      <c r="Q205" s="89"/>
      <c r="R205" s="89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</row>
    <row r="206" spans="1:38" ht="24" customHeight="1" x14ac:dyDescent="0.2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8"/>
      <c r="N206" s="88"/>
      <c r="O206" s="8"/>
      <c r="P206" s="8"/>
      <c r="Q206" s="89"/>
      <c r="R206" s="89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</row>
    <row r="207" spans="1:38" ht="24" customHeight="1" x14ac:dyDescent="0.2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8"/>
      <c r="N207" s="88"/>
      <c r="O207" s="8"/>
      <c r="P207" s="8"/>
      <c r="Q207" s="89"/>
      <c r="R207" s="89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</row>
    <row r="208" spans="1:38" ht="24" customHeight="1" x14ac:dyDescent="0.2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8"/>
      <c r="N208" s="88"/>
      <c r="O208" s="8"/>
      <c r="P208" s="8"/>
      <c r="Q208" s="89"/>
      <c r="R208" s="89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</row>
    <row r="209" spans="1:38" ht="24" customHeight="1" x14ac:dyDescent="0.2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8"/>
      <c r="N209" s="88"/>
      <c r="O209" s="8"/>
      <c r="P209" s="8"/>
      <c r="Q209" s="89"/>
      <c r="R209" s="89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</row>
    <row r="210" spans="1:38" ht="24" customHeight="1" x14ac:dyDescent="0.2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8"/>
      <c r="N210" s="88"/>
      <c r="O210" s="8"/>
      <c r="P210" s="8"/>
      <c r="Q210" s="89"/>
      <c r="R210" s="89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</row>
    <row r="211" spans="1:38" ht="24" customHeight="1" x14ac:dyDescent="0.2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8"/>
      <c r="N211" s="88"/>
      <c r="O211" s="8"/>
      <c r="P211" s="8"/>
      <c r="Q211" s="89"/>
      <c r="R211" s="89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</row>
    <row r="212" spans="1:38" ht="24" customHeight="1" x14ac:dyDescent="0.2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8"/>
      <c r="N212" s="88"/>
      <c r="O212" s="8"/>
      <c r="P212" s="8"/>
      <c r="Q212" s="89"/>
      <c r="R212" s="89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</row>
    <row r="213" spans="1:38" ht="24" customHeight="1" x14ac:dyDescent="0.2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8"/>
      <c r="N213" s="88"/>
      <c r="O213" s="8"/>
      <c r="P213" s="8"/>
      <c r="Q213" s="89"/>
      <c r="R213" s="89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</row>
    <row r="214" spans="1:38" ht="24" customHeight="1" x14ac:dyDescent="0.2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8"/>
      <c r="N214" s="88"/>
      <c r="O214" s="8"/>
      <c r="P214" s="8"/>
      <c r="Q214" s="89"/>
      <c r="R214" s="89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</row>
    <row r="215" spans="1:38" ht="24" customHeight="1" x14ac:dyDescent="0.2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8"/>
      <c r="N215" s="88"/>
      <c r="O215" s="8"/>
      <c r="P215" s="8"/>
      <c r="Q215" s="89"/>
      <c r="R215" s="89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</row>
    <row r="216" spans="1:38" ht="24" customHeight="1" x14ac:dyDescent="0.2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8"/>
      <c r="N216" s="88"/>
      <c r="O216" s="8"/>
      <c r="P216" s="8"/>
      <c r="Q216" s="89"/>
      <c r="R216" s="89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</row>
    <row r="217" spans="1:38" ht="24" customHeight="1" x14ac:dyDescent="0.2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8"/>
      <c r="N217" s="88"/>
      <c r="O217" s="8"/>
      <c r="P217" s="8"/>
      <c r="Q217" s="89"/>
      <c r="R217" s="89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</row>
    <row r="218" spans="1:38" ht="24" customHeight="1" x14ac:dyDescent="0.2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8"/>
      <c r="N218" s="88"/>
      <c r="O218" s="8"/>
      <c r="P218" s="8"/>
      <c r="Q218" s="89"/>
      <c r="R218" s="89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</row>
    <row r="219" spans="1:38" ht="24" customHeight="1" x14ac:dyDescent="0.2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8"/>
      <c r="N219" s="88"/>
      <c r="O219" s="8"/>
      <c r="P219" s="8"/>
      <c r="Q219" s="89"/>
      <c r="R219" s="89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</row>
    <row r="220" spans="1:38" ht="24" customHeight="1" x14ac:dyDescent="0.2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8"/>
      <c r="N220" s="88"/>
      <c r="O220" s="8"/>
      <c r="P220" s="8"/>
      <c r="Q220" s="89"/>
      <c r="R220" s="89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</row>
    <row r="221" spans="1:38" ht="24" customHeight="1" x14ac:dyDescent="0.2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8"/>
      <c r="N221" s="88"/>
      <c r="O221" s="8"/>
      <c r="P221" s="8"/>
      <c r="Q221" s="89"/>
      <c r="R221" s="89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</row>
    <row r="222" spans="1:38" ht="24" customHeight="1" x14ac:dyDescent="0.2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8"/>
      <c r="N222" s="88"/>
      <c r="O222" s="8"/>
      <c r="P222" s="8"/>
      <c r="Q222" s="89"/>
      <c r="R222" s="89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</row>
    <row r="223" spans="1:38" ht="24" customHeight="1" x14ac:dyDescent="0.2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8"/>
      <c r="N223" s="88"/>
      <c r="O223" s="8"/>
      <c r="P223" s="8"/>
      <c r="Q223" s="89"/>
      <c r="R223" s="89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</row>
    <row r="224" spans="1:38" ht="24" customHeight="1" x14ac:dyDescent="0.2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8"/>
      <c r="N224" s="88"/>
      <c r="O224" s="8"/>
      <c r="P224" s="8"/>
      <c r="Q224" s="89"/>
      <c r="R224" s="89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</row>
    <row r="225" spans="1:38" ht="24" customHeight="1" x14ac:dyDescent="0.2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8"/>
      <c r="N225" s="88"/>
      <c r="O225" s="8"/>
      <c r="P225" s="8"/>
      <c r="Q225" s="89"/>
      <c r="R225" s="89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</row>
    <row r="226" spans="1:38" ht="24" customHeight="1" x14ac:dyDescent="0.2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8"/>
      <c r="N226" s="88"/>
      <c r="O226" s="8"/>
      <c r="P226" s="8"/>
      <c r="Q226" s="89"/>
      <c r="R226" s="89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</row>
    <row r="227" spans="1:38" ht="24" customHeight="1" x14ac:dyDescent="0.2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8"/>
      <c r="N227" s="88"/>
      <c r="O227" s="8"/>
      <c r="P227" s="8"/>
      <c r="Q227" s="89"/>
      <c r="R227" s="89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</row>
    <row r="228" spans="1:38" ht="24" customHeight="1" x14ac:dyDescent="0.2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8"/>
      <c r="N228" s="88"/>
      <c r="O228" s="8"/>
      <c r="P228" s="8"/>
      <c r="Q228" s="89"/>
      <c r="R228" s="89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</row>
    <row r="229" spans="1:38" ht="24" customHeight="1" x14ac:dyDescent="0.2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8"/>
      <c r="N229" s="88"/>
      <c r="O229" s="8"/>
      <c r="P229" s="8"/>
      <c r="Q229" s="89"/>
      <c r="R229" s="89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</row>
    <row r="230" spans="1:38" ht="24" customHeight="1" x14ac:dyDescent="0.2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8"/>
      <c r="N230" s="88"/>
      <c r="O230" s="8"/>
      <c r="P230" s="8"/>
      <c r="Q230" s="89"/>
      <c r="R230" s="89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</row>
    <row r="231" spans="1:38" ht="24" customHeight="1" x14ac:dyDescent="0.2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8"/>
      <c r="N231" s="88"/>
      <c r="O231" s="8"/>
      <c r="P231" s="8"/>
      <c r="Q231" s="89"/>
      <c r="R231" s="89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</row>
    <row r="232" spans="1:38" ht="24" customHeight="1" x14ac:dyDescent="0.2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8"/>
      <c r="N232" s="88"/>
      <c r="O232" s="8"/>
      <c r="P232" s="8"/>
      <c r="Q232" s="89"/>
      <c r="R232" s="89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</row>
    <row r="233" spans="1:38" ht="24" customHeight="1" x14ac:dyDescent="0.2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8"/>
      <c r="N233" s="88"/>
      <c r="O233" s="8"/>
      <c r="P233" s="8"/>
      <c r="Q233" s="89"/>
      <c r="R233" s="89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</row>
    <row r="234" spans="1:38" ht="24" customHeight="1" x14ac:dyDescent="0.2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8"/>
      <c r="N234" s="88"/>
      <c r="O234" s="8"/>
      <c r="P234" s="8"/>
      <c r="Q234" s="89"/>
      <c r="R234" s="89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</row>
    <row r="235" spans="1:38" ht="24" customHeight="1" x14ac:dyDescent="0.2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8"/>
      <c r="N235" s="88"/>
      <c r="O235" s="8"/>
      <c r="P235" s="8"/>
      <c r="Q235" s="89"/>
      <c r="R235" s="89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</row>
    <row r="236" spans="1:38" ht="24" customHeight="1" x14ac:dyDescent="0.2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8"/>
      <c r="N236" s="88"/>
      <c r="O236" s="8"/>
      <c r="P236" s="8"/>
      <c r="Q236" s="89"/>
      <c r="R236" s="89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</row>
    <row r="237" spans="1:38" ht="24" customHeight="1" x14ac:dyDescent="0.2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8"/>
      <c r="N237" s="88"/>
      <c r="O237" s="8"/>
      <c r="P237" s="8"/>
      <c r="Q237" s="89"/>
      <c r="R237" s="89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</row>
    <row r="238" spans="1:38" ht="24" customHeight="1" x14ac:dyDescent="0.2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8"/>
      <c r="N238" s="88"/>
      <c r="O238" s="8"/>
      <c r="P238" s="8"/>
      <c r="Q238" s="89"/>
      <c r="R238" s="89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</row>
    <row r="239" spans="1:38" ht="24" customHeight="1" x14ac:dyDescent="0.2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8"/>
      <c r="N239" s="88"/>
      <c r="O239" s="8"/>
      <c r="P239" s="8"/>
      <c r="Q239" s="89"/>
      <c r="R239" s="89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</row>
    <row r="240" spans="1:38" ht="24" customHeight="1" x14ac:dyDescent="0.2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8"/>
      <c r="N240" s="88"/>
      <c r="O240" s="8"/>
      <c r="P240" s="8"/>
      <c r="Q240" s="89"/>
      <c r="R240" s="89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</row>
    <row r="241" spans="1:38" ht="24" customHeight="1" x14ac:dyDescent="0.2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8"/>
      <c r="N241" s="88"/>
      <c r="O241" s="8"/>
      <c r="P241" s="8"/>
      <c r="Q241" s="89"/>
      <c r="R241" s="89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</row>
    <row r="242" spans="1:38" ht="24" customHeight="1" x14ac:dyDescent="0.2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8"/>
      <c r="N242" s="88"/>
      <c r="O242" s="8"/>
      <c r="P242" s="8"/>
      <c r="Q242" s="89"/>
      <c r="R242" s="89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</row>
    <row r="243" spans="1:38" ht="24" customHeight="1" x14ac:dyDescent="0.2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8"/>
      <c r="N243" s="88"/>
      <c r="O243" s="8"/>
      <c r="P243" s="8"/>
      <c r="Q243" s="89"/>
      <c r="R243" s="89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</row>
    <row r="244" spans="1:38" ht="24" customHeight="1" x14ac:dyDescent="0.2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8"/>
      <c r="N244" s="88"/>
      <c r="O244" s="8"/>
      <c r="P244" s="8"/>
      <c r="Q244" s="89"/>
      <c r="R244" s="89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</row>
    <row r="245" spans="1:38" ht="24" customHeight="1" x14ac:dyDescent="0.2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8"/>
      <c r="N245" s="88"/>
      <c r="O245" s="8"/>
      <c r="P245" s="8"/>
      <c r="Q245" s="89"/>
      <c r="R245" s="89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</row>
    <row r="246" spans="1:38" ht="24" customHeight="1" x14ac:dyDescent="0.2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8"/>
      <c r="N246" s="88"/>
      <c r="O246" s="8"/>
      <c r="P246" s="8"/>
      <c r="Q246" s="89"/>
      <c r="R246" s="89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</row>
    <row r="247" spans="1:38" ht="24" customHeight="1" x14ac:dyDescent="0.2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8"/>
      <c r="N247" s="88"/>
      <c r="O247" s="8"/>
      <c r="P247" s="8"/>
      <c r="Q247" s="89"/>
      <c r="R247" s="89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</row>
    <row r="248" spans="1:38" ht="24" customHeight="1" x14ac:dyDescent="0.2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8"/>
      <c r="N248" s="88"/>
      <c r="O248" s="8"/>
      <c r="P248" s="8"/>
      <c r="Q248" s="89"/>
      <c r="R248" s="89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</row>
    <row r="249" spans="1:38" ht="24" customHeight="1" x14ac:dyDescent="0.2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8"/>
      <c r="N249" s="88"/>
      <c r="O249" s="8"/>
      <c r="P249" s="8"/>
      <c r="Q249" s="89"/>
      <c r="R249" s="89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</row>
    <row r="250" spans="1:38" ht="24" customHeight="1" x14ac:dyDescent="0.2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8"/>
      <c r="N250" s="88"/>
      <c r="O250" s="8"/>
      <c r="P250" s="8"/>
      <c r="Q250" s="89"/>
      <c r="R250" s="89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</row>
    <row r="251" spans="1:38" ht="24" customHeight="1" x14ac:dyDescent="0.2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8"/>
      <c r="N251" s="88"/>
      <c r="O251" s="8"/>
      <c r="P251" s="8"/>
      <c r="Q251" s="89"/>
      <c r="R251" s="89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</row>
    <row r="252" spans="1:38" ht="24" customHeight="1" x14ac:dyDescent="0.2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8"/>
      <c r="N252" s="88"/>
      <c r="O252" s="8"/>
      <c r="P252" s="8"/>
      <c r="Q252" s="89"/>
      <c r="R252" s="89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</row>
    <row r="253" spans="1:38" ht="24" customHeight="1" x14ac:dyDescent="0.2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8"/>
      <c r="N253" s="88"/>
      <c r="O253" s="8"/>
      <c r="P253" s="8"/>
      <c r="Q253" s="89"/>
      <c r="R253" s="89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</row>
    <row r="254" spans="1:38" ht="24" customHeight="1" x14ac:dyDescent="0.2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8"/>
      <c r="N254" s="88"/>
      <c r="O254" s="8"/>
      <c r="P254" s="8"/>
      <c r="Q254" s="89"/>
      <c r="R254" s="89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</row>
    <row r="255" spans="1:38" ht="24" customHeight="1" x14ac:dyDescent="0.2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8"/>
      <c r="N255" s="88"/>
      <c r="O255" s="8"/>
      <c r="P255" s="8"/>
      <c r="Q255" s="89"/>
      <c r="R255" s="89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</row>
    <row r="256" spans="1:38" ht="24" customHeight="1" x14ac:dyDescent="0.2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8"/>
      <c r="N256" s="88"/>
      <c r="O256" s="8"/>
      <c r="P256" s="8"/>
      <c r="Q256" s="89"/>
      <c r="R256" s="89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</row>
    <row r="257" spans="1:38" ht="24" customHeight="1" x14ac:dyDescent="0.2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8"/>
      <c r="N257" s="88"/>
      <c r="O257" s="8"/>
      <c r="P257" s="8"/>
      <c r="Q257" s="89"/>
      <c r="R257" s="89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</row>
    <row r="258" spans="1:38" ht="24" customHeight="1" x14ac:dyDescent="0.2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8"/>
      <c r="N258" s="88"/>
      <c r="O258" s="8"/>
      <c r="P258" s="8"/>
      <c r="Q258" s="89"/>
      <c r="R258" s="89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</row>
    <row r="259" spans="1:38" ht="24" customHeight="1" x14ac:dyDescent="0.2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8"/>
      <c r="N259" s="88"/>
      <c r="O259" s="8"/>
      <c r="P259" s="8"/>
      <c r="Q259" s="89"/>
      <c r="R259" s="89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</row>
    <row r="260" spans="1:38" ht="24" customHeight="1" x14ac:dyDescent="0.2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8"/>
      <c r="N260" s="88"/>
      <c r="O260" s="8"/>
      <c r="P260" s="8"/>
      <c r="Q260" s="89"/>
      <c r="R260" s="89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</row>
    <row r="261" spans="1:38" ht="24" customHeight="1" x14ac:dyDescent="0.2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8"/>
      <c r="N261" s="88"/>
      <c r="O261" s="8"/>
      <c r="P261" s="8"/>
      <c r="Q261" s="89"/>
      <c r="R261" s="89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</row>
    <row r="262" spans="1:38" ht="24" customHeight="1" x14ac:dyDescent="0.2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8"/>
      <c r="N262" s="88"/>
      <c r="O262" s="8"/>
      <c r="P262" s="8"/>
      <c r="Q262" s="89"/>
      <c r="R262" s="89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</row>
    <row r="263" spans="1:38" ht="24" customHeight="1" x14ac:dyDescent="0.2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8"/>
      <c r="N263" s="88"/>
      <c r="O263" s="8"/>
      <c r="P263" s="8"/>
      <c r="Q263" s="89"/>
      <c r="R263" s="89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</row>
    <row r="264" spans="1:38" ht="24" customHeight="1" x14ac:dyDescent="0.2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8"/>
      <c r="N264" s="88"/>
      <c r="O264" s="8"/>
      <c r="P264" s="8"/>
      <c r="Q264" s="89"/>
      <c r="R264" s="89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</row>
    <row r="265" spans="1:38" ht="24" customHeight="1" x14ac:dyDescent="0.2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8"/>
      <c r="N265" s="88"/>
      <c r="O265" s="8"/>
      <c r="P265" s="8"/>
      <c r="Q265" s="89"/>
      <c r="R265" s="89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</row>
    <row r="266" spans="1:38" ht="24" customHeight="1" x14ac:dyDescent="0.2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8"/>
      <c r="N266" s="88"/>
      <c r="O266" s="8"/>
      <c r="P266" s="8"/>
      <c r="Q266" s="89"/>
      <c r="R266" s="89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</row>
    <row r="267" spans="1:38" ht="24" customHeight="1" x14ac:dyDescent="0.2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8"/>
      <c r="N267" s="88"/>
      <c r="O267" s="8"/>
      <c r="P267" s="8"/>
      <c r="Q267" s="89"/>
      <c r="R267" s="89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</row>
    <row r="268" spans="1:38" ht="24" customHeight="1" x14ac:dyDescent="0.2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8"/>
      <c r="N268" s="88"/>
      <c r="O268" s="8"/>
      <c r="P268" s="8"/>
      <c r="Q268" s="89"/>
      <c r="R268" s="89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</row>
    <row r="269" spans="1:38" ht="24" customHeight="1" x14ac:dyDescent="0.2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8"/>
      <c r="N269" s="88"/>
      <c r="O269" s="8"/>
      <c r="P269" s="8"/>
      <c r="Q269" s="89"/>
      <c r="R269" s="89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</row>
    <row r="270" spans="1:38" ht="24" customHeight="1" x14ac:dyDescent="0.2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8"/>
      <c r="N270" s="88"/>
      <c r="O270" s="8"/>
      <c r="P270" s="8"/>
      <c r="Q270" s="89"/>
      <c r="R270" s="89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</row>
    <row r="271" spans="1:38" ht="24" customHeight="1" x14ac:dyDescent="0.2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8"/>
      <c r="N271" s="88"/>
      <c r="O271" s="8"/>
      <c r="P271" s="8"/>
      <c r="Q271" s="89"/>
      <c r="R271" s="89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</row>
    <row r="272" spans="1:38" ht="24" customHeight="1" x14ac:dyDescent="0.2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8"/>
      <c r="N272" s="88"/>
      <c r="O272" s="8"/>
      <c r="P272" s="8"/>
      <c r="Q272" s="89"/>
      <c r="R272" s="89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</row>
    <row r="273" spans="1:38" ht="24" customHeight="1" x14ac:dyDescent="0.2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8"/>
      <c r="N273" s="88"/>
      <c r="O273" s="8"/>
      <c r="P273" s="8"/>
      <c r="Q273" s="89"/>
      <c r="R273" s="89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</row>
    <row r="274" spans="1:38" ht="24" customHeight="1" x14ac:dyDescent="0.2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8"/>
      <c r="N274" s="88"/>
      <c r="O274" s="8"/>
      <c r="P274" s="8"/>
      <c r="Q274" s="89"/>
      <c r="R274" s="89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</row>
    <row r="275" spans="1:38" ht="24" customHeight="1" x14ac:dyDescent="0.2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8"/>
      <c r="N275" s="88"/>
      <c r="O275" s="8"/>
      <c r="P275" s="8"/>
      <c r="Q275" s="89"/>
      <c r="R275" s="89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</row>
    <row r="276" spans="1:38" ht="24" customHeight="1" x14ac:dyDescent="0.2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8"/>
      <c r="N276" s="88"/>
      <c r="O276" s="8"/>
      <c r="P276" s="8"/>
      <c r="Q276" s="89"/>
      <c r="R276" s="89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</row>
    <row r="277" spans="1:38" ht="24" customHeight="1" x14ac:dyDescent="0.2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8"/>
      <c r="N277" s="88"/>
      <c r="O277" s="8"/>
      <c r="P277" s="8"/>
      <c r="Q277" s="89"/>
      <c r="R277" s="89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</row>
    <row r="278" spans="1:38" ht="24" customHeight="1" x14ac:dyDescent="0.2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8"/>
      <c r="N278" s="88"/>
      <c r="O278" s="8"/>
      <c r="P278" s="8"/>
      <c r="Q278" s="89"/>
      <c r="R278" s="89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</row>
    <row r="279" spans="1:38" ht="24" customHeight="1" x14ac:dyDescent="0.2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8"/>
      <c r="N279" s="88"/>
      <c r="O279" s="8"/>
      <c r="P279" s="8"/>
      <c r="Q279" s="89"/>
      <c r="R279" s="89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</row>
    <row r="280" spans="1:38" ht="24" customHeight="1" x14ac:dyDescent="0.2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8"/>
      <c r="N280" s="88"/>
      <c r="O280" s="8"/>
      <c r="P280" s="8"/>
      <c r="Q280" s="89"/>
      <c r="R280" s="89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</row>
    <row r="281" spans="1:38" ht="24" customHeight="1" x14ac:dyDescent="0.2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8"/>
      <c r="N281" s="88"/>
      <c r="O281" s="8"/>
      <c r="P281" s="8"/>
      <c r="Q281" s="89"/>
      <c r="R281" s="89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</row>
    <row r="282" spans="1:38" ht="24" customHeight="1" x14ac:dyDescent="0.2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8"/>
      <c r="N282" s="88"/>
      <c r="O282" s="8"/>
      <c r="P282" s="8"/>
      <c r="Q282" s="89"/>
      <c r="R282" s="89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</row>
    <row r="283" spans="1:38" ht="24" customHeight="1" x14ac:dyDescent="0.2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8"/>
      <c r="N283" s="88"/>
      <c r="O283" s="8"/>
      <c r="P283" s="8"/>
      <c r="Q283" s="89"/>
      <c r="R283" s="89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</row>
    <row r="284" spans="1:38" ht="24" customHeight="1" x14ac:dyDescent="0.2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8"/>
      <c r="N284" s="88"/>
      <c r="O284" s="8"/>
      <c r="P284" s="8"/>
      <c r="Q284" s="89"/>
      <c r="R284" s="89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</row>
    <row r="285" spans="1:38" ht="24" customHeight="1" x14ac:dyDescent="0.2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8"/>
      <c r="N285" s="88"/>
      <c r="O285" s="8"/>
      <c r="P285" s="8"/>
      <c r="Q285" s="89"/>
      <c r="R285" s="89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</row>
    <row r="286" spans="1:38" ht="24" customHeight="1" x14ac:dyDescent="0.2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8"/>
      <c r="N286" s="88"/>
      <c r="O286" s="8"/>
      <c r="P286" s="8"/>
      <c r="Q286" s="89"/>
      <c r="R286" s="89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</row>
    <row r="287" spans="1:38" ht="24" customHeight="1" x14ac:dyDescent="0.2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8"/>
      <c r="N287" s="88"/>
      <c r="O287" s="8"/>
      <c r="P287" s="8"/>
      <c r="Q287" s="89"/>
      <c r="R287" s="89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</row>
    <row r="288" spans="1:38" ht="24" customHeight="1" x14ac:dyDescent="0.2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8"/>
      <c r="N288" s="88"/>
      <c r="O288" s="8"/>
      <c r="P288" s="8"/>
      <c r="Q288" s="89"/>
      <c r="R288" s="89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</row>
    <row r="289" spans="1:38" ht="24" customHeight="1" x14ac:dyDescent="0.2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8"/>
      <c r="N289" s="88"/>
      <c r="O289" s="8"/>
      <c r="P289" s="8"/>
      <c r="Q289" s="89"/>
      <c r="R289" s="89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</row>
    <row r="290" spans="1:38" ht="24" customHeight="1" x14ac:dyDescent="0.2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8"/>
      <c r="N290" s="88"/>
      <c r="O290" s="8"/>
      <c r="P290" s="8"/>
      <c r="Q290" s="89"/>
      <c r="R290" s="89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</row>
    <row r="291" spans="1:38" ht="24" customHeight="1" x14ac:dyDescent="0.2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8"/>
      <c r="N291" s="88"/>
      <c r="O291" s="8"/>
      <c r="P291" s="8"/>
      <c r="Q291" s="89"/>
      <c r="R291" s="89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</row>
    <row r="292" spans="1:38" ht="24" customHeight="1" x14ac:dyDescent="0.2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8"/>
      <c r="N292" s="88"/>
      <c r="O292" s="8"/>
      <c r="P292" s="8"/>
      <c r="Q292" s="89"/>
      <c r="R292" s="89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</row>
    <row r="293" spans="1:38" ht="24" customHeight="1" x14ac:dyDescent="0.2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8"/>
      <c r="N293" s="88"/>
      <c r="O293" s="8"/>
      <c r="P293" s="8"/>
      <c r="Q293" s="89"/>
      <c r="R293" s="89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</row>
    <row r="294" spans="1:38" ht="24" customHeight="1" x14ac:dyDescent="0.2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8"/>
      <c r="N294" s="88"/>
      <c r="O294" s="8"/>
      <c r="P294" s="8"/>
      <c r="Q294" s="89"/>
      <c r="R294" s="89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</row>
    <row r="295" spans="1:38" ht="24" customHeight="1" x14ac:dyDescent="0.2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8"/>
      <c r="N295" s="88"/>
      <c r="O295" s="8"/>
      <c r="P295" s="8"/>
      <c r="Q295" s="89"/>
      <c r="R295" s="89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</row>
    <row r="296" spans="1:38" ht="24" customHeight="1" x14ac:dyDescent="0.2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8"/>
      <c r="N296" s="88"/>
      <c r="O296" s="8"/>
      <c r="P296" s="8"/>
      <c r="Q296" s="89"/>
      <c r="R296" s="89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</row>
    <row r="297" spans="1:38" ht="24" customHeight="1" x14ac:dyDescent="0.2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8"/>
      <c r="N297" s="88"/>
      <c r="O297" s="8"/>
      <c r="P297" s="8"/>
      <c r="Q297" s="89"/>
      <c r="R297" s="89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</row>
    <row r="298" spans="1:38" ht="24" customHeight="1" x14ac:dyDescent="0.2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8"/>
      <c r="N298" s="88"/>
      <c r="O298" s="8"/>
      <c r="P298" s="8"/>
      <c r="Q298" s="89"/>
      <c r="R298" s="89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</row>
    <row r="299" spans="1:38" ht="24" customHeight="1" x14ac:dyDescent="0.2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8"/>
      <c r="N299" s="88"/>
      <c r="O299" s="8"/>
      <c r="P299" s="8"/>
      <c r="Q299" s="89"/>
      <c r="R299" s="89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</row>
    <row r="300" spans="1:38" ht="24" customHeight="1" x14ac:dyDescent="0.2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8"/>
      <c r="N300" s="88"/>
      <c r="O300" s="8"/>
      <c r="P300" s="8"/>
      <c r="Q300" s="89"/>
      <c r="R300" s="89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</row>
    <row r="301" spans="1:38" ht="24" customHeight="1" x14ac:dyDescent="0.2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8"/>
      <c r="N301" s="88"/>
      <c r="O301" s="8"/>
      <c r="P301" s="8"/>
      <c r="Q301" s="89"/>
      <c r="R301" s="89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</row>
    <row r="302" spans="1:38" ht="24" customHeight="1" x14ac:dyDescent="0.2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8"/>
      <c r="N302" s="88"/>
      <c r="O302" s="8"/>
      <c r="P302" s="8"/>
      <c r="Q302" s="89"/>
      <c r="R302" s="89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</row>
    <row r="303" spans="1:38" ht="24" customHeight="1" x14ac:dyDescent="0.2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8"/>
      <c r="N303" s="88"/>
      <c r="O303" s="8"/>
      <c r="P303" s="8"/>
      <c r="Q303" s="89"/>
      <c r="R303" s="89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</row>
    <row r="304" spans="1:38" ht="24" customHeight="1" x14ac:dyDescent="0.2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8"/>
      <c r="N304" s="88"/>
      <c r="O304" s="8"/>
      <c r="P304" s="8"/>
      <c r="Q304" s="89"/>
      <c r="R304" s="89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</row>
    <row r="305" spans="1:38" ht="24" customHeight="1" x14ac:dyDescent="0.2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8"/>
      <c r="N305" s="88"/>
      <c r="O305" s="8"/>
      <c r="P305" s="8"/>
      <c r="Q305" s="89"/>
      <c r="R305" s="89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</row>
    <row r="306" spans="1:38" ht="24" customHeight="1" x14ac:dyDescent="0.2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8"/>
      <c r="N306" s="88"/>
      <c r="O306" s="8"/>
      <c r="P306" s="8"/>
      <c r="Q306" s="89"/>
      <c r="R306" s="89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</row>
    <row r="307" spans="1:38" ht="24" customHeight="1" x14ac:dyDescent="0.2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8"/>
      <c r="N307" s="88"/>
      <c r="O307" s="8"/>
      <c r="P307" s="8"/>
      <c r="Q307" s="89"/>
      <c r="R307" s="89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</row>
    <row r="308" spans="1:38" ht="24" customHeight="1" x14ac:dyDescent="0.2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8"/>
      <c r="N308" s="88"/>
      <c r="O308" s="8"/>
      <c r="P308" s="8"/>
      <c r="Q308" s="89"/>
      <c r="R308" s="89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</row>
    <row r="309" spans="1:38" ht="24" customHeight="1" x14ac:dyDescent="0.2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8"/>
      <c r="N309" s="88"/>
      <c r="O309" s="8"/>
      <c r="P309" s="8"/>
      <c r="Q309" s="89"/>
      <c r="R309" s="89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</row>
    <row r="310" spans="1:38" ht="24" customHeight="1" x14ac:dyDescent="0.2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8"/>
      <c r="N310" s="88"/>
      <c r="O310" s="8"/>
      <c r="P310" s="8"/>
      <c r="Q310" s="89"/>
      <c r="R310" s="89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</row>
    <row r="311" spans="1:38" ht="24" customHeight="1" x14ac:dyDescent="0.2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8"/>
      <c r="N311" s="88"/>
      <c r="O311" s="8"/>
      <c r="P311" s="8"/>
      <c r="Q311" s="89"/>
      <c r="R311" s="89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</row>
    <row r="312" spans="1:38" ht="24" customHeight="1" x14ac:dyDescent="0.2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8"/>
      <c r="N312" s="88"/>
      <c r="O312" s="8"/>
      <c r="P312" s="8"/>
      <c r="Q312" s="89"/>
      <c r="R312" s="89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</row>
    <row r="313" spans="1:38" ht="24" customHeight="1" x14ac:dyDescent="0.2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8"/>
      <c r="N313" s="88"/>
      <c r="O313" s="8"/>
      <c r="P313" s="8"/>
      <c r="Q313" s="89"/>
      <c r="R313" s="89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</row>
    <row r="314" spans="1:38" ht="12.75" x14ac:dyDescent="0.2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8"/>
      <c r="N314" s="88"/>
      <c r="O314" s="8"/>
      <c r="P314" s="8"/>
      <c r="Q314" s="89"/>
      <c r="R314" s="89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</row>
    <row r="315" spans="1:38" ht="12.75" x14ac:dyDescent="0.2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8"/>
      <c r="N315" s="88"/>
      <c r="O315" s="8"/>
      <c r="P315" s="8"/>
      <c r="Q315" s="89"/>
      <c r="R315" s="89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</row>
    <row r="316" spans="1:38" ht="12.75" x14ac:dyDescent="0.2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8"/>
      <c r="N316" s="88"/>
      <c r="O316" s="8"/>
      <c r="P316" s="8"/>
      <c r="Q316" s="89"/>
      <c r="R316" s="89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</row>
    <row r="317" spans="1:38" ht="12.75" x14ac:dyDescent="0.2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8"/>
      <c r="N317" s="88"/>
      <c r="O317" s="8"/>
      <c r="P317" s="8"/>
      <c r="Q317" s="89"/>
      <c r="R317" s="89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</row>
    <row r="318" spans="1:38" ht="12.75" x14ac:dyDescent="0.2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8"/>
      <c r="N318" s="88"/>
      <c r="O318" s="8"/>
      <c r="P318" s="8"/>
      <c r="Q318" s="89"/>
      <c r="R318" s="89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</row>
    <row r="319" spans="1:38" ht="12.75" x14ac:dyDescent="0.2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8"/>
      <c r="N319" s="88"/>
      <c r="O319" s="8"/>
      <c r="P319" s="8"/>
      <c r="Q319" s="89"/>
      <c r="R319" s="89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</row>
    <row r="320" spans="1:38" ht="12.75" x14ac:dyDescent="0.2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8"/>
      <c r="N320" s="88"/>
      <c r="O320" s="8"/>
      <c r="P320" s="8"/>
      <c r="Q320" s="89"/>
      <c r="R320" s="89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</row>
    <row r="321" spans="1:38" ht="12.75" x14ac:dyDescent="0.2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8"/>
      <c r="N321" s="88"/>
      <c r="O321" s="8"/>
      <c r="P321" s="8"/>
      <c r="Q321" s="89"/>
      <c r="R321" s="89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</row>
    <row r="322" spans="1:38" ht="12.75" x14ac:dyDescent="0.2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8"/>
      <c r="N322" s="88"/>
      <c r="O322" s="8"/>
      <c r="P322" s="8"/>
      <c r="Q322" s="89"/>
      <c r="R322" s="89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</row>
    <row r="323" spans="1:38" ht="12.75" x14ac:dyDescent="0.2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8"/>
      <c r="N323" s="88"/>
      <c r="O323" s="8"/>
      <c r="P323" s="8"/>
      <c r="Q323" s="89"/>
      <c r="R323" s="89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</row>
    <row r="324" spans="1:38" ht="12.75" x14ac:dyDescent="0.2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8"/>
      <c r="N324" s="88"/>
      <c r="O324" s="8"/>
      <c r="P324" s="8"/>
      <c r="Q324" s="89"/>
      <c r="R324" s="89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</row>
    <row r="325" spans="1:38" ht="12.75" x14ac:dyDescent="0.2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8"/>
      <c r="N325" s="88"/>
      <c r="O325" s="8"/>
      <c r="P325" s="8"/>
      <c r="Q325" s="89"/>
      <c r="R325" s="89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</row>
    <row r="326" spans="1:38" ht="12.75" x14ac:dyDescent="0.2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8"/>
      <c r="N326" s="88"/>
      <c r="O326" s="8"/>
      <c r="P326" s="8"/>
      <c r="Q326" s="89"/>
      <c r="R326" s="89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</row>
    <row r="327" spans="1:38" ht="12.75" x14ac:dyDescent="0.2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8"/>
      <c r="N327" s="88"/>
      <c r="O327" s="8"/>
      <c r="P327" s="8"/>
      <c r="Q327" s="89"/>
      <c r="R327" s="89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</row>
    <row r="328" spans="1:38" ht="12.75" x14ac:dyDescent="0.2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8"/>
      <c r="N328" s="88"/>
      <c r="O328" s="8"/>
      <c r="P328" s="8"/>
      <c r="Q328" s="89"/>
      <c r="R328" s="89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</row>
    <row r="329" spans="1:38" ht="12.75" x14ac:dyDescent="0.2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8"/>
      <c r="N329" s="88"/>
      <c r="O329" s="8"/>
      <c r="P329" s="8"/>
      <c r="Q329" s="89"/>
      <c r="R329" s="89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</row>
    <row r="330" spans="1:38" ht="12.75" x14ac:dyDescent="0.2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8"/>
      <c r="N330" s="88"/>
      <c r="O330" s="8"/>
      <c r="P330" s="8"/>
      <c r="Q330" s="89"/>
      <c r="R330" s="89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</row>
    <row r="331" spans="1:38" ht="12.75" x14ac:dyDescent="0.2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8"/>
      <c r="N331" s="88"/>
      <c r="O331" s="8"/>
      <c r="P331" s="8"/>
      <c r="Q331" s="89"/>
      <c r="R331" s="89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</row>
    <row r="332" spans="1:38" ht="12.75" x14ac:dyDescent="0.2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8"/>
      <c r="N332" s="88"/>
      <c r="O332" s="8"/>
      <c r="P332" s="8"/>
      <c r="Q332" s="89"/>
      <c r="R332" s="89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</row>
    <row r="333" spans="1:38" ht="12.75" x14ac:dyDescent="0.2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8"/>
      <c r="N333" s="88"/>
      <c r="O333" s="8"/>
      <c r="P333" s="8"/>
      <c r="Q333" s="89"/>
      <c r="R333" s="89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</row>
    <row r="334" spans="1:38" ht="12.75" x14ac:dyDescent="0.2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8"/>
      <c r="N334" s="88"/>
      <c r="O334" s="8"/>
      <c r="P334" s="8"/>
      <c r="Q334" s="89"/>
      <c r="R334" s="89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</row>
    <row r="335" spans="1:38" ht="12.75" x14ac:dyDescent="0.2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8"/>
      <c r="N335" s="88"/>
      <c r="O335" s="8"/>
      <c r="P335" s="8"/>
      <c r="Q335" s="89"/>
      <c r="R335" s="89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</row>
    <row r="336" spans="1:38" ht="12.75" x14ac:dyDescent="0.2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8"/>
      <c r="N336" s="88"/>
      <c r="O336" s="8"/>
      <c r="P336" s="8"/>
      <c r="Q336" s="89"/>
      <c r="R336" s="89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</row>
    <row r="337" spans="1:38" ht="12.75" x14ac:dyDescent="0.2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8"/>
      <c r="N337" s="88"/>
      <c r="O337" s="8"/>
      <c r="P337" s="8"/>
      <c r="Q337" s="89"/>
      <c r="R337" s="89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</row>
    <row r="338" spans="1:38" ht="12.75" x14ac:dyDescent="0.2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8"/>
      <c r="N338" s="88"/>
      <c r="O338" s="8"/>
      <c r="P338" s="8"/>
      <c r="Q338" s="89"/>
      <c r="R338" s="89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</row>
    <row r="339" spans="1:38" ht="12.75" x14ac:dyDescent="0.2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8"/>
      <c r="N339" s="88"/>
      <c r="O339" s="8"/>
      <c r="P339" s="8"/>
      <c r="Q339" s="89"/>
      <c r="R339" s="89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</row>
    <row r="340" spans="1:38" ht="12.75" x14ac:dyDescent="0.2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8"/>
      <c r="N340" s="88"/>
      <c r="O340" s="8"/>
      <c r="P340" s="8"/>
      <c r="Q340" s="89"/>
      <c r="R340" s="89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</row>
    <row r="341" spans="1:38" ht="12.75" x14ac:dyDescent="0.2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8"/>
      <c r="N341" s="88"/>
      <c r="O341" s="8"/>
      <c r="P341" s="8"/>
      <c r="Q341" s="89"/>
      <c r="R341" s="89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</row>
    <row r="342" spans="1:38" ht="12.75" x14ac:dyDescent="0.2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8"/>
      <c r="N342" s="88"/>
      <c r="O342" s="8"/>
      <c r="P342" s="8"/>
      <c r="Q342" s="89"/>
      <c r="R342" s="89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</row>
    <row r="343" spans="1:38" ht="12.75" x14ac:dyDescent="0.2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8"/>
      <c r="N343" s="88"/>
      <c r="O343" s="8"/>
      <c r="P343" s="8"/>
      <c r="Q343" s="89"/>
      <c r="R343" s="89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</row>
    <row r="344" spans="1:38" ht="12.75" x14ac:dyDescent="0.2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8"/>
      <c r="N344" s="88"/>
      <c r="O344" s="8"/>
      <c r="P344" s="8"/>
      <c r="Q344" s="89"/>
      <c r="R344" s="89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</row>
    <row r="345" spans="1:38" ht="12.75" x14ac:dyDescent="0.2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8"/>
      <c r="N345" s="88"/>
      <c r="O345" s="8"/>
      <c r="P345" s="8"/>
      <c r="Q345" s="89"/>
      <c r="R345" s="89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</row>
    <row r="346" spans="1:38" ht="12.75" x14ac:dyDescent="0.2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8"/>
      <c r="N346" s="88"/>
      <c r="O346" s="8"/>
      <c r="P346" s="8"/>
      <c r="Q346" s="89"/>
      <c r="R346" s="89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</row>
    <row r="347" spans="1:38" ht="12.75" x14ac:dyDescent="0.2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8"/>
      <c r="N347" s="88"/>
      <c r="O347" s="8"/>
      <c r="P347" s="8"/>
      <c r="Q347" s="89"/>
      <c r="R347" s="89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</row>
    <row r="348" spans="1:38" ht="12.75" x14ac:dyDescent="0.2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8"/>
      <c r="N348" s="88"/>
      <c r="O348" s="8"/>
      <c r="P348" s="8"/>
      <c r="Q348" s="89"/>
      <c r="R348" s="89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</row>
    <row r="349" spans="1:38" ht="12.75" x14ac:dyDescent="0.2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8"/>
      <c r="N349" s="88"/>
      <c r="O349" s="8"/>
      <c r="P349" s="8"/>
      <c r="Q349" s="89"/>
      <c r="R349" s="89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</row>
    <row r="350" spans="1:38" ht="12.75" x14ac:dyDescent="0.2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8"/>
      <c r="N350" s="88"/>
      <c r="O350" s="8"/>
      <c r="P350" s="8"/>
      <c r="Q350" s="89"/>
      <c r="R350" s="89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</row>
    <row r="351" spans="1:38" ht="12.75" x14ac:dyDescent="0.2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8"/>
      <c r="N351" s="88"/>
      <c r="O351" s="8"/>
      <c r="P351" s="8"/>
      <c r="Q351" s="89"/>
      <c r="R351" s="89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</row>
    <row r="352" spans="1:38" ht="12.75" x14ac:dyDescent="0.2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8"/>
      <c r="N352" s="88"/>
      <c r="O352" s="8"/>
      <c r="P352" s="8"/>
      <c r="Q352" s="89"/>
      <c r="R352" s="89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</row>
    <row r="353" spans="1:38" ht="12.75" x14ac:dyDescent="0.2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8"/>
      <c r="N353" s="88"/>
      <c r="O353" s="8"/>
      <c r="P353" s="8"/>
      <c r="Q353" s="89"/>
      <c r="R353" s="89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</row>
    <row r="354" spans="1:38" ht="12.75" x14ac:dyDescent="0.2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8"/>
      <c r="N354" s="88"/>
      <c r="O354" s="8"/>
      <c r="P354" s="8"/>
      <c r="Q354" s="89"/>
      <c r="R354" s="89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</row>
    <row r="355" spans="1:38" ht="12.75" x14ac:dyDescent="0.2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8"/>
      <c r="N355" s="88"/>
      <c r="O355" s="8"/>
      <c r="P355" s="8"/>
      <c r="Q355" s="89"/>
      <c r="R355" s="89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</row>
    <row r="356" spans="1:38" ht="12.75" x14ac:dyDescent="0.2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8"/>
      <c r="N356" s="88"/>
      <c r="O356" s="8"/>
      <c r="P356" s="8"/>
      <c r="Q356" s="89"/>
      <c r="R356" s="89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</row>
    <row r="357" spans="1:38" ht="12.75" x14ac:dyDescent="0.2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8"/>
      <c r="N357" s="88"/>
      <c r="O357" s="8"/>
      <c r="P357" s="8"/>
      <c r="Q357" s="89"/>
      <c r="R357" s="89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</row>
    <row r="358" spans="1:38" ht="12.75" x14ac:dyDescent="0.2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8"/>
      <c r="N358" s="88"/>
      <c r="O358" s="8"/>
      <c r="P358" s="8"/>
      <c r="Q358" s="89"/>
      <c r="R358" s="89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</row>
    <row r="359" spans="1:38" ht="12.75" x14ac:dyDescent="0.2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8"/>
      <c r="N359" s="88"/>
      <c r="O359" s="8"/>
      <c r="P359" s="8"/>
      <c r="Q359" s="89"/>
      <c r="R359" s="89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</row>
    <row r="360" spans="1:38" ht="12.75" x14ac:dyDescent="0.2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8"/>
      <c r="N360" s="88"/>
      <c r="O360" s="8"/>
      <c r="P360" s="8"/>
      <c r="Q360" s="89"/>
      <c r="R360" s="89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</row>
    <row r="361" spans="1:38" ht="12.75" x14ac:dyDescent="0.2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8"/>
      <c r="N361" s="88"/>
      <c r="O361" s="8"/>
      <c r="P361" s="8"/>
      <c r="Q361" s="89"/>
      <c r="R361" s="89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</row>
    <row r="362" spans="1:38" ht="12.75" x14ac:dyDescent="0.2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8"/>
      <c r="N362" s="88"/>
      <c r="O362" s="8"/>
      <c r="P362" s="8"/>
      <c r="Q362" s="89"/>
      <c r="R362" s="89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</row>
    <row r="363" spans="1:38" ht="12.75" x14ac:dyDescent="0.2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8"/>
      <c r="N363" s="88"/>
      <c r="O363" s="8"/>
      <c r="P363" s="8"/>
      <c r="Q363" s="89"/>
      <c r="R363" s="89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</row>
    <row r="364" spans="1:38" ht="12.75" x14ac:dyDescent="0.2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8"/>
      <c r="N364" s="88"/>
      <c r="O364" s="8"/>
      <c r="P364" s="8"/>
      <c r="Q364" s="89"/>
      <c r="R364" s="89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</row>
    <row r="365" spans="1:38" ht="12.75" x14ac:dyDescent="0.2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8"/>
      <c r="N365" s="88"/>
      <c r="O365" s="8"/>
      <c r="P365" s="8"/>
      <c r="Q365" s="89"/>
      <c r="R365" s="89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</row>
    <row r="366" spans="1:38" ht="12.75" x14ac:dyDescent="0.2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8"/>
      <c r="N366" s="88"/>
      <c r="O366" s="8"/>
      <c r="P366" s="8"/>
      <c r="Q366" s="89"/>
      <c r="R366" s="89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</row>
    <row r="367" spans="1:38" ht="12.75" x14ac:dyDescent="0.2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8"/>
      <c r="N367" s="88"/>
      <c r="O367" s="8"/>
      <c r="P367" s="8"/>
      <c r="Q367" s="89"/>
      <c r="R367" s="89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</row>
    <row r="368" spans="1:38" ht="12.75" x14ac:dyDescent="0.2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8"/>
      <c r="N368" s="88"/>
      <c r="O368" s="8"/>
      <c r="P368" s="8"/>
      <c r="Q368" s="89"/>
      <c r="R368" s="89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</row>
    <row r="369" spans="1:38" ht="12.75" x14ac:dyDescent="0.2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8"/>
      <c r="N369" s="88"/>
      <c r="O369" s="8"/>
      <c r="P369" s="8"/>
      <c r="Q369" s="89"/>
      <c r="R369" s="89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</row>
    <row r="370" spans="1:38" ht="12.75" x14ac:dyDescent="0.2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8"/>
      <c r="N370" s="88"/>
      <c r="O370" s="8"/>
      <c r="P370" s="8"/>
      <c r="Q370" s="89"/>
      <c r="R370" s="89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</row>
    <row r="371" spans="1:38" ht="12.75" x14ac:dyDescent="0.2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8"/>
      <c r="N371" s="88"/>
      <c r="O371" s="8"/>
      <c r="P371" s="8"/>
      <c r="Q371" s="89"/>
      <c r="R371" s="89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</row>
    <row r="372" spans="1:38" ht="12.75" x14ac:dyDescent="0.2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8"/>
      <c r="N372" s="88"/>
      <c r="O372" s="8"/>
      <c r="P372" s="8"/>
      <c r="Q372" s="89"/>
      <c r="R372" s="89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</row>
    <row r="373" spans="1:38" ht="12.75" x14ac:dyDescent="0.2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8"/>
      <c r="N373" s="88"/>
      <c r="O373" s="8"/>
      <c r="P373" s="8"/>
      <c r="Q373" s="89"/>
      <c r="R373" s="89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</row>
    <row r="374" spans="1:38" ht="12.75" x14ac:dyDescent="0.2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8"/>
      <c r="N374" s="88"/>
      <c r="O374" s="8"/>
      <c r="P374" s="8"/>
      <c r="Q374" s="89"/>
      <c r="R374" s="89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</row>
    <row r="375" spans="1:38" ht="12.75" x14ac:dyDescent="0.2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8"/>
      <c r="N375" s="88"/>
      <c r="O375" s="8"/>
      <c r="P375" s="8"/>
      <c r="Q375" s="89"/>
      <c r="R375" s="89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</row>
    <row r="376" spans="1:38" ht="12.75" x14ac:dyDescent="0.2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8"/>
      <c r="N376" s="88"/>
      <c r="O376" s="8"/>
      <c r="P376" s="8"/>
      <c r="Q376" s="89"/>
      <c r="R376" s="89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</row>
    <row r="377" spans="1:38" ht="12.75" x14ac:dyDescent="0.2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8"/>
      <c r="N377" s="88"/>
      <c r="O377" s="8"/>
      <c r="P377" s="8"/>
      <c r="Q377" s="89"/>
      <c r="R377" s="89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</row>
    <row r="378" spans="1:38" ht="12.75" x14ac:dyDescent="0.2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8"/>
      <c r="N378" s="88"/>
      <c r="O378" s="8"/>
      <c r="P378" s="8"/>
      <c r="Q378" s="89"/>
      <c r="R378" s="89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</row>
    <row r="379" spans="1:38" ht="12.75" x14ac:dyDescent="0.2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8"/>
      <c r="N379" s="88"/>
      <c r="O379" s="8"/>
      <c r="P379" s="8"/>
      <c r="Q379" s="89"/>
      <c r="R379" s="89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</row>
    <row r="380" spans="1:38" ht="12.75" x14ac:dyDescent="0.2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8"/>
      <c r="N380" s="88"/>
      <c r="O380" s="8"/>
      <c r="P380" s="8"/>
      <c r="Q380" s="89"/>
      <c r="R380" s="89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</row>
    <row r="381" spans="1:38" ht="12.75" x14ac:dyDescent="0.2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8"/>
      <c r="N381" s="88"/>
      <c r="O381" s="8"/>
      <c r="P381" s="8"/>
      <c r="Q381" s="89"/>
      <c r="R381" s="89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</row>
    <row r="382" spans="1:38" ht="12.75" x14ac:dyDescent="0.2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8"/>
      <c r="N382" s="88"/>
      <c r="O382" s="8"/>
      <c r="P382" s="8"/>
      <c r="Q382" s="89"/>
      <c r="R382" s="89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</row>
    <row r="383" spans="1:38" ht="12.75" x14ac:dyDescent="0.2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8"/>
      <c r="N383" s="88"/>
      <c r="O383" s="8"/>
      <c r="P383" s="8"/>
      <c r="Q383" s="89"/>
      <c r="R383" s="89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</row>
    <row r="384" spans="1:38" ht="12.75" x14ac:dyDescent="0.2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8"/>
      <c r="N384" s="88"/>
      <c r="O384" s="8"/>
      <c r="P384" s="8"/>
      <c r="Q384" s="89"/>
      <c r="R384" s="89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</row>
    <row r="385" spans="1:38" ht="12.75" x14ac:dyDescent="0.2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8"/>
      <c r="N385" s="88"/>
      <c r="O385" s="8"/>
      <c r="P385" s="8"/>
      <c r="Q385" s="89"/>
      <c r="R385" s="89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</row>
    <row r="386" spans="1:38" ht="12.75" x14ac:dyDescent="0.2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8"/>
      <c r="N386" s="88"/>
      <c r="O386" s="8"/>
      <c r="P386" s="8"/>
      <c r="Q386" s="89"/>
      <c r="R386" s="89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</row>
    <row r="387" spans="1:38" ht="12.75" x14ac:dyDescent="0.2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8"/>
      <c r="N387" s="88"/>
      <c r="O387" s="8"/>
      <c r="P387" s="8"/>
      <c r="Q387" s="89"/>
      <c r="R387" s="89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</row>
    <row r="388" spans="1:38" ht="12.75" x14ac:dyDescent="0.2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8"/>
      <c r="N388" s="88"/>
      <c r="O388" s="8"/>
      <c r="P388" s="8"/>
      <c r="Q388" s="89"/>
      <c r="R388" s="89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</row>
    <row r="389" spans="1:38" ht="12.75" x14ac:dyDescent="0.2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8"/>
      <c r="N389" s="88"/>
      <c r="O389" s="8"/>
      <c r="P389" s="8"/>
      <c r="Q389" s="89"/>
      <c r="R389" s="89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</row>
    <row r="390" spans="1:38" ht="12.75" x14ac:dyDescent="0.2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8"/>
      <c r="N390" s="88"/>
      <c r="O390" s="8"/>
      <c r="P390" s="8"/>
      <c r="Q390" s="89"/>
      <c r="R390" s="89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</row>
    <row r="391" spans="1:38" ht="12.75" x14ac:dyDescent="0.2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8"/>
      <c r="N391" s="88"/>
      <c r="O391" s="8"/>
      <c r="P391" s="8"/>
      <c r="Q391" s="89"/>
      <c r="R391" s="89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</row>
    <row r="392" spans="1:38" ht="12.75" x14ac:dyDescent="0.2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8"/>
      <c r="N392" s="88"/>
      <c r="O392" s="8"/>
      <c r="P392" s="8"/>
      <c r="Q392" s="89"/>
      <c r="R392" s="89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</row>
    <row r="393" spans="1:38" ht="12.75" x14ac:dyDescent="0.2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8"/>
      <c r="N393" s="88"/>
      <c r="O393" s="8"/>
      <c r="P393" s="8"/>
      <c r="Q393" s="89"/>
      <c r="R393" s="89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</row>
    <row r="394" spans="1:38" ht="12.75" x14ac:dyDescent="0.2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8"/>
      <c r="N394" s="88"/>
      <c r="O394" s="8"/>
      <c r="P394" s="8"/>
      <c r="Q394" s="89"/>
      <c r="R394" s="89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</row>
    <row r="395" spans="1:38" ht="12.75" x14ac:dyDescent="0.2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8"/>
      <c r="N395" s="88"/>
      <c r="O395" s="8"/>
      <c r="P395" s="8"/>
      <c r="Q395" s="89"/>
      <c r="R395" s="89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</row>
    <row r="396" spans="1:38" ht="12.75" x14ac:dyDescent="0.2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8"/>
      <c r="N396" s="88"/>
      <c r="O396" s="8"/>
      <c r="P396" s="8"/>
      <c r="Q396" s="89"/>
      <c r="R396" s="89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</row>
    <row r="397" spans="1:38" ht="12.75" x14ac:dyDescent="0.2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8"/>
      <c r="N397" s="88"/>
      <c r="O397" s="8"/>
      <c r="P397" s="8"/>
      <c r="Q397" s="89"/>
      <c r="R397" s="89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</row>
    <row r="398" spans="1:38" ht="12.75" x14ac:dyDescent="0.2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8"/>
      <c r="N398" s="88"/>
      <c r="O398" s="8"/>
      <c r="P398" s="8"/>
      <c r="Q398" s="89"/>
      <c r="R398" s="89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</row>
    <row r="399" spans="1:38" ht="12.75" x14ac:dyDescent="0.2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8"/>
      <c r="N399" s="88"/>
      <c r="O399" s="8"/>
      <c r="P399" s="8"/>
      <c r="Q399" s="89"/>
      <c r="R399" s="89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</row>
    <row r="400" spans="1:38" ht="12.75" x14ac:dyDescent="0.2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8"/>
      <c r="N400" s="88"/>
      <c r="O400" s="8"/>
      <c r="P400" s="8"/>
      <c r="Q400" s="89"/>
      <c r="R400" s="89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</row>
    <row r="401" spans="1:38" ht="12.75" x14ac:dyDescent="0.2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8"/>
      <c r="N401" s="88"/>
      <c r="O401" s="8"/>
      <c r="P401" s="8"/>
      <c r="Q401" s="89"/>
      <c r="R401" s="89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</row>
    <row r="402" spans="1:38" ht="12.75" x14ac:dyDescent="0.2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8"/>
      <c r="N402" s="88"/>
      <c r="O402" s="8"/>
      <c r="P402" s="8"/>
      <c r="Q402" s="89"/>
      <c r="R402" s="89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</row>
    <row r="403" spans="1:38" ht="12.75" x14ac:dyDescent="0.2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8"/>
      <c r="N403" s="88"/>
      <c r="O403" s="8"/>
      <c r="P403" s="8"/>
      <c r="Q403" s="89"/>
      <c r="R403" s="89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</row>
    <row r="404" spans="1:38" ht="12.75" x14ac:dyDescent="0.2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8"/>
      <c r="N404" s="88"/>
      <c r="O404" s="8"/>
      <c r="P404" s="8"/>
      <c r="Q404" s="89"/>
      <c r="R404" s="89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</row>
    <row r="405" spans="1:38" ht="12.75" x14ac:dyDescent="0.2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8"/>
      <c r="N405" s="88"/>
      <c r="O405" s="8"/>
      <c r="P405" s="8"/>
      <c r="Q405" s="89"/>
      <c r="R405" s="89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</row>
    <row r="406" spans="1:38" ht="12.75" x14ac:dyDescent="0.2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8"/>
      <c r="N406" s="88"/>
      <c r="O406" s="8"/>
      <c r="P406" s="8"/>
      <c r="Q406" s="89"/>
      <c r="R406" s="89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</row>
    <row r="407" spans="1:38" ht="12.75" x14ac:dyDescent="0.2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8"/>
      <c r="N407" s="88"/>
      <c r="O407" s="8"/>
      <c r="P407" s="8"/>
      <c r="Q407" s="89"/>
      <c r="R407" s="89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</row>
    <row r="408" spans="1:38" ht="12.75" x14ac:dyDescent="0.2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8"/>
      <c r="N408" s="88"/>
      <c r="O408" s="8"/>
      <c r="P408" s="8"/>
      <c r="Q408" s="89"/>
      <c r="R408" s="89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</row>
    <row r="409" spans="1:38" ht="12.75" x14ac:dyDescent="0.2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8"/>
      <c r="N409" s="88"/>
      <c r="O409" s="8"/>
      <c r="P409" s="8"/>
      <c r="Q409" s="89"/>
      <c r="R409" s="89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</row>
    <row r="410" spans="1:38" ht="12.75" x14ac:dyDescent="0.2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8"/>
      <c r="N410" s="88"/>
      <c r="O410" s="8"/>
      <c r="P410" s="8"/>
      <c r="Q410" s="89"/>
      <c r="R410" s="89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</row>
    <row r="411" spans="1:38" ht="12.75" x14ac:dyDescent="0.2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8"/>
      <c r="N411" s="88"/>
      <c r="O411" s="8"/>
      <c r="P411" s="8"/>
      <c r="Q411" s="89"/>
      <c r="R411" s="89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</row>
    <row r="412" spans="1:38" ht="12.75" x14ac:dyDescent="0.2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8"/>
      <c r="N412" s="88"/>
      <c r="O412" s="8"/>
      <c r="P412" s="8"/>
      <c r="Q412" s="89"/>
      <c r="R412" s="89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</row>
    <row r="413" spans="1:38" ht="12.75" x14ac:dyDescent="0.2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8"/>
      <c r="N413" s="88"/>
      <c r="O413" s="8"/>
      <c r="P413" s="8"/>
      <c r="Q413" s="89"/>
      <c r="R413" s="89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</row>
    <row r="414" spans="1:38" ht="12.75" x14ac:dyDescent="0.2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8"/>
      <c r="N414" s="88"/>
      <c r="O414" s="8"/>
      <c r="P414" s="8"/>
      <c r="Q414" s="89"/>
      <c r="R414" s="89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</row>
    <row r="415" spans="1:38" ht="12.75" x14ac:dyDescent="0.2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8"/>
      <c r="N415" s="88"/>
      <c r="O415" s="8"/>
      <c r="P415" s="8"/>
      <c r="Q415" s="89"/>
      <c r="R415" s="89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</row>
    <row r="416" spans="1:38" ht="12.75" x14ac:dyDescent="0.2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8"/>
      <c r="N416" s="88"/>
      <c r="O416" s="8"/>
      <c r="P416" s="8"/>
      <c r="Q416" s="89"/>
      <c r="R416" s="89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</row>
    <row r="417" spans="1:38" ht="12.75" x14ac:dyDescent="0.2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8"/>
      <c r="N417" s="88"/>
      <c r="O417" s="8"/>
      <c r="P417" s="8"/>
      <c r="Q417" s="89"/>
      <c r="R417" s="89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</row>
    <row r="418" spans="1:38" ht="12.75" x14ac:dyDescent="0.2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8"/>
      <c r="N418" s="88"/>
      <c r="O418" s="8"/>
      <c r="P418" s="8"/>
      <c r="Q418" s="89"/>
      <c r="R418" s="89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</row>
    <row r="419" spans="1:38" ht="12.75" x14ac:dyDescent="0.2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8"/>
      <c r="N419" s="88"/>
      <c r="O419" s="8"/>
      <c r="P419" s="8"/>
      <c r="Q419" s="89"/>
      <c r="R419" s="89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</row>
    <row r="420" spans="1:38" ht="12.75" x14ac:dyDescent="0.2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8"/>
      <c r="N420" s="88"/>
      <c r="O420" s="8"/>
      <c r="P420" s="8"/>
      <c r="Q420" s="89"/>
      <c r="R420" s="89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</row>
    <row r="421" spans="1:38" ht="12.75" x14ac:dyDescent="0.2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8"/>
      <c r="N421" s="88"/>
      <c r="O421" s="8"/>
      <c r="P421" s="8"/>
      <c r="Q421" s="89"/>
      <c r="R421" s="89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</row>
    <row r="422" spans="1:38" ht="12.75" x14ac:dyDescent="0.2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8"/>
      <c r="N422" s="88"/>
      <c r="O422" s="8"/>
      <c r="P422" s="8"/>
      <c r="Q422" s="89"/>
      <c r="R422" s="89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</row>
    <row r="423" spans="1:38" ht="12.75" x14ac:dyDescent="0.2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8"/>
      <c r="N423" s="88"/>
      <c r="O423" s="8"/>
      <c r="P423" s="8"/>
      <c r="Q423" s="89"/>
      <c r="R423" s="89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</row>
    <row r="424" spans="1:38" ht="12.75" x14ac:dyDescent="0.2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8"/>
      <c r="N424" s="88"/>
      <c r="O424" s="8"/>
      <c r="P424" s="8"/>
      <c r="Q424" s="89"/>
      <c r="R424" s="89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</row>
    <row r="425" spans="1:38" ht="12.75" x14ac:dyDescent="0.2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8"/>
      <c r="N425" s="88"/>
      <c r="O425" s="8"/>
      <c r="P425" s="8"/>
      <c r="Q425" s="89"/>
      <c r="R425" s="89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</row>
    <row r="426" spans="1:38" ht="12.75" x14ac:dyDescent="0.2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8"/>
      <c r="N426" s="88"/>
      <c r="O426" s="8"/>
      <c r="P426" s="8"/>
      <c r="Q426" s="89"/>
      <c r="R426" s="89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</row>
    <row r="427" spans="1:38" ht="12.75" x14ac:dyDescent="0.2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8"/>
      <c r="N427" s="88"/>
      <c r="O427" s="8"/>
      <c r="P427" s="8"/>
      <c r="Q427" s="89"/>
      <c r="R427" s="89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</row>
    <row r="428" spans="1:38" ht="12.75" x14ac:dyDescent="0.2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8"/>
      <c r="N428" s="88"/>
      <c r="O428" s="8"/>
      <c r="P428" s="8"/>
      <c r="Q428" s="89"/>
      <c r="R428" s="89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</row>
    <row r="429" spans="1:38" ht="12.75" x14ac:dyDescent="0.2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8"/>
      <c r="N429" s="88"/>
      <c r="O429" s="8"/>
      <c r="P429" s="8"/>
      <c r="Q429" s="89"/>
      <c r="R429" s="89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</row>
    <row r="430" spans="1:38" ht="12.75" x14ac:dyDescent="0.2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8"/>
      <c r="N430" s="88"/>
      <c r="O430" s="8"/>
      <c r="P430" s="8"/>
      <c r="Q430" s="89"/>
      <c r="R430" s="89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</row>
    <row r="431" spans="1:38" ht="12.75" x14ac:dyDescent="0.2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8"/>
      <c r="N431" s="88"/>
      <c r="O431" s="8"/>
      <c r="P431" s="8"/>
      <c r="Q431" s="89"/>
      <c r="R431" s="89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</row>
    <row r="432" spans="1:38" ht="12.75" x14ac:dyDescent="0.2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8"/>
      <c r="N432" s="88"/>
      <c r="O432" s="8"/>
      <c r="P432" s="8"/>
      <c r="Q432" s="89"/>
      <c r="R432" s="89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</row>
    <row r="433" spans="1:38" ht="12.75" x14ac:dyDescent="0.2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8"/>
      <c r="N433" s="88"/>
      <c r="O433" s="8"/>
      <c r="P433" s="8"/>
      <c r="Q433" s="89"/>
      <c r="R433" s="89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</row>
    <row r="434" spans="1:38" ht="12.75" x14ac:dyDescent="0.2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8"/>
      <c r="N434" s="88"/>
      <c r="O434" s="8"/>
      <c r="P434" s="8"/>
      <c r="Q434" s="89"/>
      <c r="R434" s="89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</row>
    <row r="435" spans="1:38" ht="12.75" x14ac:dyDescent="0.2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8"/>
      <c r="N435" s="88"/>
      <c r="O435" s="8"/>
      <c r="P435" s="8"/>
      <c r="Q435" s="89"/>
      <c r="R435" s="89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</row>
    <row r="436" spans="1:38" ht="12.75" x14ac:dyDescent="0.2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8"/>
      <c r="N436" s="88"/>
      <c r="O436" s="8"/>
      <c r="P436" s="8"/>
      <c r="Q436" s="89"/>
      <c r="R436" s="89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</row>
    <row r="437" spans="1:38" ht="12.75" x14ac:dyDescent="0.2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8"/>
      <c r="N437" s="88"/>
      <c r="O437" s="8"/>
      <c r="P437" s="8"/>
      <c r="Q437" s="89"/>
      <c r="R437" s="89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</row>
    <row r="438" spans="1:38" ht="12.75" x14ac:dyDescent="0.2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8"/>
      <c r="N438" s="88"/>
      <c r="O438" s="8"/>
      <c r="P438" s="8"/>
      <c r="Q438" s="89"/>
      <c r="R438" s="89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</row>
    <row r="439" spans="1:38" ht="12.75" x14ac:dyDescent="0.2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8"/>
      <c r="N439" s="88"/>
      <c r="O439" s="8"/>
      <c r="P439" s="8"/>
      <c r="Q439" s="89"/>
      <c r="R439" s="89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</row>
    <row r="440" spans="1:38" ht="12.75" x14ac:dyDescent="0.2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8"/>
      <c r="N440" s="88"/>
      <c r="O440" s="8"/>
      <c r="P440" s="8"/>
      <c r="Q440" s="89"/>
      <c r="R440" s="89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</row>
    <row r="441" spans="1:38" ht="12.75" x14ac:dyDescent="0.2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8"/>
      <c r="N441" s="88"/>
      <c r="O441" s="8"/>
      <c r="P441" s="8"/>
      <c r="Q441" s="89"/>
      <c r="R441" s="89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</row>
    <row r="442" spans="1:38" ht="12.75" x14ac:dyDescent="0.2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8"/>
      <c r="N442" s="88"/>
      <c r="O442" s="8"/>
      <c r="P442" s="8"/>
      <c r="Q442" s="89"/>
      <c r="R442" s="89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</row>
    <row r="443" spans="1:38" ht="12.75" x14ac:dyDescent="0.2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8"/>
      <c r="N443" s="88"/>
      <c r="O443" s="8"/>
      <c r="P443" s="8"/>
      <c r="Q443" s="89"/>
      <c r="R443" s="89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</row>
    <row r="444" spans="1:38" ht="12.75" x14ac:dyDescent="0.2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8"/>
      <c r="N444" s="88"/>
      <c r="O444" s="8"/>
      <c r="P444" s="8"/>
      <c r="Q444" s="89"/>
      <c r="R444" s="89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</row>
    <row r="445" spans="1:38" ht="12.75" x14ac:dyDescent="0.2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8"/>
      <c r="N445" s="88"/>
      <c r="O445" s="8"/>
      <c r="P445" s="8"/>
      <c r="Q445" s="89"/>
      <c r="R445" s="89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</row>
    <row r="446" spans="1:38" ht="12.75" x14ac:dyDescent="0.2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8"/>
      <c r="N446" s="88"/>
      <c r="O446" s="8"/>
      <c r="P446" s="8"/>
      <c r="Q446" s="89"/>
      <c r="R446" s="89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</row>
    <row r="447" spans="1:38" ht="12.75" x14ac:dyDescent="0.2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8"/>
      <c r="N447" s="88"/>
      <c r="O447" s="8"/>
      <c r="P447" s="8"/>
      <c r="Q447" s="89"/>
      <c r="R447" s="89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</row>
    <row r="448" spans="1:38" ht="12.75" x14ac:dyDescent="0.2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8"/>
      <c r="N448" s="88"/>
      <c r="O448" s="8"/>
      <c r="P448" s="8"/>
      <c r="Q448" s="89"/>
      <c r="R448" s="89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</row>
    <row r="449" spans="1:38" ht="12.75" x14ac:dyDescent="0.2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8"/>
      <c r="N449" s="88"/>
      <c r="O449" s="8"/>
      <c r="P449" s="8"/>
      <c r="Q449" s="89"/>
      <c r="R449" s="89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</row>
    <row r="450" spans="1:38" ht="12.75" x14ac:dyDescent="0.2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8"/>
      <c r="N450" s="88"/>
      <c r="O450" s="8"/>
      <c r="P450" s="8"/>
      <c r="Q450" s="89"/>
      <c r="R450" s="89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</row>
    <row r="451" spans="1:38" ht="12.75" x14ac:dyDescent="0.2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8"/>
      <c r="N451" s="88"/>
      <c r="O451" s="8"/>
      <c r="P451" s="8"/>
      <c r="Q451" s="89"/>
      <c r="R451" s="89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</row>
    <row r="452" spans="1:38" ht="12.75" x14ac:dyDescent="0.2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8"/>
      <c r="N452" s="88"/>
      <c r="O452" s="8"/>
      <c r="P452" s="8"/>
      <c r="Q452" s="89"/>
      <c r="R452" s="89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</row>
    <row r="453" spans="1:38" ht="12.75" x14ac:dyDescent="0.2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8"/>
      <c r="N453" s="88"/>
      <c r="O453" s="8"/>
      <c r="P453" s="8"/>
      <c r="Q453" s="89"/>
      <c r="R453" s="89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</row>
    <row r="454" spans="1:38" ht="12.75" x14ac:dyDescent="0.2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8"/>
      <c r="N454" s="88"/>
      <c r="O454" s="8"/>
      <c r="P454" s="8"/>
      <c r="Q454" s="89"/>
      <c r="R454" s="89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</row>
    <row r="455" spans="1:38" ht="12.75" x14ac:dyDescent="0.2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8"/>
      <c r="N455" s="88"/>
      <c r="O455" s="8"/>
      <c r="P455" s="8"/>
      <c r="Q455" s="89"/>
      <c r="R455" s="89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</row>
    <row r="456" spans="1:38" ht="12.75" x14ac:dyDescent="0.2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8"/>
      <c r="N456" s="88"/>
      <c r="O456" s="8"/>
      <c r="P456" s="8"/>
      <c r="Q456" s="89"/>
      <c r="R456" s="89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</row>
    <row r="457" spans="1:38" ht="12.75" x14ac:dyDescent="0.2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8"/>
      <c r="N457" s="88"/>
      <c r="O457" s="8"/>
      <c r="P457" s="8"/>
      <c r="Q457" s="89"/>
      <c r="R457" s="89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</row>
    <row r="458" spans="1:38" ht="12.75" x14ac:dyDescent="0.2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8"/>
      <c r="N458" s="88"/>
      <c r="O458" s="8"/>
      <c r="P458" s="8"/>
      <c r="Q458" s="89"/>
      <c r="R458" s="89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</row>
    <row r="459" spans="1:38" ht="12.75" x14ac:dyDescent="0.2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8"/>
      <c r="N459" s="88"/>
      <c r="O459" s="8"/>
      <c r="P459" s="8"/>
      <c r="Q459" s="89"/>
      <c r="R459" s="89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</row>
    <row r="460" spans="1:38" ht="12.75" x14ac:dyDescent="0.2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8"/>
      <c r="N460" s="88"/>
      <c r="O460" s="8"/>
      <c r="P460" s="8"/>
      <c r="Q460" s="89"/>
      <c r="R460" s="89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</row>
    <row r="461" spans="1:38" ht="12.75" x14ac:dyDescent="0.2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8"/>
      <c r="N461" s="88"/>
      <c r="O461" s="8"/>
      <c r="P461" s="8"/>
      <c r="Q461" s="89"/>
      <c r="R461" s="89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</row>
    <row r="462" spans="1:38" ht="12.75" x14ac:dyDescent="0.2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8"/>
      <c r="N462" s="88"/>
      <c r="O462" s="8"/>
      <c r="P462" s="8"/>
      <c r="Q462" s="89"/>
      <c r="R462" s="89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</row>
    <row r="463" spans="1:38" ht="12.75" x14ac:dyDescent="0.2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8"/>
      <c r="N463" s="88"/>
      <c r="O463" s="8"/>
      <c r="P463" s="8"/>
      <c r="Q463" s="89"/>
      <c r="R463" s="89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</row>
    <row r="464" spans="1:38" ht="12.75" x14ac:dyDescent="0.2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8"/>
      <c r="N464" s="88"/>
      <c r="O464" s="8"/>
      <c r="P464" s="8"/>
      <c r="Q464" s="89"/>
      <c r="R464" s="89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</row>
    <row r="465" spans="1:38" ht="12.75" x14ac:dyDescent="0.2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8"/>
      <c r="N465" s="88"/>
      <c r="O465" s="8"/>
      <c r="P465" s="8"/>
      <c r="Q465" s="89"/>
      <c r="R465" s="89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</row>
    <row r="466" spans="1:38" ht="12.75" x14ac:dyDescent="0.2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8"/>
      <c r="N466" s="88"/>
      <c r="O466" s="8"/>
      <c r="P466" s="8"/>
      <c r="Q466" s="89"/>
      <c r="R466" s="89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</row>
    <row r="467" spans="1:38" ht="12.75" x14ac:dyDescent="0.2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8"/>
      <c r="N467" s="88"/>
      <c r="O467" s="8"/>
      <c r="P467" s="8"/>
      <c r="Q467" s="89"/>
      <c r="R467" s="89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</row>
    <row r="468" spans="1:38" ht="12.75" x14ac:dyDescent="0.2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8"/>
      <c r="N468" s="88"/>
      <c r="O468" s="8"/>
      <c r="P468" s="8"/>
      <c r="Q468" s="89"/>
      <c r="R468" s="89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</row>
    <row r="469" spans="1:38" ht="12.75" x14ac:dyDescent="0.2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8"/>
      <c r="N469" s="88"/>
      <c r="O469" s="8"/>
      <c r="P469" s="8"/>
      <c r="Q469" s="89"/>
      <c r="R469" s="89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</row>
    <row r="470" spans="1:38" ht="12.75" x14ac:dyDescent="0.2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8"/>
      <c r="N470" s="88"/>
      <c r="O470" s="8"/>
      <c r="P470" s="8"/>
      <c r="Q470" s="89"/>
      <c r="R470" s="89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</row>
    <row r="471" spans="1:38" ht="12.75" x14ac:dyDescent="0.2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8"/>
      <c r="N471" s="88"/>
      <c r="O471" s="8"/>
      <c r="P471" s="8"/>
      <c r="Q471" s="89"/>
      <c r="R471" s="89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</row>
    <row r="472" spans="1:38" ht="12.75" x14ac:dyDescent="0.2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8"/>
      <c r="N472" s="88"/>
      <c r="O472" s="8"/>
      <c r="P472" s="8"/>
      <c r="Q472" s="89"/>
      <c r="R472" s="89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</row>
    <row r="473" spans="1:38" ht="12.75" x14ac:dyDescent="0.2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8"/>
      <c r="N473" s="88"/>
      <c r="O473" s="8"/>
      <c r="P473" s="8"/>
      <c r="Q473" s="89"/>
      <c r="R473" s="89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</row>
    <row r="474" spans="1:38" ht="12.75" x14ac:dyDescent="0.2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8"/>
      <c r="N474" s="88"/>
      <c r="O474" s="8"/>
      <c r="P474" s="8"/>
      <c r="Q474" s="89"/>
      <c r="R474" s="89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</row>
    <row r="475" spans="1:38" ht="12.75" x14ac:dyDescent="0.2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8"/>
      <c r="N475" s="88"/>
      <c r="O475" s="8"/>
      <c r="P475" s="8"/>
      <c r="Q475" s="89"/>
      <c r="R475" s="89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</row>
    <row r="476" spans="1:38" ht="12.75" x14ac:dyDescent="0.2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8"/>
      <c r="N476" s="88"/>
      <c r="O476" s="8"/>
      <c r="P476" s="8"/>
      <c r="Q476" s="89"/>
      <c r="R476" s="89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</row>
    <row r="477" spans="1:38" ht="12.75" x14ac:dyDescent="0.2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8"/>
      <c r="N477" s="88"/>
      <c r="O477" s="8"/>
      <c r="P477" s="8"/>
      <c r="Q477" s="89"/>
      <c r="R477" s="89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</row>
    <row r="478" spans="1:38" ht="12.75" x14ac:dyDescent="0.2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8"/>
      <c r="N478" s="88"/>
      <c r="O478" s="8"/>
      <c r="P478" s="8"/>
      <c r="Q478" s="89"/>
      <c r="R478" s="89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</row>
    <row r="479" spans="1:38" ht="12.75" x14ac:dyDescent="0.2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8"/>
      <c r="N479" s="88"/>
      <c r="O479" s="8"/>
      <c r="P479" s="8"/>
      <c r="Q479" s="89"/>
      <c r="R479" s="89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</row>
    <row r="480" spans="1:38" ht="12.75" x14ac:dyDescent="0.2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8"/>
      <c r="N480" s="88"/>
      <c r="O480" s="8"/>
      <c r="P480" s="8"/>
      <c r="Q480" s="89"/>
      <c r="R480" s="89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</row>
    <row r="481" spans="1:38" ht="12.75" x14ac:dyDescent="0.2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8"/>
      <c r="N481" s="88"/>
      <c r="O481" s="8"/>
      <c r="P481" s="8"/>
      <c r="Q481" s="89"/>
      <c r="R481" s="89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</row>
    <row r="482" spans="1:38" ht="12.75" x14ac:dyDescent="0.2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8"/>
      <c r="N482" s="88"/>
      <c r="O482" s="8"/>
      <c r="P482" s="8"/>
      <c r="Q482" s="89"/>
      <c r="R482" s="89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</row>
    <row r="483" spans="1:38" ht="12.75" x14ac:dyDescent="0.2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8"/>
      <c r="N483" s="88"/>
      <c r="O483" s="8"/>
      <c r="P483" s="8"/>
      <c r="Q483" s="89"/>
      <c r="R483" s="89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</row>
    <row r="484" spans="1:38" ht="12.75" x14ac:dyDescent="0.2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8"/>
      <c r="N484" s="88"/>
      <c r="O484" s="8"/>
      <c r="P484" s="8"/>
      <c r="Q484" s="89"/>
      <c r="R484" s="89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</row>
    <row r="485" spans="1:38" ht="12.75" x14ac:dyDescent="0.2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8"/>
      <c r="N485" s="88"/>
      <c r="O485" s="8"/>
      <c r="P485" s="8"/>
      <c r="Q485" s="89"/>
      <c r="R485" s="89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</row>
    <row r="486" spans="1:38" ht="12.75" x14ac:dyDescent="0.2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8"/>
      <c r="N486" s="88"/>
      <c r="O486" s="8"/>
      <c r="P486" s="8"/>
      <c r="Q486" s="89"/>
      <c r="R486" s="89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</row>
    <row r="487" spans="1:38" ht="12.75" x14ac:dyDescent="0.2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8"/>
      <c r="N487" s="88"/>
      <c r="O487" s="8"/>
      <c r="P487" s="8"/>
      <c r="Q487" s="89"/>
      <c r="R487" s="89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</row>
    <row r="488" spans="1:38" ht="12.75" x14ac:dyDescent="0.2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8"/>
      <c r="N488" s="88"/>
      <c r="O488" s="8"/>
      <c r="P488" s="8"/>
      <c r="Q488" s="89"/>
      <c r="R488" s="89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</row>
    <row r="489" spans="1:38" ht="12.75" x14ac:dyDescent="0.2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8"/>
      <c r="N489" s="88"/>
      <c r="O489" s="8"/>
      <c r="P489" s="8"/>
      <c r="Q489" s="89"/>
      <c r="R489" s="89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</row>
    <row r="490" spans="1:38" ht="12.75" x14ac:dyDescent="0.2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8"/>
      <c r="N490" s="88"/>
      <c r="O490" s="8"/>
      <c r="P490" s="8"/>
      <c r="Q490" s="89"/>
      <c r="R490" s="89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</row>
    <row r="491" spans="1:38" ht="12.75" x14ac:dyDescent="0.2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8"/>
      <c r="N491" s="88"/>
      <c r="O491" s="8"/>
      <c r="P491" s="8"/>
      <c r="Q491" s="89"/>
      <c r="R491" s="89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</row>
    <row r="492" spans="1:38" ht="12.75" x14ac:dyDescent="0.2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8"/>
      <c r="N492" s="88"/>
      <c r="O492" s="8"/>
      <c r="P492" s="8"/>
      <c r="Q492" s="89"/>
      <c r="R492" s="89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</row>
    <row r="493" spans="1:38" ht="12.75" x14ac:dyDescent="0.2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8"/>
      <c r="N493" s="88"/>
      <c r="O493" s="8"/>
      <c r="P493" s="8"/>
      <c r="Q493" s="89"/>
      <c r="R493" s="89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</row>
    <row r="494" spans="1:38" ht="12.75" x14ac:dyDescent="0.2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8"/>
      <c r="N494" s="88"/>
      <c r="O494" s="8"/>
      <c r="P494" s="8"/>
      <c r="Q494" s="89"/>
      <c r="R494" s="89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</row>
    <row r="495" spans="1:38" ht="12.75" x14ac:dyDescent="0.2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8"/>
      <c r="N495" s="88"/>
      <c r="O495" s="8"/>
      <c r="P495" s="8"/>
      <c r="Q495" s="89"/>
      <c r="R495" s="89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</row>
    <row r="496" spans="1:38" ht="12.75" x14ac:dyDescent="0.2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8"/>
      <c r="N496" s="88"/>
      <c r="O496" s="8"/>
      <c r="P496" s="8"/>
      <c r="Q496" s="89"/>
      <c r="R496" s="89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</row>
    <row r="497" spans="1:38" ht="12.75" x14ac:dyDescent="0.2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8"/>
      <c r="N497" s="88"/>
      <c r="O497" s="8"/>
      <c r="P497" s="8"/>
      <c r="Q497" s="89"/>
      <c r="R497" s="89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</row>
    <row r="498" spans="1:38" ht="12.75" x14ac:dyDescent="0.2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8"/>
      <c r="N498" s="88"/>
      <c r="O498" s="8"/>
      <c r="P498" s="8"/>
      <c r="Q498" s="89"/>
      <c r="R498" s="89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</row>
    <row r="499" spans="1:38" ht="12.75" x14ac:dyDescent="0.2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8"/>
      <c r="N499" s="88"/>
      <c r="O499" s="8"/>
      <c r="P499" s="8"/>
      <c r="Q499" s="89"/>
      <c r="R499" s="89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</row>
    <row r="500" spans="1:38" ht="12.75" x14ac:dyDescent="0.2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8"/>
      <c r="N500" s="88"/>
      <c r="O500" s="8"/>
      <c r="P500" s="8"/>
      <c r="Q500" s="89"/>
      <c r="R500" s="89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</row>
    <row r="501" spans="1:38" ht="12.75" x14ac:dyDescent="0.2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8"/>
      <c r="N501" s="88"/>
      <c r="O501" s="8"/>
      <c r="P501" s="8"/>
      <c r="Q501" s="89"/>
      <c r="R501" s="89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</row>
    <row r="502" spans="1:38" ht="12.75" x14ac:dyDescent="0.2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8"/>
      <c r="N502" s="88"/>
      <c r="O502" s="8"/>
      <c r="P502" s="8"/>
      <c r="Q502" s="89"/>
      <c r="R502" s="89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</row>
    <row r="503" spans="1:38" ht="12.75" x14ac:dyDescent="0.2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8"/>
      <c r="N503" s="88"/>
      <c r="O503" s="8"/>
      <c r="P503" s="8"/>
      <c r="Q503" s="89"/>
      <c r="R503" s="89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</row>
    <row r="504" spans="1:38" ht="12.75" x14ac:dyDescent="0.2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8"/>
      <c r="N504" s="88"/>
      <c r="O504" s="8"/>
      <c r="P504" s="8"/>
      <c r="Q504" s="89"/>
      <c r="R504" s="89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</row>
    <row r="505" spans="1:38" ht="12.75" x14ac:dyDescent="0.2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8"/>
      <c r="N505" s="88"/>
      <c r="O505" s="8"/>
      <c r="P505" s="8"/>
      <c r="Q505" s="89"/>
      <c r="R505" s="89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</row>
    <row r="506" spans="1:38" ht="12.75" x14ac:dyDescent="0.2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8"/>
      <c r="N506" s="88"/>
      <c r="O506" s="8"/>
      <c r="P506" s="8"/>
      <c r="Q506" s="89"/>
      <c r="R506" s="89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</row>
    <row r="507" spans="1:38" ht="12.75" x14ac:dyDescent="0.2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8"/>
      <c r="N507" s="88"/>
      <c r="O507" s="8"/>
      <c r="P507" s="8"/>
      <c r="Q507" s="89"/>
      <c r="R507" s="89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</row>
    <row r="508" spans="1:38" ht="12.75" x14ac:dyDescent="0.2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8"/>
      <c r="N508" s="88"/>
      <c r="O508" s="8"/>
      <c r="P508" s="8"/>
      <c r="Q508" s="89"/>
      <c r="R508" s="89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</row>
    <row r="509" spans="1:38" ht="12.75" x14ac:dyDescent="0.2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8"/>
      <c r="N509" s="88"/>
      <c r="O509" s="8"/>
      <c r="P509" s="8"/>
      <c r="Q509" s="89"/>
      <c r="R509" s="89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</row>
    <row r="510" spans="1:38" ht="12.75" x14ac:dyDescent="0.2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8"/>
      <c r="N510" s="88"/>
      <c r="O510" s="8"/>
      <c r="P510" s="8"/>
      <c r="Q510" s="89"/>
      <c r="R510" s="89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</row>
    <row r="511" spans="1:38" ht="12.75" x14ac:dyDescent="0.2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8"/>
      <c r="N511" s="88"/>
      <c r="O511" s="8"/>
      <c r="P511" s="8"/>
      <c r="Q511" s="89"/>
      <c r="R511" s="89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</row>
    <row r="512" spans="1:38" ht="12.75" x14ac:dyDescent="0.2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8"/>
      <c r="N512" s="88"/>
      <c r="O512" s="8"/>
      <c r="P512" s="8"/>
      <c r="Q512" s="89"/>
      <c r="R512" s="89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</row>
    <row r="513" spans="1:38" ht="12.75" x14ac:dyDescent="0.2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8"/>
      <c r="N513" s="88"/>
      <c r="O513" s="8"/>
      <c r="P513" s="8"/>
      <c r="Q513" s="89"/>
      <c r="R513" s="89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</row>
    <row r="514" spans="1:38" ht="12.75" x14ac:dyDescent="0.2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8"/>
      <c r="N514" s="88"/>
      <c r="O514" s="8"/>
      <c r="P514" s="8"/>
      <c r="Q514" s="89"/>
      <c r="R514" s="89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</row>
    <row r="515" spans="1:38" ht="12.75" x14ac:dyDescent="0.2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8"/>
      <c r="N515" s="88"/>
      <c r="O515" s="8"/>
      <c r="P515" s="8"/>
      <c r="Q515" s="89"/>
      <c r="R515" s="89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</row>
    <row r="516" spans="1:38" ht="12.75" x14ac:dyDescent="0.2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8"/>
      <c r="N516" s="88"/>
      <c r="O516" s="8"/>
      <c r="P516" s="8"/>
      <c r="Q516" s="89"/>
      <c r="R516" s="89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</row>
    <row r="517" spans="1:38" ht="12.75" x14ac:dyDescent="0.2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8"/>
      <c r="N517" s="88"/>
      <c r="O517" s="8"/>
      <c r="P517" s="8"/>
      <c r="Q517" s="89"/>
      <c r="R517" s="89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</row>
    <row r="518" spans="1:38" ht="12.75" x14ac:dyDescent="0.2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8"/>
      <c r="N518" s="88"/>
      <c r="O518" s="8"/>
      <c r="P518" s="8"/>
      <c r="Q518" s="89"/>
      <c r="R518" s="89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</row>
    <row r="519" spans="1:38" ht="12.75" x14ac:dyDescent="0.2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8"/>
      <c r="N519" s="88"/>
      <c r="O519" s="8"/>
      <c r="P519" s="8"/>
      <c r="Q519" s="89"/>
      <c r="R519" s="89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</row>
    <row r="520" spans="1:38" ht="12.75" x14ac:dyDescent="0.2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8"/>
      <c r="N520" s="88"/>
      <c r="O520" s="8"/>
      <c r="P520" s="8"/>
      <c r="Q520" s="89"/>
      <c r="R520" s="89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</row>
    <row r="521" spans="1:38" ht="12.75" x14ac:dyDescent="0.2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8"/>
      <c r="N521" s="88"/>
      <c r="O521" s="8"/>
      <c r="P521" s="8"/>
      <c r="Q521" s="89"/>
      <c r="R521" s="89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</row>
    <row r="522" spans="1:38" ht="12.75" x14ac:dyDescent="0.2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8"/>
      <c r="N522" s="88"/>
      <c r="O522" s="8"/>
      <c r="P522" s="8"/>
      <c r="Q522" s="89"/>
      <c r="R522" s="89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</row>
    <row r="523" spans="1:38" ht="12.75" x14ac:dyDescent="0.2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8"/>
      <c r="N523" s="88"/>
      <c r="O523" s="8"/>
      <c r="P523" s="8"/>
      <c r="Q523" s="89"/>
      <c r="R523" s="89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</row>
    <row r="524" spans="1:38" ht="12.75" x14ac:dyDescent="0.2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8"/>
      <c r="N524" s="88"/>
      <c r="O524" s="8"/>
      <c r="P524" s="8"/>
      <c r="Q524" s="89"/>
      <c r="R524" s="89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</row>
    <row r="525" spans="1:38" ht="12.75" x14ac:dyDescent="0.2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8"/>
      <c r="N525" s="88"/>
      <c r="O525" s="8"/>
      <c r="P525" s="8"/>
      <c r="Q525" s="89"/>
      <c r="R525" s="89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</row>
    <row r="526" spans="1:38" ht="12.75" x14ac:dyDescent="0.2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8"/>
      <c r="N526" s="88"/>
      <c r="O526" s="8"/>
      <c r="P526" s="8"/>
      <c r="Q526" s="89"/>
      <c r="R526" s="89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</row>
    <row r="527" spans="1:38" ht="12.75" x14ac:dyDescent="0.2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8"/>
      <c r="N527" s="88"/>
      <c r="O527" s="8"/>
      <c r="P527" s="8"/>
      <c r="Q527" s="89"/>
      <c r="R527" s="89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</row>
    <row r="528" spans="1:38" ht="12.75" x14ac:dyDescent="0.2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8"/>
      <c r="N528" s="88"/>
      <c r="O528" s="8"/>
      <c r="P528" s="8"/>
      <c r="Q528" s="89"/>
      <c r="R528" s="89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</row>
    <row r="529" spans="1:38" ht="12.75" x14ac:dyDescent="0.2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8"/>
      <c r="N529" s="88"/>
      <c r="O529" s="8"/>
      <c r="P529" s="8"/>
      <c r="Q529" s="89"/>
      <c r="R529" s="89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</row>
    <row r="530" spans="1:38" ht="12.75" x14ac:dyDescent="0.2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8"/>
      <c r="N530" s="88"/>
      <c r="O530" s="8"/>
      <c r="P530" s="8"/>
      <c r="Q530" s="89"/>
      <c r="R530" s="89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</row>
    <row r="531" spans="1:38" ht="12.75" x14ac:dyDescent="0.2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8"/>
      <c r="N531" s="88"/>
      <c r="O531" s="8"/>
      <c r="P531" s="8"/>
      <c r="Q531" s="89"/>
      <c r="R531" s="89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</row>
    <row r="532" spans="1:38" ht="12.75" x14ac:dyDescent="0.2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8"/>
      <c r="N532" s="88"/>
      <c r="O532" s="8"/>
      <c r="P532" s="8"/>
      <c r="Q532" s="89"/>
      <c r="R532" s="89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</row>
    <row r="533" spans="1:38" ht="12.75" x14ac:dyDescent="0.2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8"/>
      <c r="N533" s="88"/>
      <c r="O533" s="8"/>
      <c r="P533" s="8"/>
      <c r="Q533" s="89"/>
      <c r="R533" s="89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</row>
    <row r="534" spans="1:38" ht="12.75" x14ac:dyDescent="0.2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8"/>
      <c r="N534" s="88"/>
      <c r="O534" s="8"/>
      <c r="P534" s="8"/>
      <c r="Q534" s="89"/>
      <c r="R534" s="89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</row>
    <row r="535" spans="1:38" ht="12.75" x14ac:dyDescent="0.2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8"/>
      <c r="N535" s="88"/>
      <c r="O535" s="8"/>
      <c r="P535" s="8"/>
      <c r="Q535" s="89"/>
      <c r="R535" s="89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</row>
    <row r="536" spans="1:38" ht="12.75" x14ac:dyDescent="0.2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8"/>
      <c r="N536" s="88"/>
      <c r="O536" s="8"/>
      <c r="P536" s="8"/>
      <c r="Q536" s="89"/>
      <c r="R536" s="89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</row>
    <row r="537" spans="1:38" ht="12.75" x14ac:dyDescent="0.2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8"/>
      <c r="N537" s="88"/>
      <c r="O537" s="8"/>
      <c r="P537" s="8"/>
      <c r="Q537" s="89"/>
      <c r="R537" s="89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</row>
    <row r="538" spans="1:38" ht="12.75" x14ac:dyDescent="0.2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8"/>
      <c r="N538" s="88"/>
      <c r="O538" s="8"/>
      <c r="P538" s="8"/>
      <c r="Q538" s="89"/>
      <c r="R538" s="89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</row>
    <row r="539" spans="1:38" ht="12.75" x14ac:dyDescent="0.2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8"/>
      <c r="N539" s="88"/>
      <c r="O539" s="8"/>
      <c r="P539" s="8"/>
      <c r="Q539" s="89"/>
      <c r="R539" s="89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</row>
    <row r="540" spans="1:38" ht="12.75" x14ac:dyDescent="0.2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8"/>
      <c r="N540" s="88"/>
      <c r="O540" s="8"/>
      <c r="P540" s="8"/>
      <c r="Q540" s="89"/>
      <c r="R540" s="89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</row>
    <row r="541" spans="1:38" ht="12.75" x14ac:dyDescent="0.2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8"/>
      <c r="N541" s="88"/>
      <c r="O541" s="8"/>
      <c r="P541" s="8"/>
      <c r="Q541" s="89"/>
      <c r="R541" s="89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</row>
    <row r="542" spans="1:38" ht="12.75" x14ac:dyDescent="0.2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8"/>
      <c r="N542" s="88"/>
      <c r="O542" s="8"/>
      <c r="P542" s="8"/>
      <c r="Q542" s="89"/>
      <c r="R542" s="89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</row>
    <row r="543" spans="1:38" ht="12.75" x14ac:dyDescent="0.2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8"/>
      <c r="N543" s="88"/>
      <c r="O543" s="8"/>
      <c r="P543" s="8"/>
      <c r="Q543" s="89"/>
      <c r="R543" s="89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</row>
    <row r="544" spans="1:38" ht="12.75" x14ac:dyDescent="0.2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8"/>
      <c r="N544" s="88"/>
      <c r="O544" s="8"/>
      <c r="P544" s="8"/>
      <c r="Q544" s="89"/>
      <c r="R544" s="89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</row>
    <row r="545" spans="1:38" ht="12.75" x14ac:dyDescent="0.2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8"/>
      <c r="N545" s="88"/>
      <c r="O545" s="8"/>
      <c r="P545" s="8"/>
      <c r="Q545" s="89"/>
      <c r="R545" s="89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</row>
    <row r="546" spans="1:38" ht="12.75" x14ac:dyDescent="0.2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8"/>
      <c r="N546" s="88"/>
      <c r="O546" s="8"/>
      <c r="P546" s="8"/>
      <c r="Q546" s="89"/>
      <c r="R546" s="89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</row>
    <row r="547" spans="1:38" ht="12.75" x14ac:dyDescent="0.2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8"/>
      <c r="N547" s="88"/>
      <c r="O547" s="8"/>
      <c r="P547" s="8"/>
      <c r="Q547" s="89"/>
      <c r="R547" s="89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</row>
    <row r="548" spans="1:38" ht="12.75" x14ac:dyDescent="0.2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8"/>
      <c r="N548" s="88"/>
      <c r="O548" s="8"/>
      <c r="P548" s="8"/>
      <c r="Q548" s="89"/>
      <c r="R548" s="89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</row>
    <row r="549" spans="1:38" ht="12.75" x14ac:dyDescent="0.2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8"/>
      <c r="N549" s="88"/>
      <c r="O549" s="8"/>
      <c r="P549" s="8"/>
      <c r="Q549" s="89"/>
      <c r="R549" s="89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</row>
    <row r="550" spans="1:38" ht="12.75" x14ac:dyDescent="0.2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8"/>
      <c r="N550" s="88"/>
      <c r="O550" s="8"/>
      <c r="P550" s="8"/>
      <c r="Q550" s="89"/>
      <c r="R550" s="89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</row>
    <row r="551" spans="1:38" ht="12.75" x14ac:dyDescent="0.2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8"/>
      <c r="N551" s="88"/>
      <c r="O551" s="8"/>
      <c r="P551" s="8"/>
      <c r="Q551" s="89"/>
      <c r="R551" s="89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</row>
    <row r="552" spans="1:38" ht="12.75" x14ac:dyDescent="0.2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8"/>
      <c r="N552" s="88"/>
      <c r="O552" s="8"/>
      <c r="P552" s="8"/>
      <c r="Q552" s="89"/>
      <c r="R552" s="89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</row>
    <row r="553" spans="1:38" ht="12.75" x14ac:dyDescent="0.2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8"/>
      <c r="N553" s="88"/>
      <c r="O553" s="8"/>
      <c r="P553" s="8"/>
      <c r="Q553" s="89"/>
      <c r="R553" s="89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</row>
    <row r="554" spans="1:38" ht="12.75" x14ac:dyDescent="0.2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8"/>
      <c r="N554" s="88"/>
      <c r="O554" s="8"/>
      <c r="P554" s="8"/>
      <c r="Q554" s="89"/>
      <c r="R554" s="89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</row>
    <row r="555" spans="1:38" ht="12.75" x14ac:dyDescent="0.2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8"/>
      <c r="N555" s="88"/>
      <c r="O555" s="8"/>
      <c r="P555" s="8"/>
      <c r="Q555" s="89"/>
      <c r="R555" s="89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</row>
    <row r="556" spans="1:38" ht="12.75" x14ac:dyDescent="0.2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8"/>
      <c r="N556" s="88"/>
      <c r="O556" s="8"/>
      <c r="P556" s="8"/>
      <c r="Q556" s="89"/>
      <c r="R556" s="89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</row>
    <row r="557" spans="1:38" ht="12.75" x14ac:dyDescent="0.2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8"/>
      <c r="N557" s="88"/>
      <c r="O557" s="8"/>
      <c r="P557" s="8"/>
      <c r="Q557" s="89"/>
      <c r="R557" s="89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</row>
    <row r="558" spans="1:38" ht="12.75" x14ac:dyDescent="0.2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8"/>
      <c r="N558" s="88"/>
      <c r="O558" s="8"/>
      <c r="P558" s="8"/>
      <c r="Q558" s="89"/>
      <c r="R558" s="89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</row>
    <row r="559" spans="1:38" ht="12.75" x14ac:dyDescent="0.2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8"/>
      <c r="N559" s="88"/>
      <c r="O559" s="8"/>
      <c r="P559" s="8"/>
      <c r="Q559" s="89"/>
      <c r="R559" s="89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</row>
    <row r="560" spans="1:38" ht="12.75" x14ac:dyDescent="0.2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8"/>
      <c r="N560" s="88"/>
      <c r="O560" s="8"/>
      <c r="P560" s="8"/>
      <c r="Q560" s="89"/>
      <c r="R560" s="89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</row>
    <row r="561" spans="1:38" ht="12.75" x14ac:dyDescent="0.2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8"/>
      <c r="N561" s="88"/>
      <c r="O561" s="8"/>
      <c r="P561" s="8"/>
      <c r="Q561" s="89"/>
      <c r="R561" s="89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</row>
    <row r="562" spans="1:38" ht="12.75" x14ac:dyDescent="0.2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8"/>
      <c r="N562" s="88"/>
      <c r="O562" s="8"/>
      <c r="P562" s="8"/>
      <c r="Q562" s="89"/>
      <c r="R562" s="89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</row>
    <row r="563" spans="1:38" ht="12.75" x14ac:dyDescent="0.2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8"/>
      <c r="N563" s="88"/>
      <c r="O563" s="8"/>
      <c r="P563" s="8"/>
      <c r="Q563" s="89"/>
      <c r="R563" s="89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</row>
    <row r="564" spans="1:38" ht="12.75" x14ac:dyDescent="0.2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8"/>
      <c r="N564" s="88"/>
      <c r="O564" s="8"/>
      <c r="P564" s="8"/>
      <c r="Q564" s="89"/>
      <c r="R564" s="89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</row>
    <row r="565" spans="1:38" ht="12.75" x14ac:dyDescent="0.2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8"/>
      <c r="N565" s="88"/>
      <c r="O565" s="8"/>
      <c r="P565" s="8"/>
      <c r="Q565" s="89"/>
      <c r="R565" s="89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</row>
    <row r="566" spans="1:38" ht="12.75" x14ac:dyDescent="0.2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8"/>
      <c r="N566" s="88"/>
      <c r="O566" s="8"/>
      <c r="P566" s="8"/>
      <c r="Q566" s="89"/>
      <c r="R566" s="89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</row>
    <row r="567" spans="1:38" ht="12.75" x14ac:dyDescent="0.2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8"/>
      <c r="N567" s="88"/>
      <c r="O567" s="8"/>
      <c r="P567" s="8"/>
      <c r="Q567" s="89"/>
      <c r="R567" s="89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</row>
    <row r="568" spans="1:38" ht="12.75" x14ac:dyDescent="0.2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8"/>
      <c r="N568" s="88"/>
      <c r="O568" s="8"/>
      <c r="P568" s="8"/>
      <c r="Q568" s="89"/>
      <c r="R568" s="89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</row>
    <row r="569" spans="1:38" ht="12.75" x14ac:dyDescent="0.2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8"/>
      <c r="N569" s="88"/>
      <c r="O569" s="8"/>
      <c r="P569" s="8"/>
      <c r="Q569" s="89"/>
      <c r="R569" s="89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</row>
    <row r="570" spans="1:38" ht="12.75" x14ac:dyDescent="0.2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8"/>
      <c r="N570" s="88"/>
      <c r="O570" s="8"/>
      <c r="P570" s="8"/>
      <c r="Q570" s="89"/>
      <c r="R570" s="89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</row>
    <row r="571" spans="1:38" ht="12.75" x14ac:dyDescent="0.2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8"/>
      <c r="N571" s="88"/>
      <c r="O571" s="8"/>
      <c r="P571" s="8"/>
      <c r="Q571" s="89"/>
      <c r="R571" s="89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</row>
    <row r="572" spans="1:38" ht="12.75" x14ac:dyDescent="0.2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8"/>
      <c r="N572" s="88"/>
      <c r="O572" s="8"/>
      <c r="P572" s="8"/>
      <c r="Q572" s="89"/>
      <c r="R572" s="89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</row>
    <row r="573" spans="1:38" ht="12.75" x14ac:dyDescent="0.2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8"/>
      <c r="N573" s="88"/>
      <c r="O573" s="8"/>
      <c r="P573" s="8"/>
      <c r="Q573" s="89"/>
      <c r="R573" s="89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</row>
    <row r="574" spans="1:38" ht="12.75" x14ac:dyDescent="0.2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8"/>
      <c r="N574" s="88"/>
      <c r="O574" s="8"/>
      <c r="P574" s="8"/>
      <c r="Q574" s="89"/>
      <c r="R574" s="89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</row>
    <row r="575" spans="1:38" ht="12.75" x14ac:dyDescent="0.2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8"/>
      <c r="N575" s="88"/>
      <c r="O575" s="8"/>
      <c r="P575" s="8"/>
      <c r="Q575" s="89"/>
      <c r="R575" s="89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</row>
    <row r="576" spans="1:38" ht="12.75" x14ac:dyDescent="0.2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8"/>
      <c r="N576" s="88"/>
      <c r="O576" s="8"/>
      <c r="P576" s="8"/>
      <c r="Q576" s="89"/>
      <c r="R576" s="89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</row>
    <row r="577" spans="1:38" ht="12.75" x14ac:dyDescent="0.2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8"/>
      <c r="N577" s="88"/>
      <c r="O577" s="8"/>
      <c r="P577" s="8"/>
      <c r="Q577" s="89"/>
      <c r="R577" s="89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</row>
    <row r="578" spans="1:38" ht="12.75" x14ac:dyDescent="0.2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8"/>
      <c r="N578" s="88"/>
      <c r="O578" s="8"/>
      <c r="P578" s="8"/>
      <c r="Q578" s="89"/>
      <c r="R578" s="89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</row>
    <row r="579" spans="1:38" ht="12.75" x14ac:dyDescent="0.2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8"/>
      <c r="N579" s="88"/>
      <c r="O579" s="8"/>
      <c r="P579" s="8"/>
      <c r="Q579" s="89"/>
      <c r="R579" s="89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</row>
    <row r="580" spans="1:38" ht="12.75" x14ac:dyDescent="0.2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8"/>
      <c r="N580" s="88"/>
      <c r="O580" s="8"/>
      <c r="P580" s="8"/>
      <c r="Q580" s="89"/>
      <c r="R580" s="89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</row>
    <row r="581" spans="1:38" ht="12.75" x14ac:dyDescent="0.2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8"/>
      <c r="N581" s="88"/>
      <c r="O581" s="8"/>
      <c r="P581" s="8"/>
      <c r="Q581" s="89"/>
      <c r="R581" s="89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</row>
    <row r="582" spans="1:38" ht="12.75" x14ac:dyDescent="0.2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8"/>
      <c r="N582" s="88"/>
      <c r="O582" s="8"/>
      <c r="P582" s="8"/>
      <c r="Q582" s="89"/>
      <c r="R582" s="89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</row>
    <row r="583" spans="1:38" ht="12.75" x14ac:dyDescent="0.2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8"/>
      <c r="N583" s="88"/>
      <c r="O583" s="8"/>
      <c r="P583" s="8"/>
      <c r="Q583" s="89"/>
      <c r="R583" s="89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</row>
    <row r="584" spans="1:38" ht="12.75" x14ac:dyDescent="0.2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8"/>
      <c r="N584" s="88"/>
      <c r="O584" s="8"/>
      <c r="P584" s="8"/>
      <c r="Q584" s="89"/>
      <c r="R584" s="89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</row>
    <row r="585" spans="1:38" ht="12.75" x14ac:dyDescent="0.2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8"/>
      <c r="N585" s="88"/>
      <c r="O585" s="8"/>
      <c r="P585" s="8"/>
      <c r="Q585" s="89"/>
      <c r="R585" s="89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</row>
    <row r="586" spans="1:38" ht="12.75" x14ac:dyDescent="0.2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8"/>
      <c r="N586" s="88"/>
      <c r="O586" s="8"/>
      <c r="P586" s="8"/>
      <c r="Q586" s="89"/>
      <c r="R586" s="89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</row>
    <row r="587" spans="1:38" ht="12.75" x14ac:dyDescent="0.2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8"/>
      <c r="N587" s="88"/>
      <c r="O587" s="8"/>
      <c r="P587" s="8"/>
      <c r="Q587" s="89"/>
      <c r="R587" s="89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</row>
    <row r="588" spans="1:38" ht="12.75" x14ac:dyDescent="0.2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8"/>
      <c r="N588" s="88"/>
      <c r="O588" s="8"/>
      <c r="P588" s="8"/>
      <c r="Q588" s="89"/>
      <c r="R588" s="89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</row>
    <row r="589" spans="1:38" ht="12.75" x14ac:dyDescent="0.2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8"/>
      <c r="N589" s="88"/>
      <c r="O589" s="8"/>
      <c r="P589" s="8"/>
      <c r="Q589" s="89"/>
      <c r="R589" s="89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</row>
    <row r="590" spans="1:38" ht="12.75" x14ac:dyDescent="0.2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8"/>
      <c r="N590" s="88"/>
      <c r="O590" s="8"/>
      <c r="P590" s="8"/>
      <c r="Q590" s="89"/>
      <c r="R590" s="89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</row>
    <row r="591" spans="1:38" ht="12.75" x14ac:dyDescent="0.2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8"/>
      <c r="N591" s="88"/>
      <c r="O591" s="8"/>
      <c r="P591" s="8"/>
      <c r="Q591" s="89"/>
      <c r="R591" s="89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</row>
    <row r="592" spans="1:38" ht="12.75" x14ac:dyDescent="0.2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8"/>
      <c r="N592" s="88"/>
      <c r="O592" s="8"/>
      <c r="P592" s="8"/>
      <c r="Q592" s="89"/>
      <c r="R592" s="89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</row>
    <row r="593" spans="1:38" ht="12.75" x14ac:dyDescent="0.2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8"/>
      <c r="N593" s="88"/>
      <c r="O593" s="8"/>
      <c r="P593" s="8"/>
      <c r="Q593" s="89"/>
      <c r="R593" s="89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</row>
    <row r="594" spans="1:38" ht="12.75" x14ac:dyDescent="0.2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8"/>
      <c r="N594" s="88"/>
      <c r="O594" s="8"/>
      <c r="P594" s="8"/>
      <c r="Q594" s="89"/>
      <c r="R594" s="89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</row>
    <row r="595" spans="1:38" ht="12.75" x14ac:dyDescent="0.2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8"/>
      <c r="N595" s="88"/>
      <c r="O595" s="8"/>
      <c r="P595" s="8"/>
      <c r="Q595" s="89"/>
      <c r="R595" s="89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</row>
    <row r="596" spans="1:38" ht="12.75" x14ac:dyDescent="0.2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8"/>
      <c r="N596" s="88"/>
      <c r="O596" s="8"/>
      <c r="P596" s="8"/>
      <c r="Q596" s="89"/>
      <c r="R596" s="89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</row>
    <row r="597" spans="1:38" ht="12.75" x14ac:dyDescent="0.2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8"/>
      <c r="N597" s="88"/>
      <c r="O597" s="8"/>
      <c r="P597" s="8"/>
      <c r="Q597" s="89"/>
      <c r="R597" s="89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</row>
    <row r="598" spans="1:38" ht="12.75" x14ac:dyDescent="0.2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8"/>
      <c r="N598" s="88"/>
      <c r="O598" s="8"/>
      <c r="P598" s="8"/>
      <c r="Q598" s="89"/>
      <c r="R598" s="89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</row>
    <row r="599" spans="1:38" ht="12.75" x14ac:dyDescent="0.2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8"/>
      <c r="N599" s="88"/>
      <c r="O599" s="8"/>
      <c r="P599" s="8"/>
      <c r="Q599" s="89"/>
      <c r="R599" s="89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</row>
    <row r="600" spans="1:38" ht="12.75" x14ac:dyDescent="0.2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8"/>
      <c r="N600" s="88"/>
      <c r="O600" s="8"/>
      <c r="P600" s="8"/>
      <c r="Q600" s="89"/>
      <c r="R600" s="89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</row>
    <row r="601" spans="1:38" ht="12.75" x14ac:dyDescent="0.2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8"/>
      <c r="N601" s="88"/>
      <c r="O601" s="8"/>
      <c r="P601" s="8"/>
      <c r="Q601" s="89"/>
      <c r="R601" s="89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</row>
    <row r="602" spans="1:38" ht="12.75" x14ac:dyDescent="0.2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8"/>
      <c r="N602" s="88"/>
      <c r="O602" s="8"/>
      <c r="P602" s="8"/>
      <c r="Q602" s="89"/>
      <c r="R602" s="89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</row>
    <row r="603" spans="1:38" ht="12.75" x14ac:dyDescent="0.2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8"/>
      <c r="N603" s="88"/>
      <c r="O603" s="8"/>
      <c r="P603" s="8"/>
      <c r="Q603" s="89"/>
      <c r="R603" s="89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</row>
    <row r="604" spans="1:38" ht="12.75" x14ac:dyDescent="0.2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8"/>
      <c r="N604" s="88"/>
      <c r="O604" s="8"/>
      <c r="P604" s="8"/>
      <c r="Q604" s="89"/>
      <c r="R604" s="89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</row>
    <row r="605" spans="1:38" ht="12.75" x14ac:dyDescent="0.2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8"/>
      <c r="N605" s="88"/>
      <c r="O605" s="8"/>
      <c r="P605" s="8"/>
      <c r="Q605" s="89"/>
      <c r="R605" s="89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</row>
    <row r="606" spans="1:38" ht="12.75" x14ac:dyDescent="0.2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8"/>
      <c r="N606" s="88"/>
      <c r="O606" s="8"/>
      <c r="P606" s="8"/>
      <c r="Q606" s="89"/>
      <c r="R606" s="89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</row>
    <row r="607" spans="1:38" ht="12.75" x14ac:dyDescent="0.2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8"/>
      <c r="N607" s="88"/>
      <c r="O607" s="8"/>
      <c r="P607" s="8"/>
      <c r="Q607" s="89"/>
      <c r="R607" s="89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</row>
    <row r="608" spans="1:38" ht="12.75" x14ac:dyDescent="0.2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8"/>
      <c r="N608" s="88"/>
      <c r="O608" s="8"/>
      <c r="P608" s="8"/>
      <c r="Q608" s="89"/>
      <c r="R608" s="89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</row>
    <row r="609" spans="1:38" ht="12.75" x14ac:dyDescent="0.2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8"/>
      <c r="N609" s="88"/>
      <c r="O609" s="8"/>
      <c r="P609" s="8"/>
      <c r="Q609" s="89"/>
      <c r="R609" s="89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</row>
    <row r="610" spans="1:38" ht="12.75" x14ac:dyDescent="0.2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8"/>
      <c r="N610" s="88"/>
      <c r="O610" s="8"/>
      <c r="P610" s="8"/>
      <c r="Q610" s="89"/>
      <c r="R610" s="89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</row>
    <row r="611" spans="1:38" ht="12.75" x14ac:dyDescent="0.2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8"/>
      <c r="N611" s="88"/>
      <c r="O611" s="8"/>
      <c r="P611" s="8"/>
      <c r="Q611" s="89"/>
      <c r="R611" s="89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</row>
    <row r="612" spans="1:38" ht="12.75" x14ac:dyDescent="0.2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8"/>
      <c r="N612" s="88"/>
      <c r="O612" s="8"/>
      <c r="P612" s="8"/>
      <c r="Q612" s="89"/>
      <c r="R612" s="89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</row>
    <row r="613" spans="1:38" ht="12.75" x14ac:dyDescent="0.2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8"/>
      <c r="N613" s="88"/>
      <c r="O613" s="8"/>
      <c r="P613" s="8"/>
      <c r="Q613" s="89"/>
      <c r="R613" s="89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</row>
    <row r="614" spans="1:38" ht="12.75" x14ac:dyDescent="0.2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8"/>
      <c r="N614" s="88"/>
      <c r="O614" s="8"/>
      <c r="P614" s="8"/>
      <c r="Q614" s="89"/>
      <c r="R614" s="89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</row>
    <row r="615" spans="1:38" ht="12.75" x14ac:dyDescent="0.2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8"/>
      <c r="N615" s="88"/>
      <c r="O615" s="8"/>
      <c r="P615" s="8"/>
      <c r="Q615" s="89"/>
      <c r="R615" s="89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</row>
    <row r="616" spans="1:38" ht="12.75" x14ac:dyDescent="0.2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8"/>
      <c r="N616" s="88"/>
      <c r="O616" s="8"/>
      <c r="P616" s="8"/>
      <c r="Q616" s="89"/>
      <c r="R616" s="89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</row>
    <row r="617" spans="1:38" ht="12.75" x14ac:dyDescent="0.2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8"/>
      <c r="N617" s="88"/>
      <c r="O617" s="8"/>
      <c r="P617" s="8"/>
      <c r="Q617" s="89"/>
      <c r="R617" s="89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</row>
    <row r="618" spans="1:38" ht="12.75" x14ac:dyDescent="0.2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8"/>
      <c r="N618" s="88"/>
      <c r="O618" s="8"/>
      <c r="P618" s="8"/>
      <c r="Q618" s="89"/>
      <c r="R618" s="89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</row>
    <row r="619" spans="1:38" ht="12.75" x14ac:dyDescent="0.2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8"/>
      <c r="N619" s="88"/>
      <c r="O619" s="8"/>
      <c r="P619" s="8"/>
      <c r="Q619" s="89"/>
      <c r="R619" s="89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</row>
    <row r="620" spans="1:38" ht="12.75" x14ac:dyDescent="0.2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8"/>
      <c r="N620" s="88"/>
      <c r="O620" s="8"/>
      <c r="P620" s="8"/>
      <c r="Q620" s="89"/>
      <c r="R620" s="89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</row>
    <row r="621" spans="1:38" ht="12.75" x14ac:dyDescent="0.2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8"/>
      <c r="N621" s="88"/>
      <c r="O621" s="8"/>
      <c r="P621" s="8"/>
      <c r="Q621" s="89"/>
      <c r="R621" s="89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</row>
    <row r="622" spans="1:38" ht="12.75" x14ac:dyDescent="0.2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8"/>
      <c r="N622" s="88"/>
      <c r="O622" s="8"/>
      <c r="P622" s="8"/>
      <c r="Q622" s="89"/>
      <c r="R622" s="89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</row>
    <row r="623" spans="1:38" ht="12.75" x14ac:dyDescent="0.2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8"/>
      <c r="N623" s="88"/>
      <c r="O623" s="8"/>
      <c r="P623" s="8"/>
      <c r="Q623" s="89"/>
      <c r="R623" s="89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</row>
    <row r="624" spans="1:38" ht="12.75" x14ac:dyDescent="0.2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8"/>
      <c r="N624" s="88"/>
      <c r="O624" s="8"/>
      <c r="P624" s="8"/>
      <c r="Q624" s="89"/>
      <c r="R624" s="89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</row>
    <row r="625" spans="1:38" ht="12.75" x14ac:dyDescent="0.2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8"/>
      <c r="N625" s="88"/>
      <c r="O625" s="8"/>
      <c r="P625" s="8"/>
      <c r="Q625" s="89"/>
      <c r="R625" s="89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</row>
    <row r="626" spans="1:38" ht="12.75" x14ac:dyDescent="0.2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8"/>
      <c r="N626" s="88"/>
      <c r="O626" s="8"/>
      <c r="P626" s="8"/>
      <c r="Q626" s="89"/>
      <c r="R626" s="89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</row>
    <row r="627" spans="1:38" ht="12.75" x14ac:dyDescent="0.2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8"/>
      <c r="N627" s="88"/>
      <c r="O627" s="8"/>
      <c r="P627" s="8"/>
      <c r="Q627" s="89"/>
      <c r="R627" s="89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</row>
    <row r="628" spans="1:38" ht="12.75" x14ac:dyDescent="0.2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8"/>
      <c r="N628" s="88"/>
      <c r="O628" s="8"/>
      <c r="P628" s="8"/>
      <c r="Q628" s="89"/>
      <c r="R628" s="89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</row>
    <row r="629" spans="1:38" ht="12.75" x14ac:dyDescent="0.2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8"/>
      <c r="N629" s="88"/>
      <c r="O629" s="8"/>
      <c r="P629" s="8"/>
      <c r="Q629" s="89"/>
      <c r="R629" s="89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</row>
    <row r="630" spans="1:38" ht="12.75" x14ac:dyDescent="0.2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8"/>
      <c r="N630" s="88"/>
      <c r="O630" s="8"/>
      <c r="P630" s="8"/>
      <c r="Q630" s="89"/>
      <c r="R630" s="89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</row>
    <row r="631" spans="1:38" ht="12.75" x14ac:dyDescent="0.2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8"/>
      <c r="N631" s="88"/>
      <c r="O631" s="8"/>
      <c r="P631" s="8"/>
      <c r="Q631" s="89"/>
      <c r="R631" s="89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</row>
    <row r="632" spans="1:38" ht="12.75" x14ac:dyDescent="0.2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8"/>
      <c r="N632" s="88"/>
      <c r="O632" s="8"/>
      <c r="P632" s="8"/>
      <c r="Q632" s="89"/>
      <c r="R632" s="89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</row>
    <row r="633" spans="1:38" ht="12.75" x14ac:dyDescent="0.2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8"/>
      <c r="N633" s="88"/>
      <c r="O633" s="8"/>
      <c r="P633" s="8"/>
      <c r="Q633" s="89"/>
      <c r="R633" s="89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</row>
    <row r="634" spans="1:38" ht="12.75" x14ac:dyDescent="0.2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8"/>
      <c r="N634" s="88"/>
      <c r="O634" s="8"/>
      <c r="P634" s="8"/>
      <c r="Q634" s="89"/>
      <c r="R634" s="89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</row>
    <row r="635" spans="1:38" ht="12.75" x14ac:dyDescent="0.2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8"/>
      <c r="N635" s="88"/>
      <c r="O635" s="8"/>
      <c r="P635" s="8"/>
      <c r="Q635" s="89"/>
      <c r="R635" s="89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</row>
    <row r="636" spans="1:38" ht="12.75" x14ac:dyDescent="0.2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8"/>
      <c r="N636" s="88"/>
      <c r="O636" s="8"/>
      <c r="P636" s="8"/>
      <c r="Q636" s="89"/>
      <c r="R636" s="89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</row>
    <row r="637" spans="1:38" ht="12.75" x14ac:dyDescent="0.2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8"/>
      <c r="N637" s="88"/>
      <c r="O637" s="8"/>
      <c r="P637" s="8"/>
      <c r="Q637" s="89"/>
      <c r="R637" s="89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</row>
    <row r="638" spans="1:38" ht="12.75" x14ac:dyDescent="0.2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8"/>
      <c r="N638" s="88"/>
      <c r="O638" s="8"/>
      <c r="P638" s="8"/>
      <c r="Q638" s="89"/>
      <c r="R638" s="89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</row>
    <row r="639" spans="1:38" ht="12.75" x14ac:dyDescent="0.2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8"/>
      <c r="N639" s="88"/>
      <c r="O639" s="8"/>
      <c r="P639" s="8"/>
      <c r="Q639" s="89"/>
      <c r="R639" s="89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</row>
    <row r="640" spans="1:38" ht="12.75" x14ac:dyDescent="0.2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8"/>
      <c r="N640" s="88"/>
      <c r="O640" s="8"/>
      <c r="P640" s="8"/>
      <c r="Q640" s="89"/>
      <c r="R640" s="89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</row>
    <row r="641" spans="1:38" ht="12.75" x14ac:dyDescent="0.2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8"/>
      <c r="N641" s="88"/>
      <c r="O641" s="8"/>
      <c r="P641" s="8"/>
      <c r="Q641" s="89"/>
      <c r="R641" s="89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</row>
    <row r="642" spans="1:38" ht="12.75" x14ac:dyDescent="0.2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8"/>
      <c r="N642" s="88"/>
      <c r="O642" s="8"/>
      <c r="P642" s="8"/>
      <c r="Q642" s="89"/>
      <c r="R642" s="89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</row>
    <row r="643" spans="1:38" ht="12.75" x14ac:dyDescent="0.2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8"/>
      <c r="N643" s="88"/>
      <c r="O643" s="8"/>
      <c r="P643" s="8"/>
      <c r="Q643" s="89"/>
      <c r="R643" s="89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</row>
    <row r="644" spans="1:38" ht="12.75" x14ac:dyDescent="0.2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8"/>
      <c r="N644" s="88"/>
      <c r="O644" s="8"/>
      <c r="P644" s="8"/>
      <c r="Q644" s="89"/>
      <c r="R644" s="89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</row>
    <row r="645" spans="1:38" ht="12.75" x14ac:dyDescent="0.2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8"/>
      <c r="N645" s="88"/>
      <c r="O645" s="8"/>
      <c r="P645" s="8"/>
      <c r="Q645" s="89"/>
      <c r="R645" s="89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</row>
    <row r="646" spans="1:38" ht="12.75" x14ac:dyDescent="0.2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8"/>
      <c r="N646" s="88"/>
      <c r="O646" s="8"/>
      <c r="P646" s="8"/>
      <c r="Q646" s="89"/>
      <c r="R646" s="89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</row>
    <row r="647" spans="1:38" ht="12.75" x14ac:dyDescent="0.2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8"/>
      <c r="N647" s="88"/>
      <c r="O647" s="8"/>
      <c r="P647" s="8"/>
      <c r="Q647" s="89"/>
      <c r="R647" s="89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</row>
    <row r="648" spans="1:38" ht="12.75" x14ac:dyDescent="0.2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8"/>
      <c r="N648" s="88"/>
      <c r="O648" s="8"/>
      <c r="P648" s="8"/>
      <c r="Q648" s="89"/>
      <c r="R648" s="89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</row>
    <row r="649" spans="1:38" ht="12.75" x14ac:dyDescent="0.2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8"/>
      <c r="N649" s="88"/>
      <c r="O649" s="8"/>
      <c r="P649" s="8"/>
      <c r="Q649" s="89"/>
      <c r="R649" s="89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</row>
    <row r="650" spans="1:38" ht="12.75" x14ac:dyDescent="0.2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8"/>
      <c r="N650" s="88"/>
      <c r="O650" s="8"/>
      <c r="P650" s="8"/>
      <c r="Q650" s="89"/>
      <c r="R650" s="89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</row>
    <row r="651" spans="1:38" ht="12.75" x14ac:dyDescent="0.2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8"/>
      <c r="N651" s="88"/>
      <c r="O651" s="8"/>
      <c r="P651" s="8"/>
      <c r="Q651" s="89"/>
      <c r="R651" s="89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</row>
    <row r="652" spans="1:38" ht="12.75" x14ac:dyDescent="0.2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8"/>
      <c r="N652" s="88"/>
      <c r="O652" s="8"/>
      <c r="P652" s="8"/>
      <c r="Q652" s="89"/>
      <c r="R652" s="89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</row>
    <row r="653" spans="1:38" ht="12.75" x14ac:dyDescent="0.2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8"/>
      <c r="N653" s="88"/>
      <c r="O653" s="8"/>
      <c r="P653" s="8"/>
      <c r="Q653" s="89"/>
      <c r="R653" s="89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</row>
    <row r="654" spans="1:38" ht="12.75" x14ac:dyDescent="0.2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8"/>
      <c r="N654" s="88"/>
      <c r="O654" s="8"/>
      <c r="P654" s="8"/>
      <c r="Q654" s="89"/>
      <c r="R654" s="89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</row>
    <row r="655" spans="1:38" ht="12.75" x14ac:dyDescent="0.2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8"/>
      <c r="N655" s="88"/>
      <c r="O655" s="8"/>
      <c r="P655" s="8"/>
      <c r="Q655" s="89"/>
      <c r="R655" s="89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</row>
    <row r="656" spans="1:38" ht="12.75" x14ac:dyDescent="0.2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8"/>
      <c r="N656" s="88"/>
      <c r="O656" s="8"/>
      <c r="P656" s="8"/>
      <c r="Q656" s="89"/>
      <c r="R656" s="89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</row>
    <row r="657" spans="1:38" ht="12.75" x14ac:dyDescent="0.2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8"/>
      <c r="N657" s="88"/>
      <c r="O657" s="8"/>
      <c r="P657" s="8"/>
      <c r="Q657" s="89"/>
      <c r="R657" s="89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</row>
    <row r="658" spans="1:38" ht="12.75" x14ac:dyDescent="0.2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8"/>
      <c r="N658" s="88"/>
      <c r="O658" s="8"/>
      <c r="P658" s="8"/>
      <c r="Q658" s="89"/>
      <c r="R658" s="89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</row>
    <row r="659" spans="1:38" ht="12.75" x14ac:dyDescent="0.2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8"/>
      <c r="N659" s="88"/>
      <c r="O659" s="8"/>
      <c r="P659" s="8"/>
      <c r="Q659" s="89"/>
      <c r="R659" s="89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</row>
    <row r="660" spans="1:38" ht="12.75" x14ac:dyDescent="0.2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8"/>
      <c r="N660" s="88"/>
      <c r="O660" s="8"/>
      <c r="P660" s="8"/>
      <c r="Q660" s="89"/>
      <c r="R660" s="89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</row>
    <row r="661" spans="1:38" ht="12.75" x14ac:dyDescent="0.2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8"/>
      <c r="N661" s="88"/>
      <c r="O661" s="8"/>
      <c r="P661" s="8"/>
      <c r="Q661" s="89"/>
      <c r="R661" s="89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</row>
    <row r="662" spans="1:38" ht="12.75" x14ac:dyDescent="0.2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8"/>
      <c r="N662" s="88"/>
      <c r="O662" s="8"/>
      <c r="P662" s="8"/>
      <c r="Q662" s="89"/>
      <c r="R662" s="89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</row>
    <row r="663" spans="1:38" ht="12.75" x14ac:dyDescent="0.2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8"/>
      <c r="N663" s="88"/>
      <c r="O663" s="8"/>
      <c r="P663" s="8"/>
      <c r="Q663" s="89"/>
      <c r="R663" s="89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</row>
    <row r="664" spans="1:38" ht="12.75" x14ac:dyDescent="0.2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8"/>
      <c r="N664" s="88"/>
      <c r="O664" s="8"/>
      <c r="P664" s="8"/>
      <c r="Q664" s="89"/>
      <c r="R664" s="89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</row>
    <row r="665" spans="1:38" ht="12.75" x14ac:dyDescent="0.2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8"/>
      <c r="N665" s="88"/>
      <c r="O665" s="8"/>
      <c r="P665" s="8"/>
      <c r="Q665" s="89"/>
      <c r="R665" s="89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</row>
    <row r="666" spans="1:38" ht="12.75" x14ac:dyDescent="0.2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8"/>
      <c r="N666" s="88"/>
      <c r="O666" s="8"/>
      <c r="P666" s="8"/>
      <c r="Q666" s="89"/>
      <c r="R666" s="89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</row>
    <row r="667" spans="1:38" ht="12.75" x14ac:dyDescent="0.2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8"/>
      <c r="N667" s="88"/>
      <c r="O667" s="8"/>
      <c r="P667" s="8"/>
      <c r="Q667" s="89"/>
      <c r="R667" s="89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</row>
    <row r="668" spans="1:38" ht="12.75" x14ac:dyDescent="0.2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8"/>
      <c r="N668" s="88"/>
      <c r="O668" s="8"/>
      <c r="P668" s="8"/>
      <c r="Q668" s="89"/>
      <c r="R668" s="89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</row>
    <row r="669" spans="1:38" ht="12.75" x14ac:dyDescent="0.2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8"/>
      <c r="N669" s="88"/>
      <c r="O669" s="8"/>
      <c r="P669" s="8"/>
      <c r="Q669" s="89"/>
      <c r="R669" s="89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</row>
    <row r="670" spans="1:38" ht="12.75" x14ac:dyDescent="0.2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8"/>
      <c r="N670" s="88"/>
      <c r="O670" s="8"/>
      <c r="P670" s="8"/>
      <c r="Q670" s="89"/>
      <c r="R670" s="89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</row>
    <row r="671" spans="1:38" ht="12.75" x14ac:dyDescent="0.2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8"/>
      <c r="N671" s="88"/>
      <c r="O671" s="8"/>
      <c r="P671" s="8"/>
      <c r="Q671" s="89"/>
      <c r="R671" s="89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</row>
    <row r="672" spans="1:38" ht="12.75" x14ac:dyDescent="0.2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8"/>
      <c r="N672" s="88"/>
      <c r="O672" s="8"/>
      <c r="P672" s="8"/>
      <c r="Q672" s="89"/>
      <c r="R672" s="89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</row>
    <row r="673" spans="1:38" ht="12.75" x14ac:dyDescent="0.2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8"/>
      <c r="N673" s="88"/>
      <c r="O673" s="8"/>
      <c r="P673" s="8"/>
      <c r="Q673" s="89"/>
      <c r="R673" s="89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</row>
    <row r="674" spans="1:38" ht="12.75" x14ac:dyDescent="0.2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8"/>
      <c r="N674" s="88"/>
      <c r="O674" s="8"/>
      <c r="P674" s="8"/>
      <c r="Q674" s="89"/>
      <c r="R674" s="89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</row>
    <row r="675" spans="1:38" ht="12.75" x14ac:dyDescent="0.2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8"/>
      <c r="N675" s="88"/>
      <c r="O675" s="8"/>
      <c r="P675" s="8"/>
      <c r="Q675" s="89"/>
      <c r="R675" s="89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</row>
    <row r="676" spans="1:38" ht="12.75" x14ac:dyDescent="0.2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8"/>
      <c r="N676" s="88"/>
      <c r="O676" s="8"/>
      <c r="P676" s="8"/>
      <c r="Q676" s="89"/>
      <c r="R676" s="89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</row>
    <row r="677" spans="1:38" ht="12.75" x14ac:dyDescent="0.2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8"/>
      <c r="N677" s="88"/>
      <c r="O677" s="8"/>
      <c r="P677" s="8"/>
      <c r="Q677" s="89"/>
      <c r="R677" s="89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</row>
    <row r="678" spans="1:38" ht="12.75" x14ac:dyDescent="0.2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8"/>
      <c r="N678" s="88"/>
      <c r="O678" s="8"/>
      <c r="P678" s="8"/>
      <c r="Q678" s="89"/>
      <c r="R678" s="89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</row>
    <row r="679" spans="1:38" ht="12.75" x14ac:dyDescent="0.2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8"/>
      <c r="N679" s="88"/>
      <c r="O679" s="8"/>
      <c r="P679" s="8"/>
      <c r="Q679" s="89"/>
      <c r="R679" s="89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</row>
    <row r="680" spans="1:38" ht="12.75" x14ac:dyDescent="0.2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8"/>
      <c r="N680" s="88"/>
      <c r="O680" s="8"/>
      <c r="P680" s="8"/>
      <c r="Q680" s="89"/>
      <c r="R680" s="89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</row>
    <row r="681" spans="1:38" ht="12.75" x14ac:dyDescent="0.2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8"/>
      <c r="N681" s="88"/>
      <c r="O681" s="8"/>
      <c r="P681" s="8"/>
      <c r="Q681" s="89"/>
      <c r="R681" s="89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</row>
    <row r="682" spans="1:38" ht="12.75" x14ac:dyDescent="0.2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8"/>
      <c r="N682" s="88"/>
      <c r="O682" s="8"/>
      <c r="P682" s="8"/>
      <c r="Q682" s="89"/>
      <c r="R682" s="89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</row>
    <row r="683" spans="1:38" ht="12.75" x14ac:dyDescent="0.2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8"/>
      <c r="N683" s="88"/>
      <c r="O683" s="8"/>
      <c r="P683" s="8"/>
      <c r="Q683" s="89"/>
      <c r="R683" s="89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</row>
    <row r="684" spans="1:38" ht="12.75" x14ac:dyDescent="0.2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8"/>
      <c r="N684" s="88"/>
      <c r="O684" s="8"/>
      <c r="P684" s="8"/>
      <c r="Q684" s="89"/>
      <c r="R684" s="89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</row>
    <row r="685" spans="1:38" ht="12.75" x14ac:dyDescent="0.2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8"/>
      <c r="N685" s="88"/>
      <c r="O685" s="8"/>
      <c r="P685" s="8"/>
      <c r="Q685" s="89"/>
      <c r="R685" s="89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</row>
    <row r="686" spans="1:38" ht="12.75" x14ac:dyDescent="0.2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8"/>
      <c r="N686" s="88"/>
      <c r="O686" s="8"/>
      <c r="P686" s="8"/>
      <c r="Q686" s="89"/>
      <c r="R686" s="89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</row>
    <row r="687" spans="1:38" ht="12.75" x14ac:dyDescent="0.2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8"/>
      <c r="N687" s="88"/>
      <c r="O687" s="8"/>
      <c r="P687" s="8"/>
      <c r="Q687" s="89"/>
      <c r="R687" s="89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</row>
    <row r="688" spans="1:38" ht="12.75" x14ac:dyDescent="0.2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8"/>
      <c r="N688" s="88"/>
      <c r="O688" s="8"/>
      <c r="P688" s="8"/>
      <c r="Q688" s="89"/>
      <c r="R688" s="89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</row>
    <row r="689" spans="1:38" ht="12.75" x14ac:dyDescent="0.2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8"/>
      <c r="N689" s="88"/>
      <c r="O689" s="8"/>
      <c r="P689" s="8"/>
      <c r="Q689" s="89"/>
      <c r="R689" s="89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</row>
    <row r="690" spans="1:38" ht="12.75" x14ac:dyDescent="0.2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8"/>
      <c r="N690" s="88"/>
      <c r="O690" s="8"/>
      <c r="P690" s="8"/>
      <c r="Q690" s="89"/>
      <c r="R690" s="89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</row>
    <row r="691" spans="1:38" ht="12.75" x14ac:dyDescent="0.2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8"/>
      <c r="N691" s="88"/>
      <c r="O691" s="8"/>
      <c r="P691" s="8"/>
      <c r="Q691" s="89"/>
      <c r="R691" s="89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</row>
    <row r="692" spans="1:38" ht="12.75" x14ac:dyDescent="0.2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8"/>
      <c r="N692" s="88"/>
      <c r="O692" s="8"/>
      <c r="P692" s="8"/>
      <c r="Q692" s="89"/>
      <c r="R692" s="89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</row>
    <row r="693" spans="1:38" ht="12.75" x14ac:dyDescent="0.2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8"/>
      <c r="N693" s="88"/>
      <c r="O693" s="8"/>
      <c r="P693" s="8"/>
      <c r="Q693" s="89"/>
      <c r="R693" s="89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</row>
    <row r="694" spans="1:38" ht="12.75" x14ac:dyDescent="0.2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8"/>
      <c r="N694" s="88"/>
      <c r="O694" s="8"/>
      <c r="P694" s="8"/>
      <c r="Q694" s="89"/>
      <c r="R694" s="89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</row>
    <row r="695" spans="1:38" ht="12.75" x14ac:dyDescent="0.2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8"/>
      <c r="N695" s="88"/>
      <c r="O695" s="8"/>
      <c r="P695" s="8"/>
      <c r="Q695" s="89"/>
      <c r="R695" s="89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</row>
    <row r="696" spans="1:38" ht="12.75" x14ac:dyDescent="0.2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8"/>
      <c r="N696" s="88"/>
      <c r="O696" s="8"/>
      <c r="P696" s="8"/>
      <c r="Q696" s="89"/>
      <c r="R696" s="89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</row>
    <row r="697" spans="1:38" ht="12.75" x14ac:dyDescent="0.2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8"/>
      <c r="N697" s="88"/>
      <c r="O697" s="8"/>
      <c r="P697" s="8"/>
      <c r="Q697" s="89"/>
      <c r="R697" s="89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</row>
    <row r="698" spans="1:38" ht="12.75" x14ac:dyDescent="0.2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8"/>
      <c r="N698" s="88"/>
      <c r="O698" s="8"/>
      <c r="P698" s="8"/>
      <c r="Q698" s="89"/>
      <c r="R698" s="89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</row>
    <row r="699" spans="1:38" ht="12.75" x14ac:dyDescent="0.2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8"/>
      <c r="N699" s="88"/>
      <c r="O699" s="8"/>
      <c r="P699" s="8"/>
      <c r="Q699" s="89"/>
      <c r="R699" s="89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</row>
    <row r="700" spans="1:38" ht="12.75" x14ac:dyDescent="0.2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8"/>
      <c r="N700" s="88"/>
      <c r="O700" s="8"/>
      <c r="P700" s="8"/>
      <c r="Q700" s="89"/>
      <c r="R700" s="89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</row>
    <row r="701" spans="1:38" ht="12.75" x14ac:dyDescent="0.2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8"/>
      <c r="N701" s="88"/>
      <c r="O701" s="8"/>
      <c r="P701" s="8"/>
      <c r="Q701" s="89"/>
      <c r="R701" s="89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</row>
    <row r="702" spans="1:38" ht="12.75" x14ac:dyDescent="0.2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8"/>
      <c r="N702" s="88"/>
      <c r="O702" s="8"/>
      <c r="P702" s="8"/>
      <c r="Q702" s="89"/>
      <c r="R702" s="89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</row>
    <row r="703" spans="1:38" ht="12.75" x14ac:dyDescent="0.2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8"/>
      <c r="N703" s="88"/>
      <c r="O703" s="8"/>
      <c r="P703" s="8"/>
      <c r="Q703" s="89"/>
      <c r="R703" s="89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</row>
    <row r="704" spans="1:38" ht="12.75" x14ac:dyDescent="0.2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8"/>
      <c r="N704" s="88"/>
      <c r="O704" s="8"/>
      <c r="P704" s="8"/>
      <c r="Q704" s="89"/>
      <c r="R704" s="89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</row>
    <row r="705" spans="1:38" ht="12.75" x14ac:dyDescent="0.2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8"/>
      <c r="N705" s="88"/>
      <c r="O705" s="8"/>
      <c r="P705" s="8"/>
      <c r="Q705" s="89"/>
      <c r="R705" s="89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</row>
    <row r="706" spans="1:38" ht="12.75" x14ac:dyDescent="0.2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8"/>
      <c r="N706" s="88"/>
      <c r="O706" s="8"/>
      <c r="P706" s="8"/>
      <c r="Q706" s="89"/>
      <c r="R706" s="89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</row>
    <row r="707" spans="1:38" ht="12.75" x14ac:dyDescent="0.2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8"/>
      <c r="N707" s="88"/>
      <c r="O707" s="8"/>
      <c r="P707" s="8"/>
      <c r="Q707" s="89"/>
      <c r="R707" s="89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</row>
    <row r="708" spans="1:38" ht="12.75" x14ac:dyDescent="0.2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8"/>
      <c r="N708" s="88"/>
      <c r="O708" s="8"/>
      <c r="P708" s="8"/>
      <c r="Q708" s="89"/>
      <c r="R708" s="89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</row>
    <row r="709" spans="1:38" ht="12.75" x14ac:dyDescent="0.2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8"/>
      <c r="N709" s="88"/>
      <c r="O709" s="8"/>
      <c r="P709" s="8"/>
      <c r="Q709" s="89"/>
      <c r="R709" s="89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</row>
    <row r="710" spans="1:38" ht="12.75" x14ac:dyDescent="0.2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8"/>
      <c r="N710" s="88"/>
      <c r="O710" s="8"/>
      <c r="P710" s="8"/>
      <c r="Q710" s="89"/>
      <c r="R710" s="89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</row>
    <row r="711" spans="1:38" ht="12.75" x14ac:dyDescent="0.2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8"/>
      <c r="N711" s="88"/>
      <c r="O711" s="8"/>
      <c r="P711" s="8"/>
      <c r="Q711" s="89"/>
      <c r="R711" s="89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</row>
    <row r="712" spans="1:38" ht="12.75" x14ac:dyDescent="0.2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8"/>
      <c r="N712" s="88"/>
      <c r="O712" s="8"/>
      <c r="P712" s="8"/>
      <c r="Q712" s="89"/>
      <c r="R712" s="89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</row>
    <row r="713" spans="1:38" ht="12.75" x14ac:dyDescent="0.2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8"/>
      <c r="N713" s="88"/>
      <c r="O713" s="8"/>
      <c r="P713" s="8"/>
      <c r="Q713" s="89"/>
      <c r="R713" s="89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</row>
    <row r="714" spans="1:38" ht="12.75" x14ac:dyDescent="0.2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8"/>
      <c r="N714" s="88"/>
      <c r="O714" s="8"/>
      <c r="P714" s="8"/>
      <c r="Q714" s="89"/>
      <c r="R714" s="89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</row>
    <row r="715" spans="1:38" ht="12.75" x14ac:dyDescent="0.2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8"/>
      <c r="N715" s="88"/>
      <c r="O715" s="8"/>
      <c r="P715" s="8"/>
      <c r="Q715" s="89"/>
      <c r="R715" s="89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</row>
    <row r="716" spans="1:38" ht="12.75" x14ac:dyDescent="0.2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8"/>
      <c r="N716" s="88"/>
      <c r="O716" s="8"/>
      <c r="P716" s="8"/>
      <c r="Q716" s="89"/>
      <c r="R716" s="89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</row>
    <row r="717" spans="1:38" ht="12.75" x14ac:dyDescent="0.2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8"/>
      <c r="N717" s="88"/>
      <c r="O717" s="8"/>
      <c r="P717" s="8"/>
      <c r="Q717" s="89"/>
      <c r="R717" s="89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</row>
    <row r="718" spans="1:38" ht="12.75" x14ac:dyDescent="0.2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8"/>
      <c r="N718" s="88"/>
      <c r="O718" s="8"/>
      <c r="P718" s="8"/>
      <c r="Q718" s="89"/>
      <c r="R718" s="89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</row>
    <row r="719" spans="1:38" ht="12.75" x14ac:dyDescent="0.2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8"/>
      <c r="N719" s="88"/>
      <c r="O719" s="8"/>
      <c r="P719" s="8"/>
      <c r="Q719" s="89"/>
      <c r="R719" s="89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</row>
    <row r="720" spans="1:38" ht="12.75" x14ac:dyDescent="0.2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8"/>
      <c r="N720" s="88"/>
      <c r="O720" s="8"/>
      <c r="P720" s="8"/>
      <c r="Q720" s="89"/>
      <c r="R720" s="89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</row>
    <row r="721" spans="1:38" ht="12.75" x14ac:dyDescent="0.2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8"/>
      <c r="N721" s="88"/>
      <c r="O721" s="8"/>
      <c r="P721" s="8"/>
      <c r="Q721" s="89"/>
      <c r="R721" s="89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</row>
    <row r="722" spans="1:38" ht="12.75" x14ac:dyDescent="0.2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8"/>
      <c r="N722" s="88"/>
      <c r="O722" s="8"/>
      <c r="P722" s="8"/>
      <c r="Q722" s="89"/>
      <c r="R722" s="89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</row>
    <row r="723" spans="1:38" ht="12.75" x14ac:dyDescent="0.2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8"/>
      <c r="N723" s="88"/>
      <c r="O723" s="8"/>
      <c r="P723" s="8"/>
      <c r="Q723" s="89"/>
      <c r="R723" s="89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</row>
    <row r="724" spans="1:38" ht="12.75" x14ac:dyDescent="0.2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8"/>
      <c r="N724" s="88"/>
      <c r="O724" s="8"/>
      <c r="P724" s="8"/>
      <c r="Q724" s="89"/>
      <c r="R724" s="89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</row>
    <row r="725" spans="1:38" ht="12.75" x14ac:dyDescent="0.2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8"/>
      <c r="N725" s="88"/>
      <c r="O725" s="8"/>
      <c r="P725" s="8"/>
      <c r="Q725" s="89"/>
      <c r="R725" s="89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</row>
    <row r="726" spans="1:38" ht="12.75" x14ac:dyDescent="0.2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8"/>
      <c r="N726" s="88"/>
      <c r="O726" s="8"/>
      <c r="P726" s="8"/>
      <c r="Q726" s="89"/>
      <c r="R726" s="89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</row>
    <row r="727" spans="1:38" ht="12.75" x14ac:dyDescent="0.2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8"/>
      <c r="N727" s="88"/>
      <c r="O727" s="8"/>
      <c r="P727" s="8"/>
      <c r="Q727" s="89"/>
      <c r="R727" s="89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</row>
    <row r="728" spans="1:38" ht="12.75" x14ac:dyDescent="0.2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8"/>
      <c r="N728" s="88"/>
      <c r="O728" s="8"/>
      <c r="P728" s="8"/>
      <c r="Q728" s="89"/>
      <c r="R728" s="89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</row>
    <row r="729" spans="1:38" ht="12.75" x14ac:dyDescent="0.2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8"/>
      <c r="N729" s="88"/>
      <c r="O729" s="8"/>
      <c r="P729" s="8"/>
      <c r="Q729" s="89"/>
      <c r="R729" s="89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</row>
    <row r="730" spans="1:38" ht="12.75" x14ac:dyDescent="0.2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8"/>
      <c r="N730" s="88"/>
      <c r="O730" s="8"/>
      <c r="P730" s="8"/>
      <c r="Q730" s="89"/>
      <c r="R730" s="89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</row>
    <row r="731" spans="1:38" ht="12.75" x14ac:dyDescent="0.2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8"/>
      <c r="N731" s="88"/>
      <c r="O731" s="8"/>
      <c r="P731" s="8"/>
      <c r="Q731" s="89"/>
      <c r="R731" s="89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</row>
    <row r="732" spans="1:38" ht="12.75" x14ac:dyDescent="0.2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8"/>
      <c r="N732" s="88"/>
      <c r="O732" s="8"/>
      <c r="P732" s="8"/>
      <c r="Q732" s="89"/>
      <c r="R732" s="89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</row>
    <row r="733" spans="1:38" ht="12.75" x14ac:dyDescent="0.2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8"/>
      <c r="N733" s="88"/>
      <c r="O733" s="8"/>
      <c r="P733" s="8"/>
      <c r="Q733" s="89"/>
      <c r="R733" s="89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</row>
    <row r="734" spans="1:38" ht="12.75" x14ac:dyDescent="0.2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8"/>
      <c r="N734" s="88"/>
      <c r="O734" s="8"/>
      <c r="P734" s="8"/>
      <c r="Q734" s="89"/>
      <c r="R734" s="89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</row>
    <row r="735" spans="1:38" ht="12.75" x14ac:dyDescent="0.2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8"/>
      <c r="N735" s="88"/>
      <c r="O735" s="8"/>
      <c r="P735" s="8"/>
      <c r="Q735" s="89"/>
      <c r="R735" s="89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</row>
    <row r="736" spans="1:38" ht="12.75" x14ac:dyDescent="0.2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8"/>
      <c r="N736" s="88"/>
      <c r="O736" s="8"/>
      <c r="P736" s="8"/>
      <c r="Q736" s="89"/>
      <c r="R736" s="89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</row>
    <row r="737" spans="1:38" ht="12.75" x14ac:dyDescent="0.2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8"/>
      <c r="N737" s="88"/>
      <c r="O737" s="8"/>
      <c r="P737" s="8"/>
      <c r="Q737" s="89"/>
      <c r="R737" s="89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</row>
    <row r="738" spans="1:38" ht="12.75" x14ac:dyDescent="0.2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8"/>
      <c r="N738" s="88"/>
      <c r="O738" s="8"/>
      <c r="P738" s="8"/>
      <c r="Q738" s="89"/>
      <c r="R738" s="89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</row>
    <row r="739" spans="1:38" ht="12.75" x14ac:dyDescent="0.2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8"/>
      <c r="N739" s="88"/>
      <c r="O739" s="8"/>
      <c r="P739" s="8"/>
      <c r="Q739" s="89"/>
      <c r="R739" s="89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</row>
    <row r="740" spans="1:38" ht="12.75" x14ac:dyDescent="0.2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8"/>
      <c r="N740" s="88"/>
      <c r="O740" s="8"/>
      <c r="P740" s="8"/>
      <c r="Q740" s="89"/>
      <c r="R740" s="89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</row>
    <row r="741" spans="1:38" ht="12.75" x14ac:dyDescent="0.2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8"/>
      <c r="N741" s="88"/>
      <c r="O741" s="8"/>
      <c r="P741" s="8"/>
      <c r="Q741" s="89"/>
      <c r="R741" s="89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</row>
    <row r="742" spans="1:38" ht="12.75" x14ac:dyDescent="0.2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8"/>
      <c r="N742" s="88"/>
      <c r="O742" s="8"/>
      <c r="P742" s="8"/>
      <c r="Q742" s="89"/>
      <c r="R742" s="89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</row>
    <row r="743" spans="1:38" ht="12.75" x14ac:dyDescent="0.2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8"/>
      <c r="N743" s="88"/>
      <c r="O743" s="8"/>
      <c r="P743" s="8"/>
      <c r="Q743" s="89"/>
      <c r="R743" s="89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</row>
    <row r="744" spans="1:38" ht="12.75" x14ac:dyDescent="0.2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8"/>
      <c r="N744" s="88"/>
      <c r="O744" s="8"/>
      <c r="P744" s="8"/>
      <c r="Q744" s="89"/>
      <c r="R744" s="89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</row>
    <row r="745" spans="1:38" ht="12.75" x14ac:dyDescent="0.2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8"/>
      <c r="N745" s="88"/>
      <c r="O745" s="8"/>
      <c r="P745" s="8"/>
      <c r="Q745" s="89"/>
      <c r="R745" s="89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</row>
    <row r="746" spans="1:38" ht="12.75" x14ac:dyDescent="0.2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8"/>
      <c r="N746" s="88"/>
      <c r="O746" s="8"/>
      <c r="P746" s="8"/>
      <c r="Q746" s="89"/>
      <c r="R746" s="89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</row>
    <row r="747" spans="1:38" ht="12.75" x14ac:dyDescent="0.2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8"/>
      <c r="N747" s="88"/>
      <c r="O747" s="8"/>
      <c r="P747" s="8"/>
      <c r="Q747" s="89"/>
      <c r="R747" s="89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</row>
    <row r="748" spans="1:38" ht="12.75" x14ac:dyDescent="0.2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8"/>
      <c r="N748" s="88"/>
      <c r="O748" s="8"/>
      <c r="P748" s="8"/>
      <c r="Q748" s="89"/>
      <c r="R748" s="89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</row>
    <row r="749" spans="1:38" ht="12.75" x14ac:dyDescent="0.2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8"/>
      <c r="N749" s="88"/>
      <c r="O749" s="8"/>
      <c r="P749" s="8"/>
      <c r="Q749" s="89"/>
      <c r="R749" s="89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</row>
    <row r="750" spans="1:38" ht="12.75" x14ac:dyDescent="0.2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8"/>
      <c r="N750" s="88"/>
      <c r="O750" s="8"/>
      <c r="P750" s="8"/>
      <c r="Q750" s="89"/>
      <c r="R750" s="89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</row>
    <row r="751" spans="1:38" ht="12.75" x14ac:dyDescent="0.2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8"/>
      <c r="N751" s="88"/>
      <c r="O751" s="8"/>
      <c r="P751" s="8"/>
      <c r="Q751" s="89"/>
      <c r="R751" s="89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</row>
    <row r="752" spans="1:38" ht="12.75" x14ac:dyDescent="0.2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8"/>
      <c r="N752" s="88"/>
      <c r="O752" s="8"/>
      <c r="P752" s="8"/>
      <c r="Q752" s="89"/>
      <c r="R752" s="89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</row>
    <row r="753" spans="1:38" ht="12.75" x14ac:dyDescent="0.2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8"/>
      <c r="N753" s="88"/>
      <c r="O753" s="8"/>
      <c r="P753" s="8"/>
      <c r="Q753" s="89"/>
      <c r="R753" s="89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</row>
    <row r="754" spans="1:38" ht="12.75" x14ac:dyDescent="0.2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8"/>
      <c r="N754" s="88"/>
      <c r="O754" s="8"/>
      <c r="P754" s="8"/>
      <c r="Q754" s="89"/>
      <c r="R754" s="89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</row>
    <row r="755" spans="1:38" ht="12.75" x14ac:dyDescent="0.2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8"/>
      <c r="N755" s="88"/>
      <c r="O755" s="8"/>
      <c r="P755" s="8"/>
      <c r="Q755" s="89"/>
      <c r="R755" s="89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</row>
    <row r="756" spans="1:38" ht="12.75" x14ac:dyDescent="0.2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8"/>
      <c r="N756" s="88"/>
      <c r="O756" s="8"/>
      <c r="P756" s="8"/>
      <c r="Q756" s="89"/>
      <c r="R756" s="89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</row>
    <row r="757" spans="1:38" ht="12.75" x14ac:dyDescent="0.2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8"/>
      <c r="N757" s="88"/>
      <c r="O757" s="8"/>
      <c r="P757" s="8"/>
      <c r="Q757" s="89"/>
      <c r="R757" s="89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</row>
    <row r="758" spans="1:38" ht="12.75" x14ac:dyDescent="0.2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8"/>
      <c r="N758" s="88"/>
      <c r="O758" s="8"/>
      <c r="P758" s="8"/>
      <c r="Q758" s="89"/>
      <c r="R758" s="89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</row>
    <row r="759" spans="1:38" ht="12.75" x14ac:dyDescent="0.2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8"/>
      <c r="N759" s="88"/>
      <c r="O759" s="8"/>
      <c r="P759" s="8"/>
      <c r="Q759" s="89"/>
      <c r="R759" s="89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</row>
    <row r="760" spans="1:38" ht="12.75" x14ac:dyDescent="0.2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8"/>
      <c r="N760" s="88"/>
      <c r="O760" s="8"/>
      <c r="P760" s="8"/>
      <c r="Q760" s="89"/>
      <c r="R760" s="89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</row>
    <row r="761" spans="1:38" ht="12.75" x14ac:dyDescent="0.2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8"/>
      <c r="N761" s="88"/>
      <c r="O761" s="8"/>
      <c r="P761" s="8"/>
      <c r="Q761" s="89"/>
      <c r="R761" s="89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</row>
    <row r="762" spans="1:38" ht="12.75" x14ac:dyDescent="0.2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8"/>
      <c r="N762" s="88"/>
      <c r="O762" s="8"/>
      <c r="P762" s="8"/>
      <c r="Q762" s="89"/>
      <c r="R762" s="89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</row>
    <row r="763" spans="1:38" ht="12.75" x14ac:dyDescent="0.2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8"/>
      <c r="N763" s="88"/>
      <c r="O763" s="8"/>
      <c r="P763" s="8"/>
      <c r="Q763" s="89"/>
      <c r="R763" s="89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</row>
    <row r="764" spans="1:38" ht="12.75" x14ac:dyDescent="0.2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8"/>
      <c r="N764" s="88"/>
      <c r="O764" s="8"/>
      <c r="P764" s="8"/>
      <c r="Q764" s="89"/>
      <c r="R764" s="89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</row>
    <row r="765" spans="1:38" ht="12.75" x14ac:dyDescent="0.2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8"/>
      <c r="N765" s="88"/>
      <c r="O765" s="8"/>
      <c r="P765" s="8"/>
      <c r="Q765" s="89"/>
      <c r="R765" s="89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</row>
    <row r="766" spans="1:38" ht="12.75" x14ac:dyDescent="0.2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8"/>
      <c r="N766" s="88"/>
      <c r="O766" s="8"/>
      <c r="P766" s="8"/>
      <c r="Q766" s="89"/>
      <c r="R766" s="89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</row>
    <row r="767" spans="1:38" ht="12.75" x14ac:dyDescent="0.2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8"/>
      <c r="N767" s="88"/>
      <c r="O767" s="8"/>
      <c r="P767" s="8"/>
      <c r="Q767" s="89"/>
      <c r="R767" s="89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</row>
    <row r="768" spans="1:38" ht="12.75" x14ac:dyDescent="0.2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8"/>
      <c r="N768" s="88"/>
      <c r="O768" s="8"/>
      <c r="P768" s="8"/>
      <c r="Q768" s="89"/>
      <c r="R768" s="89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</row>
    <row r="769" spans="1:38" ht="12.75" x14ac:dyDescent="0.2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8"/>
      <c r="N769" s="88"/>
      <c r="O769" s="8"/>
      <c r="P769" s="8"/>
      <c r="Q769" s="89"/>
      <c r="R769" s="89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</row>
    <row r="770" spans="1:38" ht="12.75" x14ac:dyDescent="0.2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8"/>
      <c r="N770" s="88"/>
      <c r="O770" s="8"/>
      <c r="P770" s="8"/>
      <c r="Q770" s="89"/>
      <c r="R770" s="89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</row>
    <row r="771" spans="1:38" ht="12.75" x14ac:dyDescent="0.2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8"/>
      <c r="N771" s="88"/>
      <c r="O771" s="8"/>
      <c r="P771" s="8"/>
      <c r="Q771" s="89"/>
      <c r="R771" s="89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</row>
    <row r="772" spans="1:38" ht="12.75" x14ac:dyDescent="0.2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8"/>
      <c r="N772" s="88"/>
      <c r="O772" s="8"/>
      <c r="P772" s="8"/>
      <c r="Q772" s="89"/>
      <c r="R772" s="89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</row>
    <row r="773" spans="1:38" ht="12.75" x14ac:dyDescent="0.2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8"/>
      <c r="N773" s="88"/>
      <c r="O773" s="8"/>
      <c r="P773" s="8"/>
      <c r="Q773" s="89"/>
      <c r="R773" s="89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</row>
    <row r="774" spans="1:38" ht="12.75" x14ac:dyDescent="0.2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8"/>
      <c r="N774" s="88"/>
      <c r="O774" s="8"/>
      <c r="P774" s="8"/>
      <c r="Q774" s="89"/>
      <c r="R774" s="89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</row>
    <row r="775" spans="1:38" ht="12.75" x14ac:dyDescent="0.2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8"/>
      <c r="N775" s="88"/>
      <c r="O775" s="8"/>
      <c r="P775" s="8"/>
      <c r="Q775" s="89"/>
      <c r="R775" s="89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</row>
    <row r="776" spans="1:38" ht="12.75" x14ac:dyDescent="0.2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8"/>
      <c r="N776" s="88"/>
      <c r="O776" s="8"/>
      <c r="P776" s="8"/>
      <c r="Q776" s="89"/>
      <c r="R776" s="89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</row>
    <row r="777" spans="1:38" ht="12.75" x14ac:dyDescent="0.2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8"/>
      <c r="N777" s="88"/>
      <c r="O777" s="8"/>
      <c r="P777" s="8"/>
      <c r="Q777" s="89"/>
      <c r="R777" s="89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</row>
    <row r="778" spans="1:38" ht="12.75" x14ac:dyDescent="0.2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8"/>
      <c r="N778" s="88"/>
      <c r="O778" s="8"/>
      <c r="P778" s="8"/>
      <c r="Q778" s="89"/>
      <c r="R778" s="89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</row>
    <row r="779" spans="1:38" ht="12.75" x14ac:dyDescent="0.2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8"/>
      <c r="N779" s="88"/>
      <c r="O779" s="8"/>
      <c r="P779" s="8"/>
      <c r="Q779" s="89"/>
      <c r="R779" s="89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</row>
    <row r="780" spans="1:38" ht="12.75" x14ac:dyDescent="0.2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8"/>
      <c r="N780" s="88"/>
      <c r="O780" s="8"/>
      <c r="P780" s="8"/>
      <c r="Q780" s="89"/>
      <c r="R780" s="89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</row>
    <row r="781" spans="1:38" ht="12.75" x14ac:dyDescent="0.2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8"/>
      <c r="N781" s="88"/>
      <c r="O781" s="8"/>
      <c r="P781" s="8"/>
      <c r="Q781" s="89"/>
      <c r="R781" s="89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</row>
    <row r="782" spans="1:38" ht="12.75" x14ac:dyDescent="0.2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8"/>
      <c r="N782" s="88"/>
      <c r="O782" s="8"/>
      <c r="P782" s="8"/>
      <c r="Q782" s="89"/>
      <c r="R782" s="89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</row>
    <row r="783" spans="1:38" ht="12.75" x14ac:dyDescent="0.2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8"/>
      <c r="N783" s="88"/>
      <c r="O783" s="8"/>
      <c r="P783" s="8"/>
      <c r="Q783" s="89"/>
      <c r="R783" s="89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</row>
    <row r="784" spans="1:38" ht="12.75" x14ac:dyDescent="0.2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8"/>
      <c r="N784" s="88"/>
      <c r="O784" s="8"/>
      <c r="P784" s="8"/>
      <c r="Q784" s="89"/>
      <c r="R784" s="89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</row>
    <row r="785" spans="1:38" ht="12.75" x14ac:dyDescent="0.2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8"/>
      <c r="N785" s="88"/>
      <c r="O785" s="8"/>
      <c r="P785" s="8"/>
      <c r="Q785" s="89"/>
      <c r="R785" s="89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</row>
    <row r="786" spans="1:38" ht="12.75" x14ac:dyDescent="0.2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8"/>
      <c r="N786" s="88"/>
      <c r="O786" s="8"/>
      <c r="P786" s="8"/>
      <c r="Q786" s="89"/>
      <c r="R786" s="89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</row>
    <row r="787" spans="1:38" ht="12.75" x14ac:dyDescent="0.2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8"/>
      <c r="N787" s="88"/>
      <c r="O787" s="8"/>
      <c r="P787" s="8"/>
      <c r="Q787" s="89"/>
      <c r="R787" s="89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</row>
    <row r="788" spans="1:38" ht="12.75" x14ac:dyDescent="0.2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8"/>
      <c r="N788" s="88"/>
      <c r="O788" s="8"/>
      <c r="P788" s="8"/>
      <c r="Q788" s="89"/>
      <c r="R788" s="89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</row>
    <row r="789" spans="1:38" ht="12.75" x14ac:dyDescent="0.2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8"/>
      <c r="N789" s="88"/>
      <c r="O789" s="8"/>
      <c r="P789" s="8"/>
      <c r="Q789" s="89"/>
      <c r="R789" s="89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</row>
    <row r="790" spans="1:38" ht="12.75" x14ac:dyDescent="0.2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8"/>
      <c r="N790" s="88"/>
      <c r="O790" s="8"/>
      <c r="P790" s="8"/>
      <c r="Q790" s="89"/>
      <c r="R790" s="89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</row>
    <row r="791" spans="1:38" ht="12.75" x14ac:dyDescent="0.2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8"/>
      <c r="N791" s="88"/>
      <c r="O791" s="8"/>
      <c r="P791" s="8"/>
      <c r="Q791" s="89"/>
      <c r="R791" s="89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</row>
    <row r="792" spans="1:38" ht="12.75" x14ac:dyDescent="0.2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8"/>
      <c r="N792" s="88"/>
      <c r="O792" s="8"/>
      <c r="P792" s="8"/>
      <c r="Q792" s="89"/>
      <c r="R792" s="89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</row>
    <row r="793" spans="1:38" ht="12.75" x14ac:dyDescent="0.2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8"/>
      <c r="N793" s="88"/>
      <c r="O793" s="8"/>
      <c r="P793" s="8"/>
      <c r="Q793" s="89"/>
      <c r="R793" s="89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</row>
    <row r="794" spans="1:38" ht="12.75" x14ac:dyDescent="0.2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8"/>
      <c r="N794" s="88"/>
      <c r="O794" s="8"/>
      <c r="P794" s="8"/>
      <c r="Q794" s="89"/>
      <c r="R794" s="89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</row>
    <row r="795" spans="1:38" ht="12.75" x14ac:dyDescent="0.2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8"/>
      <c r="N795" s="88"/>
      <c r="O795" s="8"/>
      <c r="P795" s="8"/>
      <c r="Q795" s="89"/>
      <c r="R795" s="89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</row>
    <row r="796" spans="1:38" ht="12.75" x14ac:dyDescent="0.2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8"/>
      <c r="N796" s="88"/>
      <c r="O796" s="8"/>
      <c r="P796" s="8"/>
      <c r="Q796" s="89"/>
      <c r="R796" s="89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</row>
    <row r="797" spans="1:38" ht="12.75" x14ac:dyDescent="0.2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8"/>
      <c r="N797" s="88"/>
      <c r="O797" s="8"/>
      <c r="P797" s="8"/>
      <c r="Q797" s="89"/>
      <c r="R797" s="89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</row>
    <row r="798" spans="1:38" ht="12.75" x14ac:dyDescent="0.2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8"/>
      <c r="N798" s="88"/>
      <c r="O798" s="8"/>
      <c r="P798" s="8"/>
      <c r="Q798" s="89"/>
      <c r="R798" s="89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</row>
    <row r="799" spans="1:38" ht="12.75" x14ac:dyDescent="0.2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8"/>
      <c r="N799" s="88"/>
      <c r="O799" s="8"/>
      <c r="P799" s="8"/>
      <c r="Q799" s="89"/>
      <c r="R799" s="89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</row>
    <row r="800" spans="1:38" ht="12.75" x14ac:dyDescent="0.2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8"/>
      <c r="N800" s="88"/>
      <c r="O800" s="8"/>
      <c r="P800" s="8"/>
      <c r="Q800" s="89"/>
      <c r="R800" s="89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</row>
    <row r="801" spans="1:38" ht="12.75" x14ac:dyDescent="0.2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8"/>
      <c r="N801" s="88"/>
      <c r="O801" s="8"/>
      <c r="P801" s="8"/>
      <c r="Q801" s="89"/>
      <c r="R801" s="89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</row>
    <row r="802" spans="1:38" ht="12.75" x14ac:dyDescent="0.2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8"/>
      <c r="N802" s="88"/>
      <c r="O802" s="8"/>
      <c r="P802" s="8"/>
      <c r="Q802" s="89"/>
      <c r="R802" s="89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</row>
    <row r="803" spans="1:38" ht="12.75" x14ac:dyDescent="0.2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8"/>
      <c r="N803" s="88"/>
      <c r="O803" s="8"/>
      <c r="P803" s="8"/>
      <c r="Q803" s="89"/>
      <c r="R803" s="89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</row>
    <row r="804" spans="1:38" ht="12.75" x14ac:dyDescent="0.2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8"/>
      <c r="N804" s="88"/>
      <c r="O804" s="8"/>
      <c r="P804" s="8"/>
      <c r="Q804" s="89"/>
      <c r="R804" s="89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</row>
    <row r="805" spans="1:38" ht="12.75" x14ac:dyDescent="0.2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8"/>
      <c r="N805" s="88"/>
      <c r="O805" s="8"/>
      <c r="P805" s="8"/>
      <c r="Q805" s="89"/>
      <c r="R805" s="89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</row>
    <row r="806" spans="1:38" ht="12.75" x14ac:dyDescent="0.2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8"/>
      <c r="N806" s="88"/>
      <c r="O806" s="8"/>
      <c r="P806" s="8"/>
      <c r="Q806" s="89"/>
      <c r="R806" s="89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</row>
    <row r="807" spans="1:38" ht="12.75" x14ac:dyDescent="0.2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8"/>
      <c r="N807" s="88"/>
      <c r="O807" s="8"/>
      <c r="P807" s="8"/>
      <c r="Q807" s="89"/>
      <c r="R807" s="89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</row>
    <row r="808" spans="1:38" ht="12.75" x14ac:dyDescent="0.2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8"/>
      <c r="N808" s="88"/>
      <c r="O808" s="8"/>
      <c r="P808" s="8"/>
      <c r="Q808" s="89"/>
      <c r="R808" s="89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</row>
    <row r="809" spans="1:38" ht="12.75" x14ac:dyDescent="0.2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8"/>
      <c r="N809" s="88"/>
      <c r="O809" s="8"/>
      <c r="P809" s="8"/>
      <c r="Q809" s="89"/>
      <c r="R809" s="89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</row>
    <row r="810" spans="1:38" ht="12.75" x14ac:dyDescent="0.2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8"/>
      <c r="N810" s="88"/>
      <c r="O810" s="8"/>
      <c r="P810" s="8"/>
      <c r="Q810" s="89"/>
      <c r="R810" s="89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</row>
    <row r="811" spans="1:38" ht="12.75" x14ac:dyDescent="0.2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8"/>
      <c r="N811" s="88"/>
      <c r="O811" s="8"/>
      <c r="P811" s="8"/>
      <c r="Q811" s="89"/>
      <c r="R811" s="89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</row>
    <row r="812" spans="1:38" ht="12.75" x14ac:dyDescent="0.2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8"/>
      <c r="N812" s="88"/>
      <c r="O812" s="8"/>
      <c r="P812" s="8"/>
      <c r="Q812" s="89"/>
      <c r="R812" s="89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</row>
    <row r="813" spans="1:38" ht="12.75" x14ac:dyDescent="0.2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8"/>
      <c r="N813" s="88"/>
      <c r="O813" s="8"/>
      <c r="P813" s="8"/>
      <c r="Q813" s="89"/>
      <c r="R813" s="89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</row>
    <row r="814" spans="1:38" ht="12.75" x14ac:dyDescent="0.2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8"/>
      <c r="N814" s="88"/>
      <c r="O814" s="8"/>
      <c r="P814" s="8"/>
      <c r="Q814" s="89"/>
      <c r="R814" s="89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</row>
    <row r="815" spans="1:38" ht="12.75" x14ac:dyDescent="0.2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8"/>
      <c r="N815" s="88"/>
      <c r="O815" s="8"/>
      <c r="P815" s="8"/>
      <c r="Q815" s="89"/>
      <c r="R815" s="89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</row>
    <row r="816" spans="1:38" ht="12.75" x14ac:dyDescent="0.2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8"/>
      <c r="N816" s="88"/>
      <c r="O816" s="8"/>
      <c r="P816" s="8"/>
      <c r="Q816" s="89"/>
      <c r="R816" s="89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</row>
    <row r="817" spans="1:38" ht="12.75" x14ac:dyDescent="0.2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8"/>
      <c r="N817" s="88"/>
      <c r="O817" s="8"/>
      <c r="P817" s="8"/>
      <c r="Q817" s="89"/>
      <c r="R817" s="89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</row>
    <row r="818" spans="1:38" ht="12.75" x14ac:dyDescent="0.2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8"/>
      <c r="N818" s="88"/>
      <c r="O818" s="8"/>
      <c r="P818" s="8"/>
      <c r="Q818" s="89"/>
      <c r="R818" s="89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</row>
    <row r="819" spans="1:38" ht="12.75" x14ac:dyDescent="0.2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8"/>
      <c r="N819" s="88"/>
      <c r="O819" s="8"/>
      <c r="P819" s="8"/>
      <c r="Q819" s="89"/>
      <c r="R819" s="89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</row>
    <row r="820" spans="1:38" ht="12.75" x14ac:dyDescent="0.2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8"/>
      <c r="N820" s="88"/>
      <c r="O820" s="8"/>
      <c r="P820" s="8"/>
      <c r="Q820" s="89"/>
      <c r="R820" s="89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</row>
    <row r="821" spans="1:38" ht="12.75" x14ac:dyDescent="0.2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8"/>
      <c r="N821" s="88"/>
      <c r="O821" s="8"/>
      <c r="P821" s="8"/>
      <c r="Q821" s="89"/>
      <c r="R821" s="89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</row>
    <row r="822" spans="1:38" ht="12.75" x14ac:dyDescent="0.2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8"/>
      <c r="N822" s="88"/>
      <c r="O822" s="8"/>
      <c r="P822" s="8"/>
      <c r="Q822" s="89"/>
      <c r="R822" s="89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</row>
    <row r="823" spans="1:38" ht="12.75" x14ac:dyDescent="0.2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8"/>
      <c r="N823" s="88"/>
      <c r="O823" s="8"/>
      <c r="P823" s="8"/>
      <c r="Q823" s="89"/>
      <c r="R823" s="89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</row>
    <row r="824" spans="1:38" ht="12.75" x14ac:dyDescent="0.2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8"/>
      <c r="N824" s="88"/>
      <c r="O824" s="8"/>
      <c r="P824" s="8"/>
      <c r="Q824" s="89"/>
      <c r="R824" s="89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</row>
    <row r="825" spans="1:38" ht="12.75" x14ac:dyDescent="0.2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8"/>
      <c r="N825" s="88"/>
      <c r="O825" s="8"/>
      <c r="P825" s="8"/>
      <c r="Q825" s="89"/>
      <c r="R825" s="89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</row>
    <row r="826" spans="1:38" ht="12.75" x14ac:dyDescent="0.2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8"/>
      <c r="N826" s="88"/>
      <c r="O826" s="8"/>
      <c r="P826" s="8"/>
      <c r="Q826" s="89"/>
      <c r="R826" s="89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</row>
    <row r="827" spans="1:38" ht="12.75" x14ac:dyDescent="0.2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8"/>
      <c r="N827" s="88"/>
      <c r="O827" s="8"/>
      <c r="P827" s="8"/>
      <c r="Q827" s="89"/>
      <c r="R827" s="89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</row>
    <row r="828" spans="1:38" ht="12.75" x14ac:dyDescent="0.2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8"/>
      <c r="N828" s="88"/>
      <c r="O828" s="8"/>
      <c r="P828" s="8"/>
      <c r="Q828" s="89"/>
      <c r="R828" s="89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</row>
    <row r="829" spans="1:38" ht="12.75" x14ac:dyDescent="0.2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8"/>
      <c r="N829" s="88"/>
      <c r="O829" s="8"/>
      <c r="P829" s="8"/>
      <c r="Q829" s="89"/>
      <c r="R829" s="89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</row>
    <row r="830" spans="1:38" ht="12.75" x14ac:dyDescent="0.2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8"/>
      <c r="N830" s="88"/>
      <c r="O830" s="8"/>
      <c r="P830" s="8"/>
      <c r="Q830" s="89"/>
      <c r="R830" s="89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</row>
    <row r="831" spans="1:38" ht="12.75" x14ac:dyDescent="0.2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8"/>
      <c r="N831" s="88"/>
      <c r="O831" s="8"/>
      <c r="P831" s="8"/>
      <c r="Q831" s="89"/>
      <c r="R831" s="89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</row>
    <row r="832" spans="1:38" ht="12.75" x14ac:dyDescent="0.2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8"/>
      <c r="N832" s="88"/>
      <c r="O832" s="8"/>
      <c r="P832" s="8"/>
      <c r="Q832" s="89"/>
      <c r="R832" s="89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</row>
    <row r="833" spans="1:38" ht="12.75" x14ac:dyDescent="0.2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8"/>
      <c r="N833" s="88"/>
      <c r="O833" s="8"/>
      <c r="P833" s="8"/>
      <c r="Q833" s="89"/>
      <c r="R833" s="89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</row>
    <row r="834" spans="1:38" ht="12.75" x14ac:dyDescent="0.2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8"/>
      <c r="N834" s="88"/>
      <c r="O834" s="8"/>
      <c r="P834" s="8"/>
      <c r="Q834" s="89"/>
      <c r="R834" s="89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</row>
    <row r="835" spans="1:38" ht="12.75" x14ac:dyDescent="0.2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8"/>
      <c r="N835" s="88"/>
      <c r="O835" s="8"/>
      <c r="P835" s="8"/>
      <c r="Q835" s="89"/>
      <c r="R835" s="89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</row>
    <row r="836" spans="1:38" ht="12.75" x14ac:dyDescent="0.2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8"/>
      <c r="N836" s="88"/>
      <c r="O836" s="8"/>
      <c r="P836" s="8"/>
      <c r="Q836" s="89"/>
      <c r="R836" s="89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</row>
    <row r="837" spans="1:38" ht="12.75" x14ac:dyDescent="0.2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8"/>
      <c r="N837" s="88"/>
      <c r="O837" s="8"/>
      <c r="P837" s="8"/>
      <c r="Q837" s="89"/>
      <c r="R837" s="89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</row>
    <row r="838" spans="1:38" ht="12.75" x14ac:dyDescent="0.2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8"/>
      <c r="N838" s="88"/>
      <c r="O838" s="8"/>
      <c r="P838" s="8"/>
      <c r="Q838" s="89"/>
      <c r="R838" s="89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</row>
    <row r="839" spans="1:38" ht="12.75" x14ac:dyDescent="0.2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8"/>
      <c r="N839" s="88"/>
      <c r="O839" s="8"/>
      <c r="P839" s="8"/>
      <c r="Q839" s="89"/>
      <c r="R839" s="89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</row>
    <row r="840" spans="1:38" ht="12.75" x14ac:dyDescent="0.2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8"/>
      <c r="N840" s="88"/>
      <c r="O840" s="8"/>
      <c r="P840" s="8"/>
      <c r="Q840" s="89"/>
      <c r="R840" s="89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</row>
    <row r="841" spans="1:38" ht="12.75" x14ac:dyDescent="0.2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8"/>
      <c r="N841" s="88"/>
      <c r="O841" s="8"/>
      <c r="P841" s="8"/>
      <c r="Q841" s="89"/>
      <c r="R841" s="89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</row>
    <row r="842" spans="1:38" ht="12.75" x14ac:dyDescent="0.2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8"/>
      <c r="N842" s="88"/>
      <c r="O842" s="8"/>
      <c r="P842" s="8"/>
      <c r="Q842" s="89"/>
      <c r="R842" s="89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</row>
    <row r="843" spans="1:38" ht="12.75" x14ac:dyDescent="0.2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8"/>
      <c r="N843" s="88"/>
      <c r="O843" s="8"/>
      <c r="P843" s="8"/>
      <c r="Q843" s="89"/>
      <c r="R843" s="89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</row>
    <row r="844" spans="1:38" ht="12.75" x14ac:dyDescent="0.2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8"/>
      <c r="N844" s="88"/>
      <c r="O844" s="8"/>
      <c r="P844" s="8"/>
      <c r="Q844" s="89"/>
      <c r="R844" s="89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</row>
    <row r="845" spans="1:38" ht="12.75" x14ac:dyDescent="0.2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8"/>
      <c r="N845" s="88"/>
      <c r="O845" s="8"/>
      <c r="P845" s="8"/>
      <c r="Q845" s="89"/>
      <c r="R845" s="89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</row>
    <row r="846" spans="1:38" ht="12.75" x14ac:dyDescent="0.2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8"/>
      <c r="N846" s="88"/>
      <c r="O846" s="8"/>
      <c r="P846" s="8"/>
      <c r="Q846" s="89"/>
      <c r="R846" s="89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</row>
    <row r="847" spans="1:38" ht="12.75" x14ac:dyDescent="0.2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8"/>
      <c r="N847" s="88"/>
      <c r="O847" s="8"/>
      <c r="P847" s="8"/>
      <c r="Q847" s="89"/>
      <c r="R847" s="89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</row>
    <row r="848" spans="1:38" ht="12.75" x14ac:dyDescent="0.2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8"/>
      <c r="N848" s="88"/>
      <c r="O848" s="8"/>
      <c r="P848" s="8"/>
      <c r="Q848" s="89"/>
      <c r="R848" s="89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</row>
    <row r="849" spans="1:38" ht="12.75" x14ac:dyDescent="0.2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8"/>
      <c r="N849" s="88"/>
      <c r="O849" s="8"/>
      <c r="P849" s="8"/>
      <c r="Q849" s="89"/>
      <c r="R849" s="89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</row>
    <row r="850" spans="1:38" ht="12.75" x14ac:dyDescent="0.2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8"/>
      <c r="N850" s="88"/>
      <c r="O850" s="8"/>
      <c r="P850" s="8"/>
      <c r="Q850" s="89"/>
      <c r="R850" s="89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</row>
    <row r="851" spans="1:38" ht="12.75" x14ac:dyDescent="0.2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8"/>
      <c r="N851" s="88"/>
      <c r="O851" s="8"/>
      <c r="P851" s="8"/>
      <c r="Q851" s="89"/>
      <c r="R851" s="89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</row>
    <row r="852" spans="1:38" ht="12.75" x14ac:dyDescent="0.2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8"/>
      <c r="N852" s="88"/>
      <c r="O852" s="8"/>
      <c r="P852" s="8"/>
      <c r="Q852" s="89"/>
      <c r="R852" s="89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</row>
    <row r="853" spans="1:38" ht="12.75" x14ac:dyDescent="0.2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8"/>
      <c r="N853" s="88"/>
      <c r="O853" s="8"/>
      <c r="P853" s="8"/>
      <c r="Q853" s="89"/>
      <c r="R853" s="89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</row>
    <row r="854" spans="1:38" ht="12.75" x14ac:dyDescent="0.2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8"/>
      <c r="N854" s="88"/>
      <c r="O854" s="8"/>
      <c r="P854" s="8"/>
      <c r="Q854" s="89"/>
      <c r="R854" s="89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</row>
    <row r="855" spans="1:38" ht="12.75" x14ac:dyDescent="0.2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8"/>
      <c r="N855" s="88"/>
      <c r="O855" s="8"/>
      <c r="P855" s="8"/>
      <c r="Q855" s="89"/>
      <c r="R855" s="89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</row>
    <row r="856" spans="1:38" ht="12.75" x14ac:dyDescent="0.2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8"/>
      <c r="N856" s="88"/>
      <c r="O856" s="8"/>
      <c r="P856" s="8"/>
      <c r="Q856" s="89"/>
      <c r="R856" s="89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</row>
    <row r="857" spans="1:38" ht="12.75" x14ac:dyDescent="0.2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8"/>
      <c r="N857" s="88"/>
      <c r="O857" s="8"/>
      <c r="P857" s="8"/>
      <c r="Q857" s="89"/>
      <c r="R857" s="89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</row>
    <row r="858" spans="1:38" ht="12.75" x14ac:dyDescent="0.2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8"/>
      <c r="N858" s="88"/>
      <c r="O858" s="8"/>
      <c r="P858" s="8"/>
      <c r="Q858" s="89"/>
      <c r="R858" s="89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</row>
    <row r="859" spans="1:38" ht="12.75" x14ac:dyDescent="0.2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8"/>
      <c r="N859" s="88"/>
      <c r="O859" s="8"/>
      <c r="P859" s="8"/>
      <c r="Q859" s="89"/>
      <c r="R859" s="89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</row>
    <row r="860" spans="1:38" ht="12.75" x14ac:dyDescent="0.2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8"/>
      <c r="N860" s="88"/>
      <c r="O860" s="8"/>
      <c r="P860" s="8"/>
      <c r="Q860" s="89"/>
      <c r="R860" s="89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</row>
    <row r="861" spans="1:38" ht="12.75" x14ac:dyDescent="0.2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8"/>
      <c r="N861" s="88"/>
      <c r="O861" s="8"/>
      <c r="P861" s="8"/>
      <c r="Q861" s="89"/>
      <c r="R861" s="89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</row>
    <row r="862" spans="1:38" ht="12.75" x14ac:dyDescent="0.2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8"/>
      <c r="N862" s="88"/>
      <c r="O862" s="8"/>
      <c r="P862" s="8"/>
      <c r="Q862" s="89"/>
      <c r="R862" s="89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</row>
    <row r="863" spans="1:38" ht="12.75" x14ac:dyDescent="0.2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8"/>
      <c r="N863" s="88"/>
      <c r="O863" s="8"/>
      <c r="P863" s="8"/>
      <c r="Q863" s="89"/>
      <c r="R863" s="89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</row>
    <row r="864" spans="1:38" ht="12.75" x14ac:dyDescent="0.2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8"/>
      <c r="N864" s="88"/>
      <c r="O864" s="8"/>
      <c r="P864" s="8"/>
      <c r="Q864" s="89"/>
      <c r="R864" s="89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</row>
    <row r="865" spans="1:38" ht="12.75" x14ac:dyDescent="0.2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8"/>
      <c r="N865" s="88"/>
      <c r="O865" s="8"/>
      <c r="P865" s="8"/>
      <c r="Q865" s="89"/>
      <c r="R865" s="89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</row>
    <row r="866" spans="1:38" ht="12.75" x14ac:dyDescent="0.2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8"/>
      <c r="N866" s="88"/>
      <c r="O866" s="8"/>
      <c r="P866" s="8"/>
      <c r="Q866" s="89"/>
      <c r="R866" s="89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</row>
    <row r="867" spans="1:38" ht="12.75" x14ac:dyDescent="0.2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8"/>
      <c r="N867" s="88"/>
      <c r="O867" s="8"/>
      <c r="P867" s="8"/>
      <c r="Q867" s="89"/>
      <c r="R867" s="89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</row>
    <row r="868" spans="1:38" ht="12.75" x14ac:dyDescent="0.2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8"/>
      <c r="N868" s="88"/>
      <c r="O868" s="8"/>
      <c r="P868" s="8"/>
      <c r="Q868" s="89"/>
      <c r="R868" s="89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</row>
    <row r="869" spans="1:38" ht="12.75" x14ac:dyDescent="0.2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8"/>
      <c r="N869" s="88"/>
      <c r="O869" s="8"/>
      <c r="P869" s="8"/>
      <c r="Q869" s="89"/>
      <c r="R869" s="89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</row>
    <row r="870" spans="1:38" ht="12.75" x14ac:dyDescent="0.2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8"/>
      <c r="N870" s="88"/>
      <c r="O870" s="8"/>
      <c r="P870" s="8"/>
      <c r="Q870" s="89"/>
      <c r="R870" s="89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</row>
    <row r="871" spans="1:38" ht="12.75" x14ac:dyDescent="0.2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8"/>
      <c r="N871" s="88"/>
      <c r="O871" s="8"/>
      <c r="P871" s="8"/>
      <c r="Q871" s="89"/>
      <c r="R871" s="89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</row>
    <row r="872" spans="1:38" ht="12.75" x14ac:dyDescent="0.2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8"/>
      <c r="N872" s="88"/>
      <c r="O872" s="8"/>
      <c r="P872" s="8"/>
      <c r="Q872" s="89"/>
      <c r="R872" s="89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</row>
    <row r="873" spans="1:38" ht="12.75" x14ac:dyDescent="0.2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8"/>
      <c r="N873" s="88"/>
      <c r="O873" s="8"/>
      <c r="P873" s="8"/>
      <c r="Q873" s="89"/>
      <c r="R873" s="89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</row>
    <row r="874" spans="1:38" ht="12.75" x14ac:dyDescent="0.2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8"/>
      <c r="N874" s="88"/>
      <c r="O874" s="8"/>
      <c r="P874" s="8"/>
      <c r="Q874" s="89"/>
      <c r="R874" s="89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</row>
    <row r="875" spans="1:38" ht="12.75" x14ac:dyDescent="0.2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8"/>
      <c r="N875" s="88"/>
      <c r="O875" s="8"/>
      <c r="P875" s="8"/>
      <c r="Q875" s="89"/>
      <c r="R875" s="89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</row>
    <row r="876" spans="1:38" ht="12.75" x14ac:dyDescent="0.2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8"/>
      <c r="N876" s="88"/>
      <c r="O876" s="8"/>
      <c r="P876" s="8"/>
      <c r="Q876" s="89"/>
      <c r="R876" s="89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</row>
    <row r="877" spans="1:38" ht="12.75" x14ac:dyDescent="0.2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8"/>
      <c r="N877" s="88"/>
      <c r="O877" s="8"/>
      <c r="P877" s="8"/>
      <c r="Q877" s="89"/>
      <c r="R877" s="89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</row>
    <row r="878" spans="1:38" ht="12.75" x14ac:dyDescent="0.2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8"/>
      <c r="N878" s="88"/>
      <c r="O878" s="8"/>
      <c r="P878" s="8"/>
      <c r="Q878" s="89"/>
      <c r="R878" s="89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</row>
    <row r="879" spans="1:38" ht="12.75" x14ac:dyDescent="0.2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8"/>
      <c r="N879" s="88"/>
      <c r="O879" s="8"/>
      <c r="P879" s="8"/>
      <c r="Q879" s="89"/>
      <c r="R879" s="89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</row>
    <row r="880" spans="1:38" ht="12.75" x14ac:dyDescent="0.2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8"/>
      <c r="N880" s="88"/>
      <c r="O880" s="8"/>
      <c r="P880" s="8"/>
      <c r="Q880" s="89"/>
      <c r="R880" s="89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</row>
    <row r="881" spans="1:38" ht="12.75" x14ac:dyDescent="0.2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8"/>
      <c r="N881" s="88"/>
      <c r="O881" s="8"/>
      <c r="P881" s="8"/>
      <c r="Q881" s="89"/>
      <c r="R881" s="89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</row>
    <row r="882" spans="1:38" ht="12.75" x14ac:dyDescent="0.2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8"/>
      <c r="N882" s="88"/>
      <c r="O882" s="8"/>
      <c r="P882" s="8"/>
      <c r="Q882" s="89"/>
      <c r="R882" s="89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</row>
    <row r="883" spans="1:38" ht="12.75" x14ac:dyDescent="0.2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8"/>
      <c r="N883" s="88"/>
      <c r="O883" s="8"/>
      <c r="P883" s="8"/>
      <c r="Q883" s="89"/>
      <c r="R883" s="89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</row>
    <row r="884" spans="1:38" ht="12.75" x14ac:dyDescent="0.2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8"/>
      <c r="N884" s="88"/>
      <c r="O884" s="8"/>
      <c r="P884" s="8"/>
      <c r="Q884" s="89"/>
      <c r="R884" s="89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</row>
    <row r="885" spans="1:38" ht="12.75" x14ac:dyDescent="0.2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8"/>
      <c r="N885" s="88"/>
      <c r="O885" s="8"/>
      <c r="P885" s="8"/>
      <c r="Q885" s="89"/>
      <c r="R885" s="89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</row>
    <row r="886" spans="1:38" ht="12.75" x14ac:dyDescent="0.2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8"/>
      <c r="N886" s="88"/>
      <c r="O886" s="8"/>
      <c r="P886" s="8"/>
      <c r="Q886" s="89"/>
      <c r="R886" s="89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</row>
    <row r="887" spans="1:38" ht="12.75" x14ac:dyDescent="0.2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8"/>
      <c r="N887" s="88"/>
      <c r="O887" s="8"/>
      <c r="P887" s="8"/>
      <c r="Q887" s="89"/>
      <c r="R887" s="89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</row>
    <row r="888" spans="1:38" ht="12.75" x14ac:dyDescent="0.2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8"/>
      <c r="N888" s="88"/>
      <c r="O888" s="8"/>
      <c r="P888" s="8"/>
      <c r="Q888" s="89"/>
      <c r="R888" s="89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</row>
    <row r="889" spans="1:38" ht="12.75" x14ac:dyDescent="0.2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8"/>
      <c r="N889" s="88"/>
      <c r="O889" s="8"/>
      <c r="P889" s="8"/>
      <c r="Q889" s="89"/>
      <c r="R889" s="89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</row>
    <row r="890" spans="1:38" ht="12.75" x14ac:dyDescent="0.2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8"/>
      <c r="N890" s="88"/>
      <c r="O890" s="8"/>
      <c r="P890" s="8"/>
      <c r="Q890" s="89"/>
      <c r="R890" s="89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</row>
    <row r="891" spans="1:38" ht="12.75" x14ac:dyDescent="0.2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8"/>
      <c r="N891" s="88"/>
      <c r="O891" s="8"/>
      <c r="P891" s="8"/>
      <c r="Q891" s="89"/>
      <c r="R891" s="89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</row>
    <row r="892" spans="1:38" ht="12.75" x14ac:dyDescent="0.2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8"/>
      <c r="N892" s="88"/>
      <c r="O892" s="8"/>
      <c r="P892" s="8"/>
      <c r="Q892" s="89"/>
      <c r="R892" s="89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</row>
    <row r="893" spans="1:38" ht="12.75" x14ac:dyDescent="0.2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8"/>
      <c r="N893" s="88"/>
      <c r="O893" s="8"/>
      <c r="P893" s="8"/>
      <c r="Q893" s="89"/>
      <c r="R893" s="89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</row>
    <row r="894" spans="1:38" ht="12.75" x14ac:dyDescent="0.2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8"/>
      <c r="N894" s="88"/>
      <c r="O894" s="8"/>
      <c r="P894" s="8"/>
      <c r="Q894" s="89"/>
      <c r="R894" s="89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</row>
    <row r="895" spans="1:38" ht="12.75" x14ac:dyDescent="0.2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8"/>
      <c r="N895" s="88"/>
      <c r="O895" s="8"/>
      <c r="P895" s="8"/>
      <c r="Q895" s="89"/>
      <c r="R895" s="89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</row>
    <row r="896" spans="1:38" ht="12.75" x14ac:dyDescent="0.2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8"/>
      <c r="N896" s="88"/>
      <c r="O896" s="8"/>
      <c r="P896" s="8"/>
      <c r="Q896" s="89"/>
      <c r="R896" s="89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</row>
    <row r="897" spans="1:38" ht="12.75" x14ac:dyDescent="0.2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8"/>
      <c r="N897" s="88"/>
      <c r="O897" s="8"/>
      <c r="P897" s="8"/>
      <c r="Q897" s="89"/>
      <c r="R897" s="89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</row>
    <row r="898" spans="1:38" ht="12.75" x14ac:dyDescent="0.2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8"/>
      <c r="N898" s="88"/>
      <c r="O898" s="8"/>
      <c r="P898" s="8"/>
      <c r="Q898" s="89"/>
      <c r="R898" s="89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</row>
    <row r="899" spans="1:38" ht="12.75" x14ac:dyDescent="0.2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8"/>
      <c r="N899" s="88"/>
      <c r="O899" s="8"/>
      <c r="P899" s="8"/>
      <c r="Q899" s="89"/>
      <c r="R899" s="89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</row>
    <row r="900" spans="1:38" ht="12.75" x14ac:dyDescent="0.2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8"/>
      <c r="N900" s="88"/>
      <c r="O900" s="8"/>
      <c r="P900" s="8"/>
      <c r="Q900" s="89"/>
      <c r="R900" s="89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</row>
    <row r="901" spans="1:38" ht="12.75" x14ac:dyDescent="0.2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8"/>
      <c r="N901" s="88"/>
      <c r="O901" s="8"/>
      <c r="P901" s="8"/>
      <c r="Q901" s="89"/>
      <c r="R901" s="89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</row>
    <row r="902" spans="1:38" ht="12.75" x14ac:dyDescent="0.2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8"/>
      <c r="N902" s="88"/>
      <c r="O902" s="8"/>
      <c r="P902" s="8"/>
      <c r="Q902" s="89"/>
      <c r="R902" s="89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</row>
    <row r="903" spans="1:38" ht="12.75" x14ac:dyDescent="0.2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8"/>
      <c r="N903" s="88"/>
      <c r="O903" s="8"/>
      <c r="P903" s="8"/>
      <c r="Q903" s="89"/>
      <c r="R903" s="89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</row>
    <row r="904" spans="1:38" ht="12.75" x14ac:dyDescent="0.2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8"/>
      <c r="N904" s="88"/>
      <c r="O904" s="8"/>
      <c r="P904" s="8"/>
      <c r="Q904" s="89"/>
      <c r="R904" s="89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</row>
    <row r="905" spans="1:38" ht="12.75" x14ac:dyDescent="0.2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8"/>
      <c r="N905" s="88"/>
      <c r="O905" s="8"/>
      <c r="P905" s="8"/>
      <c r="Q905" s="89"/>
      <c r="R905" s="89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</row>
    <row r="906" spans="1:38" ht="12.75" x14ac:dyDescent="0.2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8"/>
      <c r="N906" s="88"/>
      <c r="O906" s="8"/>
      <c r="P906" s="8"/>
      <c r="Q906" s="89"/>
      <c r="R906" s="89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</row>
    <row r="907" spans="1:38" ht="12.75" x14ac:dyDescent="0.2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8"/>
      <c r="N907" s="88"/>
      <c r="O907" s="8"/>
      <c r="P907" s="8"/>
      <c r="Q907" s="89"/>
      <c r="R907" s="89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</row>
    <row r="908" spans="1:38" ht="12.75" x14ac:dyDescent="0.2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8"/>
      <c r="N908" s="88"/>
      <c r="O908" s="8"/>
      <c r="P908" s="8"/>
      <c r="Q908" s="89"/>
      <c r="R908" s="89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</row>
    <row r="909" spans="1:38" ht="12.75" x14ac:dyDescent="0.2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8"/>
      <c r="N909" s="88"/>
      <c r="O909" s="8"/>
      <c r="P909" s="8"/>
      <c r="Q909" s="89"/>
      <c r="R909" s="89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</row>
    <row r="910" spans="1:38" ht="12.75" x14ac:dyDescent="0.2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8"/>
      <c r="N910" s="88"/>
      <c r="O910" s="8"/>
      <c r="P910" s="8"/>
      <c r="Q910" s="89"/>
      <c r="R910" s="89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</row>
    <row r="911" spans="1:38" ht="12.75" x14ac:dyDescent="0.2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8"/>
      <c r="N911" s="88"/>
      <c r="O911" s="8"/>
      <c r="P911" s="8"/>
      <c r="Q911" s="89"/>
      <c r="R911" s="89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</row>
    <row r="912" spans="1:38" ht="12.75" x14ac:dyDescent="0.2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8"/>
      <c r="N912" s="88"/>
      <c r="O912" s="8"/>
      <c r="P912" s="8"/>
      <c r="Q912" s="89"/>
      <c r="R912" s="89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</row>
    <row r="913" spans="1:38" ht="12.75" x14ac:dyDescent="0.2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8"/>
      <c r="N913" s="88"/>
      <c r="O913" s="8"/>
      <c r="P913" s="8"/>
      <c r="Q913" s="89"/>
      <c r="R913" s="89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</row>
    <row r="914" spans="1:38" ht="12.75" x14ac:dyDescent="0.2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8"/>
      <c r="N914" s="88"/>
      <c r="O914" s="8"/>
      <c r="P914" s="8"/>
      <c r="Q914" s="89"/>
      <c r="R914" s="89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</row>
    <row r="915" spans="1:38" ht="12.75" x14ac:dyDescent="0.2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8"/>
      <c r="N915" s="88"/>
      <c r="O915" s="8"/>
      <c r="P915" s="8"/>
      <c r="Q915" s="89"/>
      <c r="R915" s="89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</row>
    <row r="916" spans="1:38" ht="12.75" x14ac:dyDescent="0.2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8"/>
      <c r="N916" s="88"/>
      <c r="O916" s="8"/>
      <c r="P916" s="8"/>
      <c r="Q916" s="89"/>
      <c r="R916" s="89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</row>
    <row r="917" spans="1:38" ht="12.75" x14ac:dyDescent="0.2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8"/>
      <c r="N917" s="88"/>
      <c r="O917" s="8"/>
      <c r="P917" s="8"/>
      <c r="Q917" s="89"/>
      <c r="R917" s="89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</row>
    <row r="918" spans="1:38" ht="12.75" x14ac:dyDescent="0.2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8"/>
      <c r="N918" s="88"/>
      <c r="O918" s="8"/>
      <c r="P918" s="8"/>
      <c r="Q918" s="89"/>
      <c r="R918" s="89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</row>
    <row r="919" spans="1:38" ht="12.75" x14ac:dyDescent="0.2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8"/>
      <c r="N919" s="88"/>
      <c r="O919" s="8"/>
      <c r="P919" s="8"/>
      <c r="Q919" s="89"/>
      <c r="R919" s="89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</row>
    <row r="920" spans="1:38" ht="12.75" x14ac:dyDescent="0.2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8"/>
      <c r="N920" s="88"/>
      <c r="O920" s="8"/>
      <c r="P920" s="8"/>
      <c r="Q920" s="89"/>
      <c r="R920" s="89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</row>
    <row r="921" spans="1:38" ht="12.75" x14ac:dyDescent="0.2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8"/>
      <c r="N921" s="88"/>
      <c r="O921" s="8"/>
      <c r="P921" s="8"/>
      <c r="Q921" s="89"/>
      <c r="R921" s="89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</row>
    <row r="922" spans="1:38" ht="12.75" x14ac:dyDescent="0.2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8"/>
      <c r="N922" s="88"/>
      <c r="O922" s="8"/>
      <c r="P922" s="8"/>
      <c r="Q922" s="89"/>
      <c r="R922" s="89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</row>
    <row r="923" spans="1:38" ht="12.75" x14ac:dyDescent="0.2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8"/>
      <c r="N923" s="88"/>
      <c r="O923" s="8"/>
      <c r="P923" s="8"/>
      <c r="Q923" s="89"/>
      <c r="R923" s="89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</row>
    <row r="924" spans="1:38" ht="12.75" x14ac:dyDescent="0.2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8"/>
      <c r="N924" s="88"/>
      <c r="O924" s="8"/>
      <c r="P924" s="8"/>
      <c r="Q924" s="89"/>
      <c r="R924" s="89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</row>
    <row r="925" spans="1:38" ht="12.75" x14ac:dyDescent="0.2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8"/>
      <c r="N925" s="88"/>
      <c r="O925" s="8"/>
      <c r="P925" s="8"/>
      <c r="Q925" s="89"/>
      <c r="R925" s="89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</row>
    <row r="926" spans="1:38" ht="12.75" x14ac:dyDescent="0.2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8"/>
      <c r="N926" s="88"/>
      <c r="O926" s="8"/>
      <c r="P926" s="8"/>
      <c r="Q926" s="89"/>
      <c r="R926" s="89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</row>
    <row r="927" spans="1:38" ht="12.75" x14ac:dyDescent="0.2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8"/>
      <c r="N927" s="88"/>
      <c r="O927" s="8"/>
      <c r="P927" s="8"/>
      <c r="Q927" s="89"/>
      <c r="R927" s="89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</row>
    <row r="928" spans="1:38" ht="12.75" x14ac:dyDescent="0.2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8"/>
      <c r="N928" s="88"/>
      <c r="O928" s="8"/>
      <c r="P928" s="8"/>
      <c r="Q928" s="89"/>
      <c r="R928" s="89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</row>
    <row r="929" spans="1:38" ht="12.75" x14ac:dyDescent="0.2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8"/>
      <c r="N929" s="88"/>
      <c r="O929" s="8"/>
      <c r="P929" s="8"/>
      <c r="Q929" s="89"/>
      <c r="R929" s="89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</row>
    <row r="930" spans="1:38" ht="12.75" x14ac:dyDescent="0.2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8"/>
      <c r="N930" s="88"/>
      <c r="O930" s="8"/>
      <c r="P930" s="8"/>
      <c r="Q930" s="89"/>
      <c r="R930" s="89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</row>
    <row r="931" spans="1:38" ht="12.75" x14ac:dyDescent="0.2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8"/>
      <c r="N931" s="88"/>
      <c r="O931" s="8"/>
      <c r="P931" s="8"/>
      <c r="Q931" s="89"/>
      <c r="R931" s="89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</row>
    <row r="932" spans="1:38" ht="12.75" x14ac:dyDescent="0.2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8"/>
      <c r="N932" s="88"/>
      <c r="O932" s="8"/>
      <c r="P932" s="8"/>
      <c r="Q932" s="89"/>
      <c r="R932" s="89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</row>
    <row r="933" spans="1:38" ht="12.75" x14ac:dyDescent="0.2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8"/>
      <c r="N933" s="88"/>
      <c r="O933" s="8"/>
      <c r="P933" s="8"/>
      <c r="Q933" s="89"/>
      <c r="R933" s="89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</row>
    <row r="934" spans="1:38" ht="12.75" x14ac:dyDescent="0.2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8"/>
      <c r="N934" s="88"/>
      <c r="O934" s="8"/>
      <c r="P934" s="8"/>
      <c r="Q934" s="89"/>
      <c r="R934" s="89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</row>
    <row r="935" spans="1:38" ht="12.75" x14ac:dyDescent="0.2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8"/>
      <c r="N935" s="88"/>
      <c r="O935" s="8"/>
      <c r="P935" s="8"/>
      <c r="Q935" s="89"/>
      <c r="R935" s="89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</row>
    <row r="936" spans="1:38" ht="12.75" x14ac:dyDescent="0.2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8"/>
      <c r="N936" s="88"/>
      <c r="O936" s="8"/>
      <c r="P936" s="8"/>
      <c r="Q936" s="89"/>
      <c r="R936" s="89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</row>
    <row r="937" spans="1:38" ht="12.75" x14ac:dyDescent="0.2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8"/>
      <c r="N937" s="88"/>
      <c r="O937" s="8"/>
      <c r="P937" s="8"/>
      <c r="Q937" s="89"/>
      <c r="R937" s="89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</row>
    <row r="938" spans="1:38" ht="12.75" x14ac:dyDescent="0.2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8"/>
      <c r="N938" s="88"/>
      <c r="O938" s="8"/>
      <c r="P938" s="8"/>
      <c r="Q938" s="89"/>
      <c r="R938" s="89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</row>
    <row r="939" spans="1:38" ht="12.75" x14ac:dyDescent="0.2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8"/>
      <c r="N939" s="88"/>
      <c r="O939" s="8"/>
      <c r="P939" s="8"/>
      <c r="Q939" s="89"/>
      <c r="R939" s="89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</row>
    <row r="940" spans="1:38" ht="12.75" x14ac:dyDescent="0.2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8"/>
      <c r="N940" s="88"/>
      <c r="O940" s="8"/>
      <c r="P940" s="8"/>
      <c r="Q940" s="89"/>
      <c r="R940" s="89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</row>
    <row r="941" spans="1:38" ht="12.75" x14ac:dyDescent="0.2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8"/>
      <c r="N941" s="88"/>
      <c r="O941" s="8"/>
      <c r="P941" s="8"/>
      <c r="Q941" s="89"/>
      <c r="R941" s="89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</row>
    <row r="942" spans="1:38" ht="12.75" x14ac:dyDescent="0.2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8"/>
      <c r="N942" s="88"/>
      <c r="O942" s="8"/>
      <c r="P942" s="8"/>
      <c r="Q942" s="89"/>
      <c r="R942" s="89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</row>
    <row r="943" spans="1:38" ht="12.75" x14ac:dyDescent="0.2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8"/>
      <c r="N943" s="88"/>
      <c r="O943" s="8"/>
      <c r="P943" s="8"/>
      <c r="Q943" s="89"/>
      <c r="R943" s="89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</row>
    <row r="944" spans="1:38" ht="12.75" x14ac:dyDescent="0.2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8"/>
      <c r="N944" s="88"/>
      <c r="O944" s="8"/>
      <c r="P944" s="8"/>
      <c r="Q944" s="89"/>
      <c r="R944" s="89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</row>
    <row r="945" spans="1:38" ht="12.75" x14ac:dyDescent="0.2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8"/>
      <c r="N945" s="88"/>
      <c r="O945" s="8"/>
      <c r="P945" s="8"/>
      <c r="Q945" s="89"/>
      <c r="R945" s="89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</row>
    <row r="946" spans="1:38" ht="12.75" x14ac:dyDescent="0.2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8"/>
      <c r="N946" s="88"/>
      <c r="O946" s="8"/>
      <c r="P946" s="8"/>
      <c r="Q946" s="89"/>
      <c r="R946" s="89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</row>
    <row r="947" spans="1:38" ht="12.75" x14ac:dyDescent="0.2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8"/>
      <c r="N947" s="88"/>
      <c r="O947" s="8"/>
      <c r="P947" s="8"/>
      <c r="Q947" s="89"/>
      <c r="R947" s="89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</row>
    <row r="948" spans="1:38" ht="12.75" x14ac:dyDescent="0.2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8"/>
      <c r="N948" s="88"/>
      <c r="O948" s="8"/>
      <c r="P948" s="8"/>
      <c r="Q948" s="89"/>
      <c r="R948" s="89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</row>
    <row r="949" spans="1:38" ht="12.75" x14ac:dyDescent="0.2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8"/>
      <c r="N949" s="88"/>
      <c r="O949" s="8"/>
      <c r="P949" s="8"/>
      <c r="Q949" s="89"/>
      <c r="R949" s="89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</row>
    <row r="950" spans="1:38" ht="12.75" x14ac:dyDescent="0.2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8"/>
      <c r="N950" s="88"/>
      <c r="O950" s="8"/>
      <c r="P950" s="8"/>
      <c r="Q950" s="89"/>
      <c r="R950" s="89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</row>
    <row r="951" spans="1:38" ht="12.75" x14ac:dyDescent="0.2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8"/>
      <c r="N951" s="88"/>
      <c r="O951" s="8"/>
      <c r="P951" s="8"/>
      <c r="Q951" s="89"/>
      <c r="R951" s="89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</row>
    <row r="952" spans="1:38" ht="12.75" x14ac:dyDescent="0.2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8"/>
      <c r="N952" s="88"/>
      <c r="O952" s="8"/>
      <c r="P952" s="8"/>
      <c r="Q952" s="89"/>
      <c r="R952" s="89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</row>
    <row r="953" spans="1:38" ht="12.75" x14ac:dyDescent="0.2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8"/>
      <c r="N953" s="88"/>
      <c r="O953" s="8"/>
      <c r="P953" s="8"/>
      <c r="Q953" s="89"/>
      <c r="R953" s="89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</row>
    <row r="954" spans="1:38" ht="12.75" x14ac:dyDescent="0.2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8"/>
      <c r="N954" s="88"/>
      <c r="O954" s="8"/>
      <c r="P954" s="8"/>
      <c r="Q954" s="89"/>
      <c r="R954" s="89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</row>
    <row r="955" spans="1:38" ht="12.75" x14ac:dyDescent="0.2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8"/>
      <c r="N955" s="88"/>
      <c r="O955" s="8"/>
      <c r="P955" s="8"/>
      <c r="Q955" s="89"/>
      <c r="R955" s="89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</row>
    <row r="956" spans="1:38" ht="12.75" x14ac:dyDescent="0.2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8"/>
      <c r="N956" s="88"/>
      <c r="O956" s="8"/>
      <c r="P956" s="8"/>
      <c r="Q956" s="89"/>
      <c r="R956" s="89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</row>
    <row r="957" spans="1:38" ht="12.75" x14ac:dyDescent="0.2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8"/>
      <c r="N957" s="88"/>
      <c r="O957" s="8"/>
      <c r="P957" s="8"/>
      <c r="Q957" s="89"/>
      <c r="R957" s="89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</row>
    <row r="958" spans="1:38" ht="12.75" x14ac:dyDescent="0.2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8"/>
      <c r="N958" s="88"/>
      <c r="O958" s="8"/>
      <c r="P958" s="8"/>
      <c r="Q958" s="89"/>
      <c r="R958" s="89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</row>
    <row r="959" spans="1:38" ht="12.75" x14ac:dyDescent="0.2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8"/>
      <c r="N959" s="88"/>
      <c r="O959" s="8"/>
      <c r="P959" s="8"/>
      <c r="Q959" s="89"/>
      <c r="R959" s="89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</row>
    <row r="960" spans="1:38" ht="12.75" x14ac:dyDescent="0.2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8"/>
      <c r="N960" s="88"/>
      <c r="O960" s="8"/>
      <c r="P960" s="8"/>
      <c r="Q960" s="89"/>
      <c r="R960" s="89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</row>
    <row r="961" spans="1:38" ht="12.75" x14ac:dyDescent="0.2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8"/>
      <c r="N961" s="88"/>
      <c r="O961" s="8"/>
      <c r="P961" s="8"/>
      <c r="Q961" s="89"/>
      <c r="R961" s="89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</row>
    <row r="962" spans="1:38" ht="12.75" x14ac:dyDescent="0.2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8"/>
      <c r="N962" s="88"/>
      <c r="O962" s="8"/>
      <c r="P962" s="8"/>
      <c r="Q962" s="89"/>
      <c r="R962" s="89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</row>
    <row r="963" spans="1:38" ht="12.75" x14ac:dyDescent="0.2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8"/>
      <c r="N963" s="88"/>
      <c r="O963" s="8"/>
      <c r="P963" s="8"/>
      <c r="Q963" s="89"/>
      <c r="R963" s="89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</row>
    <row r="964" spans="1:38" ht="12.75" x14ac:dyDescent="0.2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8"/>
      <c r="N964" s="88"/>
      <c r="O964" s="8"/>
      <c r="P964" s="8"/>
      <c r="Q964" s="89"/>
      <c r="R964" s="89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</row>
    <row r="965" spans="1:38" ht="12.75" x14ac:dyDescent="0.2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8"/>
      <c r="N965" s="88"/>
      <c r="O965" s="8"/>
      <c r="P965" s="8"/>
      <c r="Q965" s="89"/>
      <c r="R965" s="89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</row>
    <row r="966" spans="1:38" ht="12.75" x14ac:dyDescent="0.2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8"/>
      <c r="N966" s="88"/>
      <c r="O966" s="8"/>
      <c r="P966" s="8"/>
      <c r="Q966" s="89"/>
      <c r="R966" s="89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</row>
    <row r="967" spans="1:38" ht="12.75" x14ac:dyDescent="0.2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8"/>
      <c r="N967" s="88"/>
      <c r="O967" s="8"/>
      <c r="P967" s="8"/>
      <c r="Q967" s="89"/>
      <c r="R967" s="89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</row>
    <row r="968" spans="1:38" ht="12.75" x14ac:dyDescent="0.2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8"/>
      <c r="N968" s="88"/>
      <c r="O968" s="8"/>
      <c r="P968" s="8"/>
      <c r="Q968" s="89"/>
      <c r="R968" s="89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</row>
    <row r="969" spans="1:38" ht="12.75" x14ac:dyDescent="0.2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8"/>
      <c r="N969" s="88"/>
      <c r="O969" s="8"/>
      <c r="P969" s="8"/>
      <c r="Q969" s="89"/>
      <c r="R969" s="89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</row>
    <row r="970" spans="1:38" ht="12.75" x14ac:dyDescent="0.2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8"/>
      <c r="N970" s="88"/>
      <c r="O970" s="8"/>
      <c r="P970" s="8"/>
      <c r="Q970" s="89"/>
      <c r="R970" s="89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</row>
    <row r="971" spans="1:38" ht="12.75" x14ac:dyDescent="0.2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8"/>
      <c r="N971" s="88"/>
      <c r="O971" s="8"/>
      <c r="P971" s="8"/>
      <c r="Q971" s="89"/>
      <c r="R971" s="89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</row>
    <row r="972" spans="1:38" ht="12.75" x14ac:dyDescent="0.2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8"/>
      <c r="N972" s="88"/>
      <c r="O972" s="8"/>
      <c r="P972" s="8"/>
      <c r="Q972" s="89"/>
      <c r="R972" s="89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</row>
    <row r="973" spans="1:38" ht="12.75" x14ac:dyDescent="0.2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8"/>
      <c r="N973" s="88"/>
      <c r="O973" s="8"/>
      <c r="P973" s="8"/>
      <c r="Q973" s="89"/>
      <c r="R973" s="89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</row>
    <row r="974" spans="1:38" ht="12.75" x14ac:dyDescent="0.2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8"/>
      <c r="N974" s="88"/>
      <c r="O974" s="8"/>
      <c r="P974" s="8"/>
      <c r="Q974" s="89"/>
      <c r="R974" s="89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</row>
    <row r="975" spans="1:38" ht="12.75" x14ac:dyDescent="0.2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8"/>
      <c r="N975" s="88"/>
      <c r="O975" s="8"/>
      <c r="P975" s="8"/>
      <c r="Q975" s="89"/>
      <c r="R975" s="89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</row>
    <row r="976" spans="1:38" ht="12.75" x14ac:dyDescent="0.2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8"/>
      <c r="N976" s="88"/>
      <c r="O976" s="8"/>
      <c r="P976" s="8"/>
      <c r="Q976" s="89"/>
      <c r="R976" s="89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</row>
    <row r="977" spans="1:38" ht="12.75" x14ac:dyDescent="0.2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8"/>
      <c r="N977" s="88"/>
      <c r="O977" s="8"/>
      <c r="P977" s="8"/>
      <c r="Q977" s="89"/>
      <c r="R977" s="89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</row>
    <row r="978" spans="1:38" ht="12.75" x14ac:dyDescent="0.2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8"/>
      <c r="N978" s="88"/>
      <c r="O978" s="8"/>
      <c r="P978" s="8"/>
      <c r="Q978" s="89"/>
      <c r="R978" s="89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</row>
    <row r="979" spans="1:38" ht="12.75" x14ac:dyDescent="0.2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8"/>
      <c r="N979" s="88"/>
      <c r="O979" s="8"/>
      <c r="P979" s="8"/>
      <c r="Q979" s="89"/>
      <c r="R979" s="89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</row>
    <row r="980" spans="1:38" ht="12.75" x14ac:dyDescent="0.2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8"/>
      <c r="N980" s="88"/>
      <c r="O980" s="8"/>
      <c r="P980" s="8"/>
      <c r="Q980" s="89"/>
      <c r="R980" s="89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</row>
    <row r="981" spans="1:38" ht="12.75" x14ac:dyDescent="0.2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8"/>
      <c r="N981" s="88"/>
      <c r="O981" s="8"/>
      <c r="P981" s="8"/>
      <c r="Q981" s="89"/>
      <c r="R981" s="89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</row>
    <row r="982" spans="1:38" ht="12.75" x14ac:dyDescent="0.2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8"/>
      <c r="N982" s="88"/>
      <c r="O982" s="8"/>
      <c r="P982" s="8"/>
      <c r="Q982" s="89"/>
      <c r="R982" s="89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</row>
    <row r="983" spans="1:38" ht="12.75" x14ac:dyDescent="0.2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8"/>
      <c r="N983" s="88"/>
      <c r="O983" s="8"/>
      <c r="P983" s="8"/>
      <c r="Q983" s="89"/>
      <c r="R983" s="89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</row>
    <row r="984" spans="1:38" ht="12.75" x14ac:dyDescent="0.2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8"/>
      <c r="N984" s="88"/>
      <c r="O984" s="8"/>
      <c r="P984" s="8"/>
      <c r="Q984" s="89"/>
      <c r="R984" s="89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</row>
    <row r="985" spans="1:38" ht="12.75" x14ac:dyDescent="0.2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8"/>
      <c r="N985" s="88"/>
      <c r="O985" s="8"/>
      <c r="P985" s="8"/>
      <c r="Q985" s="89"/>
      <c r="R985" s="89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</row>
    <row r="986" spans="1:38" ht="12.75" x14ac:dyDescent="0.2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8"/>
      <c r="N986" s="88"/>
      <c r="O986" s="8"/>
      <c r="P986" s="8"/>
      <c r="Q986" s="89"/>
      <c r="R986" s="89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</row>
    <row r="987" spans="1:38" ht="12.75" x14ac:dyDescent="0.2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8"/>
      <c r="N987" s="88"/>
      <c r="O987" s="8"/>
      <c r="P987" s="8"/>
      <c r="Q987" s="89"/>
      <c r="R987" s="89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</row>
    <row r="988" spans="1:38" ht="12.75" x14ac:dyDescent="0.2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8"/>
      <c r="N988" s="88"/>
      <c r="O988" s="8"/>
      <c r="P988" s="8"/>
      <c r="Q988" s="89"/>
      <c r="R988" s="89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</row>
    <row r="989" spans="1:38" ht="12.75" x14ac:dyDescent="0.2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8"/>
      <c r="N989" s="88"/>
      <c r="O989" s="8"/>
      <c r="P989" s="8"/>
      <c r="Q989" s="89"/>
      <c r="R989" s="89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</row>
    <row r="990" spans="1:38" ht="12.75" x14ac:dyDescent="0.2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8"/>
      <c r="N990" s="88"/>
      <c r="O990" s="8"/>
      <c r="P990" s="8"/>
      <c r="Q990" s="89"/>
      <c r="R990" s="89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</row>
    <row r="991" spans="1:38" ht="12.75" x14ac:dyDescent="0.2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8"/>
      <c r="N991" s="88"/>
      <c r="O991" s="8"/>
      <c r="P991" s="8"/>
      <c r="Q991" s="89"/>
      <c r="R991" s="89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</row>
    <row r="992" spans="1:38" ht="12.75" x14ac:dyDescent="0.2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8"/>
      <c r="N992" s="88"/>
      <c r="O992" s="8"/>
      <c r="P992" s="8"/>
      <c r="Q992" s="89"/>
      <c r="R992" s="89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</row>
    <row r="993" spans="1:38" ht="12.75" x14ac:dyDescent="0.2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8"/>
      <c r="N993" s="88"/>
      <c r="O993" s="8"/>
      <c r="P993" s="8"/>
      <c r="Q993" s="89"/>
      <c r="R993" s="89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</row>
    <row r="994" spans="1:38" ht="12.75" x14ac:dyDescent="0.2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8"/>
      <c r="N994" s="88"/>
      <c r="O994" s="8"/>
      <c r="P994" s="8"/>
      <c r="Q994" s="89"/>
      <c r="R994" s="89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</row>
    <row r="995" spans="1:38" ht="12.75" x14ac:dyDescent="0.2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8"/>
      <c r="N995" s="88"/>
      <c r="O995" s="8"/>
      <c r="P995" s="8"/>
      <c r="Q995" s="89"/>
      <c r="R995" s="89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</row>
    <row r="996" spans="1:38" ht="12.75" x14ac:dyDescent="0.2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8"/>
      <c r="N996" s="88"/>
      <c r="O996" s="8"/>
      <c r="P996" s="8"/>
      <c r="Q996" s="89"/>
      <c r="R996" s="89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</row>
    <row r="997" spans="1:38" ht="12.75" x14ac:dyDescent="0.2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8"/>
      <c r="N997" s="88"/>
      <c r="O997" s="8"/>
      <c r="P997" s="8"/>
      <c r="Q997" s="89"/>
      <c r="R997" s="89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</row>
    <row r="998" spans="1:38" ht="12.75" x14ac:dyDescent="0.2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8"/>
      <c r="N998" s="88"/>
      <c r="O998" s="8"/>
      <c r="P998" s="8"/>
      <c r="Q998" s="89"/>
      <c r="R998" s="89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</row>
    <row r="999" spans="1:38" ht="12.75" x14ac:dyDescent="0.2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8"/>
      <c r="N999" s="88"/>
      <c r="O999" s="8"/>
      <c r="P999" s="8"/>
      <c r="Q999" s="89"/>
      <c r="R999" s="89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</row>
    <row r="1000" spans="1:38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</row>
  </sheetData>
  <mergeCells count="32">
    <mergeCell ref="A13:B13"/>
    <mergeCell ref="A31:B31"/>
    <mergeCell ref="A52:B52"/>
    <mergeCell ref="A74:B74"/>
    <mergeCell ref="A89:B89"/>
    <mergeCell ref="A104:B104"/>
    <mergeCell ref="AF5:AH5"/>
    <mergeCell ref="AJ5:AL5"/>
    <mergeCell ref="A2:B6"/>
    <mergeCell ref="C2:AL2"/>
    <mergeCell ref="C3:R3"/>
    <mergeCell ref="S3:U4"/>
    <mergeCell ref="V3:X4"/>
    <mergeCell ref="Y3:AL3"/>
    <mergeCell ref="C4:E4"/>
    <mergeCell ref="A7:B7"/>
    <mergeCell ref="Y4:Z4"/>
    <mergeCell ref="AA4:AD4"/>
    <mergeCell ref="AE4:AH4"/>
    <mergeCell ref="AI4:AL4"/>
    <mergeCell ref="C5:C6"/>
    <mergeCell ref="D5:D6"/>
    <mergeCell ref="E5:E6"/>
    <mergeCell ref="H5:I5"/>
    <mergeCell ref="J5:L5"/>
    <mergeCell ref="Q5:R5"/>
    <mergeCell ref="T5:U5"/>
    <mergeCell ref="W5:X5"/>
    <mergeCell ref="Y5:Z5"/>
    <mergeCell ref="AB5:AD5"/>
    <mergeCell ref="F4:G4"/>
    <mergeCell ref="H4:R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0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1" manualBreakCount="1">
    <brk id="18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AS1000"/>
  <sheetViews>
    <sheetView view="pageBreakPreview" zoomScale="60" zoomScaleNormal="55" workbookViewId="0">
      <pane xSplit="2" ySplit="7" topLeftCell="C8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16.42578125" bestFit="1" customWidth="1"/>
    <col min="4" max="4" width="15.140625" bestFit="1" customWidth="1"/>
    <col min="5" max="5" width="17.5703125" customWidth="1"/>
    <col min="6" max="6" width="15.140625" customWidth="1"/>
    <col min="7" max="7" width="12.5703125" customWidth="1"/>
    <col min="8" max="8" width="14.42578125" bestFit="1" customWidth="1"/>
    <col min="9" max="9" width="12.5703125" bestFit="1" customWidth="1"/>
    <col min="10" max="10" width="15.140625" customWidth="1"/>
    <col min="11" max="12" width="12.5703125" bestFit="1" customWidth="1"/>
    <col min="13" max="14" width="15.140625" customWidth="1"/>
    <col min="15" max="17" width="13.85546875" customWidth="1"/>
    <col min="18" max="18" width="10.85546875" bestFit="1" customWidth="1"/>
    <col min="19" max="19" width="13.85546875" customWidth="1"/>
    <col min="20" max="20" width="8.42578125" bestFit="1" customWidth="1"/>
    <col min="21" max="21" width="12.5703125" bestFit="1" customWidth="1"/>
    <col min="22" max="22" width="13.42578125" bestFit="1" customWidth="1"/>
    <col min="23" max="23" width="8.42578125" bestFit="1" customWidth="1"/>
    <col min="24" max="25" width="13.85546875" customWidth="1"/>
    <col min="26" max="26" width="8.42578125" bestFit="1" customWidth="1"/>
    <col min="27" max="27" width="13.85546875" customWidth="1"/>
    <col min="28" max="28" width="10.85546875" bestFit="1" customWidth="1"/>
    <col min="29" max="29" width="13.85546875" customWidth="1"/>
    <col min="30" max="30" width="10.85546875" bestFit="1" customWidth="1"/>
    <col min="31" max="31" width="13.85546875" customWidth="1"/>
    <col min="32" max="33" width="12.5703125" bestFit="1" customWidth="1"/>
    <col min="34" max="34" width="13.85546875" customWidth="1"/>
    <col min="35" max="35" width="17" customWidth="1"/>
    <col min="36" max="37" width="13.85546875" customWidth="1"/>
    <col min="38" max="45" width="16.42578125" customWidth="1"/>
  </cols>
  <sheetData>
    <row r="1" spans="1:45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</row>
    <row r="2" spans="1:45" ht="24" customHeight="1" x14ac:dyDescent="0.2">
      <c r="A2" s="198" t="s">
        <v>1</v>
      </c>
      <c r="B2" s="199"/>
      <c r="C2" s="193" t="s">
        <v>214</v>
      </c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3"/>
    </row>
    <row r="3" spans="1:45" ht="30" customHeight="1" x14ac:dyDescent="0.2">
      <c r="A3" s="200"/>
      <c r="B3" s="199"/>
      <c r="C3" s="194" t="s">
        <v>3</v>
      </c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3"/>
      <c r="S3" s="230" t="s">
        <v>215</v>
      </c>
      <c r="T3" s="191"/>
      <c r="U3" s="180"/>
      <c r="V3" s="234" t="s">
        <v>216</v>
      </c>
      <c r="W3" s="191"/>
      <c r="X3" s="180"/>
      <c r="Y3" s="234" t="s">
        <v>217</v>
      </c>
      <c r="Z3" s="191"/>
      <c r="AA3" s="180"/>
      <c r="AB3" s="234" t="s">
        <v>218</v>
      </c>
      <c r="AC3" s="180"/>
      <c r="AD3" s="234" t="s">
        <v>219</v>
      </c>
      <c r="AE3" s="180"/>
      <c r="AF3" s="234" t="s">
        <v>220</v>
      </c>
      <c r="AG3" s="180"/>
      <c r="AH3" s="234" t="s">
        <v>221</v>
      </c>
      <c r="AI3" s="180"/>
      <c r="AJ3" s="235" t="s">
        <v>222</v>
      </c>
      <c r="AK3" s="235" t="s">
        <v>223</v>
      </c>
      <c r="AL3" s="207" t="s">
        <v>224</v>
      </c>
      <c r="AM3" s="191"/>
      <c r="AN3" s="180"/>
      <c r="AO3" s="237" t="s">
        <v>225</v>
      </c>
      <c r="AP3" s="236" t="s">
        <v>222</v>
      </c>
      <c r="AQ3" s="236" t="s">
        <v>223</v>
      </c>
      <c r="AR3" s="237" t="s">
        <v>226</v>
      </c>
      <c r="AS3" s="236" t="s">
        <v>227</v>
      </c>
    </row>
    <row r="4" spans="1:45" ht="60" customHeight="1" x14ac:dyDescent="0.3">
      <c r="A4" s="200"/>
      <c r="B4" s="199"/>
      <c r="C4" s="184" t="s">
        <v>8</v>
      </c>
      <c r="D4" s="185"/>
      <c r="E4" s="183"/>
      <c r="F4" s="195" t="s">
        <v>9</v>
      </c>
      <c r="G4" s="183"/>
      <c r="H4" s="196" t="s">
        <v>10</v>
      </c>
      <c r="I4" s="185"/>
      <c r="J4" s="185"/>
      <c r="K4" s="185"/>
      <c r="L4" s="185"/>
      <c r="M4" s="185"/>
      <c r="N4" s="185"/>
      <c r="O4" s="185"/>
      <c r="P4" s="185"/>
      <c r="Q4" s="185"/>
      <c r="R4" s="183"/>
      <c r="S4" s="185"/>
      <c r="T4" s="185"/>
      <c r="U4" s="183"/>
      <c r="V4" s="185"/>
      <c r="W4" s="185"/>
      <c r="X4" s="183"/>
      <c r="Y4" s="185"/>
      <c r="Z4" s="185"/>
      <c r="AA4" s="183"/>
      <c r="AB4" s="185"/>
      <c r="AC4" s="183"/>
      <c r="AD4" s="185"/>
      <c r="AE4" s="183"/>
      <c r="AF4" s="185"/>
      <c r="AG4" s="183"/>
      <c r="AH4" s="185"/>
      <c r="AI4" s="183"/>
      <c r="AJ4" s="183"/>
      <c r="AK4" s="183"/>
      <c r="AL4" s="185"/>
      <c r="AM4" s="185"/>
      <c r="AN4" s="183"/>
      <c r="AO4" s="183"/>
      <c r="AP4" s="183"/>
      <c r="AQ4" s="183"/>
      <c r="AR4" s="183"/>
      <c r="AS4" s="183"/>
    </row>
    <row r="5" spans="1:45" ht="37.5" customHeight="1" x14ac:dyDescent="0.3">
      <c r="A5" s="200"/>
      <c r="B5" s="199"/>
      <c r="C5" s="242" t="s">
        <v>11</v>
      </c>
      <c r="D5" s="243" t="s">
        <v>12</v>
      </c>
      <c r="E5" s="244" t="s">
        <v>13</v>
      </c>
      <c r="F5" s="92" t="s">
        <v>14</v>
      </c>
      <c r="G5" s="92" t="s">
        <v>15</v>
      </c>
      <c r="H5" s="246" t="s">
        <v>16</v>
      </c>
      <c r="I5" s="245"/>
      <c r="J5" s="247" t="s">
        <v>202</v>
      </c>
      <c r="K5" s="248"/>
      <c r="L5" s="245"/>
      <c r="M5" s="249" t="s">
        <v>18</v>
      </c>
      <c r="N5" s="249" t="s">
        <v>19</v>
      </c>
      <c r="O5" s="249" t="s">
        <v>20</v>
      </c>
      <c r="P5" s="249" t="s">
        <v>21</v>
      </c>
      <c r="Q5" s="250" t="s">
        <v>15</v>
      </c>
      <c r="R5" s="245"/>
      <c r="S5" s="118" t="s">
        <v>22</v>
      </c>
      <c r="T5" s="189" t="s">
        <v>23</v>
      </c>
      <c r="U5" s="183"/>
      <c r="V5" s="119" t="s">
        <v>22</v>
      </c>
      <c r="W5" s="192" t="s">
        <v>23</v>
      </c>
      <c r="X5" s="183"/>
      <c r="Y5" s="119" t="s">
        <v>22</v>
      </c>
      <c r="Z5" s="192" t="s">
        <v>23</v>
      </c>
      <c r="AA5" s="183"/>
      <c r="AB5" s="192" t="s">
        <v>23</v>
      </c>
      <c r="AC5" s="183"/>
      <c r="AD5" s="192" t="s">
        <v>23</v>
      </c>
      <c r="AE5" s="183"/>
      <c r="AF5" s="192" t="s">
        <v>23</v>
      </c>
      <c r="AG5" s="183"/>
      <c r="AH5" s="192" t="s">
        <v>23</v>
      </c>
      <c r="AI5" s="183"/>
      <c r="AJ5" s="101" t="s">
        <v>23</v>
      </c>
      <c r="AK5" s="101" t="s">
        <v>23</v>
      </c>
      <c r="AL5" s="120" t="s">
        <v>22</v>
      </c>
      <c r="AM5" s="192" t="s">
        <v>23</v>
      </c>
      <c r="AN5" s="183"/>
      <c r="AO5" s="101" t="s">
        <v>23</v>
      </c>
      <c r="AP5" s="101" t="s">
        <v>23</v>
      </c>
      <c r="AQ5" s="101" t="s">
        <v>23</v>
      </c>
      <c r="AR5" s="101" t="s">
        <v>23</v>
      </c>
      <c r="AS5" s="101" t="s">
        <v>23</v>
      </c>
    </row>
    <row r="6" spans="1:45" ht="40.5" customHeight="1" x14ac:dyDescent="0.3">
      <c r="A6" s="201"/>
      <c r="B6" s="202"/>
      <c r="C6" s="245"/>
      <c r="D6" s="245"/>
      <c r="E6" s="245"/>
      <c r="F6" s="161"/>
      <c r="G6" s="161"/>
      <c r="H6" s="102" t="s">
        <v>24</v>
      </c>
      <c r="I6" s="103" t="s">
        <v>27</v>
      </c>
      <c r="J6" s="93" t="s">
        <v>24</v>
      </c>
      <c r="K6" s="255" t="s">
        <v>25</v>
      </c>
      <c r="L6" s="255" t="s">
        <v>26</v>
      </c>
      <c r="M6" s="104" t="s">
        <v>24</v>
      </c>
      <c r="N6" s="104" t="s">
        <v>24</v>
      </c>
      <c r="O6" s="104" t="s">
        <v>24</v>
      </c>
      <c r="P6" s="104" t="s">
        <v>24</v>
      </c>
      <c r="Q6" s="105" t="s">
        <v>24</v>
      </c>
      <c r="R6" s="106" t="s">
        <v>27</v>
      </c>
      <c r="S6" s="122" t="s">
        <v>143</v>
      </c>
      <c r="T6" s="21" t="s">
        <v>143</v>
      </c>
      <c r="U6" s="22" t="s">
        <v>27</v>
      </c>
      <c r="V6" s="123" t="s">
        <v>228</v>
      </c>
      <c r="W6" s="21" t="s">
        <v>228</v>
      </c>
      <c r="X6" s="22" t="s">
        <v>27</v>
      </c>
      <c r="Y6" s="123" t="s">
        <v>228</v>
      </c>
      <c r="Z6" s="21" t="s">
        <v>228</v>
      </c>
      <c r="AA6" s="22" t="s">
        <v>27</v>
      </c>
      <c r="AB6" s="21" t="s">
        <v>143</v>
      </c>
      <c r="AC6" s="21" t="s">
        <v>27</v>
      </c>
      <c r="AD6" s="21" t="s">
        <v>143</v>
      </c>
      <c r="AE6" s="21" t="s">
        <v>27</v>
      </c>
      <c r="AF6" s="21" t="s">
        <v>143</v>
      </c>
      <c r="AG6" s="22" t="s">
        <v>27</v>
      </c>
      <c r="AH6" s="21" t="s">
        <v>143</v>
      </c>
      <c r="AI6" s="22" t="s">
        <v>27</v>
      </c>
      <c r="AJ6" s="21" t="s">
        <v>143</v>
      </c>
      <c r="AK6" s="21" t="s">
        <v>143</v>
      </c>
      <c r="AL6" s="150" t="s">
        <v>143</v>
      </c>
      <c r="AM6" s="21" t="s">
        <v>143</v>
      </c>
      <c r="AN6" s="22" t="s">
        <v>27</v>
      </c>
      <c r="AO6" s="21" t="s">
        <v>143</v>
      </c>
      <c r="AP6" s="21" t="s">
        <v>143</v>
      </c>
      <c r="AQ6" s="21" t="s">
        <v>143</v>
      </c>
      <c r="AR6" s="21" t="s">
        <v>143</v>
      </c>
      <c r="AS6" s="21" t="s">
        <v>143</v>
      </c>
    </row>
    <row r="7" spans="1:45" ht="24" customHeight="1" x14ac:dyDescent="0.3">
      <c r="A7" s="175" t="s">
        <v>252</v>
      </c>
      <c r="B7" s="176"/>
      <c r="C7" s="107">
        <f t="shared" ref="C7:H7" ca="1" si="0">C8+C9</f>
        <v>880600</v>
      </c>
      <c r="D7" s="108">
        <f t="shared" ca="1" si="0"/>
        <v>880600</v>
      </c>
      <c r="E7" s="109">
        <f t="shared" ca="1" si="0"/>
        <v>0</v>
      </c>
      <c r="F7" s="109">
        <f t="shared" ca="1" si="0"/>
        <v>880600</v>
      </c>
      <c r="G7" s="109">
        <f t="shared" ca="1" si="0"/>
        <v>0</v>
      </c>
      <c r="H7" s="110">
        <f t="shared" ca="1" si="0"/>
        <v>245805.6</v>
      </c>
      <c r="I7" s="111">
        <f t="shared" ref="I7:I116" ca="1" si="1">IF(D7&gt;0,H7*100/D7,0)</f>
        <v>27.913422666363843</v>
      </c>
      <c r="J7" s="110">
        <f ca="1">J8+J9</f>
        <v>245805.6</v>
      </c>
      <c r="K7" s="111">
        <f t="shared" ref="K7:K10" ca="1" si="2">IF(D7&gt;0,J7*100/D7,0)</f>
        <v>27.913422666363843</v>
      </c>
      <c r="L7" s="111">
        <f t="shared" ref="L7:L10" ca="1" si="3">IF(F7&gt;0,J7*100/F7,0)</f>
        <v>27.913422666363843</v>
      </c>
      <c r="M7" s="110">
        <f t="shared" ref="M7:Q7" ca="1" si="4">M8+M9</f>
        <v>1500</v>
      </c>
      <c r="N7" s="110">
        <f t="shared" ca="1" si="4"/>
        <v>0</v>
      </c>
      <c r="O7" s="110">
        <f t="shared" ca="1" si="4"/>
        <v>2000</v>
      </c>
      <c r="P7" s="110">
        <f t="shared" ca="1" si="4"/>
        <v>242305.6</v>
      </c>
      <c r="Q7" s="112">
        <f t="shared" ca="1" si="4"/>
        <v>0</v>
      </c>
      <c r="R7" s="112">
        <f ca="1">IF(E7&gt;0,Q7*100/E7,0)</f>
        <v>0</v>
      </c>
      <c r="S7" s="128">
        <f t="shared" ref="S7:T7" ca="1" si="5">S8</f>
        <v>3955</v>
      </c>
      <c r="T7" s="30">
        <f t="shared" ca="1" si="5"/>
        <v>143</v>
      </c>
      <c r="U7" s="31">
        <f t="shared" ref="U7:U8" ca="1" si="6">IF(S7&gt;0,T7*100/S7,0)</f>
        <v>3.6156763590391909</v>
      </c>
      <c r="V7" s="129">
        <f t="shared" ref="V7:W7" ca="1" si="7">V8</f>
        <v>202</v>
      </c>
      <c r="W7" s="30">
        <f t="shared" ca="1" si="7"/>
        <v>204</v>
      </c>
      <c r="X7" s="31">
        <f t="shared" ref="X7:X8" ca="1" si="8">IF(V7&gt;0,W7*100/V7,0)</f>
        <v>100.99009900990099</v>
      </c>
      <c r="Y7" s="129">
        <f t="shared" ref="Y7:Z7" ca="1" si="9">Y8</f>
        <v>202</v>
      </c>
      <c r="Z7" s="30">
        <f t="shared" ca="1" si="9"/>
        <v>207</v>
      </c>
      <c r="AA7" s="31">
        <f t="shared" ref="AA7:AA8" ca="1" si="10">IF(Y7&gt;0,Z7*100/Y7,0)</f>
        <v>102.47524752475248</v>
      </c>
      <c r="AB7" s="30">
        <f ca="1">AB8</f>
        <v>7343.53</v>
      </c>
      <c r="AC7" s="31">
        <f t="shared" ref="AC7:AC88" ca="1" si="11">IF(S7&gt;0,AB7*100/S7,0)</f>
        <v>185.67711757269279</v>
      </c>
      <c r="AD7" s="30">
        <f ca="1">AD8</f>
        <v>4913.6099999999997</v>
      </c>
      <c r="AE7" s="31">
        <f t="shared" ref="AE7:AE88" ca="1" si="12">IF(S7&gt;0,AD7*100/S7,0)</f>
        <v>124.2379266750948</v>
      </c>
      <c r="AF7" s="31">
        <f ca="1">AF8</f>
        <v>923</v>
      </c>
      <c r="AG7" s="31">
        <f t="shared" ref="AG7:AG88" ca="1" si="13">IF(S7&gt;0,AF7*100/S7,0)</f>
        <v>23.33754740834387</v>
      </c>
      <c r="AH7" s="31">
        <f ca="1">AH8</f>
        <v>143</v>
      </c>
      <c r="AI7" s="31">
        <f ca="1">IF(S7&gt;0,AH7*100/S7,0)</f>
        <v>3.6156763590391909</v>
      </c>
      <c r="AJ7" s="31">
        <f t="shared" ref="AJ7:AM7" ca="1" si="14">AJ8</f>
        <v>0</v>
      </c>
      <c r="AK7" s="31">
        <f t="shared" ca="1" si="14"/>
        <v>143</v>
      </c>
      <c r="AL7" s="155">
        <f t="shared" ca="1" si="14"/>
        <v>0</v>
      </c>
      <c r="AM7" s="30">
        <f t="shared" ca="1" si="14"/>
        <v>304.76</v>
      </c>
      <c r="AN7" s="31">
        <f t="shared" ref="AN7:AN8" ca="1" si="15">IF(AL7&gt;0,AM7*100/AL7,0)</f>
        <v>0</v>
      </c>
      <c r="AO7" s="30">
        <f t="shared" ref="AO7:AS7" ca="1" si="16">AO8</f>
        <v>304.76</v>
      </c>
      <c r="AP7" s="30">
        <f t="shared" ca="1" si="16"/>
        <v>167.56</v>
      </c>
      <c r="AQ7" s="30">
        <f t="shared" ca="1" si="16"/>
        <v>137.19999999999999</v>
      </c>
      <c r="AR7" s="30">
        <f t="shared" ca="1" si="16"/>
        <v>0</v>
      </c>
      <c r="AS7" s="30">
        <f t="shared" ca="1" si="16"/>
        <v>0</v>
      </c>
    </row>
    <row r="8" spans="1:45" ht="28.5" customHeight="1" x14ac:dyDescent="0.3">
      <c r="A8" s="32" t="s">
        <v>30</v>
      </c>
      <c r="B8" s="33"/>
      <c r="C8" s="113">
        <f t="shared" ref="C8:H8" ca="1" si="17">+C13+C31+C52+C74</f>
        <v>560500</v>
      </c>
      <c r="D8" s="113">
        <f t="shared" ca="1" si="17"/>
        <v>560500</v>
      </c>
      <c r="E8" s="113">
        <f t="shared" ca="1" si="17"/>
        <v>0</v>
      </c>
      <c r="F8" s="113">
        <f t="shared" ca="1" si="17"/>
        <v>560500</v>
      </c>
      <c r="G8" s="113">
        <f t="shared" ca="1" si="17"/>
        <v>0</v>
      </c>
      <c r="H8" s="113">
        <f t="shared" ca="1" si="17"/>
        <v>245805.6</v>
      </c>
      <c r="I8" s="114">
        <f t="shared" ca="1" si="1"/>
        <v>43.854701159678861</v>
      </c>
      <c r="J8" s="113">
        <f ca="1">+J13+J31+J52+J74</f>
        <v>245805.6</v>
      </c>
      <c r="K8" s="114">
        <f t="shared" ca="1" si="2"/>
        <v>43.854701159678861</v>
      </c>
      <c r="L8" s="114">
        <f t="shared" ca="1" si="3"/>
        <v>43.854701159678861</v>
      </c>
      <c r="M8" s="113">
        <f t="shared" ref="M8:T8" ca="1" si="18">+M13+M31+M52+M74</f>
        <v>1500</v>
      </c>
      <c r="N8" s="113">
        <f t="shared" ca="1" si="18"/>
        <v>0</v>
      </c>
      <c r="O8" s="113">
        <f t="shared" ca="1" si="18"/>
        <v>2000</v>
      </c>
      <c r="P8" s="113">
        <f t="shared" ca="1" si="18"/>
        <v>242305.6</v>
      </c>
      <c r="Q8" s="115">
        <f t="shared" ca="1" si="18"/>
        <v>0</v>
      </c>
      <c r="R8" s="115">
        <f t="shared" ca="1" si="18"/>
        <v>0</v>
      </c>
      <c r="S8" s="34">
        <f t="shared" ca="1" si="18"/>
        <v>3955</v>
      </c>
      <c r="T8" s="34">
        <f t="shared" ca="1" si="18"/>
        <v>143</v>
      </c>
      <c r="U8" s="37">
        <f t="shared" ca="1" si="6"/>
        <v>3.6156763590391909</v>
      </c>
      <c r="V8" s="34">
        <f t="shared" ref="V8:W8" ca="1" si="19">+V13+V31+V52+V74</f>
        <v>202</v>
      </c>
      <c r="W8" s="34">
        <f t="shared" ca="1" si="19"/>
        <v>204</v>
      </c>
      <c r="X8" s="37">
        <f t="shared" ca="1" si="8"/>
        <v>100.99009900990099</v>
      </c>
      <c r="Y8" s="34">
        <f t="shared" ref="Y8:Z8" ca="1" si="20">+Y13+Y31+Y52+Y74</f>
        <v>202</v>
      </c>
      <c r="Z8" s="34">
        <f t="shared" ca="1" si="20"/>
        <v>207</v>
      </c>
      <c r="AA8" s="37">
        <f t="shared" ca="1" si="10"/>
        <v>102.47524752475248</v>
      </c>
      <c r="AB8" s="34">
        <f ca="1">+AB13+AB31+AB52+AB74</f>
        <v>7343.53</v>
      </c>
      <c r="AC8" s="37">
        <f t="shared" ca="1" si="11"/>
        <v>185.67711757269279</v>
      </c>
      <c r="AD8" s="34">
        <f ca="1">+AD13+AD31+AD52+AD74</f>
        <v>4913.6099999999997</v>
      </c>
      <c r="AE8" s="37">
        <f t="shared" ca="1" si="12"/>
        <v>124.2379266750948</v>
      </c>
      <c r="AF8" s="37">
        <f ca="1">+AF13+AF31+AF52+AF74</f>
        <v>923</v>
      </c>
      <c r="AG8" s="37">
        <f t="shared" ca="1" si="13"/>
        <v>23.33754740834387</v>
      </c>
      <c r="AH8" s="37">
        <f ca="1">+AH13+AH31+AH52+AH74</f>
        <v>143</v>
      </c>
      <c r="AI8" s="37">
        <f t="shared" ref="AI8:AI88" ca="1" si="21">IF(U8&gt;0,AH8*100/U8,0)</f>
        <v>3955</v>
      </c>
      <c r="AJ8" s="37">
        <f t="shared" ref="AJ8:AM8" ca="1" si="22">+AJ13+AJ31+AJ52+AJ74</f>
        <v>0</v>
      </c>
      <c r="AK8" s="37">
        <f t="shared" ca="1" si="22"/>
        <v>143</v>
      </c>
      <c r="AL8" s="34">
        <f t="shared" ca="1" si="22"/>
        <v>0</v>
      </c>
      <c r="AM8" s="34">
        <f t="shared" ca="1" si="22"/>
        <v>304.76</v>
      </c>
      <c r="AN8" s="37">
        <f t="shared" ca="1" si="15"/>
        <v>0</v>
      </c>
      <c r="AO8" s="34">
        <f t="shared" ref="AO8:AS8" ca="1" si="23">+AO13+AO31+AO52+AO74</f>
        <v>304.76</v>
      </c>
      <c r="AP8" s="34">
        <f t="shared" ca="1" si="23"/>
        <v>167.56</v>
      </c>
      <c r="AQ8" s="34">
        <f t="shared" ca="1" si="23"/>
        <v>137.19999999999999</v>
      </c>
      <c r="AR8" s="34">
        <f t="shared" ca="1" si="23"/>
        <v>0</v>
      </c>
      <c r="AS8" s="34">
        <f t="shared" ca="1" si="23"/>
        <v>0</v>
      </c>
    </row>
    <row r="9" spans="1:45" ht="28.5" customHeight="1" x14ac:dyDescent="0.3">
      <c r="A9" s="38" t="s">
        <v>253</v>
      </c>
      <c r="B9" s="45"/>
      <c r="C9" s="94">
        <f t="shared" ref="C9:F9" ca="1" si="24">+C10+C11</f>
        <v>320100</v>
      </c>
      <c r="D9" s="94">
        <f t="shared" ca="1" si="24"/>
        <v>320100</v>
      </c>
      <c r="E9" s="94">
        <f t="shared" si="24"/>
        <v>0</v>
      </c>
      <c r="F9" s="94">
        <f t="shared" ca="1" si="24"/>
        <v>320100</v>
      </c>
      <c r="G9" s="94">
        <v>0</v>
      </c>
      <c r="H9" s="94">
        <f ca="1">H10+H11</f>
        <v>0</v>
      </c>
      <c r="I9" s="95">
        <f t="shared" ca="1" si="1"/>
        <v>0</v>
      </c>
      <c r="J9" s="94">
        <f ca="1">J10+J11</f>
        <v>0</v>
      </c>
      <c r="K9" s="95">
        <f t="shared" ca="1" si="2"/>
        <v>0</v>
      </c>
      <c r="L9" s="95">
        <f t="shared" ca="1" si="3"/>
        <v>0</v>
      </c>
      <c r="M9" s="94">
        <v>0</v>
      </c>
      <c r="N9" s="94">
        <v>0</v>
      </c>
      <c r="O9" s="94">
        <v>0</v>
      </c>
      <c r="P9" s="94">
        <f ca="1">P10+P11</f>
        <v>0</v>
      </c>
      <c r="Q9" s="96">
        <v>0</v>
      </c>
      <c r="R9" s="96">
        <f t="shared" ref="R9:R11" si="25">IF(E9&gt;0,Q9*100/E9,0)</f>
        <v>0</v>
      </c>
      <c r="S9" s="43"/>
      <c r="T9" s="43"/>
      <c r="U9" s="44"/>
      <c r="V9" s="43"/>
      <c r="W9" s="43"/>
      <c r="X9" s="44"/>
      <c r="Y9" s="43"/>
      <c r="Z9" s="43"/>
      <c r="AA9" s="44"/>
      <c r="AB9" s="43"/>
      <c r="AC9" s="116">
        <f t="shared" si="11"/>
        <v>0</v>
      </c>
      <c r="AD9" s="43"/>
      <c r="AE9" s="116">
        <f t="shared" si="12"/>
        <v>0</v>
      </c>
      <c r="AF9" s="44"/>
      <c r="AG9" s="44">
        <f t="shared" si="13"/>
        <v>0</v>
      </c>
      <c r="AH9" s="44"/>
      <c r="AI9" s="44">
        <f t="shared" si="21"/>
        <v>0</v>
      </c>
      <c r="AJ9" s="44"/>
      <c r="AK9" s="44"/>
      <c r="AL9" s="43"/>
      <c r="AM9" s="43"/>
      <c r="AN9" s="44"/>
      <c r="AO9" s="43"/>
      <c r="AP9" s="43"/>
      <c r="AQ9" s="43"/>
      <c r="AR9" s="43"/>
      <c r="AS9" s="43"/>
    </row>
    <row r="10" spans="1:45" ht="28.5" hidden="1" customHeight="1" x14ac:dyDescent="0.3">
      <c r="A10" s="38" t="s">
        <v>31</v>
      </c>
      <c r="B10" s="45"/>
      <c r="C10" s="94">
        <f t="shared" ref="C10:C11" ca="1" si="26">D10+E10</f>
        <v>320100</v>
      </c>
      <c r="D10" s="94">
        <f ca="1">IFERROR(__xludf.DUMMYFUNCTION("IMPORTRANGE(""https://docs.google.com/spreadsheets/d/1QqKyyYR6Q21VydFLVH3TRQUabQu_ym0Zz7PgGX0-kHA/edit?usp=sharing"",""แผน!HV11"")"),320100)</f>
        <v>320100</v>
      </c>
      <c r="E10" s="94">
        <v>0</v>
      </c>
      <c r="F10" s="94">
        <f ca="1">IFERROR(__xludf.DUMMYFUNCTION("IMPORTRANGE(""https://docs.google.com/spreadsheets/d/1vlyYR5_sXdhqA0JyobsBDu7xVmIqJT30I2qHLqWgZQ4/edit?usp=sharing"",""ทั้งประเทศ!M659"")"),320100)</f>
        <v>320100</v>
      </c>
      <c r="G10" s="94">
        <v>0</v>
      </c>
      <c r="H10" s="94">
        <f t="shared" ref="H10:H116" ca="1" si="27">J10+Q10</f>
        <v>0</v>
      </c>
      <c r="I10" s="95">
        <f t="shared" ca="1" si="1"/>
        <v>0</v>
      </c>
      <c r="J10" s="94">
        <f ca="1">M10+N10+O10+P10</f>
        <v>0</v>
      </c>
      <c r="K10" s="95">
        <f t="shared" ca="1" si="2"/>
        <v>0</v>
      </c>
      <c r="L10" s="95">
        <f t="shared" ca="1" si="3"/>
        <v>0</v>
      </c>
      <c r="M10" s="94">
        <v>0</v>
      </c>
      <c r="N10" s="94">
        <v>0</v>
      </c>
      <c r="O10" s="94">
        <v>0</v>
      </c>
      <c r="P10" s="94">
        <f ca="1">IFERROR(__xludf.DUMMYFUNCTION("IMPORTRANGE(""https://docs.google.com/spreadsheets/d/1WhzDrMlrZfqSjGYJh0xYjRtGVhp5LiCqlO7EaAHfOOk/edit?usp=sharing"",""sheet1!BF6"")"),0)</f>
        <v>0</v>
      </c>
      <c r="Q10" s="96">
        <v>0</v>
      </c>
      <c r="R10" s="96">
        <f t="shared" si="25"/>
        <v>0</v>
      </c>
      <c r="S10" s="43"/>
      <c r="T10" s="43"/>
      <c r="U10" s="44"/>
      <c r="V10" s="43"/>
      <c r="W10" s="43"/>
      <c r="X10" s="44"/>
      <c r="Y10" s="43"/>
      <c r="Z10" s="43"/>
      <c r="AA10" s="44"/>
      <c r="AB10" s="43"/>
      <c r="AC10" s="116">
        <f t="shared" si="11"/>
        <v>0</v>
      </c>
      <c r="AD10" s="43"/>
      <c r="AE10" s="116">
        <f t="shared" si="12"/>
        <v>0</v>
      </c>
      <c r="AF10" s="44"/>
      <c r="AG10" s="44">
        <f t="shared" si="13"/>
        <v>0</v>
      </c>
      <c r="AH10" s="44"/>
      <c r="AI10" s="44">
        <f t="shared" si="21"/>
        <v>0</v>
      </c>
      <c r="AJ10" s="44"/>
      <c r="AK10" s="44"/>
      <c r="AL10" s="43"/>
      <c r="AM10" s="43"/>
      <c r="AN10" s="44"/>
      <c r="AO10" s="43"/>
      <c r="AP10" s="43"/>
      <c r="AQ10" s="43"/>
      <c r="AR10" s="43"/>
      <c r="AS10" s="43"/>
    </row>
    <row r="11" spans="1:45" ht="28.5" hidden="1" customHeight="1" x14ac:dyDescent="0.3">
      <c r="A11" s="46" t="s">
        <v>32</v>
      </c>
      <c r="B11" s="45"/>
      <c r="C11" s="94">
        <f t="shared" ca="1" si="26"/>
        <v>0</v>
      </c>
      <c r="D11" s="94">
        <f ca="1">IFERROR(__xludf.DUMMYFUNCTION("IMPORTRANGE(""https://docs.google.com/spreadsheets/d/1QqKyyYR6Q21VydFLVH3TRQUabQu_ym0Zz7PgGX0-kHA/edit?usp=sharing"",""แผน!HT10"")"),0)</f>
        <v>0</v>
      </c>
      <c r="E11" s="94">
        <v>0</v>
      </c>
      <c r="F11" s="94">
        <v>0</v>
      </c>
      <c r="G11" s="94">
        <v>0</v>
      </c>
      <c r="H11" s="94">
        <f t="shared" si="27"/>
        <v>0</v>
      </c>
      <c r="I11" s="95">
        <f t="shared" ca="1" si="1"/>
        <v>0</v>
      </c>
      <c r="J11" s="94">
        <v>0</v>
      </c>
      <c r="K11" s="95">
        <v>0</v>
      </c>
      <c r="L11" s="95">
        <v>0</v>
      </c>
      <c r="M11" s="94">
        <v>0</v>
      </c>
      <c r="N11" s="94">
        <v>0</v>
      </c>
      <c r="O11" s="94">
        <v>0</v>
      </c>
      <c r="P11" s="94">
        <v>0</v>
      </c>
      <c r="Q11" s="96">
        <v>0</v>
      </c>
      <c r="R11" s="96">
        <f t="shared" si="25"/>
        <v>0</v>
      </c>
      <c r="S11" s="43"/>
      <c r="T11" s="43"/>
      <c r="U11" s="44"/>
      <c r="V11" s="43"/>
      <c r="W11" s="43"/>
      <c r="X11" s="44"/>
      <c r="Y11" s="43"/>
      <c r="Z11" s="43"/>
      <c r="AA11" s="44"/>
      <c r="AB11" s="43"/>
      <c r="AC11" s="116">
        <f t="shared" si="11"/>
        <v>0</v>
      </c>
      <c r="AD11" s="43"/>
      <c r="AE11" s="116">
        <f t="shared" si="12"/>
        <v>0</v>
      </c>
      <c r="AF11" s="44"/>
      <c r="AG11" s="44">
        <f t="shared" si="13"/>
        <v>0</v>
      </c>
      <c r="AH11" s="44"/>
      <c r="AI11" s="44">
        <f t="shared" si="21"/>
        <v>0</v>
      </c>
      <c r="AJ11" s="44"/>
      <c r="AK11" s="44"/>
      <c r="AL11" s="43"/>
      <c r="AM11" s="43"/>
      <c r="AN11" s="44"/>
      <c r="AO11" s="43"/>
      <c r="AP11" s="43"/>
      <c r="AQ11" s="43"/>
      <c r="AR11" s="43"/>
      <c r="AS11" s="43"/>
    </row>
    <row r="12" spans="1:45" ht="28.5" hidden="1" customHeight="1" x14ac:dyDescent="0.3">
      <c r="A12" s="47" t="s">
        <v>33</v>
      </c>
      <c r="B12" s="48"/>
      <c r="C12" s="49">
        <v>0</v>
      </c>
      <c r="D12" s="49">
        <v>0</v>
      </c>
      <c r="E12" s="49">
        <v>0</v>
      </c>
      <c r="F12" s="50"/>
      <c r="G12" s="50"/>
      <c r="H12" s="49">
        <f t="shared" si="27"/>
        <v>0</v>
      </c>
      <c r="I12" s="51">
        <f t="shared" si="1"/>
        <v>0</v>
      </c>
      <c r="J12" s="49">
        <v>0</v>
      </c>
      <c r="K12" s="50"/>
      <c r="L12" s="50"/>
      <c r="M12" s="49">
        <v>0</v>
      </c>
      <c r="N12" s="49">
        <v>0</v>
      </c>
      <c r="O12" s="49">
        <v>0</v>
      </c>
      <c r="P12" s="49">
        <v>0</v>
      </c>
      <c r="Q12" s="52">
        <v>0</v>
      </c>
      <c r="R12" s="52"/>
      <c r="S12" s="49">
        <v>0</v>
      </c>
      <c r="T12" s="49">
        <v>0</v>
      </c>
      <c r="U12" s="53">
        <f t="shared" ref="U12:U88" si="28">IF(S12&gt;0,T12*100/S12,0)</f>
        <v>0</v>
      </c>
      <c r="V12" s="49">
        <v>0</v>
      </c>
      <c r="W12" s="49">
        <v>0</v>
      </c>
      <c r="X12" s="53">
        <f t="shared" ref="X12:X88" si="29">IF(V12&gt;0,W12*100/V12,0)</f>
        <v>0</v>
      </c>
      <c r="Y12" s="49">
        <v>0</v>
      </c>
      <c r="Z12" s="49">
        <v>0</v>
      </c>
      <c r="AA12" s="53">
        <f t="shared" ref="AA12:AA88" si="30">IF(Y12&gt;0,Z12*100/Y12,0)</f>
        <v>0</v>
      </c>
      <c r="AB12" s="49">
        <v>0</v>
      </c>
      <c r="AC12" s="53">
        <f t="shared" si="11"/>
        <v>0</v>
      </c>
      <c r="AD12" s="49">
        <v>0</v>
      </c>
      <c r="AE12" s="53">
        <f t="shared" si="12"/>
        <v>0</v>
      </c>
      <c r="AF12" s="53">
        <v>0</v>
      </c>
      <c r="AG12" s="53">
        <f t="shared" si="13"/>
        <v>0</v>
      </c>
      <c r="AH12" s="53">
        <v>0</v>
      </c>
      <c r="AI12" s="53">
        <f t="shared" si="21"/>
        <v>0</v>
      </c>
      <c r="AJ12" s="53">
        <v>0</v>
      </c>
      <c r="AK12" s="53">
        <v>0</v>
      </c>
      <c r="AL12" s="49">
        <v>0</v>
      </c>
      <c r="AM12" s="49">
        <v>0</v>
      </c>
      <c r="AN12" s="53">
        <f t="shared" ref="AN12:AN88" si="31">IF(AL12&gt;0,AM12*100/AL12,0)</f>
        <v>0</v>
      </c>
      <c r="AO12" s="49">
        <v>0</v>
      </c>
      <c r="AP12" s="49">
        <v>0</v>
      </c>
      <c r="AQ12" s="49">
        <v>0</v>
      </c>
      <c r="AR12" s="49">
        <v>0</v>
      </c>
      <c r="AS12" s="49">
        <v>0</v>
      </c>
    </row>
    <row r="13" spans="1:45" ht="28.5" customHeight="1" x14ac:dyDescent="0.3">
      <c r="A13" s="177" t="s">
        <v>34</v>
      </c>
      <c r="B13" s="178"/>
      <c r="C13" s="34">
        <f t="shared" ref="C13:G13" ca="1" si="32">SUM(C14:C30)</f>
        <v>139600</v>
      </c>
      <c r="D13" s="34">
        <f t="shared" ca="1" si="32"/>
        <v>139600</v>
      </c>
      <c r="E13" s="34">
        <f t="shared" ca="1" si="32"/>
        <v>0</v>
      </c>
      <c r="F13" s="34">
        <f t="shared" ca="1" si="32"/>
        <v>139600</v>
      </c>
      <c r="G13" s="34">
        <f t="shared" ca="1" si="32"/>
        <v>0</v>
      </c>
      <c r="H13" s="34">
        <f t="shared" ca="1" si="27"/>
        <v>32195</v>
      </c>
      <c r="I13" s="35">
        <f t="shared" ca="1" si="1"/>
        <v>23.062320916905446</v>
      </c>
      <c r="J13" s="34">
        <f ca="1">SUM(J14:J30)</f>
        <v>32195</v>
      </c>
      <c r="K13" s="35">
        <f t="shared" ref="K13:K88" ca="1" si="33">IF(D13&gt;0,J13*100/D13,0)</f>
        <v>23.062320916905446</v>
      </c>
      <c r="L13" s="35">
        <f t="shared" ref="L13:L88" ca="1" si="34">IF(F13&gt;0,J13*100/F13,0)</f>
        <v>23.062320916905446</v>
      </c>
      <c r="M13" s="34">
        <f t="shared" ref="M13:Q13" ca="1" si="35">SUM(M14:M30)</f>
        <v>0</v>
      </c>
      <c r="N13" s="34">
        <f t="shared" ca="1" si="35"/>
        <v>0</v>
      </c>
      <c r="O13" s="34">
        <f t="shared" ca="1" si="35"/>
        <v>0</v>
      </c>
      <c r="P13" s="34">
        <f t="shared" ca="1" si="35"/>
        <v>32195</v>
      </c>
      <c r="Q13" s="36">
        <f t="shared" ca="1" si="35"/>
        <v>0</v>
      </c>
      <c r="R13" s="36">
        <f t="shared" ref="R13:R116" ca="1" si="36">IF(E13&gt;0,Q13*100/E13,0)</f>
        <v>0</v>
      </c>
      <c r="S13" s="34">
        <f t="shared" ref="S13:T13" ca="1" si="37">SUM(S14:S30)</f>
        <v>1100</v>
      </c>
      <c r="T13" s="34">
        <f t="shared" ca="1" si="37"/>
        <v>0</v>
      </c>
      <c r="U13" s="37">
        <f t="shared" ca="1" si="28"/>
        <v>0</v>
      </c>
      <c r="V13" s="34">
        <f t="shared" ref="V13:W13" ca="1" si="38">SUM(V14:V30)</f>
        <v>46</v>
      </c>
      <c r="W13" s="34">
        <f t="shared" ca="1" si="38"/>
        <v>52</v>
      </c>
      <c r="X13" s="37">
        <f t="shared" ca="1" si="29"/>
        <v>113.04347826086956</v>
      </c>
      <c r="Y13" s="34">
        <f t="shared" ref="Y13:Z13" ca="1" si="39">SUM(Y14:Y30)</f>
        <v>46</v>
      </c>
      <c r="Z13" s="34">
        <f t="shared" ca="1" si="39"/>
        <v>55</v>
      </c>
      <c r="AA13" s="37">
        <f t="shared" ca="1" si="30"/>
        <v>119.56521739130434</v>
      </c>
      <c r="AB13" s="34">
        <f ca="1">SUM(AB14:AB30)</f>
        <v>1455.95</v>
      </c>
      <c r="AC13" s="37">
        <f t="shared" ca="1" si="11"/>
        <v>132.3590909090909</v>
      </c>
      <c r="AD13" s="34">
        <f ca="1">SUM(AD14:AD30)</f>
        <v>1447</v>
      </c>
      <c r="AE13" s="37">
        <f t="shared" ca="1" si="12"/>
        <v>131.54545454545453</v>
      </c>
      <c r="AF13" s="37">
        <f ca="1">SUM(AF14:AF30)</f>
        <v>0</v>
      </c>
      <c r="AG13" s="37">
        <f t="shared" ca="1" si="13"/>
        <v>0</v>
      </c>
      <c r="AH13" s="37">
        <f ca="1">SUM(AH14:AH30)</f>
        <v>0</v>
      </c>
      <c r="AI13" s="37">
        <f t="shared" ca="1" si="21"/>
        <v>0</v>
      </c>
      <c r="AJ13" s="37">
        <f t="shared" ref="AJ13:AM13" ca="1" si="40">SUM(AJ14:AJ30)</f>
        <v>0</v>
      </c>
      <c r="AK13" s="37">
        <f t="shared" ca="1" si="40"/>
        <v>0</v>
      </c>
      <c r="AL13" s="34">
        <f t="shared" ca="1" si="40"/>
        <v>0</v>
      </c>
      <c r="AM13" s="34">
        <f t="shared" ca="1" si="40"/>
        <v>0</v>
      </c>
      <c r="AN13" s="37">
        <f t="shared" ca="1" si="31"/>
        <v>0</v>
      </c>
      <c r="AO13" s="34">
        <f t="shared" ref="AO13:AS13" ca="1" si="41">SUM(AO14:AO30)</f>
        <v>0</v>
      </c>
      <c r="AP13" s="34">
        <f t="shared" ca="1" si="41"/>
        <v>0</v>
      </c>
      <c r="AQ13" s="34">
        <f t="shared" ca="1" si="41"/>
        <v>0</v>
      </c>
      <c r="AR13" s="34">
        <f t="shared" ca="1" si="41"/>
        <v>0</v>
      </c>
      <c r="AS13" s="34">
        <f t="shared" ca="1" si="41"/>
        <v>0</v>
      </c>
    </row>
    <row r="14" spans="1:45" ht="24" customHeight="1" x14ac:dyDescent="0.3">
      <c r="A14" s="54">
        <v>1</v>
      </c>
      <c r="B14" s="55" t="s">
        <v>35</v>
      </c>
      <c r="C14" s="56">
        <f t="shared" ref="C14:C30" ca="1" si="42">D14+E14</f>
        <v>0</v>
      </c>
      <c r="D14" s="57">
        <f ca="1">IFERROR(__xludf.DUMMYFUNCTION("IMPORTRANGE(""https://docs.google.com/spreadsheets/d/1KxicF4apzSqm0-jIpmueT4kyZtE-Cwn5zskl7GD4loQ/edit?usp=sharing"",""กำแพงเพชร!L660"")"),0)</f>
        <v>0</v>
      </c>
      <c r="E14" s="57">
        <f ca="1">IFERROR(__xludf.DUMMYFUNCTION("IMPORTRANGE(""https://docs.google.com/spreadsheets/d/1KxicF4apzSqm0-jIpmueT4kyZtE-Cwn5zskl7GD4loQ/edit?usp=sharing"",""กำแพงเพชร!L667"")"),0)</f>
        <v>0</v>
      </c>
      <c r="F14" s="57">
        <f ca="1">IFERROR(__xludf.DUMMYFUNCTION("IMPORTRANGE(""https://docs.google.com/spreadsheets/d/1KxicF4apzSqm0-jIpmueT4kyZtE-Cwn5zskl7GD4loQ/edit?usp=sharing"",""กำแพงเพชร!M660"")"),0)</f>
        <v>0</v>
      </c>
      <c r="G14" s="57">
        <f ca="1">IFERROR(__xludf.DUMMYFUNCTION("IMPORTRANGE(""https://docs.google.com/spreadsheets/d/1KxicF4apzSqm0-jIpmueT4kyZtE-Cwn5zskl7GD4loQ/edit?usp=sharing"",""กำแพงเพชร!M667"")"),0)</f>
        <v>0</v>
      </c>
      <c r="H14" s="58">
        <f t="shared" ca="1" si="27"/>
        <v>0</v>
      </c>
      <c r="I14" s="59">
        <f t="shared" ca="1" si="1"/>
        <v>0</v>
      </c>
      <c r="J14" s="60">
        <f t="shared" ref="J14:J30" ca="1" si="43">M14+N14+O14+P14</f>
        <v>0</v>
      </c>
      <c r="K14" s="61">
        <f t="shared" ca="1" si="33"/>
        <v>0</v>
      </c>
      <c r="L14" s="61">
        <f t="shared" ca="1" si="34"/>
        <v>0</v>
      </c>
      <c r="M14" s="57">
        <f ca="1">IFERROR(__xludf.DUMMYFUNCTION("IMPORTRANGE(""https://docs.google.com/spreadsheets/d/1KxicF4apzSqm0-jIpmueT4kyZtE-Cwn5zskl7GD4loQ/edit?usp=sharing"",""กำแพงเพชร!N661"")"),0)</f>
        <v>0</v>
      </c>
      <c r="N14" s="57">
        <f ca="1">IFERROR(__xludf.DUMMYFUNCTION("IMPORTRANGE(""https://docs.google.com/spreadsheets/d/1KxicF4apzSqm0-jIpmueT4kyZtE-Cwn5zskl7GD4loQ/edit?usp=sharing"",""กำแพงเพชร!N662"")"),0)</f>
        <v>0</v>
      </c>
      <c r="O14" s="57">
        <f ca="1">IFERROR(__xludf.DUMMYFUNCTION("IMPORTRANGE(""https://docs.google.com/spreadsheets/d/1KxicF4apzSqm0-jIpmueT4kyZtE-Cwn5zskl7GD4loQ/edit?usp=sharing"",""กำแพงเพชร!N663"")"),0)</f>
        <v>0</v>
      </c>
      <c r="P14" s="57">
        <f ca="1">IFERROR(__xludf.DUMMYFUNCTION("IMPORTRANGE(""https://docs.google.com/spreadsheets/d/1KxicF4apzSqm0-jIpmueT4kyZtE-Cwn5zskl7GD4loQ/edit?usp=sharing"",""กำแพงเพชร!N664"")"),0)</f>
        <v>0</v>
      </c>
      <c r="Q14" s="62">
        <f ca="1">IFERROR(__xludf.DUMMYFUNCTION("IMPORTRANGE(""https://docs.google.com/spreadsheets/d/1KxicF4apzSqm0-jIpmueT4kyZtE-Cwn5zskl7GD4loQ/edit?usp=sharing"",""กำแพงเพชร!N667"")"),0)</f>
        <v>0</v>
      </c>
      <c r="R14" s="62">
        <f t="shared" ca="1" si="36"/>
        <v>0</v>
      </c>
      <c r="S14" s="57">
        <f ca="1">IFERROR(__xludf.DUMMYFUNCTION("IMPORTRANGE(""https://docs.google.com/spreadsheets/d/1KxicF4apzSqm0-jIpmueT4kyZtE-Cwn5zskl7GD4loQ/edit?usp=sharing"",""กำแพงเพชร!I669"")"),0)</f>
        <v>0</v>
      </c>
      <c r="T14" s="57">
        <f ca="1">IFERROR(__xludf.DUMMYFUNCTION("IMPORTRANGE(""https://docs.google.com/spreadsheets/d/1KxicF4apzSqm0-jIpmueT4kyZtE-Cwn5zskl7GD4loQ/edit?usp=sharing"",""กำแพงเพชร!J669"")"),0)</f>
        <v>0</v>
      </c>
      <c r="U14" s="63">
        <f t="shared" ca="1" si="28"/>
        <v>0</v>
      </c>
      <c r="V14" s="57">
        <f ca="1">IFERROR(__xludf.DUMMYFUNCTION("IMPORTRANGE(""https://docs.google.com/spreadsheets/d/1KxicF4apzSqm0-jIpmueT4kyZtE-Cwn5zskl7GD4loQ/edit?usp=sharing"",""กำแพงเพชร!I670"")"),0)</f>
        <v>0</v>
      </c>
      <c r="W14" s="57">
        <f ca="1">IFERROR(__xludf.DUMMYFUNCTION("IMPORTRANGE(""https://docs.google.com/spreadsheets/d/1KxicF4apzSqm0-jIpmueT4kyZtE-Cwn5zskl7GD4loQ/edit?usp=sharing"",""กำแพงเพชร!J670"")"),0)</f>
        <v>0</v>
      </c>
      <c r="X14" s="63">
        <f t="shared" ca="1" si="29"/>
        <v>0</v>
      </c>
      <c r="Y14" s="57">
        <f ca="1">IFERROR(__xludf.DUMMYFUNCTION("IMPORTRANGE(""https://docs.google.com/spreadsheets/d/1KxicF4apzSqm0-jIpmueT4kyZtE-Cwn5zskl7GD4loQ/edit?usp=sharing"",""กำแพงเพชร!I671"")"),0)</f>
        <v>0</v>
      </c>
      <c r="Z14" s="57">
        <f ca="1">IFERROR(__xludf.DUMMYFUNCTION("IMPORTRANGE(""https://docs.google.com/spreadsheets/d/1KxicF4apzSqm0-jIpmueT4kyZtE-Cwn5zskl7GD4loQ/edit?usp=sharing"",""กำแพงเพชร!J671"")"),0)</f>
        <v>0</v>
      </c>
      <c r="AA14" s="63">
        <f t="shared" ca="1" si="30"/>
        <v>0</v>
      </c>
      <c r="AB14" s="57">
        <f ca="1">IFERROR(__xludf.DUMMYFUNCTION("IMPORTRANGE(""https://docs.google.com/spreadsheets/d/1KxicF4apzSqm0-jIpmueT4kyZtE-Cwn5zskl7GD4loQ/edit?usp=sharing"",""กำแพงเพชร!J672"")"),0)</f>
        <v>0</v>
      </c>
      <c r="AC14" s="63">
        <f t="shared" ca="1" si="11"/>
        <v>0</v>
      </c>
      <c r="AD14" s="57">
        <f ca="1">IFERROR(__xludf.DUMMYFUNCTION("IMPORTRANGE(""https://docs.google.com/spreadsheets/d/1KxicF4apzSqm0-jIpmueT4kyZtE-Cwn5zskl7GD4loQ/edit?usp=sharing"",""กำแพงเพชร!J673"")"),0)</f>
        <v>0</v>
      </c>
      <c r="AE14" s="63">
        <f t="shared" ca="1" si="12"/>
        <v>0</v>
      </c>
      <c r="AF14" s="63">
        <f ca="1">IFERROR(__xludf.DUMMYFUNCTION("IMPORTRANGE(""https://docs.google.com/spreadsheets/d/1KxicF4apzSqm0-jIpmueT4kyZtE-Cwn5zskl7GD4loQ/edit?usp=sharing"",""กำแพงเพชร!J674"")"),0)</f>
        <v>0</v>
      </c>
      <c r="AG14" s="63">
        <f t="shared" ca="1" si="13"/>
        <v>0</v>
      </c>
      <c r="AH14" s="63">
        <f ca="1">IFERROR(__xludf.DUMMYFUNCTION("IMPORTRANGE(""https://docs.google.com/spreadsheets/d/1KxicF4apzSqm0-jIpmueT4kyZtE-Cwn5zskl7GD4loQ/edit?usp=sharing"",""กำแพงเพชร!J675"")"),0)</f>
        <v>0</v>
      </c>
      <c r="AI14" s="63">
        <f t="shared" ca="1" si="21"/>
        <v>0</v>
      </c>
      <c r="AJ14" s="63">
        <f ca="1">IFERROR(__xludf.DUMMYFUNCTION("IMPORTRANGE(""https://docs.google.com/spreadsheets/d/1KxicF4apzSqm0-jIpmueT4kyZtE-Cwn5zskl7GD4loQ/edit?usp=sharing"",""กำแพงเพชร!J676"")"),0)</f>
        <v>0</v>
      </c>
      <c r="AK14" s="63">
        <f ca="1">IFERROR(__xludf.DUMMYFUNCTION("IMPORTRANGE(""https://docs.google.com/spreadsheets/d/1KxicF4apzSqm0-jIpmueT4kyZtE-Cwn5zskl7GD4loQ/edit?usp=sharing"",""กำแพงเพชร!J677"")"),0)</f>
        <v>0</v>
      </c>
      <c r="AL14" s="57">
        <f ca="1">IFERROR(__xludf.DUMMYFUNCTION("IMPORTRANGE(""https://docs.google.com/spreadsheets/d/1KxicF4apzSqm0-jIpmueT4kyZtE-Cwn5zskl7GD4loQ/edit?usp=sharing"",""กำแพงเพชร!I678"")"),0)</f>
        <v>0</v>
      </c>
      <c r="AM14" s="57">
        <f ca="1">IFERROR(__xludf.DUMMYFUNCTION("IMPORTRANGE(""https://docs.google.com/spreadsheets/d/1KxicF4apzSqm0-jIpmueT4kyZtE-Cwn5zskl7GD4loQ/edit?usp=sharing"",""กำแพงเพชร!J678"")"),0)</f>
        <v>0</v>
      </c>
      <c r="AN14" s="63">
        <f t="shared" ca="1" si="31"/>
        <v>0</v>
      </c>
      <c r="AO14" s="57">
        <f ca="1">IFERROR(__xludf.DUMMYFUNCTION("IMPORTRANGE(""https://docs.google.com/spreadsheets/d/1KxicF4apzSqm0-jIpmueT4kyZtE-Cwn5zskl7GD4loQ/edit?usp=sharing"",""กำแพงเพชร!J679"")"),0)</f>
        <v>0</v>
      </c>
      <c r="AP14" s="57">
        <f ca="1">IFERROR(__xludf.DUMMYFUNCTION("IMPORTRANGE(""https://docs.google.com/spreadsheets/d/1KxicF4apzSqm0-jIpmueT4kyZtE-Cwn5zskl7GD4loQ/edit?usp=sharing"",""กำแพงเพชร!J680"")"),0)</f>
        <v>0</v>
      </c>
      <c r="AQ14" s="57">
        <f ca="1">IFERROR(__xludf.DUMMYFUNCTION("IMPORTRANGE(""https://docs.google.com/spreadsheets/d/1KxicF4apzSqm0-jIpmueT4kyZtE-Cwn5zskl7GD4loQ/edit?usp=sharing"",""กำแพงเพชร!J681"")"),0)</f>
        <v>0</v>
      </c>
      <c r="AR14" s="57">
        <f ca="1">IFERROR(__xludf.DUMMYFUNCTION("IMPORTRANGE(""https://docs.google.com/spreadsheets/d/1KxicF4apzSqm0-jIpmueT4kyZtE-Cwn5zskl7GD4loQ/edit?usp=sharing"",""กำแพงเพชร!J682"")"),0)</f>
        <v>0</v>
      </c>
      <c r="AS14" s="57">
        <f ca="1">IFERROR(__xludf.DUMMYFUNCTION("IMPORTRANGE(""https://docs.google.com/spreadsheets/d/1KxicF4apzSqm0-jIpmueT4kyZtE-Cwn5zskl7GD4loQ/edit?usp=sharing"",""กำแพงเพชร!J683"")"),0)</f>
        <v>0</v>
      </c>
    </row>
    <row r="15" spans="1:45" ht="24" customHeight="1" x14ac:dyDescent="0.3">
      <c r="A15" s="54">
        <v>2</v>
      </c>
      <c r="B15" s="55" t="s">
        <v>36</v>
      </c>
      <c r="C15" s="56">
        <f t="shared" ca="1" si="42"/>
        <v>27600</v>
      </c>
      <c r="D15" s="57">
        <f ca="1">IFERROR(__xludf.DUMMYFUNCTION("IMPORTRANGE(""https://docs.google.com/spreadsheets/d/1ZNYWeiFoFA1K1U4xKWqRX29MBvEyRHXORjo734Gnq_c/edit?usp=sharing"",""เชียงราย!L660"")"),27600)</f>
        <v>27600</v>
      </c>
      <c r="E15" s="64">
        <f ca="1">IFERROR(__xludf.DUMMYFUNCTION("IMPORTRANGE(""https://docs.google.com/spreadsheets/d/1ZNYWeiFoFA1K1U4xKWqRX29MBvEyRHXORjo734Gnq_c/edit?usp=sharing"",""เชียงราย!L667"")"),0)</f>
        <v>0</v>
      </c>
      <c r="F15" s="64">
        <f ca="1">IFERROR(__xludf.DUMMYFUNCTION("IMPORTRANGE(""https://docs.google.com/spreadsheets/d/1ZNYWeiFoFA1K1U4xKWqRX29MBvEyRHXORjo734Gnq_c/edit?usp=sharing"",""เชียงราย!M660"")"),27600)</f>
        <v>27600</v>
      </c>
      <c r="G15" s="64">
        <f ca="1">IFERROR(__xludf.DUMMYFUNCTION("IMPORTRANGE(""https://docs.google.com/spreadsheets/d/1ZNYWeiFoFA1K1U4xKWqRX29MBvEyRHXORjo734Gnq_c/edit?usp=sharing"",""เชียงราย!M667"")"),0)</f>
        <v>0</v>
      </c>
      <c r="H15" s="58">
        <f t="shared" ca="1" si="27"/>
        <v>5172</v>
      </c>
      <c r="I15" s="59">
        <f t="shared" ca="1" si="1"/>
        <v>18.739130434782609</v>
      </c>
      <c r="J15" s="60">
        <f t="shared" ca="1" si="43"/>
        <v>5172</v>
      </c>
      <c r="K15" s="61">
        <f t="shared" ca="1" si="33"/>
        <v>18.739130434782609</v>
      </c>
      <c r="L15" s="61">
        <f t="shared" ca="1" si="34"/>
        <v>18.739130434782609</v>
      </c>
      <c r="M15" s="64">
        <f ca="1">IFERROR(__xludf.DUMMYFUNCTION("IMPORTRANGE(""https://docs.google.com/spreadsheets/d/1ZNYWeiFoFA1K1U4xKWqRX29MBvEyRHXORjo734Gnq_c/edit?usp=sharing"",""เชียงราย!N661"")"),0)</f>
        <v>0</v>
      </c>
      <c r="N15" s="64">
        <f ca="1">IFERROR(__xludf.DUMMYFUNCTION("IMPORTRANGE(""https://docs.google.com/spreadsheets/d/1ZNYWeiFoFA1K1U4xKWqRX29MBvEyRHXORjo734Gnq_c/edit?usp=sharing"",""เชียงราย!N662"")"),0)</f>
        <v>0</v>
      </c>
      <c r="O15" s="64">
        <f ca="1">IFERROR(__xludf.DUMMYFUNCTION("IMPORTRANGE(""https://docs.google.com/spreadsheets/d/1ZNYWeiFoFA1K1U4xKWqRX29MBvEyRHXORjo734Gnq_c/edit?usp=sharing"",""เชียงราย!N663"")"),0)</f>
        <v>0</v>
      </c>
      <c r="P15" s="64">
        <f ca="1">IFERROR(__xludf.DUMMYFUNCTION("IMPORTRANGE(""https://docs.google.com/spreadsheets/d/1ZNYWeiFoFA1K1U4xKWqRX29MBvEyRHXORjo734Gnq_c/edit?usp=sharing"",""เชียงราย!N664"")"),5172)</f>
        <v>5172</v>
      </c>
      <c r="Q15" s="62">
        <f ca="1">IFERROR(__xludf.DUMMYFUNCTION("IMPORTRANGE(""https://docs.google.com/spreadsheets/d/1ZNYWeiFoFA1K1U4xKWqRX29MBvEyRHXORjo734Gnq_c/edit?usp=sharing"",""เชียงราย!N667"")"),0)</f>
        <v>0</v>
      </c>
      <c r="R15" s="62">
        <f t="shared" ca="1" si="36"/>
        <v>0</v>
      </c>
      <c r="S15" s="57">
        <f ca="1">IFERROR(__xludf.DUMMYFUNCTION("IMPORTRANGE(""https://docs.google.com/spreadsheets/d/1ZNYWeiFoFA1K1U4xKWqRX29MBvEyRHXORjo734Gnq_c/edit?usp=sharing"",""เชียงราย!I669"")"),300)</f>
        <v>300</v>
      </c>
      <c r="T15" s="57">
        <f ca="1">IFERROR(__xludf.DUMMYFUNCTION("IMPORTRANGE(""https://docs.google.com/spreadsheets/d/1ZNYWeiFoFA1K1U4xKWqRX29MBvEyRHXORjo734Gnq_c/edit?usp=sharing"",""เชียงราย!J669"")"),0)</f>
        <v>0</v>
      </c>
      <c r="U15" s="63">
        <f t="shared" ca="1" si="28"/>
        <v>0</v>
      </c>
      <c r="V15" s="57">
        <f ca="1">IFERROR(__xludf.DUMMYFUNCTION("IMPORTRANGE(""https://docs.google.com/spreadsheets/d/1ZNYWeiFoFA1K1U4xKWqRX29MBvEyRHXORjo734Gnq_c/edit?usp=sharing"",""เชียงราย!I670"")"),6)</f>
        <v>6</v>
      </c>
      <c r="W15" s="57">
        <f ca="1">IFERROR(__xludf.DUMMYFUNCTION("IMPORTRANGE(""https://docs.google.com/spreadsheets/d/1ZNYWeiFoFA1K1U4xKWqRX29MBvEyRHXORjo734Gnq_c/edit?usp=sharing"",""เชียงราย!J670"")"),6)</f>
        <v>6</v>
      </c>
      <c r="X15" s="63">
        <f t="shared" ca="1" si="29"/>
        <v>100</v>
      </c>
      <c r="Y15" s="57">
        <f ca="1">IFERROR(__xludf.DUMMYFUNCTION("IMPORTRANGE(""https://docs.google.com/spreadsheets/d/1ZNYWeiFoFA1K1U4xKWqRX29MBvEyRHXORjo734Gnq_c/edit?usp=sharing"",""เชียงราย!I671"")"),6)</f>
        <v>6</v>
      </c>
      <c r="Z15" s="57">
        <f ca="1">IFERROR(__xludf.DUMMYFUNCTION("IMPORTRANGE(""https://docs.google.com/spreadsheets/d/1ZNYWeiFoFA1K1U4xKWqRX29MBvEyRHXORjo734Gnq_c/edit?usp=sharing"",""เชียงราย!J671"")"),6)</f>
        <v>6</v>
      </c>
      <c r="AA15" s="63">
        <f t="shared" ca="1" si="30"/>
        <v>100</v>
      </c>
      <c r="AB15" s="57">
        <f ca="1">IFERROR(__xludf.DUMMYFUNCTION("IMPORTRANGE(""https://docs.google.com/spreadsheets/d/1ZNYWeiFoFA1K1U4xKWqRX29MBvEyRHXORjo734Gnq_c/edit?usp=sharing"",""เชียงราย!J672"")"),800)</f>
        <v>800</v>
      </c>
      <c r="AC15" s="63">
        <f t="shared" ca="1" si="11"/>
        <v>266.66666666666669</v>
      </c>
      <c r="AD15" s="57">
        <f ca="1">IFERROR(__xludf.DUMMYFUNCTION("IMPORTRANGE(""https://docs.google.com/spreadsheets/d/1ZNYWeiFoFA1K1U4xKWqRX29MBvEyRHXORjo734Gnq_c/edit?usp=sharing"",""เชียงราย!J673"")"),800)</f>
        <v>800</v>
      </c>
      <c r="AE15" s="63">
        <f t="shared" ca="1" si="12"/>
        <v>266.66666666666669</v>
      </c>
      <c r="AF15" s="63">
        <f ca="1">IFERROR(__xludf.DUMMYFUNCTION("IMPORTRANGE(""https://docs.google.com/spreadsheets/d/1ZNYWeiFoFA1K1U4xKWqRX29MBvEyRHXORjo734Gnq_c/edit?usp=sharing"",""เชียงราย!J674"")"),0)</f>
        <v>0</v>
      </c>
      <c r="AG15" s="63">
        <f t="shared" ca="1" si="13"/>
        <v>0</v>
      </c>
      <c r="AH15" s="63">
        <f ca="1">IFERROR(__xludf.DUMMYFUNCTION("IMPORTRANGE(""https://docs.google.com/spreadsheets/d/1ZNYWeiFoFA1K1U4xKWqRX29MBvEyRHXORjo734Gnq_c/edit?usp=sharing"",""เชียงราย!J675"")"),0)</f>
        <v>0</v>
      </c>
      <c r="AI15" s="63">
        <f t="shared" ca="1" si="21"/>
        <v>0</v>
      </c>
      <c r="AJ15" s="63">
        <f ca="1">IFERROR(__xludf.DUMMYFUNCTION("IMPORTRANGE(""https://docs.google.com/spreadsheets/d/1ZNYWeiFoFA1K1U4xKWqRX29MBvEyRHXORjo734Gnq_c/edit?usp=sharing"",""เชียงราย!J676"")"),0)</f>
        <v>0</v>
      </c>
      <c r="AK15" s="63">
        <f ca="1">IFERROR(__xludf.DUMMYFUNCTION("IMPORTRANGE(""https://docs.google.com/spreadsheets/d/1ZNYWeiFoFA1K1U4xKWqRX29MBvEyRHXORjo734Gnq_c/edit?usp=sharing"",""เชียงราย!J677"")"),0)</f>
        <v>0</v>
      </c>
      <c r="AL15" s="57">
        <f ca="1">IFERROR(__xludf.DUMMYFUNCTION("IMPORTRANGE(""https://docs.google.com/spreadsheets/d/1ZNYWeiFoFA1K1U4xKWqRX29MBvEyRHXORjo734Gnq_c/edit?usp=sharing"",""เชียงราย!I678"")"),0)</f>
        <v>0</v>
      </c>
      <c r="AM15" s="57">
        <f ca="1">IFERROR(__xludf.DUMMYFUNCTION("IMPORTRANGE(""https://docs.google.com/spreadsheets/d/1ZNYWeiFoFA1K1U4xKWqRX29MBvEyRHXORjo734Gnq_c/edit?usp=sharing"",""เชียงราย!J678"")"),0)</f>
        <v>0</v>
      </c>
      <c r="AN15" s="63">
        <f t="shared" ca="1" si="31"/>
        <v>0</v>
      </c>
      <c r="AO15" s="57">
        <f ca="1">IFERROR(__xludf.DUMMYFUNCTION("IMPORTRANGE(""https://docs.google.com/spreadsheets/d/1ZNYWeiFoFA1K1U4xKWqRX29MBvEyRHXORjo734Gnq_c/edit?usp=sharing"",""เชียงราย!J679"")"),0)</f>
        <v>0</v>
      </c>
      <c r="AP15" s="57">
        <f ca="1">IFERROR(__xludf.DUMMYFUNCTION("IMPORTRANGE(""https://docs.google.com/spreadsheets/d/1ZNYWeiFoFA1K1U4xKWqRX29MBvEyRHXORjo734Gnq_c/edit?usp=sharing"",""เชียงราย!J680"")"),0)</f>
        <v>0</v>
      </c>
      <c r="AQ15" s="57">
        <f ca="1">IFERROR(__xludf.DUMMYFUNCTION("IMPORTRANGE(""https://docs.google.com/spreadsheets/d/1ZNYWeiFoFA1K1U4xKWqRX29MBvEyRHXORjo734Gnq_c/edit?usp=sharing"",""เชียงราย!J681"")"),0)</f>
        <v>0</v>
      </c>
      <c r="AR15" s="57">
        <f ca="1">IFERROR(__xludf.DUMMYFUNCTION("IMPORTRANGE(""https://docs.google.com/spreadsheets/d/1ZNYWeiFoFA1K1U4xKWqRX29MBvEyRHXORjo734Gnq_c/edit?usp=sharing"",""เชียงราย!J682"")"),0)</f>
        <v>0</v>
      </c>
      <c r="AS15" s="57">
        <f ca="1">IFERROR(__xludf.DUMMYFUNCTION("IMPORTRANGE(""https://docs.google.com/spreadsheets/d/1ZNYWeiFoFA1K1U4xKWqRX29MBvEyRHXORjo734Gnq_c/edit?usp=sharing"",""เชียงราย!J683"")"),0)</f>
        <v>0</v>
      </c>
    </row>
    <row r="16" spans="1:45" ht="24" customHeight="1" x14ac:dyDescent="0.3">
      <c r="A16" s="54">
        <v>3</v>
      </c>
      <c r="B16" s="55" t="s">
        <v>37</v>
      </c>
      <c r="C16" s="56">
        <f t="shared" ca="1" si="42"/>
        <v>15600</v>
      </c>
      <c r="D16" s="57">
        <f ca="1">IFERROR(__xludf.DUMMYFUNCTION("IMPORTRANGE(""https://docs.google.com/spreadsheets/d/1Jgv0Y7YlHDtsiDawwp-uvifEJ8HVaSn0k2aGHG8-hwM/edit?usp=sharing"",""เชียงใหม่!L660"")"),15600)</f>
        <v>15600</v>
      </c>
      <c r="E16" s="64">
        <f ca="1">IFERROR(__xludf.DUMMYFUNCTION("IMPORTRANGE(""https://docs.google.com/spreadsheets/d/1Jgv0Y7YlHDtsiDawwp-uvifEJ8HVaSn0k2aGHG8-hwM/edit?usp=sharing"",""เชียงใหม่!L667"")"),0)</f>
        <v>0</v>
      </c>
      <c r="F16" s="64">
        <f ca="1">IFERROR(__xludf.DUMMYFUNCTION("IMPORTRANGE(""https://docs.google.com/spreadsheets/d/1Jgv0Y7YlHDtsiDawwp-uvifEJ8HVaSn0k2aGHG8-hwM/edit?usp=sharing"",""เชียงใหม่!M660"")"),15600)</f>
        <v>15600</v>
      </c>
      <c r="G16" s="64">
        <f ca="1">IFERROR(__xludf.DUMMYFUNCTION("IMPORTRANGE(""https://docs.google.com/spreadsheets/d/1Jgv0Y7YlHDtsiDawwp-uvifEJ8HVaSn0k2aGHG8-hwM/edit?usp=sharing"",""เชียงใหม่!M667"")"),0)</f>
        <v>0</v>
      </c>
      <c r="H16" s="58">
        <f t="shared" ca="1" si="27"/>
        <v>3403</v>
      </c>
      <c r="I16" s="59">
        <f t="shared" ca="1" si="1"/>
        <v>21.814102564102566</v>
      </c>
      <c r="J16" s="60">
        <f t="shared" ca="1" si="43"/>
        <v>3403</v>
      </c>
      <c r="K16" s="61">
        <f t="shared" ca="1" si="33"/>
        <v>21.814102564102566</v>
      </c>
      <c r="L16" s="61">
        <f t="shared" ca="1" si="34"/>
        <v>21.814102564102566</v>
      </c>
      <c r="M16" s="64">
        <f ca="1">IFERROR(__xludf.DUMMYFUNCTION("IMPORTRANGE(""https://docs.google.com/spreadsheets/d/1Jgv0Y7YlHDtsiDawwp-uvifEJ8HVaSn0k2aGHG8-hwM/edit?usp=sharing"",""เชียงใหม่!N661"")"),0)</f>
        <v>0</v>
      </c>
      <c r="N16" s="64">
        <f ca="1">IFERROR(__xludf.DUMMYFUNCTION("IMPORTRANGE(""https://docs.google.com/spreadsheets/d/1Jgv0Y7YlHDtsiDawwp-uvifEJ8HVaSn0k2aGHG8-hwM/edit?usp=sharing"",""เชียงใหม่!N662"")"),0)</f>
        <v>0</v>
      </c>
      <c r="O16" s="64">
        <f ca="1">IFERROR(__xludf.DUMMYFUNCTION("IMPORTRANGE(""https://docs.google.com/spreadsheets/d/1Jgv0Y7YlHDtsiDawwp-uvifEJ8HVaSn0k2aGHG8-hwM/edit?usp=sharing"",""เชียงใหม่!N663"")"),0)</f>
        <v>0</v>
      </c>
      <c r="P16" s="64">
        <f ca="1">IFERROR(__xludf.DUMMYFUNCTION("IMPORTRANGE(""https://docs.google.com/spreadsheets/d/1Jgv0Y7YlHDtsiDawwp-uvifEJ8HVaSn0k2aGHG8-hwM/edit?usp=sharing"",""เชียงใหม่!N664"")"),3403)</f>
        <v>3403</v>
      </c>
      <c r="Q16" s="62">
        <f ca="1">IFERROR(__xludf.DUMMYFUNCTION("IMPORTRANGE(""https://docs.google.com/spreadsheets/d/1Jgv0Y7YlHDtsiDawwp-uvifEJ8HVaSn0k2aGHG8-hwM/edit?usp=sharing"",""เชียงใหม่!N667"")"),0)</f>
        <v>0</v>
      </c>
      <c r="R16" s="62">
        <f t="shared" ca="1" si="36"/>
        <v>0</v>
      </c>
      <c r="S16" s="57">
        <f ca="1">IFERROR(__xludf.DUMMYFUNCTION("IMPORTRANGE(""https://docs.google.com/spreadsheets/d/1Jgv0Y7YlHDtsiDawwp-uvifEJ8HVaSn0k2aGHG8-hwM/edit?usp=sharing"",""เชียงใหม่!I669"")"),100)</f>
        <v>100</v>
      </c>
      <c r="T16" s="57">
        <f ca="1">IFERROR(__xludf.DUMMYFUNCTION("IMPORTRANGE(""https://docs.google.com/spreadsheets/d/1Jgv0Y7YlHDtsiDawwp-uvifEJ8HVaSn0k2aGHG8-hwM/edit?usp=sharing"",""เชียงใหม่!J669"")"),0)</f>
        <v>0</v>
      </c>
      <c r="U16" s="63">
        <f t="shared" ca="1" si="28"/>
        <v>0</v>
      </c>
      <c r="V16" s="57">
        <f ca="1">IFERROR(__xludf.DUMMYFUNCTION("IMPORTRANGE(""https://docs.google.com/spreadsheets/d/1Jgv0Y7YlHDtsiDawwp-uvifEJ8HVaSn0k2aGHG8-hwM/edit?usp=sharing"",""เชียงใหม่!I670"")"),6)</f>
        <v>6</v>
      </c>
      <c r="W16" s="57">
        <f ca="1">IFERROR(__xludf.DUMMYFUNCTION("IMPORTRANGE(""https://docs.google.com/spreadsheets/d/1Jgv0Y7YlHDtsiDawwp-uvifEJ8HVaSn0k2aGHG8-hwM/edit?usp=sharing"",""เชียงใหม่!J670"")"),6)</f>
        <v>6</v>
      </c>
      <c r="X16" s="63">
        <f t="shared" ca="1" si="29"/>
        <v>100</v>
      </c>
      <c r="Y16" s="57">
        <f ca="1">IFERROR(__xludf.DUMMYFUNCTION("IMPORTRANGE(""https://docs.google.com/spreadsheets/d/1Jgv0Y7YlHDtsiDawwp-uvifEJ8HVaSn0k2aGHG8-hwM/edit?usp=sharing"",""เชียงใหม่!I671"")"),6)</f>
        <v>6</v>
      </c>
      <c r="Z16" s="57">
        <f ca="1">IFERROR(__xludf.DUMMYFUNCTION("IMPORTRANGE(""https://docs.google.com/spreadsheets/d/1Jgv0Y7YlHDtsiDawwp-uvifEJ8HVaSn0k2aGHG8-hwM/edit?usp=sharing"",""เชียงใหม่!J671"")"),6)</f>
        <v>6</v>
      </c>
      <c r="AA16" s="63">
        <f t="shared" ca="1" si="30"/>
        <v>100</v>
      </c>
      <c r="AB16" s="57">
        <f ca="1">IFERROR(__xludf.DUMMYFUNCTION("IMPORTRANGE(""https://docs.google.com/spreadsheets/d/1Jgv0Y7YlHDtsiDawwp-uvifEJ8HVaSn0k2aGHG8-hwM/edit?usp=sharing"",""เชียงใหม่!J672"")"),0)</f>
        <v>0</v>
      </c>
      <c r="AC16" s="63">
        <f t="shared" ca="1" si="11"/>
        <v>0</v>
      </c>
      <c r="AD16" s="57">
        <f ca="1">IFERROR(__xludf.DUMMYFUNCTION("IMPORTRANGE(""https://docs.google.com/spreadsheets/d/1Jgv0Y7YlHDtsiDawwp-uvifEJ8HVaSn0k2aGHG8-hwM/edit?usp=sharing"",""เชียงใหม่!J673"")"),0)</f>
        <v>0</v>
      </c>
      <c r="AE16" s="63">
        <f t="shared" ca="1" si="12"/>
        <v>0</v>
      </c>
      <c r="AF16" s="63">
        <f ca="1">IFERROR(__xludf.DUMMYFUNCTION("IMPORTRANGE(""https://docs.google.com/spreadsheets/d/1Jgv0Y7YlHDtsiDawwp-uvifEJ8HVaSn0k2aGHG8-hwM/edit?usp=sharing"",""เชียงใหม่!J674"")"),0)</f>
        <v>0</v>
      </c>
      <c r="AG16" s="63">
        <f t="shared" ca="1" si="13"/>
        <v>0</v>
      </c>
      <c r="AH16" s="63">
        <f ca="1">IFERROR(__xludf.DUMMYFUNCTION("IMPORTRANGE(""https://docs.google.com/spreadsheets/d/1Jgv0Y7YlHDtsiDawwp-uvifEJ8HVaSn0k2aGHG8-hwM/edit?usp=sharing"",""เชียงใหม่!J675"")"),0)</f>
        <v>0</v>
      </c>
      <c r="AI16" s="63">
        <f t="shared" ca="1" si="21"/>
        <v>0</v>
      </c>
      <c r="AJ16" s="63">
        <f ca="1">IFERROR(__xludf.DUMMYFUNCTION("IMPORTRANGE(""https://docs.google.com/spreadsheets/d/1Jgv0Y7YlHDtsiDawwp-uvifEJ8HVaSn0k2aGHG8-hwM/edit?usp=sharing"",""เชียงใหม่!J676"")"),0)</f>
        <v>0</v>
      </c>
      <c r="AK16" s="63">
        <f ca="1">IFERROR(__xludf.DUMMYFUNCTION("IMPORTRANGE(""https://docs.google.com/spreadsheets/d/1Jgv0Y7YlHDtsiDawwp-uvifEJ8HVaSn0k2aGHG8-hwM/edit?usp=sharing"",""เชียงใหม่!J677"")"),0)</f>
        <v>0</v>
      </c>
      <c r="AL16" s="57">
        <f ca="1">IFERROR(__xludf.DUMMYFUNCTION("IMPORTRANGE(""https://docs.google.com/spreadsheets/d/1Jgv0Y7YlHDtsiDawwp-uvifEJ8HVaSn0k2aGHG8-hwM/edit?usp=sharing"",""เชียงใหม่!I678"")"),0)</f>
        <v>0</v>
      </c>
      <c r="AM16" s="57">
        <f ca="1">IFERROR(__xludf.DUMMYFUNCTION("IMPORTRANGE(""https://docs.google.com/spreadsheets/d/1Jgv0Y7YlHDtsiDawwp-uvifEJ8HVaSn0k2aGHG8-hwM/edit?usp=sharing"",""เชียงใหม่!J678"")"),0)</f>
        <v>0</v>
      </c>
      <c r="AN16" s="63">
        <f t="shared" ca="1" si="31"/>
        <v>0</v>
      </c>
      <c r="AO16" s="57">
        <f ca="1">IFERROR(__xludf.DUMMYFUNCTION("IMPORTRANGE(""https://docs.google.com/spreadsheets/d/1Jgv0Y7YlHDtsiDawwp-uvifEJ8HVaSn0k2aGHG8-hwM/edit?usp=sharing"",""เชียงใหม่!J679"")"),0)</f>
        <v>0</v>
      </c>
      <c r="AP16" s="57">
        <f ca="1">IFERROR(__xludf.DUMMYFUNCTION("IMPORTRANGE(""https://docs.google.com/spreadsheets/d/1Jgv0Y7YlHDtsiDawwp-uvifEJ8HVaSn0k2aGHG8-hwM/edit?usp=sharing"",""เชียงใหม่!J680"")"),0)</f>
        <v>0</v>
      </c>
      <c r="AQ16" s="57">
        <f ca="1">IFERROR(__xludf.DUMMYFUNCTION("IMPORTRANGE(""https://docs.google.com/spreadsheets/d/1Jgv0Y7YlHDtsiDawwp-uvifEJ8HVaSn0k2aGHG8-hwM/edit?usp=sharing"",""เชียงใหม่!J681"")"),0)</f>
        <v>0</v>
      </c>
      <c r="AR16" s="57">
        <f ca="1">IFERROR(__xludf.DUMMYFUNCTION("IMPORTRANGE(""https://docs.google.com/spreadsheets/d/1Jgv0Y7YlHDtsiDawwp-uvifEJ8HVaSn0k2aGHG8-hwM/edit?usp=sharing"",""เชียงใหม่!J682"")"),0)</f>
        <v>0</v>
      </c>
      <c r="AS16" s="57">
        <f ca="1">IFERROR(__xludf.DUMMYFUNCTION("IMPORTRANGE(""https://docs.google.com/spreadsheets/d/1Jgv0Y7YlHDtsiDawwp-uvifEJ8HVaSn0k2aGHG8-hwM/edit?usp=sharing"",""เชียงใหม่!J683"")"),0)</f>
        <v>0</v>
      </c>
    </row>
    <row r="17" spans="1:45" ht="24" customHeight="1" x14ac:dyDescent="0.3">
      <c r="A17" s="54">
        <v>4</v>
      </c>
      <c r="B17" s="55" t="s">
        <v>38</v>
      </c>
      <c r="C17" s="56">
        <f t="shared" ca="1" si="42"/>
        <v>0</v>
      </c>
      <c r="D17" s="57">
        <f ca="1">IFERROR(__xludf.DUMMYFUNCTION("IMPORTRANGE(""https://docs.google.com/spreadsheets/d/1JWG2rZePOz9pe-f-ObA-yDr0VoOX2kSb0qIix2mTUo8/edit?usp=sharing"",""ตาก!L660"")"),0)</f>
        <v>0</v>
      </c>
      <c r="E17" s="64">
        <f ca="1">IFERROR(__xludf.DUMMYFUNCTION("IMPORTRANGE(""https://docs.google.com/spreadsheets/d/1JWG2rZePOz9pe-f-ObA-yDr0VoOX2kSb0qIix2mTUo8/edit?usp=sharing"",""ตาก!L667"")"),0)</f>
        <v>0</v>
      </c>
      <c r="F17" s="64">
        <f ca="1">IFERROR(__xludf.DUMMYFUNCTION("IMPORTRANGE(""https://docs.google.com/spreadsheets/d/1JWG2rZePOz9pe-f-ObA-yDr0VoOX2kSb0qIix2mTUo8/edit?usp=sharing"",""ตาก!M660"")"),0)</f>
        <v>0</v>
      </c>
      <c r="G17" s="64">
        <f ca="1">IFERROR(__xludf.DUMMYFUNCTION("IMPORTRANGE(""https://docs.google.com/spreadsheets/d/1JWG2rZePOz9pe-f-ObA-yDr0VoOX2kSb0qIix2mTUo8/edit?usp=sharing"",""ตาก!M667"")"),0)</f>
        <v>0</v>
      </c>
      <c r="H17" s="58">
        <f t="shared" ca="1" si="27"/>
        <v>0</v>
      </c>
      <c r="I17" s="59">
        <f t="shared" ca="1" si="1"/>
        <v>0</v>
      </c>
      <c r="J17" s="60">
        <f t="shared" ca="1" si="43"/>
        <v>0</v>
      </c>
      <c r="K17" s="61">
        <f t="shared" ca="1" si="33"/>
        <v>0</v>
      </c>
      <c r="L17" s="61">
        <f t="shared" ca="1" si="34"/>
        <v>0</v>
      </c>
      <c r="M17" s="64">
        <f ca="1">IFERROR(__xludf.DUMMYFUNCTION("IMPORTRANGE(""https://docs.google.com/spreadsheets/d/1JWG2rZePOz9pe-f-ObA-yDr0VoOX2kSb0qIix2mTUo8/edit?usp=sharing"",""ตาก!N661"")"),0)</f>
        <v>0</v>
      </c>
      <c r="N17" s="64">
        <f ca="1">IFERROR(__xludf.DUMMYFUNCTION("IMPORTRANGE(""https://docs.google.com/spreadsheets/d/1JWG2rZePOz9pe-f-ObA-yDr0VoOX2kSb0qIix2mTUo8/edit?usp=sharing"",""ตาก!N662"")"),0)</f>
        <v>0</v>
      </c>
      <c r="O17" s="64">
        <f ca="1">IFERROR(__xludf.DUMMYFUNCTION("IMPORTRANGE(""https://docs.google.com/spreadsheets/d/1JWG2rZePOz9pe-f-ObA-yDr0VoOX2kSb0qIix2mTUo8/edit?usp=sharing"",""ตาก!N663"")"),0)</f>
        <v>0</v>
      </c>
      <c r="P17" s="64">
        <f ca="1">IFERROR(__xludf.DUMMYFUNCTION("IMPORTRANGE(""https://docs.google.com/spreadsheets/d/1JWG2rZePOz9pe-f-ObA-yDr0VoOX2kSb0qIix2mTUo8/edit?usp=sharing"",""ตาก!N664"")"),0)</f>
        <v>0</v>
      </c>
      <c r="Q17" s="62">
        <f ca="1">IFERROR(__xludf.DUMMYFUNCTION("IMPORTRANGE(""https://docs.google.com/spreadsheets/d/1JWG2rZePOz9pe-f-ObA-yDr0VoOX2kSb0qIix2mTUo8/edit?usp=sharing"",""ตาก!N667"")"),0)</f>
        <v>0</v>
      </c>
      <c r="R17" s="62">
        <f t="shared" ca="1" si="36"/>
        <v>0</v>
      </c>
      <c r="S17" s="57">
        <f ca="1">IFERROR(__xludf.DUMMYFUNCTION("IMPORTRANGE(""https://docs.google.com/spreadsheets/d/1JWG2rZePOz9pe-f-ObA-yDr0VoOX2kSb0qIix2mTUo8/edit?usp=sharing"",""ตาก!I669"")"),0)</f>
        <v>0</v>
      </c>
      <c r="T17" s="57">
        <f ca="1">IFERROR(__xludf.DUMMYFUNCTION("IMPORTRANGE(""https://docs.google.com/spreadsheets/d/1JWG2rZePOz9pe-f-ObA-yDr0VoOX2kSb0qIix2mTUo8/edit?usp=sharing"",""ตาก!J669"")"),0)</f>
        <v>0</v>
      </c>
      <c r="U17" s="63">
        <f t="shared" ca="1" si="28"/>
        <v>0</v>
      </c>
      <c r="V17" s="57">
        <f ca="1">IFERROR(__xludf.DUMMYFUNCTION("IMPORTRANGE(""https://docs.google.com/spreadsheets/d/1JWG2rZePOz9pe-f-ObA-yDr0VoOX2kSb0qIix2mTUo8/edit?usp=sharing"",""ตาก!I670"")"),0)</f>
        <v>0</v>
      </c>
      <c r="W17" s="57">
        <f ca="1">IFERROR(__xludf.DUMMYFUNCTION("IMPORTRANGE(""https://docs.google.com/spreadsheets/d/1JWG2rZePOz9pe-f-ObA-yDr0VoOX2kSb0qIix2mTUo8/edit?usp=sharing"",""ตาก!J670"")"),0)</f>
        <v>0</v>
      </c>
      <c r="X17" s="63">
        <f t="shared" ca="1" si="29"/>
        <v>0</v>
      </c>
      <c r="Y17" s="57">
        <f ca="1">IFERROR(__xludf.DUMMYFUNCTION("IMPORTRANGE(""https://docs.google.com/spreadsheets/d/1JWG2rZePOz9pe-f-ObA-yDr0VoOX2kSb0qIix2mTUo8/edit?usp=sharing"",""ตาก!I671"")"),0)</f>
        <v>0</v>
      </c>
      <c r="Z17" s="57">
        <f ca="1">IFERROR(__xludf.DUMMYFUNCTION("IMPORTRANGE(""https://docs.google.com/spreadsheets/d/1JWG2rZePOz9pe-f-ObA-yDr0VoOX2kSb0qIix2mTUo8/edit?usp=sharing"",""ตาก!J671"")"),0)</f>
        <v>0</v>
      </c>
      <c r="AA17" s="63">
        <f t="shared" ca="1" si="30"/>
        <v>0</v>
      </c>
      <c r="AB17" s="57">
        <f ca="1">IFERROR(__xludf.DUMMYFUNCTION("IMPORTRANGE(""https://docs.google.com/spreadsheets/d/1JWG2rZePOz9pe-f-ObA-yDr0VoOX2kSb0qIix2mTUo8/edit?usp=sharing"",""ตาก!J672"")"),0)</f>
        <v>0</v>
      </c>
      <c r="AC17" s="63">
        <f t="shared" ca="1" si="11"/>
        <v>0</v>
      </c>
      <c r="AD17" s="57">
        <f ca="1">IFERROR(__xludf.DUMMYFUNCTION("IMPORTRANGE(""https://docs.google.com/spreadsheets/d/1JWG2rZePOz9pe-f-ObA-yDr0VoOX2kSb0qIix2mTUo8/edit?usp=sharing"",""ตาก!J673"")"),0)</f>
        <v>0</v>
      </c>
      <c r="AE17" s="63">
        <f t="shared" ca="1" si="12"/>
        <v>0</v>
      </c>
      <c r="AF17" s="63">
        <f ca="1">IFERROR(__xludf.DUMMYFUNCTION("IMPORTRANGE(""https://docs.google.com/spreadsheets/d/1JWG2rZePOz9pe-f-ObA-yDr0VoOX2kSb0qIix2mTUo8/edit?usp=sharing"",""ตาก!J674"")"),0)</f>
        <v>0</v>
      </c>
      <c r="AG17" s="63">
        <f t="shared" ca="1" si="13"/>
        <v>0</v>
      </c>
      <c r="AH17" s="63">
        <f ca="1">IFERROR(__xludf.DUMMYFUNCTION("IMPORTRANGE(""https://docs.google.com/spreadsheets/d/1JWG2rZePOz9pe-f-ObA-yDr0VoOX2kSb0qIix2mTUo8/edit?usp=sharing"",""ตาก!J675"")"),0)</f>
        <v>0</v>
      </c>
      <c r="AI17" s="63">
        <f t="shared" ca="1" si="21"/>
        <v>0</v>
      </c>
      <c r="AJ17" s="63">
        <f ca="1">IFERROR(__xludf.DUMMYFUNCTION("IMPORTRANGE(""https://docs.google.com/spreadsheets/d/1JWG2rZePOz9pe-f-ObA-yDr0VoOX2kSb0qIix2mTUo8/edit?usp=sharing"",""ตาก!J676"")"),0)</f>
        <v>0</v>
      </c>
      <c r="AK17" s="63">
        <f ca="1">IFERROR(__xludf.DUMMYFUNCTION("IMPORTRANGE(""https://docs.google.com/spreadsheets/d/1JWG2rZePOz9pe-f-ObA-yDr0VoOX2kSb0qIix2mTUo8/edit?usp=sharing"",""ตาก!J677"")"),0)</f>
        <v>0</v>
      </c>
      <c r="AL17" s="57">
        <f ca="1">IFERROR(__xludf.DUMMYFUNCTION("IMPORTRANGE(""https://docs.google.com/spreadsheets/d/1JWG2rZePOz9pe-f-ObA-yDr0VoOX2kSb0qIix2mTUo8/edit?usp=sharing"",""ตาก!I678"")"),0)</f>
        <v>0</v>
      </c>
      <c r="AM17" s="57">
        <f ca="1">IFERROR(__xludf.DUMMYFUNCTION("IMPORTRANGE(""https://docs.google.com/spreadsheets/d/1JWG2rZePOz9pe-f-ObA-yDr0VoOX2kSb0qIix2mTUo8/edit?usp=sharing"",""ตาก!J678"")"),0)</f>
        <v>0</v>
      </c>
      <c r="AN17" s="63">
        <f t="shared" ca="1" si="31"/>
        <v>0</v>
      </c>
      <c r="AO17" s="57">
        <f ca="1">IFERROR(__xludf.DUMMYFUNCTION("IMPORTRANGE(""https://docs.google.com/spreadsheets/d/1JWG2rZePOz9pe-f-ObA-yDr0VoOX2kSb0qIix2mTUo8/edit?usp=sharing"",""ตาก!J679"")"),0)</f>
        <v>0</v>
      </c>
      <c r="AP17" s="57">
        <f ca="1">IFERROR(__xludf.DUMMYFUNCTION("IMPORTRANGE(""https://docs.google.com/spreadsheets/d/1JWG2rZePOz9pe-f-ObA-yDr0VoOX2kSb0qIix2mTUo8/edit?usp=sharing"",""ตาก!J680"")"),0)</f>
        <v>0</v>
      </c>
      <c r="AQ17" s="57">
        <f ca="1">IFERROR(__xludf.DUMMYFUNCTION("IMPORTRANGE(""https://docs.google.com/spreadsheets/d/1JWG2rZePOz9pe-f-ObA-yDr0VoOX2kSb0qIix2mTUo8/edit?usp=sharing"",""ตาก!J681"")"),0)</f>
        <v>0</v>
      </c>
      <c r="AR17" s="57">
        <f ca="1">IFERROR(__xludf.DUMMYFUNCTION("IMPORTRANGE(""https://docs.google.com/spreadsheets/d/1JWG2rZePOz9pe-f-ObA-yDr0VoOX2kSb0qIix2mTUo8/edit?usp=sharing"",""ตาก!J682"")"),0)</f>
        <v>0</v>
      </c>
      <c r="AS17" s="57">
        <f ca="1">IFERROR(__xludf.DUMMYFUNCTION("IMPORTRANGE(""https://docs.google.com/spreadsheets/d/1JWG2rZePOz9pe-f-ObA-yDr0VoOX2kSb0qIix2mTUo8/edit?usp=sharing"",""ตาก!J683"")"),0)</f>
        <v>0</v>
      </c>
    </row>
    <row r="18" spans="1:45" ht="24" customHeight="1" x14ac:dyDescent="0.3">
      <c r="A18" s="54">
        <v>5</v>
      </c>
      <c r="B18" s="55" t="s">
        <v>39</v>
      </c>
      <c r="C18" s="56">
        <f t="shared" ca="1" si="42"/>
        <v>0</v>
      </c>
      <c r="D18" s="57">
        <f ca="1">IFERROR(__xludf.DUMMYFUNCTION("IMPORTRANGE(""https://docs.google.com/spreadsheets/d/10nSRjK08hx8Y6HgSOQKNw81lyY46Zc7U_Cj72hBMp9U/edit?usp=sharing"",""นครสวรรค์!L660"")"),0)</f>
        <v>0</v>
      </c>
      <c r="E18" s="64">
        <f ca="1">IFERROR(__xludf.DUMMYFUNCTION("IMPORTRANGE(""https://docs.google.com/spreadsheets/d/10nSRjK08hx8Y6HgSOQKNw81lyY46Zc7U_Cj72hBMp9U/edit?usp=sharing"",""นครสวรรค์!L667"")"),0)</f>
        <v>0</v>
      </c>
      <c r="F18" s="64">
        <f ca="1">IFERROR(__xludf.DUMMYFUNCTION("IMPORTRANGE(""https://docs.google.com/spreadsheets/d/10nSRjK08hx8Y6HgSOQKNw81lyY46Zc7U_Cj72hBMp9U/edit?usp=sharing"",""นครสวรรค์!M660"")"),0)</f>
        <v>0</v>
      </c>
      <c r="G18" s="64">
        <f ca="1">IFERROR(__xludf.DUMMYFUNCTION("IMPORTRANGE(""https://docs.google.com/spreadsheets/d/10nSRjK08hx8Y6HgSOQKNw81lyY46Zc7U_Cj72hBMp9U/edit?usp=sharing"",""นครสวรรค์!M667"")"),0)</f>
        <v>0</v>
      </c>
      <c r="H18" s="58">
        <f t="shared" ca="1" si="27"/>
        <v>0</v>
      </c>
      <c r="I18" s="59">
        <f t="shared" ca="1" si="1"/>
        <v>0</v>
      </c>
      <c r="J18" s="60">
        <f t="shared" ca="1" si="43"/>
        <v>0</v>
      </c>
      <c r="K18" s="61">
        <f t="shared" ca="1" si="33"/>
        <v>0</v>
      </c>
      <c r="L18" s="61">
        <f t="shared" ca="1" si="34"/>
        <v>0</v>
      </c>
      <c r="M18" s="64">
        <f ca="1">IFERROR(__xludf.DUMMYFUNCTION("IMPORTRANGE(""https://docs.google.com/spreadsheets/d/10nSRjK08hx8Y6HgSOQKNw81lyY46Zc7U_Cj72hBMp9U/edit?usp=sharing"",""นครสวรรค์!N661"")"),0)</f>
        <v>0</v>
      </c>
      <c r="N18" s="64">
        <f ca="1">IFERROR(__xludf.DUMMYFUNCTION("IMPORTRANGE(""https://docs.google.com/spreadsheets/d/10nSRjK08hx8Y6HgSOQKNw81lyY46Zc7U_Cj72hBMp9U/edit?usp=sharing"",""นครสวรรค์!N662"")"),0)</f>
        <v>0</v>
      </c>
      <c r="O18" s="64">
        <f ca="1">IFERROR(__xludf.DUMMYFUNCTION("IMPORTRANGE(""https://docs.google.com/spreadsheets/d/10nSRjK08hx8Y6HgSOQKNw81lyY46Zc7U_Cj72hBMp9U/edit?usp=sharing"",""นครสวรรค์!N663"")"),0)</f>
        <v>0</v>
      </c>
      <c r="P18" s="64">
        <f ca="1">IFERROR(__xludf.DUMMYFUNCTION("IMPORTRANGE(""https://docs.google.com/spreadsheets/d/10nSRjK08hx8Y6HgSOQKNw81lyY46Zc7U_Cj72hBMp9U/edit?usp=sharing"",""นครสวรรค์!N664"")"),0)</f>
        <v>0</v>
      </c>
      <c r="Q18" s="62">
        <f ca="1">IFERROR(__xludf.DUMMYFUNCTION("IMPORTRANGE(""https://docs.google.com/spreadsheets/d/10nSRjK08hx8Y6HgSOQKNw81lyY46Zc7U_Cj72hBMp9U/edit?usp=sharing"",""นครสวรรค์!N667"")"),0)</f>
        <v>0</v>
      </c>
      <c r="R18" s="62">
        <f t="shared" ca="1" si="36"/>
        <v>0</v>
      </c>
      <c r="S18" s="57">
        <f ca="1">IFERROR(__xludf.DUMMYFUNCTION("IMPORTRANGE(""https://docs.google.com/spreadsheets/d/10nSRjK08hx8Y6HgSOQKNw81lyY46Zc7U_Cj72hBMp9U/edit?usp=sharing"",""นครสวรรค์!I669"")"),0)</f>
        <v>0</v>
      </c>
      <c r="T18" s="57">
        <f ca="1">IFERROR(__xludf.DUMMYFUNCTION("IMPORTRANGE(""https://docs.google.com/spreadsheets/d/10nSRjK08hx8Y6HgSOQKNw81lyY46Zc7U_Cj72hBMp9U/edit?usp=sharing"",""นครสวรรค์!J669"")"),0)</f>
        <v>0</v>
      </c>
      <c r="U18" s="63">
        <f t="shared" ca="1" si="28"/>
        <v>0</v>
      </c>
      <c r="V18" s="57">
        <f ca="1">IFERROR(__xludf.DUMMYFUNCTION("IMPORTRANGE(""https://docs.google.com/spreadsheets/d/10nSRjK08hx8Y6HgSOQKNw81lyY46Zc7U_Cj72hBMp9U/edit?usp=sharing"",""นครสวรรค์!I670"")"),0)</f>
        <v>0</v>
      </c>
      <c r="W18" s="57">
        <f ca="1">IFERROR(__xludf.DUMMYFUNCTION("IMPORTRANGE(""https://docs.google.com/spreadsheets/d/10nSRjK08hx8Y6HgSOQKNw81lyY46Zc7U_Cj72hBMp9U/edit?usp=sharing"",""นครสวรรค์!J670"")"),0)</f>
        <v>0</v>
      </c>
      <c r="X18" s="63">
        <f t="shared" ca="1" si="29"/>
        <v>0</v>
      </c>
      <c r="Y18" s="57">
        <f ca="1">IFERROR(__xludf.DUMMYFUNCTION("IMPORTRANGE(""https://docs.google.com/spreadsheets/d/10nSRjK08hx8Y6HgSOQKNw81lyY46Zc7U_Cj72hBMp9U/edit?usp=sharing"",""นครสวรรค์!I671"")"),0)</f>
        <v>0</v>
      </c>
      <c r="Z18" s="57">
        <f ca="1">IFERROR(__xludf.DUMMYFUNCTION("IMPORTRANGE(""https://docs.google.com/spreadsheets/d/10nSRjK08hx8Y6HgSOQKNw81lyY46Zc7U_Cj72hBMp9U/edit?usp=sharing"",""นครสวรรค์!J671"")"),0)</f>
        <v>0</v>
      </c>
      <c r="AA18" s="63">
        <f t="shared" ca="1" si="30"/>
        <v>0</v>
      </c>
      <c r="AB18" s="57">
        <f ca="1">IFERROR(__xludf.DUMMYFUNCTION("IMPORTRANGE(""https://docs.google.com/spreadsheets/d/10nSRjK08hx8Y6HgSOQKNw81lyY46Zc7U_Cj72hBMp9U/edit?usp=sharing"",""นครสวรรค์!J672"")"),0)</f>
        <v>0</v>
      </c>
      <c r="AC18" s="63">
        <f t="shared" ca="1" si="11"/>
        <v>0</v>
      </c>
      <c r="AD18" s="57">
        <f ca="1">IFERROR(__xludf.DUMMYFUNCTION("IMPORTRANGE(""https://docs.google.com/spreadsheets/d/10nSRjK08hx8Y6HgSOQKNw81lyY46Zc7U_Cj72hBMp9U/edit?usp=sharing"",""นครสวรรค์!J673"")"),0)</f>
        <v>0</v>
      </c>
      <c r="AE18" s="63">
        <f t="shared" ca="1" si="12"/>
        <v>0</v>
      </c>
      <c r="AF18" s="63">
        <f ca="1">IFERROR(__xludf.DUMMYFUNCTION("IMPORTRANGE(""https://docs.google.com/spreadsheets/d/10nSRjK08hx8Y6HgSOQKNw81lyY46Zc7U_Cj72hBMp9U/edit?usp=sharing"",""นครสวรรค์!J674"")"),0)</f>
        <v>0</v>
      </c>
      <c r="AG18" s="63">
        <f t="shared" ca="1" si="13"/>
        <v>0</v>
      </c>
      <c r="AH18" s="63">
        <f ca="1">IFERROR(__xludf.DUMMYFUNCTION("IMPORTRANGE(""https://docs.google.com/spreadsheets/d/10nSRjK08hx8Y6HgSOQKNw81lyY46Zc7U_Cj72hBMp9U/edit?usp=sharing"",""นครสวรรค์!J675"")"),0)</f>
        <v>0</v>
      </c>
      <c r="AI18" s="63">
        <f t="shared" ca="1" si="21"/>
        <v>0</v>
      </c>
      <c r="AJ18" s="63">
        <f ca="1">IFERROR(__xludf.DUMMYFUNCTION("IMPORTRANGE(""https://docs.google.com/spreadsheets/d/10nSRjK08hx8Y6HgSOQKNw81lyY46Zc7U_Cj72hBMp9U/edit?usp=sharing"",""นครสวรรค์!J676"")"),0)</f>
        <v>0</v>
      </c>
      <c r="AK18" s="63">
        <f ca="1">IFERROR(__xludf.DUMMYFUNCTION("IMPORTRANGE(""https://docs.google.com/spreadsheets/d/10nSRjK08hx8Y6HgSOQKNw81lyY46Zc7U_Cj72hBMp9U/edit?usp=sharing"",""นครสวรรค์!J677"")"),0)</f>
        <v>0</v>
      </c>
      <c r="AL18" s="57">
        <f ca="1">IFERROR(__xludf.DUMMYFUNCTION("IMPORTRANGE(""https://docs.google.com/spreadsheets/d/10nSRjK08hx8Y6HgSOQKNw81lyY46Zc7U_Cj72hBMp9U/edit?usp=sharing"",""นครสวรรค์!I678"")"),0)</f>
        <v>0</v>
      </c>
      <c r="AM18" s="57">
        <f ca="1">IFERROR(__xludf.DUMMYFUNCTION("IMPORTRANGE(""https://docs.google.com/spreadsheets/d/10nSRjK08hx8Y6HgSOQKNw81lyY46Zc7U_Cj72hBMp9U/edit?usp=sharing"",""นครสวรรค์!J678"")"),0)</f>
        <v>0</v>
      </c>
      <c r="AN18" s="63">
        <f t="shared" ca="1" si="31"/>
        <v>0</v>
      </c>
      <c r="AO18" s="57">
        <f ca="1">IFERROR(__xludf.DUMMYFUNCTION("IMPORTRANGE(""https://docs.google.com/spreadsheets/d/10nSRjK08hx8Y6HgSOQKNw81lyY46Zc7U_Cj72hBMp9U/edit?usp=sharing"",""นครสวรรค์!J679"")"),0)</f>
        <v>0</v>
      </c>
      <c r="AP18" s="57">
        <f ca="1">IFERROR(__xludf.DUMMYFUNCTION("IMPORTRANGE(""https://docs.google.com/spreadsheets/d/10nSRjK08hx8Y6HgSOQKNw81lyY46Zc7U_Cj72hBMp9U/edit?usp=sharing"",""นครสวรรค์!J680"")"),0)</f>
        <v>0</v>
      </c>
      <c r="AQ18" s="57">
        <f ca="1">IFERROR(__xludf.DUMMYFUNCTION("IMPORTRANGE(""https://docs.google.com/spreadsheets/d/10nSRjK08hx8Y6HgSOQKNw81lyY46Zc7U_Cj72hBMp9U/edit?usp=sharing"",""นครสวรรค์!J681"")"),0)</f>
        <v>0</v>
      </c>
      <c r="AR18" s="57">
        <f ca="1">IFERROR(__xludf.DUMMYFUNCTION("IMPORTRANGE(""https://docs.google.com/spreadsheets/d/10nSRjK08hx8Y6HgSOQKNw81lyY46Zc7U_Cj72hBMp9U/edit?usp=sharing"",""นครสวรรค์!J682"")"),0)</f>
        <v>0</v>
      </c>
      <c r="AS18" s="57">
        <f ca="1">IFERROR(__xludf.DUMMYFUNCTION("IMPORTRANGE(""https://docs.google.com/spreadsheets/d/10nSRjK08hx8Y6HgSOQKNw81lyY46Zc7U_Cj72hBMp9U/edit?usp=sharing"",""นครสวรรค์!J683"")"),0)</f>
        <v>0</v>
      </c>
    </row>
    <row r="19" spans="1:45" ht="24" customHeight="1" x14ac:dyDescent="0.3">
      <c r="A19" s="54">
        <v>6</v>
      </c>
      <c r="B19" s="55" t="s">
        <v>40</v>
      </c>
      <c r="C19" s="56">
        <f t="shared" ca="1" si="42"/>
        <v>0</v>
      </c>
      <c r="D19" s="57">
        <f ca="1">IFERROR(__xludf.DUMMYFUNCTION("IMPORTRANGE(""https://docs.google.com/spreadsheets/d/1gFVb7qd7amutrIxAAoM7lcy35hllxznovot8lyOfvDo/edit?usp=sharing"",""น่าน!L660"")"),0)</f>
        <v>0</v>
      </c>
      <c r="E19" s="64">
        <f ca="1">IFERROR(__xludf.DUMMYFUNCTION("IMPORTRANGE(""https://docs.google.com/spreadsheets/d/1gFVb7qd7amutrIxAAoM7lcy35hllxznovot8lyOfvDo/edit?usp=sharing"",""น่าน!L667"")"),0)</f>
        <v>0</v>
      </c>
      <c r="F19" s="64">
        <f ca="1">IFERROR(__xludf.DUMMYFUNCTION("IMPORTRANGE(""https://docs.google.com/spreadsheets/d/1gFVb7qd7amutrIxAAoM7lcy35hllxznovot8lyOfvDo/edit?usp=sharing"",""น่าน!M660"")"),0)</f>
        <v>0</v>
      </c>
      <c r="G19" s="64">
        <f ca="1">IFERROR(__xludf.DUMMYFUNCTION("IMPORTRANGE(""https://docs.google.com/spreadsheets/d/1gFVb7qd7amutrIxAAoM7lcy35hllxznovot8lyOfvDo/edit?usp=sharing"",""น่าน!M667"")"),0)</f>
        <v>0</v>
      </c>
      <c r="H19" s="58">
        <f t="shared" ca="1" si="27"/>
        <v>0</v>
      </c>
      <c r="I19" s="59">
        <f t="shared" ca="1" si="1"/>
        <v>0</v>
      </c>
      <c r="J19" s="60">
        <f t="shared" ca="1" si="43"/>
        <v>0</v>
      </c>
      <c r="K19" s="61">
        <f t="shared" ca="1" si="33"/>
        <v>0</v>
      </c>
      <c r="L19" s="61">
        <f t="shared" ca="1" si="34"/>
        <v>0</v>
      </c>
      <c r="M19" s="64">
        <f ca="1">IFERROR(__xludf.DUMMYFUNCTION("IMPORTRANGE(""https://docs.google.com/spreadsheets/d/1gFVb7qd7amutrIxAAoM7lcy35hllxznovot8lyOfvDo/edit?usp=sharing"",""น่าน!N661"")"),0)</f>
        <v>0</v>
      </c>
      <c r="N19" s="64">
        <f ca="1">IFERROR(__xludf.DUMMYFUNCTION("IMPORTRANGE(""https://docs.google.com/spreadsheets/d/1gFVb7qd7amutrIxAAoM7lcy35hllxznovot8lyOfvDo/edit?usp=sharing"",""น่าน!N662"")"),0)</f>
        <v>0</v>
      </c>
      <c r="O19" s="64">
        <f ca="1">IFERROR(__xludf.DUMMYFUNCTION("IMPORTRANGE(""https://docs.google.com/spreadsheets/d/1gFVb7qd7amutrIxAAoM7lcy35hllxznovot8lyOfvDo/edit?usp=sharing"",""น่าน!N663"")"),0)</f>
        <v>0</v>
      </c>
      <c r="P19" s="64">
        <f ca="1">IFERROR(__xludf.DUMMYFUNCTION("IMPORTRANGE(""https://docs.google.com/spreadsheets/d/1gFVb7qd7amutrIxAAoM7lcy35hllxznovot8lyOfvDo/edit?usp=sharing"",""น่าน!N664"")"),0)</f>
        <v>0</v>
      </c>
      <c r="Q19" s="62">
        <f ca="1">IFERROR(__xludf.DUMMYFUNCTION("IMPORTRANGE(""https://docs.google.com/spreadsheets/d/1gFVb7qd7amutrIxAAoM7lcy35hllxznovot8lyOfvDo/edit?usp=sharing"",""น่าน!N667"")"),0)</f>
        <v>0</v>
      </c>
      <c r="R19" s="62">
        <f t="shared" ca="1" si="36"/>
        <v>0</v>
      </c>
      <c r="S19" s="57">
        <f ca="1">IFERROR(__xludf.DUMMYFUNCTION("IMPORTRANGE(""https://docs.google.com/spreadsheets/d/1gFVb7qd7amutrIxAAoM7lcy35hllxznovot8lyOfvDo/edit?usp=sharing"",""น่าน!I669"")"),0)</f>
        <v>0</v>
      </c>
      <c r="T19" s="57">
        <f ca="1">IFERROR(__xludf.DUMMYFUNCTION("IMPORTRANGE(""https://docs.google.com/spreadsheets/d/1gFVb7qd7amutrIxAAoM7lcy35hllxznovot8lyOfvDo/edit?usp=sharing"",""น่าน!J669"")"),0)</f>
        <v>0</v>
      </c>
      <c r="U19" s="63">
        <f t="shared" ca="1" si="28"/>
        <v>0</v>
      </c>
      <c r="V19" s="57">
        <f ca="1">IFERROR(__xludf.DUMMYFUNCTION("IMPORTRANGE(""https://docs.google.com/spreadsheets/d/1gFVb7qd7amutrIxAAoM7lcy35hllxznovot8lyOfvDo/edit?usp=sharing"",""น่าน!I670"")"),0)</f>
        <v>0</v>
      </c>
      <c r="W19" s="57">
        <f ca="1">IFERROR(__xludf.DUMMYFUNCTION("IMPORTRANGE(""https://docs.google.com/spreadsheets/d/1gFVb7qd7amutrIxAAoM7lcy35hllxznovot8lyOfvDo/edit?usp=sharing"",""น่าน!J670"")"),0)</f>
        <v>0</v>
      </c>
      <c r="X19" s="63">
        <f t="shared" ca="1" si="29"/>
        <v>0</v>
      </c>
      <c r="Y19" s="57">
        <f ca="1">IFERROR(__xludf.DUMMYFUNCTION("IMPORTRANGE(""https://docs.google.com/spreadsheets/d/1gFVb7qd7amutrIxAAoM7lcy35hllxznovot8lyOfvDo/edit?usp=sharing"",""น่าน!I671"")"),0)</f>
        <v>0</v>
      </c>
      <c r="Z19" s="57">
        <f ca="1">IFERROR(__xludf.DUMMYFUNCTION("IMPORTRANGE(""https://docs.google.com/spreadsheets/d/1gFVb7qd7amutrIxAAoM7lcy35hllxznovot8lyOfvDo/edit?usp=sharing"",""น่าน!J671"")"),0)</f>
        <v>0</v>
      </c>
      <c r="AA19" s="63">
        <f t="shared" ca="1" si="30"/>
        <v>0</v>
      </c>
      <c r="AB19" s="57">
        <f ca="1">IFERROR(__xludf.DUMMYFUNCTION("IMPORTRANGE(""https://docs.google.com/spreadsheets/d/1gFVb7qd7amutrIxAAoM7lcy35hllxznovot8lyOfvDo/edit?usp=sharing"",""น่าน!J672"")"),0)</f>
        <v>0</v>
      </c>
      <c r="AC19" s="63">
        <f t="shared" ca="1" si="11"/>
        <v>0</v>
      </c>
      <c r="AD19" s="57">
        <f ca="1">IFERROR(__xludf.DUMMYFUNCTION("IMPORTRANGE(""https://docs.google.com/spreadsheets/d/1gFVb7qd7amutrIxAAoM7lcy35hllxznovot8lyOfvDo/edit?usp=sharing"",""น่าน!J673"")"),0)</f>
        <v>0</v>
      </c>
      <c r="AE19" s="63">
        <f t="shared" ca="1" si="12"/>
        <v>0</v>
      </c>
      <c r="AF19" s="63">
        <f ca="1">IFERROR(__xludf.DUMMYFUNCTION("IMPORTRANGE(""https://docs.google.com/spreadsheets/d/1gFVb7qd7amutrIxAAoM7lcy35hllxznovot8lyOfvDo/edit?usp=sharing"",""น่าน!J674"")"),0)</f>
        <v>0</v>
      </c>
      <c r="AG19" s="63">
        <f t="shared" ca="1" si="13"/>
        <v>0</v>
      </c>
      <c r="AH19" s="63">
        <f ca="1">IFERROR(__xludf.DUMMYFUNCTION("IMPORTRANGE(""https://docs.google.com/spreadsheets/d/1gFVb7qd7amutrIxAAoM7lcy35hllxznovot8lyOfvDo/edit?usp=sharing"",""น่าน!J675"")"),0)</f>
        <v>0</v>
      </c>
      <c r="AI19" s="63">
        <f t="shared" ca="1" si="21"/>
        <v>0</v>
      </c>
      <c r="AJ19" s="63">
        <f ca="1">IFERROR(__xludf.DUMMYFUNCTION("IMPORTRANGE(""https://docs.google.com/spreadsheets/d/1gFVb7qd7amutrIxAAoM7lcy35hllxznovot8lyOfvDo/edit?usp=sharing"",""น่าน!J676"")"),0)</f>
        <v>0</v>
      </c>
      <c r="AK19" s="63">
        <f ca="1">IFERROR(__xludf.DUMMYFUNCTION("IMPORTRANGE(""https://docs.google.com/spreadsheets/d/1gFVb7qd7amutrIxAAoM7lcy35hllxznovot8lyOfvDo/edit?usp=sharing"",""น่าน!J677"")"),0)</f>
        <v>0</v>
      </c>
      <c r="AL19" s="57">
        <f ca="1">IFERROR(__xludf.DUMMYFUNCTION("IMPORTRANGE(""https://docs.google.com/spreadsheets/d/1gFVb7qd7amutrIxAAoM7lcy35hllxznovot8lyOfvDo/edit?usp=sharing"",""น่าน!I678"")"),0)</f>
        <v>0</v>
      </c>
      <c r="AM19" s="57">
        <f ca="1">IFERROR(__xludf.DUMMYFUNCTION("IMPORTRANGE(""https://docs.google.com/spreadsheets/d/1gFVb7qd7amutrIxAAoM7lcy35hllxznovot8lyOfvDo/edit?usp=sharing"",""น่าน!J678"")"),0)</f>
        <v>0</v>
      </c>
      <c r="AN19" s="63">
        <f t="shared" ca="1" si="31"/>
        <v>0</v>
      </c>
      <c r="AO19" s="57">
        <f ca="1">IFERROR(__xludf.DUMMYFUNCTION("IMPORTRANGE(""https://docs.google.com/spreadsheets/d/1gFVb7qd7amutrIxAAoM7lcy35hllxznovot8lyOfvDo/edit?usp=sharing"",""น่าน!J679"")"),0)</f>
        <v>0</v>
      </c>
      <c r="AP19" s="57">
        <f ca="1">IFERROR(__xludf.DUMMYFUNCTION("IMPORTRANGE(""https://docs.google.com/spreadsheets/d/1gFVb7qd7amutrIxAAoM7lcy35hllxznovot8lyOfvDo/edit?usp=sharing"",""น่าน!J680"")"),0)</f>
        <v>0</v>
      </c>
      <c r="AQ19" s="57">
        <f ca="1">IFERROR(__xludf.DUMMYFUNCTION("IMPORTRANGE(""https://docs.google.com/spreadsheets/d/1gFVb7qd7amutrIxAAoM7lcy35hllxznovot8lyOfvDo/edit?usp=sharing"",""น่าน!J681"")"),0)</f>
        <v>0</v>
      </c>
      <c r="AR19" s="57">
        <f ca="1">IFERROR(__xludf.DUMMYFUNCTION("IMPORTRANGE(""https://docs.google.com/spreadsheets/d/1gFVb7qd7amutrIxAAoM7lcy35hllxznovot8lyOfvDo/edit?usp=sharing"",""น่าน!J682"")"),0)</f>
        <v>0</v>
      </c>
      <c r="AS19" s="57">
        <f ca="1">IFERROR(__xludf.DUMMYFUNCTION("IMPORTRANGE(""https://docs.google.com/spreadsheets/d/1gFVb7qd7amutrIxAAoM7lcy35hllxznovot8lyOfvDo/edit?usp=sharing"",""น่าน!J683"")"),0)</f>
        <v>0</v>
      </c>
    </row>
    <row r="20" spans="1:45" ht="24" customHeight="1" x14ac:dyDescent="0.3">
      <c r="A20" s="54">
        <v>7</v>
      </c>
      <c r="B20" s="55" t="s">
        <v>41</v>
      </c>
      <c r="C20" s="56">
        <f t="shared" ca="1" si="42"/>
        <v>9400</v>
      </c>
      <c r="D20" s="57">
        <f ca="1">IFERROR(__xludf.DUMMYFUNCTION("IMPORTRANGE(""https://docs.google.com/spreadsheets/d/1K0Aa9s-6EuHE5M0FG1F9aHLXRCOV917xvycTdLdct0w/edit?usp=sharing"",""พะเยา!L660"")"),9400)</f>
        <v>9400</v>
      </c>
      <c r="E20" s="64">
        <f ca="1">IFERROR(__xludf.DUMMYFUNCTION("IMPORTRANGE(""https://docs.google.com/spreadsheets/d/1K0Aa9s-6EuHE5M0FG1F9aHLXRCOV917xvycTdLdct0w/edit?usp=sharing"",""พะเยา!L667"")"),0)</f>
        <v>0</v>
      </c>
      <c r="F20" s="64">
        <f ca="1">IFERROR(__xludf.DUMMYFUNCTION("IMPORTRANGE(""https://docs.google.com/spreadsheets/d/1K0Aa9s-6EuHE5M0FG1F9aHLXRCOV917xvycTdLdct0w/edit?usp=sharing"",""พะเยา!M660"")"),9400)</f>
        <v>9400</v>
      </c>
      <c r="G20" s="64">
        <f ca="1">IFERROR(__xludf.DUMMYFUNCTION("IMPORTRANGE(""https://docs.google.com/spreadsheets/d/1K0Aa9s-6EuHE5M0FG1F9aHLXRCOV917xvycTdLdct0w/edit?usp=sharing"",""พะเยา!M667"")"),0)</f>
        <v>0</v>
      </c>
      <c r="H20" s="58">
        <f t="shared" ca="1" si="27"/>
        <v>1000</v>
      </c>
      <c r="I20" s="59">
        <f t="shared" ca="1" si="1"/>
        <v>10.638297872340425</v>
      </c>
      <c r="J20" s="60">
        <f t="shared" ca="1" si="43"/>
        <v>1000</v>
      </c>
      <c r="K20" s="61">
        <f t="shared" ca="1" si="33"/>
        <v>10.638297872340425</v>
      </c>
      <c r="L20" s="61">
        <f t="shared" ca="1" si="34"/>
        <v>10.638297872340425</v>
      </c>
      <c r="M20" s="64">
        <f ca="1">IFERROR(__xludf.DUMMYFUNCTION("IMPORTRANGE(""https://docs.google.com/spreadsheets/d/1K0Aa9s-6EuHE5M0FG1F9aHLXRCOV917xvycTdLdct0w/edit?usp=sharing"",""พะเยา!N661"")"),0)</f>
        <v>0</v>
      </c>
      <c r="N20" s="64">
        <f ca="1">IFERROR(__xludf.DUMMYFUNCTION("IMPORTRANGE(""https://docs.google.com/spreadsheets/d/1K0Aa9s-6EuHE5M0FG1F9aHLXRCOV917xvycTdLdct0w/edit?usp=sharing"",""พะเยา!N662"")"),0)</f>
        <v>0</v>
      </c>
      <c r="O20" s="64">
        <f ca="1">IFERROR(__xludf.DUMMYFUNCTION("IMPORTRANGE(""https://docs.google.com/spreadsheets/d/1K0Aa9s-6EuHE5M0FG1F9aHLXRCOV917xvycTdLdct0w/edit?usp=sharing"",""พะเยา!N663"")"),0)</f>
        <v>0</v>
      </c>
      <c r="P20" s="64">
        <f ca="1">IFERROR(__xludf.DUMMYFUNCTION("IMPORTRANGE(""https://docs.google.com/spreadsheets/d/1K0Aa9s-6EuHE5M0FG1F9aHLXRCOV917xvycTdLdct0w/edit?usp=sharing"",""พะเยา!N664"")"),1000)</f>
        <v>1000</v>
      </c>
      <c r="Q20" s="62">
        <f ca="1">IFERROR(__xludf.DUMMYFUNCTION("IMPORTRANGE(""https://docs.google.com/spreadsheets/d/1K0Aa9s-6EuHE5M0FG1F9aHLXRCOV917xvycTdLdct0w/edit?usp=sharing"",""พะเยา!N667"")"),0)</f>
        <v>0</v>
      </c>
      <c r="R20" s="62">
        <f t="shared" ca="1" si="36"/>
        <v>0</v>
      </c>
      <c r="S20" s="57">
        <f ca="1">IFERROR(__xludf.DUMMYFUNCTION("IMPORTRANGE(""https://docs.google.com/spreadsheets/d/1K0Aa9s-6EuHE5M0FG1F9aHLXRCOV917xvycTdLdct0w/edit?usp=sharing"",""พะเยา!I669"")"),50)</f>
        <v>50</v>
      </c>
      <c r="T20" s="57">
        <f ca="1">IFERROR(__xludf.DUMMYFUNCTION("IMPORTRANGE(""https://docs.google.com/spreadsheets/d/1K0Aa9s-6EuHE5M0FG1F9aHLXRCOV917xvycTdLdct0w/edit?usp=sharing"",""พะเยา!J669"")"),0)</f>
        <v>0</v>
      </c>
      <c r="U20" s="63">
        <f t="shared" ca="1" si="28"/>
        <v>0</v>
      </c>
      <c r="V20" s="57">
        <f ca="1">IFERROR(__xludf.DUMMYFUNCTION("IMPORTRANGE(""https://docs.google.com/spreadsheets/d/1K0Aa9s-6EuHE5M0FG1F9aHLXRCOV917xvycTdLdct0w/edit?usp=sharing"",""พะเยา!I670"")"),4)</f>
        <v>4</v>
      </c>
      <c r="W20" s="57">
        <f ca="1">IFERROR(__xludf.DUMMYFUNCTION("IMPORTRANGE(""https://docs.google.com/spreadsheets/d/1K0Aa9s-6EuHE5M0FG1F9aHLXRCOV917xvycTdLdct0w/edit?usp=sharing"",""พะเยา!J670"")"),4)</f>
        <v>4</v>
      </c>
      <c r="X20" s="63">
        <f t="shared" ca="1" si="29"/>
        <v>100</v>
      </c>
      <c r="Y20" s="57">
        <f ca="1">IFERROR(__xludf.DUMMYFUNCTION("IMPORTRANGE(""https://docs.google.com/spreadsheets/d/1K0Aa9s-6EuHE5M0FG1F9aHLXRCOV917xvycTdLdct0w/edit?usp=sharing"",""พะเยา!I671"")"),4)</f>
        <v>4</v>
      </c>
      <c r="Z20" s="57">
        <f ca="1">IFERROR(__xludf.DUMMYFUNCTION("IMPORTRANGE(""https://docs.google.com/spreadsheets/d/1K0Aa9s-6EuHE5M0FG1F9aHLXRCOV917xvycTdLdct0w/edit?usp=sharing"",""พะเยา!J671"")"),4)</f>
        <v>4</v>
      </c>
      <c r="AA20" s="63">
        <f t="shared" ca="1" si="30"/>
        <v>100</v>
      </c>
      <c r="AB20" s="57">
        <f ca="1">IFERROR(__xludf.DUMMYFUNCTION("IMPORTRANGE(""https://docs.google.com/spreadsheets/d/1K0Aa9s-6EuHE5M0FG1F9aHLXRCOV917xvycTdLdct0w/edit?usp=sharing"",""พะเยา!J672"")"),0)</f>
        <v>0</v>
      </c>
      <c r="AC20" s="63">
        <f t="shared" ca="1" si="11"/>
        <v>0</v>
      </c>
      <c r="AD20" s="57">
        <f ca="1">IFERROR(__xludf.DUMMYFUNCTION("IMPORTRANGE(""https://docs.google.com/spreadsheets/d/1K0Aa9s-6EuHE5M0FG1F9aHLXRCOV917xvycTdLdct0w/edit?usp=sharing"",""พะเยา!J673"")"),0)</f>
        <v>0</v>
      </c>
      <c r="AE20" s="63">
        <f t="shared" ca="1" si="12"/>
        <v>0</v>
      </c>
      <c r="AF20" s="63">
        <f ca="1">IFERROR(__xludf.DUMMYFUNCTION("IMPORTRANGE(""https://docs.google.com/spreadsheets/d/1K0Aa9s-6EuHE5M0FG1F9aHLXRCOV917xvycTdLdct0w/edit?usp=sharing"",""พะเยา!J674"")"),0)</f>
        <v>0</v>
      </c>
      <c r="AG20" s="63">
        <f t="shared" ca="1" si="13"/>
        <v>0</v>
      </c>
      <c r="AH20" s="63">
        <f ca="1">IFERROR(__xludf.DUMMYFUNCTION("IMPORTRANGE(""https://docs.google.com/spreadsheets/d/1K0Aa9s-6EuHE5M0FG1F9aHLXRCOV917xvycTdLdct0w/edit?usp=sharing"",""พะเยา!J675"")"),0)</f>
        <v>0</v>
      </c>
      <c r="AI20" s="63">
        <f t="shared" ca="1" si="21"/>
        <v>0</v>
      </c>
      <c r="AJ20" s="63">
        <f ca="1">IFERROR(__xludf.DUMMYFUNCTION("IMPORTRANGE(""https://docs.google.com/spreadsheets/d/1K0Aa9s-6EuHE5M0FG1F9aHLXRCOV917xvycTdLdct0w/edit?usp=sharing"",""พะเยา!J676"")"),0)</f>
        <v>0</v>
      </c>
      <c r="AK20" s="63">
        <f ca="1">IFERROR(__xludf.DUMMYFUNCTION("IMPORTRANGE(""https://docs.google.com/spreadsheets/d/1K0Aa9s-6EuHE5M0FG1F9aHLXRCOV917xvycTdLdct0w/edit?usp=sharing"",""พะเยา!J677"")"),0)</f>
        <v>0</v>
      </c>
      <c r="AL20" s="57">
        <f ca="1">IFERROR(__xludf.DUMMYFUNCTION("IMPORTRANGE(""https://docs.google.com/spreadsheets/d/1K0Aa9s-6EuHE5M0FG1F9aHLXRCOV917xvycTdLdct0w/edit?usp=sharing"",""พะเยา!I678"")"),0)</f>
        <v>0</v>
      </c>
      <c r="AM20" s="57">
        <f ca="1">IFERROR(__xludf.DUMMYFUNCTION("IMPORTRANGE(""https://docs.google.com/spreadsheets/d/1K0Aa9s-6EuHE5M0FG1F9aHLXRCOV917xvycTdLdct0w/edit?usp=sharing"",""พะเยา!J678"")"),0)</f>
        <v>0</v>
      </c>
      <c r="AN20" s="63">
        <f t="shared" ca="1" si="31"/>
        <v>0</v>
      </c>
      <c r="AO20" s="57">
        <f ca="1">IFERROR(__xludf.DUMMYFUNCTION("IMPORTRANGE(""https://docs.google.com/spreadsheets/d/1K0Aa9s-6EuHE5M0FG1F9aHLXRCOV917xvycTdLdct0w/edit?usp=sharing"",""พะเยา!J679"")"),0)</f>
        <v>0</v>
      </c>
      <c r="AP20" s="57">
        <f ca="1">IFERROR(__xludf.DUMMYFUNCTION("IMPORTRANGE(""https://docs.google.com/spreadsheets/d/1K0Aa9s-6EuHE5M0FG1F9aHLXRCOV917xvycTdLdct0w/edit?usp=sharing"",""พะเยา!J680"")"),0)</f>
        <v>0</v>
      </c>
      <c r="AQ20" s="57">
        <f ca="1">IFERROR(__xludf.DUMMYFUNCTION("IMPORTRANGE(""https://docs.google.com/spreadsheets/d/1K0Aa9s-6EuHE5M0FG1F9aHLXRCOV917xvycTdLdct0w/edit?usp=sharing"",""พะเยา!J681"")"),0)</f>
        <v>0</v>
      </c>
      <c r="AR20" s="57">
        <f ca="1">IFERROR(__xludf.DUMMYFUNCTION("IMPORTRANGE(""https://docs.google.com/spreadsheets/d/1K0Aa9s-6EuHE5M0FG1F9aHLXRCOV917xvycTdLdct0w/edit?usp=sharing"",""พะเยา!J682"")"),0)</f>
        <v>0</v>
      </c>
      <c r="AS20" s="57">
        <f ca="1">IFERROR(__xludf.DUMMYFUNCTION("IMPORTRANGE(""https://docs.google.com/spreadsheets/d/1K0Aa9s-6EuHE5M0FG1F9aHLXRCOV917xvycTdLdct0w/edit?usp=sharing"",""พะเยา!J683"")"),0)</f>
        <v>0</v>
      </c>
    </row>
    <row r="21" spans="1:45" ht="24" customHeight="1" x14ac:dyDescent="0.3">
      <c r="A21" s="54">
        <v>8</v>
      </c>
      <c r="B21" s="55" t="s">
        <v>42</v>
      </c>
      <c r="C21" s="56">
        <f t="shared" ca="1" si="42"/>
        <v>11000</v>
      </c>
      <c r="D21" s="57">
        <f ca="1">IFERROR(__xludf.DUMMYFUNCTION("IMPORTRANGE(""https://docs.google.com/spreadsheets/d/1Y9LPKx95PyL5OKy09d-KbKJSuuEZCFdkhYjwC0XQjBA/edit?usp=sharing"",""พิจิตร!L660"")"),11000)</f>
        <v>11000</v>
      </c>
      <c r="E21" s="64">
        <f ca="1">IFERROR(__xludf.DUMMYFUNCTION("IMPORTRANGE(""https://docs.google.com/spreadsheets/d/1Y9LPKx95PyL5OKy09d-KbKJSuuEZCFdkhYjwC0XQjBA/edit?usp=sharing"",""พิจิตร!L667"")"),0)</f>
        <v>0</v>
      </c>
      <c r="F21" s="64">
        <f ca="1">IFERROR(__xludf.DUMMYFUNCTION("IMPORTRANGE(""https://docs.google.com/spreadsheets/d/1Y9LPKx95PyL5OKy09d-KbKJSuuEZCFdkhYjwC0XQjBA/edit?usp=sharing"",""พิจิตร!M660"")"),11000)</f>
        <v>11000</v>
      </c>
      <c r="G21" s="64">
        <f ca="1">IFERROR(__xludf.DUMMYFUNCTION("IMPORTRANGE(""https://docs.google.com/spreadsheets/d/1Y9LPKx95PyL5OKy09d-KbKJSuuEZCFdkhYjwC0XQjBA/edit?usp=sharing"",""พิจิตร!M667"")"),0)</f>
        <v>0</v>
      </c>
      <c r="H21" s="58">
        <f t="shared" ca="1" si="27"/>
        <v>5240</v>
      </c>
      <c r="I21" s="59">
        <f t="shared" ca="1" si="1"/>
        <v>47.636363636363633</v>
      </c>
      <c r="J21" s="60">
        <f t="shared" ca="1" si="43"/>
        <v>5240</v>
      </c>
      <c r="K21" s="61">
        <f t="shared" ca="1" si="33"/>
        <v>47.636363636363633</v>
      </c>
      <c r="L21" s="61">
        <f t="shared" ca="1" si="34"/>
        <v>47.636363636363633</v>
      </c>
      <c r="M21" s="64">
        <f ca="1">IFERROR(__xludf.DUMMYFUNCTION("IMPORTRANGE(""https://docs.google.com/spreadsheets/d/1Y9LPKx95PyL5OKy09d-KbKJSuuEZCFdkhYjwC0XQjBA/edit?usp=sharing"",""พิจิตร!N661"")"),0)</f>
        <v>0</v>
      </c>
      <c r="N21" s="64">
        <f ca="1">IFERROR(__xludf.DUMMYFUNCTION("IMPORTRANGE(""https://docs.google.com/spreadsheets/d/1Y9LPKx95PyL5OKy09d-KbKJSuuEZCFdkhYjwC0XQjBA/edit?usp=sharing"",""พิจิตร!N662"")"),0)</f>
        <v>0</v>
      </c>
      <c r="O21" s="64">
        <f ca="1">IFERROR(__xludf.DUMMYFUNCTION("IMPORTRANGE(""https://docs.google.com/spreadsheets/d/1Y9LPKx95PyL5OKy09d-KbKJSuuEZCFdkhYjwC0XQjBA/edit?usp=sharing"",""พิจิตร!N663"")"),0)</f>
        <v>0</v>
      </c>
      <c r="P21" s="64">
        <f ca="1">IFERROR(__xludf.DUMMYFUNCTION("IMPORTRANGE(""https://docs.google.com/spreadsheets/d/1Y9LPKx95PyL5OKy09d-KbKJSuuEZCFdkhYjwC0XQjBA/edit?usp=sharing"",""พิจิตร!N664"")"),5240)</f>
        <v>5240</v>
      </c>
      <c r="Q21" s="62">
        <f ca="1">IFERROR(__xludf.DUMMYFUNCTION("IMPORTRANGE(""https://docs.google.com/spreadsheets/d/1Y9LPKx95PyL5OKy09d-KbKJSuuEZCFdkhYjwC0XQjBA/edit?usp=sharing"",""พิจิตร!N667"")"),0)</f>
        <v>0</v>
      </c>
      <c r="R21" s="62">
        <f t="shared" ca="1" si="36"/>
        <v>0</v>
      </c>
      <c r="S21" s="57">
        <f ca="1">IFERROR(__xludf.DUMMYFUNCTION("IMPORTRANGE(""https://docs.google.com/spreadsheets/d/1Y9LPKx95PyL5OKy09d-KbKJSuuEZCFdkhYjwC0XQjBA/edit?usp=sharing"",""พิจิตร!I669"")"),50)</f>
        <v>50</v>
      </c>
      <c r="T21" s="57">
        <f ca="1">IFERROR(__xludf.DUMMYFUNCTION("IMPORTRANGE(""https://docs.google.com/spreadsheets/d/1Y9LPKx95PyL5OKy09d-KbKJSuuEZCFdkhYjwC0XQjBA/edit?usp=sharing"",""พิจิตร!J669"")"),0)</f>
        <v>0</v>
      </c>
      <c r="U21" s="63">
        <f t="shared" ca="1" si="28"/>
        <v>0</v>
      </c>
      <c r="V21" s="57">
        <f ca="1">IFERROR(__xludf.DUMMYFUNCTION("IMPORTRANGE(""https://docs.google.com/spreadsheets/d/1Y9LPKx95PyL5OKy09d-KbKJSuuEZCFdkhYjwC0XQjBA/edit?usp=sharing"",""พิจิตร!I670"")"),5)</f>
        <v>5</v>
      </c>
      <c r="W21" s="57">
        <f ca="1">IFERROR(__xludf.DUMMYFUNCTION("IMPORTRANGE(""https://docs.google.com/spreadsheets/d/1Y9LPKx95PyL5OKy09d-KbKJSuuEZCFdkhYjwC0XQjBA/edit?usp=sharing"",""พิจิตร!J670"")"),5)</f>
        <v>5</v>
      </c>
      <c r="X21" s="63">
        <f t="shared" ca="1" si="29"/>
        <v>100</v>
      </c>
      <c r="Y21" s="57">
        <f ca="1">IFERROR(__xludf.DUMMYFUNCTION("IMPORTRANGE(""https://docs.google.com/spreadsheets/d/1Y9LPKx95PyL5OKy09d-KbKJSuuEZCFdkhYjwC0XQjBA/edit?usp=sharing"",""พิจิตร!I671"")"),5)</f>
        <v>5</v>
      </c>
      <c r="Z21" s="57">
        <f ca="1">IFERROR(__xludf.DUMMYFUNCTION("IMPORTRANGE(""https://docs.google.com/spreadsheets/d/1Y9LPKx95PyL5OKy09d-KbKJSuuEZCFdkhYjwC0XQjBA/edit?usp=sharing"",""พิจิตร!J671"")"),5)</f>
        <v>5</v>
      </c>
      <c r="AA21" s="63">
        <f t="shared" ca="1" si="30"/>
        <v>100</v>
      </c>
      <c r="AB21" s="57">
        <f ca="1">IFERROR(__xludf.DUMMYFUNCTION("IMPORTRANGE(""https://docs.google.com/spreadsheets/d/1Y9LPKx95PyL5OKy09d-KbKJSuuEZCFdkhYjwC0XQjBA/edit?usp=sharing"",""พิจิตร!J672"")"),0)</f>
        <v>0</v>
      </c>
      <c r="AC21" s="63">
        <f t="shared" ca="1" si="11"/>
        <v>0</v>
      </c>
      <c r="AD21" s="57">
        <f ca="1">IFERROR(__xludf.DUMMYFUNCTION("IMPORTRANGE(""https://docs.google.com/spreadsheets/d/1Y9LPKx95PyL5OKy09d-KbKJSuuEZCFdkhYjwC0XQjBA/edit?usp=sharing"",""พิจิตร!J673"")"),0)</f>
        <v>0</v>
      </c>
      <c r="AE21" s="63">
        <f t="shared" ca="1" si="12"/>
        <v>0</v>
      </c>
      <c r="AF21" s="63">
        <f ca="1">IFERROR(__xludf.DUMMYFUNCTION("IMPORTRANGE(""https://docs.google.com/spreadsheets/d/1Y9LPKx95PyL5OKy09d-KbKJSuuEZCFdkhYjwC0XQjBA/edit?usp=sharing"",""พิจิตร!J674"")"),0)</f>
        <v>0</v>
      </c>
      <c r="AG21" s="63">
        <f t="shared" ca="1" si="13"/>
        <v>0</v>
      </c>
      <c r="AH21" s="63">
        <f ca="1">IFERROR(__xludf.DUMMYFUNCTION("IMPORTRANGE(""https://docs.google.com/spreadsheets/d/1Y9LPKx95PyL5OKy09d-KbKJSuuEZCFdkhYjwC0XQjBA/edit?usp=sharing"",""พิจิตร!J675"")"),0)</f>
        <v>0</v>
      </c>
      <c r="AI21" s="63">
        <f t="shared" ca="1" si="21"/>
        <v>0</v>
      </c>
      <c r="AJ21" s="63">
        <f ca="1">IFERROR(__xludf.DUMMYFUNCTION("IMPORTRANGE(""https://docs.google.com/spreadsheets/d/1Y9LPKx95PyL5OKy09d-KbKJSuuEZCFdkhYjwC0XQjBA/edit?usp=sharing"",""พิจิตร!J676"")"),0)</f>
        <v>0</v>
      </c>
      <c r="AK21" s="63">
        <f ca="1">IFERROR(__xludf.DUMMYFUNCTION("IMPORTRANGE(""https://docs.google.com/spreadsheets/d/1Y9LPKx95PyL5OKy09d-KbKJSuuEZCFdkhYjwC0XQjBA/edit?usp=sharing"",""พิจิตร!J677"")"),0)</f>
        <v>0</v>
      </c>
      <c r="AL21" s="57">
        <f ca="1">IFERROR(__xludf.DUMMYFUNCTION("IMPORTRANGE(""https://docs.google.com/spreadsheets/d/1Y9LPKx95PyL5OKy09d-KbKJSuuEZCFdkhYjwC0XQjBA/edit?usp=sharing"",""พิจิตร!I678"")"),0)</f>
        <v>0</v>
      </c>
      <c r="AM21" s="57">
        <f ca="1">IFERROR(__xludf.DUMMYFUNCTION("IMPORTRANGE(""https://docs.google.com/spreadsheets/d/1Y9LPKx95PyL5OKy09d-KbKJSuuEZCFdkhYjwC0XQjBA/edit?usp=sharing"",""พิจิตร!J678"")"),0)</f>
        <v>0</v>
      </c>
      <c r="AN21" s="63">
        <f t="shared" ca="1" si="31"/>
        <v>0</v>
      </c>
      <c r="AO21" s="57">
        <f ca="1">IFERROR(__xludf.DUMMYFUNCTION("IMPORTRANGE(""https://docs.google.com/spreadsheets/d/1Y9LPKx95PyL5OKy09d-KbKJSuuEZCFdkhYjwC0XQjBA/edit?usp=sharing"",""พิจิตร!J679"")"),0)</f>
        <v>0</v>
      </c>
      <c r="AP21" s="57">
        <f ca="1">IFERROR(__xludf.DUMMYFUNCTION("IMPORTRANGE(""https://docs.google.com/spreadsheets/d/1Y9LPKx95PyL5OKy09d-KbKJSuuEZCFdkhYjwC0XQjBA/edit?usp=sharing"",""พิจิตร!J680"")"),0)</f>
        <v>0</v>
      </c>
      <c r="AQ21" s="57">
        <f ca="1">IFERROR(__xludf.DUMMYFUNCTION("IMPORTRANGE(""https://docs.google.com/spreadsheets/d/1Y9LPKx95PyL5OKy09d-KbKJSuuEZCFdkhYjwC0XQjBA/edit?usp=sharing"",""พิจิตร!J681"")"),0)</f>
        <v>0</v>
      </c>
      <c r="AR21" s="57">
        <f ca="1">IFERROR(__xludf.DUMMYFUNCTION("IMPORTRANGE(""https://docs.google.com/spreadsheets/d/1Y9LPKx95PyL5OKy09d-KbKJSuuEZCFdkhYjwC0XQjBA/edit?usp=sharing"",""พิจิตร!J682"")"),0)</f>
        <v>0</v>
      </c>
      <c r="AS21" s="57">
        <f ca="1">IFERROR(__xludf.DUMMYFUNCTION("IMPORTRANGE(""https://docs.google.com/spreadsheets/d/1Y9LPKx95PyL5OKy09d-KbKJSuuEZCFdkhYjwC0XQjBA/edit?usp=sharing"",""พิจิตร!J683"")"),0)</f>
        <v>0</v>
      </c>
    </row>
    <row r="22" spans="1:45" ht="24" customHeight="1" x14ac:dyDescent="0.3">
      <c r="A22" s="54">
        <v>9</v>
      </c>
      <c r="B22" s="55" t="s">
        <v>43</v>
      </c>
      <c r="C22" s="56">
        <f t="shared" ca="1" si="42"/>
        <v>9400</v>
      </c>
      <c r="D22" s="57">
        <f ca="1">IFERROR(__xludf.DUMMYFUNCTION("IMPORTRANGE(""https://docs.google.com/spreadsheets/d/16OMuOwy2eVqZcYWOouQtTpa8X1L23h4660uVHc0C8os/edit?usp=sharing"",""พิษณุโลก!L660"")"),9400)</f>
        <v>9400</v>
      </c>
      <c r="E22" s="64">
        <f ca="1">IFERROR(__xludf.DUMMYFUNCTION("IMPORTRANGE(""https://docs.google.com/spreadsheets/d/16OMuOwy2eVqZcYWOouQtTpa8X1L23h4660uVHc0C8os/edit?usp=sharing"",""พิษณุโลก!L667"")"),0)</f>
        <v>0</v>
      </c>
      <c r="F22" s="64">
        <f ca="1">IFERROR(__xludf.DUMMYFUNCTION("IMPORTRANGE(""https://docs.google.com/spreadsheets/d/16OMuOwy2eVqZcYWOouQtTpa8X1L23h4660uVHc0C8os/edit?usp=sharing"",""พิษณุโลก!M660"")"),9400)</f>
        <v>9400</v>
      </c>
      <c r="G22" s="64">
        <f ca="1">IFERROR(__xludf.DUMMYFUNCTION("IMPORTRANGE(""https://docs.google.com/spreadsheets/d/16OMuOwy2eVqZcYWOouQtTpa8X1L23h4660uVHc0C8os/edit?usp=sharing"",""พิษณุโลก!M667"")"),0)</f>
        <v>0</v>
      </c>
      <c r="H22" s="58">
        <f t="shared" ca="1" si="27"/>
        <v>0</v>
      </c>
      <c r="I22" s="59">
        <f t="shared" ca="1" si="1"/>
        <v>0</v>
      </c>
      <c r="J22" s="60">
        <f t="shared" ca="1" si="43"/>
        <v>0</v>
      </c>
      <c r="K22" s="61">
        <f t="shared" ca="1" si="33"/>
        <v>0</v>
      </c>
      <c r="L22" s="61">
        <f t="shared" ca="1" si="34"/>
        <v>0</v>
      </c>
      <c r="M22" s="64">
        <f ca="1">IFERROR(__xludf.DUMMYFUNCTION("IMPORTRANGE(""https://docs.google.com/spreadsheets/d/16OMuOwy2eVqZcYWOouQtTpa8X1L23h4660uVHc0C8os/edit?usp=sharing"",""พิษณุโลก!N661"")"),0)</f>
        <v>0</v>
      </c>
      <c r="N22" s="64">
        <f ca="1">IFERROR(__xludf.DUMMYFUNCTION("IMPORTRANGE(""https://docs.google.com/spreadsheets/d/16OMuOwy2eVqZcYWOouQtTpa8X1L23h4660uVHc0C8os/edit?usp=sharing"",""พิษณุโลก!N662"")"),0)</f>
        <v>0</v>
      </c>
      <c r="O22" s="64">
        <f ca="1">IFERROR(__xludf.DUMMYFUNCTION("IMPORTRANGE(""https://docs.google.com/spreadsheets/d/16OMuOwy2eVqZcYWOouQtTpa8X1L23h4660uVHc0C8os/edit?usp=sharing"",""พิษณุโลก!N663"")"),0)</f>
        <v>0</v>
      </c>
      <c r="P22" s="64">
        <f ca="1">IFERROR(__xludf.DUMMYFUNCTION("IMPORTRANGE(""https://docs.google.com/spreadsheets/d/16OMuOwy2eVqZcYWOouQtTpa8X1L23h4660uVHc0C8os/edit?usp=sharing"",""พิษณุโลก!N664"")"),0)</f>
        <v>0</v>
      </c>
      <c r="Q22" s="62">
        <f ca="1">IFERROR(__xludf.DUMMYFUNCTION("IMPORTRANGE(""https://docs.google.com/spreadsheets/d/16OMuOwy2eVqZcYWOouQtTpa8X1L23h4660uVHc0C8os/edit?usp=sharing"",""พิษณุโลก!N667"")"),0)</f>
        <v>0</v>
      </c>
      <c r="R22" s="62">
        <f t="shared" ca="1" si="36"/>
        <v>0</v>
      </c>
      <c r="S22" s="57">
        <f ca="1">IFERROR(__xludf.DUMMYFUNCTION("IMPORTRANGE(""https://docs.google.com/spreadsheets/d/16OMuOwy2eVqZcYWOouQtTpa8X1L23h4660uVHc0C8os/edit?usp=sharing"",""พิษณุโลก!I669"")"),50)</f>
        <v>50</v>
      </c>
      <c r="T22" s="57">
        <f ca="1">IFERROR(__xludf.DUMMYFUNCTION("IMPORTRANGE(""https://docs.google.com/spreadsheets/d/16OMuOwy2eVqZcYWOouQtTpa8X1L23h4660uVHc0C8os/edit?usp=sharing"",""พิษณุโลก!J669"")"),0)</f>
        <v>0</v>
      </c>
      <c r="U22" s="63">
        <f t="shared" ca="1" si="28"/>
        <v>0</v>
      </c>
      <c r="V22" s="57">
        <f ca="1">IFERROR(__xludf.DUMMYFUNCTION("IMPORTRANGE(""https://docs.google.com/spreadsheets/d/16OMuOwy2eVqZcYWOouQtTpa8X1L23h4660uVHc0C8os/edit?usp=sharing"",""พิษณุโลก!I670"")"),4)</f>
        <v>4</v>
      </c>
      <c r="W22" s="57">
        <f ca="1">IFERROR(__xludf.DUMMYFUNCTION("IMPORTRANGE(""https://docs.google.com/spreadsheets/d/16OMuOwy2eVqZcYWOouQtTpa8X1L23h4660uVHc0C8os/edit?usp=sharing"",""พิษณุโลก!J670"")"),4)</f>
        <v>4</v>
      </c>
      <c r="X22" s="63">
        <f t="shared" ca="1" si="29"/>
        <v>100</v>
      </c>
      <c r="Y22" s="57">
        <f ca="1">IFERROR(__xludf.DUMMYFUNCTION("IMPORTRANGE(""https://docs.google.com/spreadsheets/d/16OMuOwy2eVqZcYWOouQtTpa8X1L23h4660uVHc0C8os/edit?usp=sharing"",""พิษณุโลก!I671"")"),4)</f>
        <v>4</v>
      </c>
      <c r="Z22" s="57">
        <f ca="1">IFERROR(__xludf.DUMMYFUNCTION("IMPORTRANGE(""https://docs.google.com/spreadsheets/d/16OMuOwy2eVqZcYWOouQtTpa8X1L23h4660uVHc0C8os/edit?usp=sharing"",""พิษณุโลก!J671"")"),4)</f>
        <v>4</v>
      </c>
      <c r="AA22" s="63">
        <f t="shared" ca="1" si="30"/>
        <v>100</v>
      </c>
      <c r="AB22" s="57">
        <f ca="1">IFERROR(__xludf.DUMMYFUNCTION("IMPORTRANGE(""https://docs.google.com/spreadsheets/d/16OMuOwy2eVqZcYWOouQtTpa8X1L23h4660uVHc0C8os/edit?usp=sharing"",""พิษณุโลก!J672"")"),9)</f>
        <v>9</v>
      </c>
      <c r="AC22" s="63">
        <f t="shared" ca="1" si="11"/>
        <v>18</v>
      </c>
      <c r="AD22" s="57">
        <f ca="1">IFERROR(__xludf.DUMMYFUNCTION("IMPORTRANGE(""https://docs.google.com/spreadsheets/d/16OMuOwy2eVqZcYWOouQtTpa8X1L23h4660uVHc0C8os/edit?usp=sharing"",""พิษณุโลก!J673"")"),0)</f>
        <v>0</v>
      </c>
      <c r="AE22" s="63">
        <f t="shared" ca="1" si="12"/>
        <v>0</v>
      </c>
      <c r="AF22" s="63">
        <f ca="1">IFERROR(__xludf.DUMMYFUNCTION("IMPORTRANGE(""https://docs.google.com/spreadsheets/d/16OMuOwy2eVqZcYWOouQtTpa8X1L23h4660uVHc0C8os/edit?usp=sharing"",""พิษณุโลก!J674"")"),0)</f>
        <v>0</v>
      </c>
      <c r="AG22" s="63">
        <f t="shared" ca="1" si="13"/>
        <v>0</v>
      </c>
      <c r="AH22" s="63">
        <f ca="1">IFERROR(__xludf.DUMMYFUNCTION("IMPORTRANGE(""https://docs.google.com/spreadsheets/d/16OMuOwy2eVqZcYWOouQtTpa8X1L23h4660uVHc0C8os/edit?usp=sharing"",""พิษณุโลก!J675"")"),0)</f>
        <v>0</v>
      </c>
      <c r="AI22" s="63">
        <f t="shared" ca="1" si="21"/>
        <v>0</v>
      </c>
      <c r="AJ22" s="63">
        <f ca="1">IFERROR(__xludf.DUMMYFUNCTION("IMPORTRANGE(""https://docs.google.com/spreadsheets/d/16OMuOwy2eVqZcYWOouQtTpa8X1L23h4660uVHc0C8os/edit?usp=sharing"",""พิษณุโลก!J676"")"),0)</f>
        <v>0</v>
      </c>
      <c r="AK22" s="63">
        <f ca="1">IFERROR(__xludf.DUMMYFUNCTION("IMPORTRANGE(""https://docs.google.com/spreadsheets/d/16OMuOwy2eVqZcYWOouQtTpa8X1L23h4660uVHc0C8os/edit?usp=sharing"",""พิษณุโลก!J677"")"),0)</f>
        <v>0</v>
      </c>
      <c r="AL22" s="57">
        <f ca="1">IFERROR(__xludf.DUMMYFUNCTION("IMPORTRANGE(""https://docs.google.com/spreadsheets/d/16OMuOwy2eVqZcYWOouQtTpa8X1L23h4660uVHc0C8os/edit?usp=sharing"",""พิษณุโลก!I678"")"),0)</f>
        <v>0</v>
      </c>
      <c r="AM22" s="57">
        <f ca="1">IFERROR(__xludf.DUMMYFUNCTION("IMPORTRANGE(""https://docs.google.com/spreadsheets/d/16OMuOwy2eVqZcYWOouQtTpa8X1L23h4660uVHc0C8os/edit?usp=sharing"",""พิษณุโลก!J678"")"),0)</f>
        <v>0</v>
      </c>
      <c r="AN22" s="63">
        <f t="shared" ca="1" si="31"/>
        <v>0</v>
      </c>
      <c r="AO22" s="57">
        <f ca="1">IFERROR(__xludf.DUMMYFUNCTION("IMPORTRANGE(""https://docs.google.com/spreadsheets/d/16OMuOwy2eVqZcYWOouQtTpa8X1L23h4660uVHc0C8os/edit?usp=sharing"",""พิษณุโลก!J679"")"),0)</f>
        <v>0</v>
      </c>
      <c r="AP22" s="57">
        <f ca="1">IFERROR(__xludf.DUMMYFUNCTION("IMPORTRANGE(""https://docs.google.com/spreadsheets/d/16OMuOwy2eVqZcYWOouQtTpa8X1L23h4660uVHc0C8os/edit?usp=sharing"",""พิษณุโลก!J680"")"),0)</f>
        <v>0</v>
      </c>
      <c r="AQ22" s="57">
        <f ca="1">IFERROR(__xludf.DUMMYFUNCTION("IMPORTRANGE(""https://docs.google.com/spreadsheets/d/16OMuOwy2eVqZcYWOouQtTpa8X1L23h4660uVHc0C8os/edit?usp=sharing"",""พิษณุโลก!J681"")"),0)</f>
        <v>0</v>
      </c>
      <c r="AR22" s="57">
        <f ca="1">IFERROR(__xludf.DUMMYFUNCTION("IMPORTRANGE(""https://docs.google.com/spreadsheets/d/16OMuOwy2eVqZcYWOouQtTpa8X1L23h4660uVHc0C8os/edit?usp=sharing"",""พิษณุโลก!J682"")"),0)</f>
        <v>0</v>
      </c>
      <c r="AS22" s="57">
        <f ca="1">IFERROR(__xludf.DUMMYFUNCTION("IMPORTRANGE(""https://docs.google.com/spreadsheets/d/16OMuOwy2eVqZcYWOouQtTpa8X1L23h4660uVHc0C8os/edit?usp=sharing"",""พิษณุโลก!J683"")"),0)</f>
        <v>0</v>
      </c>
    </row>
    <row r="23" spans="1:45" ht="24" customHeight="1" x14ac:dyDescent="0.3">
      <c r="A23" s="54">
        <v>10</v>
      </c>
      <c r="B23" s="55" t="s">
        <v>44</v>
      </c>
      <c r="C23" s="56">
        <f t="shared" ca="1" si="42"/>
        <v>0</v>
      </c>
      <c r="D23" s="57">
        <f ca="1">IFERROR(__xludf.DUMMYFUNCTION("IMPORTRANGE(""https://docs.google.com/spreadsheets/d/1GfgTldLG6k77HXaMQzaafODklYuucJZQNs_GAPEfZyY/edit?usp=sharing"",""เพชรบูรณ์!L660"")"),0)</f>
        <v>0</v>
      </c>
      <c r="E23" s="64">
        <f ca="1">IFERROR(__xludf.DUMMYFUNCTION("IMPORTRANGE(""https://docs.google.com/spreadsheets/d/1GfgTldLG6k77HXaMQzaafODklYuucJZQNs_GAPEfZyY/edit?usp=sharing"",""เพชรบูรณ์!L667"")"),0)</f>
        <v>0</v>
      </c>
      <c r="F23" s="64">
        <f ca="1">IFERROR(__xludf.DUMMYFUNCTION("IMPORTRANGE(""https://docs.google.com/spreadsheets/d/1GfgTldLG6k77HXaMQzaafODklYuucJZQNs_GAPEfZyY/edit?usp=sharing"",""เพชรบูรณ์!M660"")"),0)</f>
        <v>0</v>
      </c>
      <c r="G23" s="64">
        <f ca="1">IFERROR(__xludf.DUMMYFUNCTION("IMPORTRANGE(""https://docs.google.com/spreadsheets/d/1GfgTldLG6k77HXaMQzaafODklYuucJZQNs_GAPEfZyY/edit?usp=sharing"",""เพชรบูรณ์!M667"")"),0)</f>
        <v>0</v>
      </c>
      <c r="H23" s="58">
        <f t="shared" ca="1" si="27"/>
        <v>0</v>
      </c>
      <c r="I23" s="59">
        <f t="shared" ca="1" si="1"/>
        <v>0</v>
      </c>
      <c r="J23" s="60">
        <f t="shared" ca="1" si="43"/>
        <v>0</v>
      </c>
      <c r="K23" s="61">
        <f t="shared" ca="1" si="33"/>
        <v>0</v>
      </c>
      <c r="L23" s="61">
        <f t="shared" ca="1" si="34"/>
        <v>0</v>
      </c>
      <c r="M23" s="64">
        <f ca="1">IFERROR(__xludf.DUMMYFUNCTION("IMPORTRANGE(""https://docs.google.com/spreadsheets/d/1GfgTldLG6k77HXaMQzaafODklYuucJZQNs_GAPEfZyY/edit?usp=sharing"",""เพชรบูรณ์!N661"")"),0)</f>
        <v>0</v>
      </c>
      <c r="N23" s="64">
        <f ca="1">IFERROR(__xludf.DUMMYFUNCTION("IMPORTRANGE(""https://docs.google.com/spreadsheets/d/1GfgTldLG6k77HXaMQzaafODklYuucJZQNs_GAPEfZyY/edit?usp=sharing"",""เพชรบูรณ์!N662"")"),0)</f>
        <v>0</v>
      </c>
      <c r="O23" s="64">
        <f ca="1">IFERROR(__xludf.DUMMYFUNCTION("IMPORTRANGE(""https://docs.google.com/spreadsheets/d/1GfgTldLG6k77HXaMQzaafODklYuucJZQNs_GAPEfZyY/edit?usp=sharing"",""เพชรบูรณ์!N663"")"),0)</f>
        <v>0</v>
      </c>
      <c r="P23" s="64">
        <f ca="1">IFERROR(__xludf.DUMMYFUNCTION("IMPORTRANGE(""https://docs.google.com/spreadsheets/d/1GfgTldLG6k77HXaMQzaafODklYuucJZQNs_GAPEfZyY/edit?usp=sharing"",""เพชรบูรณ์!N664"")"),0)</f>
        <v>0</v>
      </c>
      <c r="Q23" s="62">
        <f ca="1">IFERROR(__xludf.DUMMYFUNCTION("IMPORTRANGE(""https://docs.google.com/spreadsheets/d/1GfgTldLG6k77HXaMQzaafODklYuucJZQNs_GAPEfZyY/edit?usp=sharing"",""เพชรบูรณ์!N667"")"),0)</f>
        <v>0</v>
      </c>
      <c r="R23" s="62">
        <f t="shared" ca="1" si="36"/>
        <v>0</v>
      </c>
      <c r="S23" s="57">
        <f ca="1">IFERROR(__xludf.DUMMYFUNCTION("IMPORTRANGE(""https://docs.google.com/spreadsheets/d/1GfgTldLG6k77HXaMQzaafODklYuucJZQNs_GAPEfZyY/edit?usp=sharing"",""เพชรบูรณ์!I669"")"),0)</f>
        <v>0</v>
      </c>
      <c r="T23" s="57">
        <f ca="1">IFERROR(__xludf.DUMMYFUNCTION("IMPORTRANGE(""https://docs.google.com/spreadsheets/d/1GfgTldLG6k77HXaMQzaafODklYuucJZQNs_GAPEfZyY/edit?usp=sharing"",""เพชรบูรณ์!J669"")"),0)</f>
        <v>0</v>
      </c>
      <c r="U23" s="63">
        <f t="shared" ca="1" si="28"/>
        <v>0</v>
      </c>
      <c r="V23" s="57">
        <f ca="1">IFERROR(__xludf.DUMMYFUNCTION("IMPORTRANGE(""https://docs.google.com/spreadsheets/d/1GfgTldLG6k77HXaMQzaafODklYuucJZQNs_GAPEfZyY/edit?usp=sharing"",""เพชรบูรณ์!I670"")"),0)</f>
        <v>0</v>
      </c>
      <c r="W23" s="57">
        <f ca="1">IFERROR(__xludf.DUMMYFUNCTION("IMPORTRANGE(""https://docs.google.com/spreadsheets/d/1GfgTldLG6k77HXaMQzaafODklYuucJZQNs_GAPEfZyY/edit?usp=sharing"",""เพชรบูรณ์!J670"")"),0)</f>
        <v>0</v>
      </c>
      <c r="X23" s="63">
        <f t="shared" ca="1" si="29"/>
        <v>0</v>
      </c>
      <c r="Y23" s="57">
        <f ca="1">IFERROR(__xludf.DUMMYFUNCTION("IMPORTRANGE(""https://docs.google.com/spreadsheets/d/1GfgTldLG6k77HXaMQzaafODklYuucJZQNs_GAPEfZyY/edit?usp=sharing"",""เพชรบูรณ์!I671"")"),0)</f>
        <v>0</v>
      </c>
      <c r="Z23" s="57">
        <f ca="1">IFERROR(__xludf.DUMMYFUNCTION("IMPORTRANGE(""https://docs.google.com/spreadsheets/d/1GfgTldLG6k77HXaMQzaafODklYuucJZQNs_GAPEfZyY/edit?usp=sharing"",""เพชรบูรณ์!J671"")"),0)</f>
        <v>0</v>
      </c>
      <c r="AA23" s="63">
        <f t="shared" ca="1" si="30"/>
        <v>0</v>
      </c>
      <c r="AB23" s="57">
        <f ca="1">IFERROR(__xludf.DUMMYFUNCTION("IMPORTRANGE(""https://docs.google.com/spreadsheets/d/1GfgTldLG6k77HXaMQzaafODklYuucJZQNs_GAPEfZyY/edit?usp=sharing"",""เพชรบูรณ์!J672"")"),0)</f>
        <v>0</v>
      </c>
      <c r="AC23" s="63">
        <f t="shared" ca="1" si="11"/>
        <v>0</v>
      </c>
      <c r="AD23" s="57">
        <f ca="1">IFERROR(__xludf.DUMMYFUNCTION("IMPORTRANGE(""https://docs.google.com/spreadsheets/d/1GfgTldLG6k77HXaMQzaafODklYuucJZQNs_GAPEfZyY/edit?usp=sharing"",""เพชรบูรณ์!J673"")"),0)</f>
        <v>0</v>
      </c>
      <c r="AE23" s="63">
        <f t="shared" ca="1" si="12"/>
        <v>0</v>
      </c>
      <c r="AF23" s="63">
        <f ca="1">IFERROR(__xludf.DUMMYFUNCTION("IMPORTRANGE(""https://docs.google.com/spreadsheets/d/1GfgTldLG6k77HXaMQzaafODklYuucJZQNs_GAPEfZyY/edit?usp=sharing"",""เพชรบูรณ์!J674"")"),0)</f>
        <v>0</v>
      </c>
      <c r="AG23" s="63">
        <f t="shared" ca="1" si="13"/>
        <v>0</v>
      </c>
      <c r="AH23" s="63">
        <f ca="1">IFERROR(__xludf.DUMMYFUNCTION("IMPORTRANGE(""https://docs.google.com/spreadsheets/d/1GfgTldLG6k77HXaMQzaafODklYuucJZQNs_GAPEfZyY/edit?usp=sharing"",""เพชรบูรณ์!J675"")"),0)</f>
        <v>0</v>
      </c>
      <c r="AI23" s="63">
        <f t="shared" ca="1" si="21"/>
        <v>0</v>
      </c>
      <c r="AJ23" s="63">
        <f ca="1">IFERROR(__xludf.DUMMYFUNCTION("IMPORTRANGE(""https://docs.google.com/spreadsheets/d/1GfgTldLG6k77HXaMQzaafODklYuucJZQNs_GAPEfZyY/edit?usp=sharing"",""เพชรบูรณ์!J676"")"),0)</f>
        <v>0</v>
      </c>
      <c r="AK23" s="63">
        <f ca="1">IFERROR(__xludf.DUMMYFUNCTION("IMPORTRANGE(""https://docs.google.com/spreadsheets/d/1GfgTldLG6k77HXaMQzaafODklYuucJZQNs_GAPEfZyY/edit?usp=sharing"",""เพชรบูรณ์!J677"")"),0)</f>
        <v>0</v>
      </c>
      <c r="AL23" s="57">
        <f ca="1">IFERROR(__xludf.DUMMYFUNCTION("IMPORTRANGE(""https://docs.google.com/spreadsheets/d/1GfgTldLG6k77HXaMQzaafODklYuucJZQNs_GAPEfZyY/edit?usp=sharing"",""เพชรบูรณ์!I678"")"),0)</f>
        <v>0</v>
      </c>
      <c r="AM23" s="57">
        <f ca="1">IFERROR(__xludf.DUMMYFUNCTION("IMPORTRANGE(""https://docs.google.com/spreadsheets/d/1GfgTldLG6k77HXaMQzaafODklYuucJZQNs_GAPEfZyY/edit?usp=sharing"",""เพชรบูรณ์!J678"")"),0)</f>
        <v>0</v>
      </c>
      <c r="AN23" s="63">
        <f t="shared" ca="1" si="31"/>
        <v>0</v>
      </c>
      <c r="AO23" s="57">
        <f ca="1">IFERROR(__xludf.DUMMYFUNCTION("IMPORTRANGE(""https://docs.google.com/spreadsheets/d/1GfgTldLG6k77HXaMQzaafODklYuucJZQNs_GAPEfZyY/edit?usp=sharing"",""เพชรบูรณ์!J679"")"),0)</f>
        <v>0</v>
      </c>
      <c r="AP23" s="57">
        <f ca="1">IFERROR(__xludf.DUMMYFUNCTION("IMPORTRANGE(""https://docs.google.com/spreadsheets/d/1GfgTldLG6k77HXaMQzaafODklYuucJZQNs_GAPEfZyY/edit?usp=sharing"",""เพชรบูรณ์!J680"")"),0)</f>
        <v>0</v>
      </c>
      <c r="AQ23" s="57">
        <f ca="1">IFERROR(__xludf.DUMMYFUNCTION("IMPORTRANGE(""https://docs.google.com/spreadsheets/d/1GfgTldLG6k77HXaMQzaafODklYuucJZQNs_GAPEfZyY/edit?usp=sharing"",""เพชรบูรณ์!J681"")"),0)</f>
        <v>0</v>
      </c>
      <c r="AR23" s="57">
        <f ca="1">IFERROR(__xludf.DUMMYFUNCTION("IMPORTRANGE(""https://docs.google.com/spreadsheets/d/1GfgTldLG6k77HXaMQzaafODklYuucJZQNs_GAPEfZyY/edit?usp=sharing"",""เพชรบูรณ์!J682"")"),0)</f>
        <v>0</v>
      </c>
      <c r="AS23" s="57">
        <f ca="1">IFERROR(__xludf.DUMMYFUNCTION("IMPORTRANGE(""https://docs.google.com/spreadsheets/d/1GfgTldLG6k77HXaMQzaafODklYuucJZQNs_GAPEfZyY/edit?usp=sharing"",""เพชรบูรณ์!J683"")"),0)</f>
        <v>0</v>
      </c>
    </row>
    <row r="24" spans="1:45" ht="24" customHeight="1" x14ac:dyDescent="0.3">
      <c r="A24" s="54">
        <v>11</v>
      </c>
      <c r="B24" s="55" t="s">
        <v>45</v>
      </c>
      <c r="C24" s="56">
        <f t="shared" ca="1" si="42"/>
        <v>0</v>
      </c>
      <c r="D24" s="57">
        <f ca="1">IFERROR(__xludf.DUMMYFUNCTION("IMPORTRANGE(""https://docs.google.com/spreadsheets/d/1gvTMYAnm7v1yG1BKWFtr0DnaTsq59oW9dwWvFgq6hs0/edit?usp=sharing"",""แพร่!L660"")"),0)</f>
        <v>0</v>
      </c>
      <c r="E24" s="64">
        <f ca="1">IFERROR(__xludf.DUMMYFUNCTION("IMPORTRANGE(""https://docs.google.com/spreadsheets/d/1gvTMYAnm7v1yG1BKWFtr0DnaTsq59oW9dwWvFgq6hs0/edit?usp=sharing"",""แพร่!L667"")"),0)</f>
        <v>0</v>
      </c>
      <c r="F24" s="64">
        <f ca="1">IFERROR(__xludf.DUMMYFUNCTION("IMPORTRANGE(""https://docs.google.com/spreadsheets/d/1gvTMYAnm7v1yG1BKWFtr0DnaTsq59oW9dwWvFgq6hs0/edit?usp=sharing"",""แพร่!M660"")"),0)</f>
        <v>0</v>
      </c>
      <c r="G24" s="64">
        <f ca="1">IFERROR(__xludf.DUMMYFUNCTION("IMPORTRANGE(""https://docs.google.com/spreadsheets/d/1gvTMYAnm7v1yG1BKWFtr0DnaTsq59oW9dwWvFgq6hs0/edit?usp=sharing"",""แพร่!M667"")"),0)</f>
        <v>0</v>
      </c>
      <c r="H24" s="58">
        <f t="shared" ca="1" si="27"/>
        <v>0</v>
      </c>
      <c r="I24" s="59">
        <f t="shared" ca="1" si="1"/>
        <v>0</v>
      </c>
      <c r="J24" s="60">
        <f t="shared" ca="1" si="43"/>
        <v>0</v>
      </c>
      <c r="K24" s="61">
        <f t="shared" ca="1" si="33"/>
        <v>0</v>
      </c>
      <c r="L24" s="61">
        <f t="shared" ca="1" si="34"/>
        <v>0</v>
      </c>
      <c r="M24" s="64">
        <f ca="1">IFERROR(__xludf.DUMMYFUNCTION("IMPORTRANGE(""https://docs.google.com/spreadsheets/d/1gvTMYAnm7v1yG1BKWFtr0DnaTsq59oW9dwWvFgq6hs0/edit?usp=sharing"",""แพร่!N661"")"),0)</f>
        <v>0</v>
      </c>
      <c r="N24" s="64">
        <f ca="1">IFERROR(__xludf.DUMMYFUNCTION("IMPORTRANGE(""https://docs.google.com/spreadsheets/d/1gvTMYAnm7v1yG1BKWFtr0DnaTsq59oW9dwWvFgq6hs0/edit?usp=sharing"",""แพร่!N662"")"),0)</f>
        <v>0</v>
      </c>
      <c r="O24" s="64">
        <f ca="1">IFERROR(__xludf.DUMMYFUNCTION("IMPORTRANGE(""https://docs.google.com/spreadsheets/d/1gvTMYAnm7v1yG1BKWFtr0DnaTsq59oW9dwWvFgq6hs0/edit?usp=sharing"",""แพร่!N663"")"),0)</f>
        <v>0</v>
      </c>
      <c r="P24" s="64">
        <f ca="1">IFERROR(__xludf.DUMMYFUNCTION("IMPORTRANGE(""https://docs.google.com/spreadsheets/d/1gvTMYAnm7v1yG1BKWFtr0DnaTsq59oW9dwWvFgq6hs0/edit?usp=sharing"",""แพร่!N664"")"),0)</f>
        <v>0</v>
      </c>
      <c r="Q24" s="62">
        <f ca="1">IFERROR(__xludf.DUMMYFUNCTION("IMPORTRANGE(""https://docs.google.com/spreadsheets/d/1gvTMYAnm7v1yG1BKWFtr0DnaTsq59oW9dwWvFgq6hs0/edit?usp=sharing"",""แพร่!N667"")"),0)</f>
        <v>0</v>
      </c>
      <c r="R24" s="62">
        <f t="shared" ca="1" si="36"/>
        <v>0</v>
      </c>
      <c r="S24" s="57">
        <f ca="1">IFERROR(__xludf.DUMMYFUNCTION("IMPORTRANGE(""https://docs.google.com/spreadsheets/d/1gvTMYAnm7v1yG1BKWFtr0DnaTsq59oW9dwWvFgq6hs0/edit?usp=sharing"",""แพร่!I669"")"),0)</f>
        <v>0</v>
      </c>
      <c r="T24" s="57">
        <f ca="1">IFERROR(__xludf.DUMMYFUNCTION("IMPORTRANGE(""https://docs.google.com/spreadsheets/d/1gvTMYAnm7v1yG1BKWFtr0DnaTsq59oW9dwWvFgq6hs0/edit?usp=sharing"",""แพร่!J669"")"),0)</f>
        <v>0</v>
      </c>
      <c r="U24" s="63">
        <f t="shared" ca="1" si="28"/>
        <v>0</v>
      </c>
      <c r="V24" s="57">
        <f ca="1">IFERROR(__xludf.DUMMYFUNCTION("IMPORTRANGE(""https://docs.google.com/spreadsheets/d/1gvTMYAnm7v1yG1BKWFtr0DnaTsq59oW9dwWvFgq6hs0/edit?usp=sharing"",""แพร่!I670"")"),0)</f>
        <v>0</v>
      </c>
      <c r="W24" s="57">
        <f ca="1">IFERROR(__xludf.DUMMYFUNCTION("IMPORTRANGE(""https://docs.google.com/spreadsheets/d/1gvTMYAnm7v1yG1BKWFtr0DnaTsq59oW9dwWvFgq6hs0/edit?usp=sharing"",""แพร่!J670"")"),0)</f>
        <v>0</v>
      </c>
      <c r="X24" s="63">
        <f t="shared" ca="1" si="29"/>
        <v>0</v>
      </c>
      <c r="Y24" s="57">
        <f ca="1">IFERROR(__xludf.DUMMYFUNCTION("IMPORTRANGE(""https://docs.google.com/spreadsheets/d/1gvTMYAnm7v1yG1BKWFtr0DnaTsq59oW9dwWvFgq6hs0/edit?usp=sharing"",""แพร่!I671"")"),0)</f>
        <v>0</v>
      </c>
      <c r="Z24" s="57">
        <f ca="1">IFERROR(__xludf.DUMMYFUNCTION("IMPORTRANGE(""https://docs.google.com/spreadsheets/d/1gvTMYAnm7v1yG1BKWFtr0DnaTsq59oW9dwWvFgq6hs0/edit?usp=sharing"",""แพร่!J671"")"),0)</f>
        <v>0</v>
      </c>
      <c r="AA24" s="63">
        <f t="shared" ca="1" si="30"/>
        <v>0</v>
      </c>
      <c r="AB24" s="57">
        <f ca="1">IFERROR(__xludf.DUMMYFUNCTION("IMPORTRANGE(""https://docs.google.com/spreadsheets/d/1gvTMYAnm7v1yG1BKWFtr0DnaTsq59oW9dwWvFgq6hs0/edit?usp=sharing"",""แพร่!J672"")"),0)</f>
        <v>0</v>
      </c>
      <c r="AC24" s="63">
        <f t="shared" ca="1" si="11"/>
        <v>0</v>
      </c>
      <c r="AD24" s="57">
        <f ca="1">IFERROR(__xludf.DUMMYFUNCTION("IMPORTRANGE(""https://docs.google.com/spreadsheets/d/1gvTMYAnm7v1yG1BKWFtr0DnaTsq59oW9dwWvFgq6hs0/edit?usp=sharing"",""แพร่!J673"")"),0)</f>
        <v>0</v>
      </c>
      <c r="AE24" s="63">
        <f t="shared" ca="1" si="12"/>
        <v>0</v>
      </c>
      <c r="AF24" s="63">
        <f ca="1">IFERROR(__xludf.DUMMYFUNCTION("IMPORTRANGE(""https://docs.google.com/spreadsheets/d/1gvTMYAnm7v1yG1BKWFtr0DnaTsq59oW9dwWvFgq6hs0/edit?usp=sharing"",""แพร่!J674"")"),0)</f>
        <v>0</v>
      </c>
      <c r="AG24" s="63">
        <f t="shared" ca="1" si="13"/>
        <v>0</v>
      </c>
      <c r="AH24" s="63">
        <f ca="1">IFERROR(__xludf.DUMMYFUNCTION("IMPORTRANGE(""https://docs.google.com/spreadsheets/d/1gvTMYAnm7v1yG1BKWFtr0DnaTsq59oW9dwWvFgq6hs0/edit?usp=sharing"",""แพร่!J675"")"),0)</f>
        <v>0</v>
      </c>
      <c r="AI24" s="63">
        <f t="shared" ca="1" si="21"/>
        <v>0</v>
      </c>
      <c r="AJ24" s="63">
        <f ca="1">IFERROR(__xludf.DUMMYFUNCTION("IMPORTRANGE(""https://docs.google.com/spreadsheets/d/1gvTMYAnm7v1yG1BKWFtr0DnaTsq59oW9dwWvFgq6hs0/edit?usp=sharing"",""แพร่!J676"")"),0)</f>
        <v>0</v>
      </c>
      <c r="AK24" s="63">
        <f ca="1">IFERROR(__xludf.DUMMYFUNCTION("IMPORTRANGE(""https://docs.google.com/spreadsheets/d/1gvTMYAnm7v1yG1BKWFtr0DnaTsq59oW9dwWvFgq6hs0/edit?usp=sharing"",""แพร่!J677"")"),0)</f>
        <v>0</v>
      </c>
      <c r="AL24" s="57">
        <f ca="1">IFERROR(__xludf.DUMMYFUNCTION("IMPORTRANGE(""https://docs.google.com/spreadsheets/d/1gvTMYAnm7v1yG1BKWFtr0DnaTsq59oW9dwWvFgq6hs0/edit?usp=sharing"",""แพร่!I678"")"),0)</f>
        <v>0</v>
      </c>
      <c r="AM24" s="57">
        <f ca="1">IFERROR(__xludf.DUMMYFUNCTION("IMPORTRANGE(""https://docs.google.com/spreadsheets/d/1gvTMYAnm7v1yG1BKWFtr0DnaTsq59oW9dwWvFgq6hs0/edit?usp=sharing"",""แพร่!J678"")"),0)</f>
        <v>0</v>
      </c>
      <c r="AN24" s="63">
        <f t="shared" ca="1" si="31"/>
        <v>0</v>
      </c>
      <c r="AO24" s="57">
        <f ca="1">IFERROR(__xludf.DUMMYFUNCTION("IMPORTRANGE(""https://docs.google.com/spreadsheets/d/1gvTMYAnm7v1yG1BKWFtr0DnaTsq59oW9dwWvFgq6hs0/edit?usp=sharing"",""แพร่!J679"")"),0)</f>
        <v>0</v>
      </c>
      <c r="AP24" s="57">
        <f ca="1">IFERROR(__xludf.DUMMYFUNCTION("IMPORTRANGE(""https://docs.google.com/spreadsheets/d/1gvTMYAnm7v1yG1BKWFtr0DnaTsq59oW9dwWvFgq6hs0/edit?usp=sharing"",""แพร่!J680"")"),0)</f>
        <v>0</v>
      </c>
      <c r="AQ24" s="57">
        <f ca="1">IFERROR(__xludf.DUMMYFUNCTION("IMPORTRANGE(""https://docs.google.com/spreadsheets/d/1gvTMYAnm7v1yG1BKWFtr0DnaTsq59oW9dwWvFgq6hs0/edit?usp=sharing"",""แพร่!J681"")"),0)</f>
        <v>0</v>
      </c>
      <c r="AR24" s="57">
        <f ca="1">IFERROR(__xludf.DUMMYFUNCTION("IMPORTRANGE(""https://docs.google.com/spreadsheets/d/1gvTMYAnm7v1yG1BKWFtr0DnaTsq59oW9dwWvFgq6hs0/edit?usp=sharing"",""แพร่!J682"")"),0)</f>
        <v>0</v>
      </c>
      <c r="AS24" s="57">
        <f ca="1">IFERROR(__xludf.DUMMYFUNCTION("IMPORTRANGE(""https://docs.google.com/spreadsheets/d/1gvTMYAnm7v1yG1BKWFtr0DnaTsq59oW9dwWvFgq6hs0/edit?usp=sharing"",""แพร่!J683"")"),0)</f>
        <v>0</v>
      </c>
    </row>
    <row r="25" spans="1:45" ht="24" customHeight="1" x14ac:dyDescent="0.3">
      <c r="A25" s="54">
        <v>12</v>
      </c>
      <c r="B25" s="55" t="s">
        <v>46</v>
      </c>
      <c r="C25" s="56">
        <f t="shared" ca="1" si="42"/>
        <v>0</v>
      </c>
      <c r="D25" s="57">
        <f ca="1">IFERROR(__xludf.DUMMYFUNCTION("IMPORTRANGE(""https://docs.google.com/spreadsheets/d/1Wbcosgy-Xa1xXUArJSOenub6EfZHUSzc_bpJFWwQUf0/edit?usp=sharing"",""แม่ฮ่องสอน!L660"")"),0)</f>
        <v>0</v>
      </c>
      <c r="E25" s="64">
        <f ca="1">IFERROR(__xludf.DUMMYFUNCTION("IMPORTRANGE(""https://docs.google.com/spreadsheets/d/1Wbcosgy-Xa1xXUArJSOenub6EfZHUSzc_bpJFWwQUf0/edit?usp=sharing"",""แม่ฮ่องสอน!L667"")"),0)</f>
        <v>0</v>
      </c>
      <c r="F25" s="64">
        <f ca="1">IFERROR(__xludf.DUMMYFUNCTION("IMPORTRANGE(""https://docs.google.com/spreadsheets/d/1Wbcosgy-Xa1xXUArJSOenub6EfZHUSzc_bpJFWwQUf0/edit?usp=sharing"",""แม่ฮ่องสอน!M660"")"),0)</f>
        <v>0</v>
      </c>
      <c r="G25" s="64">
        <f ca="1">IFERROR(__xludf.DUMMYFUNCTION("IMPORTRANGE(""https://docs.google.com/spreadsheets/d/1Wbcosgy-Xa1xXUArJSOenub6EfZHUSzc_bpJFWwQUf0/edit?usp=sharing"",""แม่ฮ่องสอน!M667"")"),0)</f>
        <v>0</v>
      </c>
      <c r="H25" s="58">
        <f t="shared" ca="1" si="27"/>
        <v>0</v>
      </c>
      <c r="I25" s="59">
        <f t="shared" ca="1" si="1"/>
        <v>0</v>
      </c>
      <c r="J25" s="60">
        <f t="shared" ca="1" si="43"/>
        <v>0</v>
      </c>
      <c r="K25" s="61">
        <f t="shared" ca="1" si="33"/>
        <v>0</v>
      </c>
      <c r="L25" s="61">
        <f t="shared" ca="1" si="34"/>
        <v>0</v>
      </c>
      <c r="M25" s="64">
        <f ca="1">IFERROR(__xludf.DUMMYFUNCTION("IMPORTRANGE(""https://docs.google.com/spreadsheets/d/1Wbcosgy-Xa1xXUArJSOenub6EfZHUSzc_bpJFWwQUf0/edit?usp=sharing"",""แม่ฮ่องสอน!N661"")"),0)</f>
        <v>0</v>
      </c>
      <c r="N25" s="64">
        <f ca="1">IFERROR(__xludf.DUMMYFUNCTION("IMPORTRANGE(""https://docs.google.com/spreadsheets/d/1Wbcosgy-Xa1xXUArJSOenub6EfZHUSzc_bpJFWwQUf0/edit?usp=sharing"",""แม่ฮ่องสอน!N662"")"),0)</f>
        <v>0</v>
      </c>
      <c r="O25" s="64">
        <f ca="1">IFERROR(__xludf.DUMMYFUNCTION("IMPORTRANGE(""https://docs.google.com/spreadsheets/d/1Wbcosgy-Xa1xXUArJSOenub6EfZHUSzc_bpJFWwQUf0/edit?usp=sharing"",""แม่ฮ่องสอน!N663"")"),0)</f>
        <v>0</v>
      </c>
      <c r="P25" s="64">
        <f ca="1">IFERROR(__xludf.DUMMYFUNCTION("IMPORTRANGE(""https://docs.google.com/spreadsheets/d/1Wbcosgy-Xa1xXUArJSOenub6EfZHUSzc_bpJFWwQUf0/edit?usp=sharing"",""แม่ฮ่องสอน!N664"")"),0)</f>
        <v>0</v>
      </c>
      <c r="Q25" s="62">
        <f ca="1">IFERROR(__xludf.DUMMYFUNCTION("IMPORTRANGE(""https://docs.google.com/spreadsheets/d/1Wbcosgy-Xa1xXUArJSOenub6EfZHUSzc_bpJFWwQUf0/edit?usp=sharing"",""แม่ฮ่องสอน!N667"")"),0)</f>
        <v>0</v>
      </c>
      <c r="R25" s="62">
        <f t="shared" ca="1" si="36"/>
        <v>0</v>
      </c>
      <c r="S25" s="57">
        <f ca="1">IFERROR(__xludf.DUMMYFUNCTION("IMPORTRANGE(""https://docs.google.com/spreadsheets/d/1Wbcosgy-Xa1xXUArJSOenub6EfZHUSzc_bpJFWwQUf0/edit?usp=sharing"",""แม่ฮ่องสอน!I669"")"),0)</f>
        <v>0</v>
      </c>
      <c r="T25" s="57">
        <f ca="1">IFERROR(__xludf.DUMMYFUNCTION("IMPORTRANGE(""https://docs.google.com/spreadsheets/d/1Wbcosgy-Xa1xXUArJSOenub6EfZHUSzc_bpJFWwQUf0/edit?usp=sharing"",""แม่ฮ่องสอน!J669"")"),0)</f>
        <v>0</v>
      </c>
      <c r="U25" s="63">
        <f t="shared" ca="1" si="28"/>
        <v>0</v>
      </c>
      <c r="V25" s="57">
        <f ca="1">IFERROR(__xludf.DUMMYFUNCTION("IMPORTRANGE(""https://docs.google.com/spreadsheets/d/1Wbcosgy-Xa1xXUArJSOenub6EfZHUSzc_bpJFWwQUf0/edit?usp=sharing"",""แม่ฮ่องสอน!I670"")"),0)</f>
        <v>0</v>
      </c>
      <c r="W25" s="57">
        <f ca="1">IFERROR(__xludf.DUMMYFUNCTION("IMPORTRANGE(""https://docs.google.com/spreadsheets/d/1Wbcosgy-Xa1xXUArJSOenub6EfZHUSzc_bpJFWwQUf0/edit?usp=sharing"",""แม่ฮ่องสอน!J670"")"),0)</f>
        <v>0</v>
      </c>
      <c r="X25" s="63">
        <f t="shared" ca="1" si="29"/>
        <v>0</v>
      </c>
      <c r="Y25" s="57">
        <f ca="1">IFERROR(__xludf.DUMMYFUNCTION("IMPORTRANGE(""https://docs.google.com/spreadsheets/d/1Wbcosgy-Xa1xXUArJSOenub6EfZHUSzc_bpJFWwQUf0/edit?usp=sharing"",""แม่ฮ่องสอน!I671"")"),0)</f>
        <v>0</v>
      </c>
      <c r="Z25" s="57">
        <f ca="1">IFERROR(__xludf.DUMMYFUNCTION("IMPORTRANGE(""https://docs.google.com/spreadsheets/d/1Wbcosgy-Xa1xXUArJSOenub6EfZHUSzc_bpJFWwQUf0/edit?usp=sharing"",""แม่ฮ่องสอน!J671"")"),0)</f>
        <v>0</v>
      </c>
      <c r="AA25" s="63">
        <f t="shared" ca="1" si="30"/>
        <v>0</v>
      </c>
      <c r="AB25" s="57">
        <f ca="1">IFERROR(__xludf.DUMMYFUNCTION("IMPORTRANGE(""https://docs.google.com/spreadsheets/d/1Wbcosgy-Xa1xXUArJSOenub6EfZHUSzc_bpJFWwQUf0/edit?usp=sharing"",""แม่ฮ่องสอน!J672"")"),0)</f>
        <v>0</v>
      </c>
      <c r="AC25" s="63">
        <f t="shared" ca="1" si="11"/>
        <v>0</v>
      </c>
      <c r="AD25" s="57">
        <f ca="1">IFERROR(__xludf.DUMMYFUNCTION("IMPORTRANGE(""https://docs.google.com/spreadsheets/d/1Wbcosgy-Xa1xXUArJSOenub6EfZHUSzc_bpJFWwQUf0/edit?usp=sharing"",""แม่ฮ่องสอน!J673"")"),0)</f>
        <v>0</v>
      </c>
      <c r="AE25" s="63">
        <f t="shared" ca="1" si="12"/>
        <v>0</v>
      </c>
      <c r="AF25" s="63">
        <f ca="1">IFERROR(__xludf.DUMMYFUNCTION("IMPORTRANGE(""https://docs.google.com/spreadsheets/d/1Wbcosgy-Xa1xXUArJSOenub6EfZHUSzc_bpJFWwQUf0/edit?usp=sharing"",""แม่ฮ่องสอน!J674"")"),0)</f>
        <v>0</v>
      </c>
      <c r="AG25" s="63">
        <f t="shared" ca="1" si="13"/>
        <v>0</v>
      </c>
      <c r="AH25" s="63">
        <f ca="1">IFERROR(__xludf.DUMMYFUNCTION("IMPORTRANGE(""https://docs.google.com/spreadsheets/d/1Wbcosgy-Xa1xXUArJSOenub6EfZHUSzc_bpJFWwQUf0/edit?usp=sharing"",""แม่ฮ่องสอน!J675"")"),0)</f>
        <v>0</v>
      </c>
      <c r="AI25" s="63">
        <f t="shared" ca="1" si="21"/>
        <v>0</v>
      </c>
      <c r="AJ25" s="63">
        <f ca="1">IFERROR(__xludf.DUMMYFUNCTION("IMPORTRANGE(""https://docs.google.com/spreadsheets/d/1Wbcosgy-Xa1xXUArJSOenub6EfZHUSzc_bpJFWwQUf0/edit?usp=sharing"",""แม่ฮ่องสอน!J676"")"),0)</f>
        <v>0</v>
      </c>
      <c r="AK25" s="63">
        <f ca="1">IFERROR(__xludf.DUMMYFUNCTION("IMPORTRANGE(""https://docs.google.com/spreadsheets/d/1Wbcosgy-Xa1xXUArJSOenub6EfZHUSzc_bpJFWwQUf0/edit?usp=sharing"",""แม่ฮ่องสอน!J677"")"),0)</f>
        <v>0</v>
      </c>
      <c r="AL25" s="57">
        <f ca="1">IFERROR(__xludf.DUMMYFUNCTION("IMPORTRANGE(""https://docs.google.com/spreadsheets/d/1Wbcosgy-Xa1xXUArJSOenub6EfZHUSzc_bpJFWwQUf0/edit?usp=sharing"",""แม่ฮ่องสอน!I678"")"),0)</f>
        <v>0</v>
      </c>
      <c r="AM25" s="57">
        <f ca="1">IFERROR(__xludf.DUMMYFUNCTION("IMPORTRANGE(""https://docs.google.com/spreadsheets/d/1Wbcosgy-Xa1xXUArJSOenub6EfZHUSzc_bpJFWwQUf0/edit?usp=sharing"",""แม่ฮ่องสอน!J678"")"),0)</f>
        <v>0</v>
      </c>
      <c r="AN25" s="63">
        <f t="shared" ca="1" si="31"/>
        <v>0</v>
      </c>
      <c r="AO25" s="57">
        <f ca="1">IFERROR(__xludf.DUMMYFUNCTION("IMPORTRANGE(""https://docs.google.com/spreadsheets/d/1Wbcosgy-Xa1xXUArJSOenub6EfZHUSzc_bpJFWwQUf0/edit?usp=sharing"",""แม่ฮ่องสอน!J679"")"),0)</f>
        <v>0</v>
      </c>
      <c r="AP25" s="57">
        <f ca="1">IFERROR(__xludf.DUMMYFUNCTION("IMPORTRANGE(""https://docs.google.com/spreadsheets/d/1Wbcosgy-Xa1xXUArJSOenub6EfZHUSzc_bpJFWwQUf0/edit?usp=sharing"",""แม่ฮ่องสอน!J680"")"),0)</f>
        <v>0</v>
      </c>
      <c r="AQ25" s="57">
        <f ca="1">IFERROR(__xludf.DUMMYFUNCTION("IMPORTRANGE(""https://docs.google.com/spreadsheets/d/1Wbcosgy-Xa1xXUArJSOenub6EfZHUSzc_bpJFWwQUf0/edit?usp=sharing"",""แม่ฮ่องสอน!J681"")"),0)</f>
        <v>0</v>
      </c>
      <c r="AR25" s="57">
        <f ca="1">IFERROR(__xludf.DUMMYFUNCTION("IMPORTRANGE(""https://docs.google.com/spreadsheets/d/1Wbcosgy-Xa1xXUArJSOenub6EfZHUSzc_bpJFWwQUf0/edit?usp=sharing"",""แม่ฮ่องสอน!J682"")"),0)</f>
        <v>0</v>
      </c>
      <c r="AS25" s="57">
        <f ca="1">IFERROR(__xludf.DUMMYFUNCTION("IMPORTRANGE(""https://docs.google.com/spreadsheets/d/1Wbcosgy-Xa1xXUArJSOenub6EfZHUSzc_bpJFWwQUf0/edit?usp=sharing"",""แม่ฮ่องสอน!J683"")"),0)</f>
        <v>0</v>
      </c>
    </row>
    <row r="26" spans="1:45" ht="24" customHeight="1" x14ac:dyDescent="0.3">
      <c r="A26" s="54">
        <v>13</v>
      </c>
      <c r="B26" s="55" t="s">
        <v>47</v>
      </c>
      <c r="C26" s="56">
        <f t="shared" ca="1" si="42"/>
        <v>14000</v>
      </c>
      <c r="D26" s="57">
        <f ca="1">IFERROR(__xludf.DUMMYFUNCTION("IMPORTRANGE(""https://docs.google.com/spreadsheets/d/1p7ERhsr0qZeSn-KSOdeHS9r0heI-lHtkcn2OH7hP0jQ/edit?usp=sharing"",""ลำปาง!L660"")"),14000)</f>
        <v>14000</v>
      </c>
      <c r="E26" s="64">
        <f ca="1">IFERROR(__xludf.DUMMYFUNCTION("IMPORTRANGE(""https://docs.google.com/spreadsheets/d/1p7ERhsr0qZeSn-KSOdeHS9r0heI-lHtkcn2OH7hP0jQ/edit?usp=sharing"",""ลำปาง!L667"")"),0)</f>
        <v>0</v>
      </c>
      <c r="F26" s="64">
        <f ca="1">IFERROR(__xludf.DUMMYFUNCTION("IMPORTRANGE(""https://docs.google.com/spreadsheets/d/1p7ERhsr0qZeSn-KSOdeHS9r0heI-lHtkcn2OH7hP0jQ/edit?usp=sharing"",""ลำปาง!M660"")"),14000)</f>
        <v>14000</v>
      </c>
      <c r="G26" s="64">
        <f ca="1">IFERROR(__xludf.DUMMYFUNCTION("IMPORTRANGE(""https://docs.google.com/spreadsheets/d/1p7ERhsr0qZeSn-KSOdeHS9r0heI-lHtkcn2OH7hP0jQ/edit?usp=sharing"",""ลำปาง!M667"")"),0)</f>
        <v>0</v>
      </c>
      <c r="H26" s="58">
        <f t="shared" ca="1" si="27"/>
        <v>5780</v>
      </c>
      <c r="I26" s="59">
        <f t="shared" ca="1" si="1"/>
        <v>41.285714285714285</v>
      </c>
      <c r="J26" s="60">
        <f t="shared" ca="1" si="43"/>
        <v>5780</v>
      </c>
      <c r="K26" s="61">
        <f t="shared" ca="1" si="33"/>
        <v>41.285714285714285</v>
      </c>
      <c r="L26" s="61">
        <f t="shared" ca="1" si="34"/>
        <v>41.285714285714285</v>
      </c>
      <c r="M26" s="64">
        <f ca="1">IFERROR(__xludf.DUMMYFUNCTION("IMPORTRANGE(""https://docs.google.com/spreadsheets/d/1p7ERhsr0qZeSn-KSOdeHS9r0heI-lHtkcn2OH7hP0jQ/edit?usp=sharing"",""ลำปาง!N661"")"),0)</f>
        <v>0</v>
      </c>
      <c r="N26" s="64">
        <f ca="1">IFERROR(__xludf.DUMMYFUNCTION("IMPORTRANGE(""https://docs.google.com/spreadsheets/d/1p7ERhsr0qZeSn-KSOdeHS9r0heI-lHtkcn2OH7hP0jQ/edit?usp=sharing"",""ลำปาง!N662"")"),0)</f>
        <v>0</v>
      </c>
      <c r="O26" s="64">
        <f ca="1">IFERROR(__xludf.DUMMYFUNCTION("IMPORTRANGE(""https://docs.google.com/spreadsheets/d/1p7ERhsr0qZeSn-KSOdeHS9r0heI-lHtkcn2OH7hP0jQ/edit?usp=sharing"",""ลำปาง!N663"")"),0)</f>
        <v>0</v>
      </c>
      <c r="P26" s="64">
        <f ca="1">IFERROR(__xludf.DUMMYFUNCTION("IMPORTRANGE(""https://docs.google.com/spreadsheets/d/1p7ERhsr0qZeSn-KSOdeHS9r0heI-lHtkcn2OH7hP0jQ/edit?usp=sharing"",""ลำปาง!N664"")"),5780)</f>
        <v>5780</v>
      </c>
      <c r="Q26" s="62">
        <f ca="1">IFERROR(__xludf.DUMMYFUNCTION("IMPORTRANGE(""https://docs.google.com/spreadsheets/d/1p7ERhsr0qZeSn-KSOdeHS9r0heI-lHtkcn2OH7hP0jQ/edit?usp=sharing"",""ลำปาง!N667"")"),0)</f>
        <v>0</v>
      </c>
      <c r="R26" s="62">
        <f t="shared" ca="1" si="36"/>
        <v>0</v>
      </c>
      <c r="S26" s="57">
        <f ca="1">IFERROR(__xludf.DUMMYFUNCTION("IMPORTRANGE(""https://docs.google.com/spreadsheets/d/1p7ERhsr0qZeSn-KSOdeHS9r0heI-lHtkcn2OH7hP0jQ/edit?usp=sharing"",""ลำปาง!I669"")"),100)</f>
        <v>100</v>
      </c>
      <c r="T26" s="57">
        <f ca="1">IFERROR(__xludf.DUMMYFUNCTION("IMPORTRANGE(""https://docs.google.com/spreadsheets/d/1p7ERhsr0qZeSn-KSOdeHS9r0heI-lHtkcn2OH7hP0jQ/edit?usp=sharing"",""ลำปาง!J669"")"),0)</f>
        <v>0</v>
      </c>
      <c r="U26" s="63">
        <f t="shared" ca="1" si="28"/>
        <v>0</v>
      </c>
      <c r="V26" s="57">
        <f ca="1">IFERROR(__xludf.DUMMYFUNCTION("IMPORTRANGE(""https://docs.google.com/spreadsheets/d/1p7ERhsr0qZeSn-KSOdeHS9r0heI-lHtkcn2OH7hP0jQ/edit?usp=sharing"",""ลำปาง!I670"")"),5)</f>
        <v>5</v>
      </c>
      <c r="W26" s="57">
        <f ca="1">IFERROR(__xludf.DUMMYFUNCTION("IMPORTRANGE(""https://docs.google.com/spreadsheets/d/1p7ERhsr0qZeSn-KSOdeHS9r0heI-lHtkcn2OH7hP0jQ/edit?usp=sharing"",""ลำปาง!J670"")"),5)</f>
        <v>5</v>
      </c>
      <c r="X26" s="63">
        <f t="shared" ca="1" si="29"/>
        <v>100</v>
      </c>
      <c r="Y26" s="57">
        <f ca="1">IFERROR(__xludf.DUMMYFUNCTION("IMPORTRANGE(""https://docs.google.com/spreadsheets/d/1p7ERhsr0qZeSn-KSOdeHS9r0heI-lHtkcn2OH7hP0jQ/edit?usp=sharing"",""ลำปาง!I671"")"),5)</f>
        <v>5</v>
      </c>
      <c r="Z26" s="57">
        <f ca="1">IFERROR(__xludf.DUMMYFUNCTION("IMPORTRANGE(""https://docs.google.com/spreadsheets/d/1p7ERhsr0qZeSn-KSOdeHS9r0heI-lHtkcn2OH7hP0jQ/edit?usp=sharing"",""ลำปาง!J671"")"),5)</f>
        <v>5</v>
      </c>
      <c r="AA26" s="63">
        <f t="shared" ca="1" si="30"/>
        <v>100</v>
      </c>
      <c r="AB26" s="57">
        <f ca="1">IFERROR(__xludf.DUMMYFUNCTION("IMPORTRANGE(""https://docs.google.com/spreadsheets/d/1p7ERhsr0qZeSn-KSOdeHS9r0heI-lHtkcn2OH7hP0jQ/edit?usp=sharing"",""ลำปาง!J672"")"),0)</f>
        <v>0</v>
      </c>
      <c r="AC26" s="63">
        <f t="shared" ca="1" si="11"/>
        <v>0</v>
      </c>
      <c r="AD26" s="57">
        <f ca="1">IFERROR(__xludf.DUMMYFUNCTION("IMPORTRANGE(""https://docs.google.com/spreadsheets/d/1p7ERhsr0qZeSn-KSOdeHS9r0heI-lHtkcn2OH7hP0jQ/edit?usp=sharing"",""ลำปาง!J673"")"),0)</f>
        <v>0</v>
      </c>
      <c r="AE26" s="63">
        <f t="shared" ca="1" si="12"/>
        <v>0</v>
      </c>
      <c r="AF26" s="63">
        <f ca="1">IFERROR(__xludf.DUMMYFUNCTION("IMPORTRANGE(""https://docs.google.com/spreadsheets/d/1p7ERhsr0qZeSn-KSOdeHS9r0heI-lHtkcn2OH7hP0jQ/edit?usp=sharing"",""ลำปาง!J674"")"),0)</f>
        <v>0</v>
      </c>
      <c r="AG26" s="63">
        <f t="shared" ca="1" si="13"/>
        <v>0</v>
      </c>
      <c r="AH26" s="63">
        <f ca="1">IFERROR(__xludf.DUMMYFUNCTION("IMPORTRANGE(""https://docs.google.com/spreadsheets/d/1p7ERhsr0qZeSn-KSOdeHS9r0heI-lHtkcn2OH7hP0jQ/edit?usp=sharing"",""ลำปาง!J675"")"),0)</f>
        <v>0</v>
      </c>
      <c r="AI26" s="63">
        <f t="shared" ca="1" si="21"/>
        <v>0</v>
      </c>
      <c r="AJ26" s="63">
        <f ca="1">IFERROR(__xludf.DUMMYFUNCTION("IMPORTRANGE(""https://docs.google.com/spreadsheets/d/1p7ERhsr0qZeSn-KSOdeHS9r0heI-lHtkcn2OH7hP0jQ/edit?usp=sharing"",""ลำปาง!J676"")"),0)</f>
        <v>0</v>
      </c>
      <c r="AK26" s="63">
        <f ca="1">IFERROR(__xludf.DUMMYFUNCTION("IMPORTRANGE(""https://docs.google.com/spreadsheets/d/1p7ERhsr0qZeSn-KSOdeHS9r0heI-lHtkcn2OH7hP0jQ/edit?usp=sharing"",""ลำปาง!J677"")"),0)</f>
        <v>0</v>
      </c>
      <c r="AL26" s="57">
        <f ca="1">IFERROR(__xludf.DUMMYFUNCTION("IMPORTRANGE(""https://docs.google.com/spreadsheets/d/1p7ERhsr0qZeSn-KSOdeHS9r0heI-lHtkcn2OH7hP0jQ/edit?usp=sharing"",""ลำปาง!I678"")"),0)</f>
        <v>0</v>
      </c>
      <c r="AM26" s="57">
        <f ca="1">IFERROR(__xludf.DUMMYFUNCTION("IMPORTRANGE(""https://docs.google.com/spreadsheets/d/1p7ERhsr0qZeSn-KSOdeHS9r0heI-lHtkcn2OH7hP0jQ/edit?usp=sharing"",""ลำปาง!J678"")"),0)</f>
        <v>0</v>
      </c>
      <c r="AN26" s="63">
        <f t="shared" ca="1" si="31"/>
        <v>0</v>
      </c>
      <c r="AO26" s="57">
        <f ca="1">IFERROR(__xludf.DUMMYFUNCTION("IMPORTRANGE(""https://docs.google.com/spreadsheets/d/1p7ERhsr0qZeSn-KSOdeHS9r0heI-lHtkcn2OH7hP0jQ/edit?usp=sharing"",""ลำปาง!J679"")"),0)</f>
        <v>0</v>
      </c>
      <c r="AP26" s="57">
        <f ca="1">IFERROR(__xludf.DUMMYFUNCTION("IMPORTRANGE(""https://docs.google.com/spreadsheets/d/1p7ERhsr0qZeSn-KSOdeHS9r0heI-lHtkcn2OH7hP0jQ/edit?usp=sharing"",""ลำปาง!J680"")"),0)</f>
        <v>0</v>
      </c>
      <c r="AQ26" s="57">
        <f ca="1">IFERROR(__xludf.DUMMYFUNCTION("IMPORTRANGE(""https://docs.google.com/spreadsheets/d/1p7ERhsr0qZeSn-KSOdeHS9r0heI-lHtkcn2OH7hP0jQ/edit?usp=sharing"",""ลำปาง!J681"")"),0)</f>
        <v>0</v>
      </c>
      <c r="AR26" s="57">
        <f ca="1">IFERROR(__xludf.DUMMYFUNCTION("IMPORTRANGE(""https://docs.google.com/spreadsheets/d/1p7ERhsr0qZeSn-KSOdeHS9r0heI-lHtkcn2OH7hP0jQ/edit?usp=sharing"",""ลำปาง!J682"")"),0)</f>
        <v>0</v>
      </c>
      <c r="AS26" s="57">
        <f ca="1">IFERROR(__xludf.DUMMYFUNCTION("IMPORTRANGE(""https://docs.google.com/spreadsheets/d/1p7ERhsr0qZeSn-KSOdeHS9r0heI-lHtkcn2OH7hP0jQ/edit?usp=sharing"",""ลำปาง!J683"")"),0)</f>
        <v>0</v>
      </c>
    </row>
    <row r="27" spans="1:45" ht="24" customHeight="1" x14ac:dyDescent="0.3">
      <c r="A27" s="54">
        <v>14</v>
      </c>
      <c r="B27" s="55" t="s">
        <v>48</v>
      </c>
      <c r="C27" s="56">
        <f t="shared" ca="1" si="42"/>
        <v>18400</v>
      </c>
      <c r="D27" s="57">
        <f ca="1">IFERROR(__xludf.DUMMYFUNCTION("IMPORTRANGE(""https://docs.google.com/spreadsheets/d/1-uUXvimVhiU2U0bMN-xi2te0tS4X7DI2GLPnMjzl8cA/edit?usp=sharing"",""ลำพูน!L660"")"),18400)</f>
        <v>18400</v>
      </c>
      <c r="E27" s="64">
        <f ca="1">IFERROR(__xludf.DUMMYFUNCTION("IMPORTRANGE(""https://docs.google.com/spreadsheets/d/1-uUXvimVhiU2U0bMN-xi2te0tS4X7DI2GLPnMjzl8cA/edit?usp=sharing"",""ลำพูน!L667"")"),0)</f>
        <v>0</v>
      </c>
      <c r="F27" s="64">
        <f ca="1">IFERROR(__xludf.DUMMYFUNCTION("IMPORTRANGE(""https://docs.google.com/spreadsheets/d/1-uUXvimVhiU2U0bMN-xi2te0tS4X7DI2GLPnMjzl8cA/edit?usp=sharing"",""ลำพูน!M660"")"),18400)</f>
        <v>18400</v>
      </c>
      <c r="G27" s="64">
        <f ca="1">IFERROR(__xludf.DUMMYFUNCTION("IMPORTRANGE(""https://docs.google.com/spreadsheets/d/1-uUXvimVhiU2U0bMN-xi2te0tS4X7DI2GLPnMjzl8cA/edit?usp=sharing"",""ลำพูน!M667"")"),0)</f>
        <v>0</v>
      </c>
      <c r="H27" s="58">
        <f t="shared" ca="1" si="27"/>
        <v>4580</v>
      </c>
      <c r="I27" s="59">
        <f t="shared" ca="1" si="1"/>
        <v>24.891304347826086</v>
      </c>
      <c r="J27" s="60">
        <f t="shared" ca="1" si="43"/>
        <v>4580</v>
      </c>
      <c r="K27" s="61">
        <f t="shared" ca="1" si="33"/>
        <v>24.891304347826086</v>
      </c>
      <c r="L27" s="61">
        <f t="shared" ca="1" si="34"/>
        <v>24.891304347826086</v>
      </c>
      <c r="M27" s="64">
        <f ca="1">IFERROR(__xludf.DUMMYFUNCTION("IMPORTRANGE(""https://docs.google.com/spreadsheets/d/1-uUXvimVhiU2U0bMN-xi2te0tS4X7DI2GLPnMjzl8cA/edit?usp=sharing"",""ลำพูน!N661"")"),0)</f>
        <v>0</v>
      </c>
      <c r="N27" s="64">
        <f ca="1">IFERROR(__xludf.DUMMYFUNCTION("IMPORTRANGE(""https://docs.google.com/spreadsheets/d/1-uUXvimVhiU2U0bMN-xi2te0tS4X7DI2GLPnMjzl8cA/edit?usp=sharing"",""ลำพูน!N662"")"),0)</f>
        <v>0</v>
      </c>
      <c r="O27" s="64">
        <f ca="1">IFERROR(__xludf.DUMMYFUNCTION("IMPORTRANGE(""https://docs.google.com/spreadsheets/d/1-uUXvimVhiU2U0bMN-xi2te0tS4X7DI2GLPnMjzl8cA/edit?usp=sharing"",""ลำพูน!N663"")"),0)</f>
        <v>0</v>
      </c>
      <c r="P27" s="64">
        <f ca="1">IFERROR(__xludf.DUMMYFUNCTION("IMPORTRANGE(""https://docs.google.com/spreadsheets/d/1-uUXvimVhiU2U0bMN-xi2te0tS4X7DI2GLPnMjzl8cA/edit?usp=sharing"",""ลำพูน!N664"")"),4580)</f>
        <v>4580</v>
      </c>
      <c r="Q27" s="62">
        <f ca="1">IFERROR(__xludf.DUMMYFUNCTION("IMPORTRANGE(""https://docs.google.com/spreadsheets/d/1-uUXvimVhiU2U0bMN-xi2te0tS4X7DI2GLPnMjzl8cA/edit?usp=sharing"",""ลำพูน!N667"")"),0)</f>
        <v>0</v>
      </c>
      <c r="R27" s="62">
        <f t="shared" ca="1" si="36"/>
        <v>0</v>
      </c>
      <c r="S27" s="57">
        <f ca="1">IFERROR(__xludf.DUMMYFUNCTION("IMPORTRANGE(""https://docs.google.com/spreadsheets/d/1-uUXvimVhiU2U0bMN-xi2te0tS4X7DI2GLPnMjzl8cA/edit?usp=sharing"",""ลำพูน!I669"")"),200)</f>
        <v>200</v>
      </c>
      <c r="T27" s="57">
        <f ca="1">IFERROR(__xludf.DUMMYFUNCTION("IMPORTRANGE(""https://docs.google.com/spreadsheets/d/1-uUXvimVhiU2U0bMN-xi2te0tS4X7DI2GLPnMjzl8cA/edit?usp=sharing"",""ลำพูน!J669"")"),0)</f>
        <v>0</v>
      </c>
      <c r="U27" s="63">
        <f t="shared" ca="1" si="28"/>
        <v>0</v>
      </c>
      <c r="V27" s="57">
        <f ca="1">IFERROR(__xludf.DUMMYFUNCTION("IMPORTRANGE(""https://docs.google.com/spreadsheets/d/1-uUXvimVhiU2U0bMN-xi2te0tS4X7DI2GLPnMjzl8cA/edit?usp=sharing"",""ลำพูน!I670"")"),4)</f>
        <v>4</v>
      </c>
      <c r="W27" s="57">
        <f ca="1">IFERROR(__xludf.DUMMYFUNCTION("IMPORTRANGE(""https://docs.google.com/spreadsheets/d/1-uUXvimVhiU2U0bMN-xi2te0tS4X7DI2GLPnMjzl8cA/edit?usp=sharing"",""ลำพูน!J670"")"),4)</f>
        <v>4</v>
      </c>
      <c r="X27" s="63">
        <f t="shared" ca="1" si="29"/>
        <v>100</v>
      </c>
      <c r="Y27" s="57">
        <f ca="1">IFERROR(__xludf.DUMMYFUNCTION("IMPORTRANGE(""https://docs.google.com/spreadsheets/d/1-uUXvimVhiU2U0bMN-xi2te0tS4X7DI2GLPnMjzl8cA/edit?usp=sharing"",""ลำพูน!I671"")"),4)</f>
        <v>4</v>
      </c>
      <c r="Z27" s="57">
        <f ca="1">IFERROR(__xludf.DUMMYFUNCTION("IMPORTRANGE(""https://docs.google.com/spreadsheets/d/1-uUXvimVhiU2U0bMN-xi2te0tS4X7DI2GLPnMjzl8cA/edit?usp=sharing"",""ลำพูน!J671"")"),4)</f>
        <v>4</v>
      </c>
      <c r="AA27" s="63">
        <f t="shared" ca="1" si="30"/>
        <v>100</v>
      </c>
      <c r="AB27" s="57">
        <f ca="1">IFERROR(__xludf.DUMMYFUNCTION("IMPORTRANGE(""https://docs.google.com/spreadsheets/d/1-uUXvimVhiU2U0bMN-xi2te0tS4X7DI2GLPnMjzl8cA/edit?usp=sharing"",""ลำพูน!J672"")"),646.95)</f>
        <v>646.95000000000005</v>
      </c>
      <c r="AC27" s="63">
        <f t="shared" ca="1" si="11"/>
        <v>323.47500000000002</v>
      </c>
      <c r="AD27" s="57">
        <f ca="1">IFERROR(__xludf.DUMMYFUNCTION("IMPORTRANGE(""https://docs.google.com/spreadsheets/d/1-uUXvimVhiU2U0bMN-xi2te0tS4X7DI2GLPnMjzl8cA/edit?usp=sharing"",""ลำพูน!J673"")"),647)</f>
        <v>647</v>
      </c>
      <c r="AE27" s="63">
        <f t="shared" ca="1" si="12"/>
        <v>323.5</v>
      </c>
      <c r="AF27" s="63">
        <f ca="1">IFERROR(__xludf.DUMMYFUNCTION("IMPORTRANGE(""https://docs.google.com/spreadsheets/d/1-uUXvimVhiU2U0bMN-xi2te0tS4X7DI2GLPnMjzl8cA/edit?usp=sharing"",""ลำพูน!J674"")"),0)</f>
        <v>0</v>
      </c>
      <c r="AG27" s="63">
        <f t="shared" ca="1" si="13"/>
        <v>0</v>
      </c>
      <c r="AH27" s="63">
        <f ca="1">IFERROR(__xludf.DUMMYFUNCTION("IMPORTRANGE(""https://docs.google.com/spreadsheets/d/1-uUXvimVhiU2U0bMN-xi2te0tS4X7DI2GLPnMjzl8cA/edit?usp=sharing"",""ลำพูน!J675"")"),0)</f>
        <v>0</v>
      </c>
      <c r="AI27" s="63">
        <f t="shared" ca="1" si="21"/>
        <v>0</v>
      </c>
      <c r="AJ27" s="63">
        <f ca="1">IFERROR(__xludf.DUMMYFUNCTION("IMPORTRANGE(""https://docs.google.com/spreadsheets/d/1-uUXvimVhiU2U0bMN-xi2te0tS4X7DI2GLPnMjzl8cA/edit?usp=sharing"",""ลำพูน!J676"")"),0)</f>
        <v>0</v>
      </c>
      <c r="AK27" s="63">
        <f ca="1">IFERROR(__xludf.DUMMYFUNCTION("IMPORTRANGE(""https://docs.google.com/spreadsheets/d/1-uUXvimVhiU2U0bMN-xi2te0tS4X7DI2GLPnMjzl8cA/edit?usp=sharing"",""ลำพูน!J677"")"),0)</f>
        <v>0</v>
      </c>
      <c r="AL27" s="57">
        <f ca="1">IFERROR(__xludf.DUMMYFUNCTION("IMPORTRANGE(""https://docs.google.com/spreadsheets/d/1-uUXvimVhiU2U0bMN-xi2te0tS4X7DI2GLPnMjzl8cA/edit?usp=sharing"",""ลำพูน!I678"")"),0)</f>
        <v>0</v>
      </c>
      <c r="AM27" s="57">
        <f ca="1">IFERROR(__xludf.DUMMYFUNCTION("IMPORTRANGE(""https://docs.google.com/spreadsheets/d/1-uUXvimVhiU2U0bMN-xi2te0tS4X7DI2GLPnMjzl8cA/edit?usp=sharing"",""ลำพูน!J678"")"),0)</f>
        <v>0</v>
      </c>
      <c r="AN27" s="63">
        <f t="shared" ca="1" si="31"/>
        <v>0</v>
      </c>
      <c r="AO27" s="57">
        <f ca="1">IFERROR(__xludf.DUMMYFUNCTION("IMPORTRANGE(""https://docs.google.com/spreadsheets/d/1-uUXvimVhiU2U0bMN-xi2te0tS4X7DI2GLPnMjzl8cA/edit?usp=sharing"",""ลำพูน!J679"")"),0)</f>
        <v>0</v>
      </c>
      <c r="AP27" s="57">
        <f ca="1">IFERROR(__xludf.DUMMYFUNCTION("IMPORTRANGE(""https://docs.google.com/spreadsheets/d/1-uUXvimVhiU2U0bMN-xi2te0tS4X7DI2GLPnMjzl8cA/edit?usp=sharing"",""ลำพูน!J680"")"),0)</f>
        <v>0</v>
      </c>
      <c r="AQ27" s="57">
        <f ca="1">IFERROR(__xludf.DUMMYFUNCTION("IMPORTRANGE(""https://docs.google.com/spreadsheets/d/1-uUXvimVhiU2U0bMN-xi2te0tS4X7DI2GLPnMjzl8cA/edit?usp=sharing"",""ลำพูน!J681"")"),0)</f>
        <v>0</v>
      </c>
      <c r="AR27" s="57">
        <f ca="1">IFERROR(__xludf.DUMMYFUNCTION("IMPORTRANGE(""https://docs.google.com/spreadsheets/d/1-uUXvimVhiU2U0bMN-xi2te0tS4X7DI2GLPnMjzl8cA/edit?usp=sharing"",""ลำพูน!J682"")"),0)</f>
        <v>0</v>
      </c>
      <c r="AS27" s="57">
        <f ca="1">IFERROR(__xludf.DUMMYFUNCTION("IMPORTRANGE(""https://docs.google.com/spreadsheets/d/1-uUXvimVhiU2U0bMN-xi2te0tS4X7DI2GLPnMjzl8cA/edit?usp=sharing"",""ลำพูน!J683"")"),0)</f>
        <v>0</v>
      </c>
    </row>
    <row r="28" spans="1:45" ht="24" customHeight="1" x14ac:dyDescent="0.3">
      <c r="A28" s="54">
        <v>15</v>
      </c>
      <c r="B28" s="55" t="s">
        <v>49</v>
      </c>
      <c r="C28" s="56">
        <f t="shared" ca="1" si="42"/>
        <v>12400</v>
      </c>
      <c r="D28" s="57">
        <f ca="1">IFERROR(__xludf.DUMMYFUNCTION("IMPORTRANGE(""https://docs.google.com/spreadsheets/d/17HrOaa5pBUI1onckFfumXB8xlg35qb2uBAFfF1D-Myo/edit?usp=sharing"",""สุโขทัย!L660"")"),12400)</f>
        <v>12400</v>
      </c>
      <c r="E28" s="64">
        <f ca="1">IFERROR(__xludf.DUMMYFUNCTION("IMPORTRANGE(""https://docs.google.com/spreadsheets/d/17HrOaa5pBUI1onckFfumXB8xlg35qb2uBAFfF1D-Myo/edit?usp=sharing"",""สุโขทัย!L667"")"),0)</f>
        <v>0</v>
      </c>
      <c r="F28" s="64">
        <f ca="1">IFERROR(__xludf.DUMMYFUNCTION("IMPORTRANGE(""https://docs.google.com/spreadsheets/d/17HrOaa5pBUI1onckFfumXB8xlg35qb2uBAFfF1D-Myo/edit?usp=sharing"",""สุโขทัย!M660"")"),12400)</f>
        <v>12400</v>
      </c>
      <c r="G28" s="64">
        <f ca="1">IFERROR(__xludf.DUMMYFUNCTION("IMPORTRANGE(""https://docs.google.com/spreadsheets/d/17HrOaa5pBUI1onckFfumXB8xlg35qb2uBAFfF1D-Myo/edit?usp=sharing"",""สุโขทัย!M667"")"),0)</f>
        <v>0</v>
      </c>
      <c r="H28" s="58">
        <f t="shared" ca="1" si="27"/>
        <v>0</v>
      </c>
      <c r="I28" s="59">
        <f t="shared" ca="1" si="1"/>
        <v>0</v>
      </c>
      <c r="J28" s="60">
        <f t="shared" ca="1" si="43"/>
        <v>0</v>
      </c>
      <c r="K28" s="61">
        <f t="shared" ca="1" si="33"/>
        <v>0</v>
      </c>
      <c r="L28" s="61">
        <f t="shared" ca="1" si="34"/>
        <v>0</v>
      </c>
      <c r="M28" s="64">
        <f ca="1">IFERROR(__xludf.DUMMYFUNCTION("IMPORTRANGE(""https://docs.google.com/spreadsheets/d/17HrOaa5pBUI1onckFfumXB8xlg35qb2uBAFfF1D-Myo/edit?usp=sharing"",""สุโขทัย!N661"")"),0)</f>
        <v>0</v>
      </c>
      <c r="N28" s="64">
        <f ca="1">IFERROR(__xludf.DUMMYFUNCTION("IMPORTRANGE(""https://docs.google.com/spreadsheets/d/17HrOaa5pBUI1onckFfumXB8xlg35qb2uBAFfF1D-Myo/edit?usp=sharing"",""สุโขทัย!N662"")"),0)</f>
        <v>0</v>
      </c>
      <c r="O28" s="64">
        <f ca="1">IFERROR(__xludf.DUMMYFUNCTION("IMPORTRANGE(""https://docs.google.com/spreadsheets/d/17HrOaa5pBUI1onckFfumXB8xlg35qb2uBAFfF1D-Myo/edit?usp=sharing"",""สุโขทัย!N663"")"),0)</f>
        <v>0</v>
      </c>
      <c r="P28" s="64">
        <f ca="1">IFERROR(__xludf.DUMMYFUNCTION("IMPORTRANGE(""https://docs.google.com/spreadsheets/d/17HrOaa5pBUI1onckFfumXB8xlg35qb2uBAFfF1D-Myo/edit?usp=sharing"",""สุโขทัย!N664"")"),0)</f>
        <v>0</v>
      </c>
      <c r="Q28" s="62">
        <f ca="1">IFERROR(__xludf.DUMMYFUNCTION("IMPORTRANGE(""https://docs.google.com/spreadsheets/d/17HrOaa5pBUI1onckFfumXB8xlg35qb2uBAFfF1D-Myo/edit?usp=sharing"",""สุโขทัย!N667"")"),0)</f>
        <v>0</v>
      </c>
      <c r="R28" s="62">
        <f t="shared" ca="1" si="36"/>
        <v>0</v>
      </c>
      <c r="S28" s="57">
        <f ca="1">IFERROR(__xludf.DUMMYFUNCTION("IMPORTRANGE(""https://docs.google.com/spreadsheets/d/17HrOaa5pBUI1onckFfumXB8xlg35qb2uBAFfF1D-Myo/edit?usp=sharing"",""สุโขทัย!I669"")"),100)</f>
        <v>100</v>
      </c>
      <c r="T28" s="57">
        <f ca="1">IFERROR(__xludf.DUMMYFUNCTION("IMPORTRANGE(""https://docs.google.com/spreadsheets/d/17HrOaa5pBUI1onckFfumXB8xlg35qb2uBAFfF1D-Myo/edit?usp=sharing"",""สุโขทัย!J669"")"),0)</f>
        <v>0</v>
      </c>
      <c r="U28" s="63">
        <f t="shared" ca="1" si="28"/>
        <v>0</v>
      </c>
      <c r="V28" s="57">
        <f ca="1">IFERROR(__xludf.DUMMYFUNCTION("IMPORTRANGE(""https://docs.google.com/spreadsheets/d/17HrOaa5pBUI1onckFfumXB8xlg35qb2uBAFfF1D-Myo/edit?usp=sharing"",""สุโขทัย!I670"")"),4)</f>
        <v>4</v>
      </c>
      <c r="W28" s="57">
        <f ca="1">IFERROR(__xludf.DUMMYFUNCTION("IMPORTRANGE(""https://docs.google.com/spreadsheets/d/17HrOaa5pBUI1onckFfumXB8xlg35qb2uBAFfF1D-Myo/edit?usp=sharing"",""สุโขทัย!J670"")"),4)</f>
        <v>4</v>
      </c>
      <c r="X28" s="63">
        <f t="shared" ca="1" si="29"/>
        <v>100</v>
      </c>
      <c r="Y28" s="57">
        <f ca="1">IFERROR(__xludf.DUMMYFUNCTION("IMPORTRANGE(""https://docs.google.com/spreadsheets/d/17HrOaa5pBUI1onckFfumXB8xlg35qb2uBAFfF1D-Myo/edit?usp=sharing"",""สุโขทัย!I671"")"),4)</f>
        <v>4</v>
      </c>
      <c r="Z28" s="57">
        <f ca="1">IFERROR(__xludf.DUMMYFUNCTION("IMPORTRANGE(""https://docs.google.com/spreadsheets/d/17HrOaa5pBUI1onckFfumXB8xlg35qb2uBAFfF1D-Myo/edit?usp=sharing"",""สุโขทัย!J671"")"),7)</f>
        <v>7</v>
      </c>
      <c r="AA28" s="63">
        <f t="shared" ca="1" si="30"/>
        <v>175</v>
      </c>
      <c r="AB28" s="57">
        <f ca="1">IFERROR(__xludf.DUMMYFUNCTION("IMPORTRANGE(""https://docs.google.com/spreadsheets/d/17HrOaa5pBUI1onckFfumXB8xlg35qb2uBAFfF1D-Myo/edit?usp=sharing"",""สุโขทัย!J672"")"),0)</f>
        <v>0</v>
      </c>
      <c r="AC28" s="63">
        <f t="shared" ca="1" si="11"/>
        <v>0</v>
      </c>
      <c r="AD28" s="57">
        <f ca="1">IFERROR(__xludf.DUMMYFUNCTION("IMPORTRANGE(""https://docs.google.com/spreadsheets/d/17HrOaa5pBUI1onckFfumXB8xlg35qb2uBAFfF1D-Myo/edit?usp=sharing"",""สุโขทัย!J673"")"),0)</f>
        <v>0</v>
      </c>
      <c r="AE28" s="63">
        <f t="shared" ca="1" si="12"/>
        <v>0</v>
      </c>
      <c r="AF28" s="63">
        <f ca="1">IFERROR(__xludf.DUMMYFUNCTION("IMPORTRANGE(""https://docs.google.com/spreadsheets/d/17HrOaa5pBUI1onckFfumXB8xlg35qb2uBAFfF1D-Myo/edit?usp=sharing"",""สุโขทัย!J674"")"),0)</f>
        <v>0</v>
      </c>
      <c r="AG28" s="63">
        <f t="shared" ca="1" si="13"/>
        <v>0</v>
      </c>
      <c r="AH28" s="63">
        <f ca="1">IFERROR(__xludf.DUMMYFUNCTION("IMPORTRANGE(""https://docs.google.com/spreadsheets/d/17HrOaa5pBUI1onckFfumXB8xlg35qb2uBAFfF1D-Myo/edit?usp=sharing"",""สุโขทัย!J675"")"),0)</f>
        <v>0</v>
      </c>
      <c r="AI28" s="63">
        <f t="shared" ca="1" si="21"/>
        <v>0</v>
      </c>
      <c r="AJ28" s="63">
        <f ca="1">IFERROR(__xludf.DUMMYFUNCTION("IMPORTRANGE(""https://docs.google.com/spreadsheets/d/17HrOaa5pBUI1onckFfumXB8xlg35qb2uBAFfF1D-Myo/edit?usp=sharing"",""สุโขทัย!J676"")"),0)</f>
        <v>0</v>
      </c>
      <c r="AK28" s="63">
        <f ca="1">IFERROR(__xludf.DUMMYFUNCTION("IMPORTRANGE(""https://docs.google.com/spreadsheets/d/17HrOaa5pBUI1onckFfumXB8xlg35qb2uBAFfF1D-Myo/edit?usp=sharing"",""สุโขทัย!J677"")"),0)</f>
        <v>0</v>
      </c>
      <c r="AL28" s="57">
        <f ca="1">IFERROR(__xludf.DUMMYFUNCTION("IMPORTRANGE(""https://docs.google.com/spreadsheets/d/17HrOaa5pBUI1onckFfumXB8xlg35qb2uBAFfF1D-Myo/edit?usp=sharing"",""สุโขทัย!I678"")"),0)</f>
        <v>0</v>
      </c>
      <c r="AM28" s="57">
        <f ca="1">IFERROR(__xludf.DUMMYFUNCTION("IMPORTRANGE(""https://docs.google.com/spreadsheets/d/17HrOaa5pBUI1onckFfumXB8xlg35qb2uBAFfF1D-Myo/edit?usp=sharing"",""สุโขทัย!J678"")"),0)</f>
        <v>0</v>
      </c>
      <c r="AN28" s="63">
        <f t="shared" ca="1" si="31"/>
        <v>0</v>
      </c>
      <c r="AO28" s="57">
        <f ca="1">IFERROR(__xludf.DUMMYFUNCTION("IMPORTRANGE(""https://docs.google.com/spreadsheets/d/17HrOaa5pBUI1onckFfumXB8xlg35qb2uBAFfF1D-Myo/edit?usp=sharing"",""สุโขทัย!J679"")"),0)</f>
        <v>0</v>
      </c>
      <c r="AP28" s="57">
        <f ca="1">IFERROR(__xludf.DUMMYFUNCTION("IMPORTRANGE(""https://docs.google.com/spreadsheets/d/17HrOaa5pBUI1onckFfumXB8xlg35qb2uBAFfF1D-Myo/edit?usp=sharing"",""สุโขทัย!J680"")"),0)</f>
        <v>0</v>
      </c>
      <c r="AQ28" s="57">
        <f ca="1">IFERROR(__xludf.DUMMYFUNCTION("IMPORTRANGE(""https://docs.google.com/spreadsheets/d/17HrOaa5pBUI1onckFfumXB8xlg35qb2uBAFfF1D-Myo/edit?usp=sharing"",""สุโขทัย!J681"")"),0)</f>
        <v>0</v>
      </c>
      <c r="AR28" s="57">
        <f ca="1">IFERROR(__xludf.DUMMYFUNCTION("IMPORTRANGE(""https://docs.google.com/spreadsheets/d/17HrOaa5pBUI1onckFfumXB8xlg35qb2uBAFfF1D-Myo/edit?usp=sharing"",""สุโขทัย!J682"")"),0)</f>
        <v>0</v>
      </c>
      <c r="AS28" s="57">
        <f ca="1">IFERROR(__xludf.DUMMYFUNCTION("IMPORTRANGE(""https://docs.google.com/spreadsheets/d/17HrOaa5pBUI1onckFfumXB8xlg35qb2uBAFfF1D-Myo/edit?usp=sharing"",""สุโขทัย!J683"")"),0)</f>
        <v>0</v>
      </c>
    </row>
    <row r="29" spans="1:45" ht="24" customHeight="1" x14ac:dyDescent="0.3">
      <c r="A29" s="54">
        <v>16</v>
      </c>
      <c r="B29" s="55" t="s">
        <v>50</v>
      </c>
      <c r="C29" s="56">
        <f t="shared" ca="1" si="42"/>
        <v>9400</v>
      </c>
      <c r="D29" s="57">
        <f ca="1">IFERROR(__xludf.DUMMYFUNCTION("IMPORTRANGE(""https://docs.google.com/spreadsheets/d/1ubs5cl16eYL9gHbdHTJtmtYb9MGzHBs7CAphn8kNCgM/edit?usp=sharing"",""อุตรดิตถ์!L660"")"),9400)</f>
        <v>9400</v>
      </c>
      <c r="E29" s="64">
        <f ca="1">IFERROR(__xludf.DUMMYFUNCTION("IMPORTRANGE(""https://docs.google.com/spreadsheets/d/1ubs5cl16eYL9gHbdHTJtmtYb9MGzHBs7CAphn8kNCgM/edit?usp=sharing"",""อุตรดิตถ์!L667"")"),0)</f>
        <v>0</v>
      </c>
      <c r="F29" s="64">
        <f ca="1">IFERROR(__xludf.DUMMYFUNCTION("IMPORTRANGE(""https://docs.google.com/spreadsheets/d/1ubs5cl16eYL9gHbdHTJtmtYb9MGzHBs7CAphn8kNCgM/edit?usp=sharing"",""อุตรดิตถ์!M660"")"),9400)</f>
        <v>9400</v>
      </c>
      <c r="G29" s="64">
        <f ca="1">IFERROR(__xludf.DUMMYFUNCTION("IMPORTRANGE(""https://docs.google.com/spreadsheets/d/1ubs5cl16eYL9gHbdHTJtmtYb9MGzHBs7CAphn8kNCgM/edit?usp=sharing"",""อุตรดิตถ์!M667"")"),0)</f>
        <v>0</v>
      </c>
      <c r="H29" s="58">
        <f t="shared" ca="1" si="27"/>
        <v>2500</v>
      </c>
      <c r="I29" s="59">
        <f t="shared" ca="1" si="1"/>
        <v>26.595744680851062</v>
      </c>
      <c r="J29" s="60">
        <f t="shared" ca="1" si="43"/>
        <v>2500</v>
      </c>
      <c r="K29" s="61">
        <f t="shared" ca="1" si="33"/>
        <v>26.595744680851062</v>
      </c>
      <c r="L29" s="61">
        <f t="shared" ca="1" si="34"/>
        <v>26.595744680851062</v>
      </c>
      <c r="M29" s="64">
        <f ca="1">IFERROR(__xludf.DUMMYFUNCTION("IMPORTRANGE(""https://docs.google.com/spreadsheets/d/1ubs5cl16eYL9gHbdHTJtmtYb9MGzHBs7CAphn8kNCgM/edit?usp=sharing"",""อุตรดิตถ์!N661"")"),0)</f>
        <v>0</v>
      </c>
      <c r="N29" s="64">
        <f ca="1">IFERROR(__xludf.DUMMYFUNCTION("IMPORTRANGE(""https://docs.google.com/spreadsheets/d/1ubs5cl16eYL9gHbdHTJtmtYb9MGzHBs7CAphn8kNCgM/edit?usp=sharing"",""อุตรดิตถ์!N662"")"),0)</f>
        <v>0</v>
      </c>
      <c r="O29" s="64">
        <f ca="1">IFERROR(__xludf.DUMMYFUNCTION("IMPORTRANGE(""https://docs.google.com/spreadsheets/d/1ubs5cl16eYL9gHbdHTJtmtYb9MGzHBs7CAphn8kNCgM/edit?usp=sharing"",""อุตรดิตถ์!N663"")"),0)</f>
        <v>0</v>
      </c>
      <c r="P29" s="64">
        <f ca="1">IFERROR(__xludf.DUMMYFUNCTION("IMPORTRANGE(""https://docs.google.com/spreadsheets/d/1ubs5cl16eYL9gHbdHTJtmtYb9MGzHBs7CAphn8kNCgM/edit?usp=sharing"",""อุตรดิตถ์!N664"")"),2500)</f>
        <v>2500</v>
      </c>
      <c r="Q29" s="62">
        <f ca="1">IFERROR(__xludf.DUMMYFUNCTION("IMPORTRANGE(""https://docs.google.com/spreadsheets/d/1ubs5cl16eYL9gHbdHTJtmtYb9MGzHBs7CAphn8kNCgM/edit?usp=sharing"",""อุตรดิตถ์!N667"")"),0)</f>
        <v>0</v>
      </c>
      <c r="R29" s="62">
        <f t="shared" ca="1" si="36"/>
        <v>0</v>
      </c>
      <c r="S29" s="57">
        <f ca="1">IFERROR(__xludf.DUMMYFUNCTION("IMPORTRANGE(""https://docs.google.com/spreadsheets/d/1ubs5cl16eYL9gHbdHTJtmtYb9MGzHBs7CAphn8kNCgM/edit?usp=sharing"",""อุตรดิตถ์!I669"")"),50)</f>
        <v>50</v>
      </c>
      <c r="T29" s="57">
        <f ca="1">IFERROR(__xludf.DUMMYFUNCTION("IMPORTRANGE(""https://docs.google.com/spreadsheets/d/1ubs5cl16eYL9gHbdHTJtmtYb9MGzHBs7CAphn8kNCgM/edit?usp=sharing"",""อุตรดิตถ์!J669"")"),0)</f>
        <v>0</v>
      </c>
      <c r="U29" s="63">
        <f t="shared" ca="1" si="28"/>
        <v>0</v>
      </c>
      <c r="V29" s="57">
        <f ca="1">IFERROR(__xludf.DUMMYFUNCTION("IMPORTRANGE(""https://docs.google.com/spreadsheets/d/1ubs5cl16eYL9gHbdHTJtmtYb9MGzHBs7CAphn8kNCgM/edit?usp=sharing"",""อุตรดิตถ์!I670"")"),4)</f>
        <v>4</v>
      </c>
      <c r="W29" s="57">
        <f ca="1">IFERROR(__xludf.DUMMYFUNCTION("IMPORTRANGE(""https://docs.google.com/spreadsheets/d/1ubs5cl16eYL9gHbdHTJtmtYb9MGzHBs7CAphn8kNCgM/edit?usp=sharing"",""อุตรดิตถ์!J670"")"),8)</f>
        <v>8</v>
      </c>
      <c r="X29" s="63">
        <f t="shared" ca="1" si="29"/>
        <v>200</v>
      </c>
      <c r="Y29" s="57">
        <f ca="1">IFERROR(__xludf.DUMMYFUNCTION("IMPORTRANGE(""https://docs.google.com/spreadsheets/d/1ubs5cl16eYL9gHbdHTJtmtYb9MGzHBs7CAphn8kNCgM/edit?usp=sharing"",""อุตรดิตถ์!I671"")"),4)</f>
        <v>4</v>
      </c>
      <c r="Z29" s="57">
        <f ca="1">IFERROR(__xludf.DUMMYFUNCTION("IMPORTRANGE(""https://docs.google.com/spreadsheets/d/1ubs5cl16eYL9gHbdHTJtmtYb9MGzHBs7CAphn8kNCgM/edit?usp=sharing"",""อุตรดิตถ์!J671"")"),8)</f>
        <v>8</v>
      </c>
      <c r="AA29" s="63">
        <f t="shared" ca="1" si="30"/>
        <v>200</v>
      </c>
      <c r="AB29" s="57">
        <f ca="1">IFERROR(__xludf.DUMMYFUNCTION("IMPORTRANGE(""https://docs.google.com/spreadsheets/d/1ubs5cl16eYL9gHbdHTJtmtYb9MGzHBs7CAphn8kNCgM/edit?usp=sharing"",""อุตรดิตถ์!J672"")"),0)</f>
        <v>0</v>
      </c>
      <c r="AC29" s="63">
        <f t="shared" ca="1" si="11"/>
        <v>0</v>
      </c>
      <c r="AD29" s="57">
        <f ca="1">IFERROR(__xludf.DUMMYFUNCTION("IMPORTRANGE(""https://docs.google.com/spreadsheets/d/1ubs5cl16eYL9gHbdHTJtmtYb9MGzHBs7CAphn8kNCgM/edit?usp=sharing"",""อุตรดิตถ์!J673"")"),0)</f>
        <v>0</v>
      </c>
      <c r="AE29" s="63">
        <f t="shared" ca="1" si="12"/>
        <v>0</v>
      </c>
      <c r="AF29" s="63">
        <f ca="1">IFERROR(__xludf.DUMMYFUNCTION("IMPORTRANGE(""https://docs.google.com/spreadsheets/d/1ubs5cl16eYL9gHbdHTJtmtYb9MGzHBs7CAphn8kNCgM/edit?usp=sharing"",""อุตรดิตถ์!J674"")"),0)</f>
        <v>0</v>
      </c>
      <c r="AG29" s="63">
        <f t="shared" ca="1" si="13"/>
        <v>0</v>
      </c>
      <c r="AH29" s="63">
        <f ca="1">IFERROR(__xludf.DUMMYFUNCTION("IMPORTRANGE(""https://docs.google.com/spreadsheets/d/1ubs5cl16eYL9gHbdHTJtmtYb9MGzHBs7CAphn8kNCgM/edit?usp=sharing"",""อุตรดิตถ์!J675"")"),0)</f>
        <v>0</v>
      </c>
      <c r="AI29" s="63">
        <f t="shared" ca="1" si="21"/>
        <v>0</v>
      </c>
      <c r="AJ29" s="63">
        <f ca="1">IFERROR(__xludf.DUMMYFUNCTION("IMPORTRANGE(""https://docs.google.com/spreadsheets/d/1ubs5cl16eYL9gHbdHTJtmtYb9MGzHBs7CAphn8kNCgM/edit?usp=sharing"",""อุตรดิตถ์!J676"")"),0)</f>
        <v>0</v>
      </c>
      <c r="AK29" s="63">
        <f ca="1">IFERROR(__xludf.DUMMYFUNCTION("IMPORTRANGE(""https://docs.google.com/spreadsheets/d/1ubs5cl16eYL9gHbdHTJtmtYb9MGzHBs7CAphn8kNCgM/edit?usp=sharing"",""อุตรดิตถ์!J677"")"),0)</f>
        <v>0</v>
      </c>
      <c r="AL29" s="57">
        <f ca="1">IFERROR(__xludf.DUMMYFUNCTION("IMPORTRANGE(""https://docs.google.com/spreadsheets/d/1ubs5cl16eYL9gHbdHTJtmtYb9MGzHBs7CAphn8kNCgM/edit?usp=sharing"",""อุตรดิตถ์!I678"")"),0)</f>
        <v>0</v>
      </c>
      <c r="AM29" s="57">
        <f ca="1">IFERROR(__xludf.DUMMYFUNCTION("IMPORTRANGE(""https://docs.google.com/spreadsheets/d/1ubs5cl16eYL9gHbdHTJtmtYb9MGzHBs7CAphn8kNCgM/edit?usp=sharing"",""อุตรดิตถ์!J678"")"),0)</f>
        <v>0</v>
      </c>
      <c r="AN29" s="63">
        <f t="shared" ca="1" si="31"/>
        <v>0</v>
      </c>
      <c r="AO29" s="57">
        <f ca="1">IFERROR(__xludf.DUMMYFUNCTION("IMPORTRANGE(""https://docs.google.com/spreadsheets/d/1ubs5cl16eYL9gHbdHTJtmtYb9MGzHBs7CAphn8kNCgM/edit?usp=sharing"",""อุตรดิตถ์!J679"")"),0)</f>
        <v>0</v>
      </c>
      <c r="AP29" s="57">
        <f ca="1">IFERROR(__xludf.DUMMYFUNCTION("IMPORTRANGE(""https://docs.google.com/spreadsheets/d/1ubs5cl16eYL9gHbdHTJtmtYb9MGzHBs7CAphn8kNCgM/edit?usp=sharing"",""อุตรดิตถ์!J680"")"),0)</f>
        <v>0</v>
      </c>
      <c r="AQ29" s="57">
        <f ca="1">IFERROR(__xludf.DUMMYFUNCTION("IMPORTRANGE(""https://docs.google.com/spreadsheets/d/1ubs5cl16eYL9gHbdHTJtmtYb9MGzHBs7CAphn8kNCgM/edit?usp=sharing"",""อุตรดิตถ์!J681"")"),0)</f>
        <v>0</v>
      </c>
      <c r="AR29" s="57">
        <f ca="1">IFERROR(__xludf.DUMMYFUNCTION("IMPORTRANGE(""https://docs.google.com/spreadsheets/d/1ubs5cl16eYL9gHbdHTJtmtYb9MGzHBs7CAphn8kNCgM/edit?usp=sharing"",""อุตรดิตถ์!J682"")"),0)</f>
        <v>0</v>
      </c>
      <c r="AS29" s="57">
        <f ca="1">IFERROR(__xludf.DUMMYFUNCTION("IMPORTRANGE(""https://docs.google.com/spreadsheets/d/1ubs5cl16eYL9gHbdHTJtmtYb9MGzHBs7CAphn8kNCgM/edit?usp=sharing"",""อุตรดิตถ์!J683"")"),0)</f>
        <v>0</v>
      </c>
    </row>
    <row r="30" spans="1:45" ht="24" customHeight="1" x14ac:dyDescent="0.3">
      <c r="A30" s="65">
        <v>17</v>
      </c>
      <c r="B30" s="66" t="s">
        <v>51</v>
      </c>
      <c r="C30" s="67">
        <f t="shared" ca="1" si="42"/>
        <v>12400</v>
      </c>
      <c r="D30" s="68">
        <f ca="1">IFERROR(__xludf.DUMMYFUNCTION("IMPORTRANGE(""https://docs.google.com/spreadsheets/d/1kII0BjS6CtVrBvI8IrytgPdxDrlyQDyigzMsohRtDMs/edit?usp=sharing"",""อุทัยธานี!L660"")"),12400)</f>
        <v>12400</v>
      </c>
      <c r="E30" s="69">
        <f ca="1">IFERROR(__xludf.DUMMYFUNCTION("IMPORTRANGE(""https://docs.google.com/spreadsheets/d/1kII0BjS6CtVrBvI8IrytgPdxDrlyQDyigzMsohRtDMs/edit?usp=sharing"",""อุทัยธานี!L667"")"),0)</f>
        <v>0</v>
      </c>
      <c r="F30" s="69">
        <f ca="1">IFERROR(__xludf.DUMMYFUNCTION("IMPORTRANGE(""https://docs.google.com/spreadsheets/d/1kII0BjS6CtVrBvI8IrytgPdxDrlyQDyigzMsohRtDMs/edit?usp=sharing"",""อุทัยธานี!M660"")"),12400)</f>
        <v>12400</v>
      </c>
      <c r="G30" s="69">
        <f ca="1">IFERROR(__xludf.DUMMYFUNCTION("IMPORTRANGE(""https://docs.google.com/spreadsheets/d/1kII0BjS6CtVrBvI8IrytgPdxDrlyQDyigzMsohRtDMs/edit?usp=sharing"",""อุทัยธานี!M667"")"),0)</f>
        <v>0</v>
      </c>
      <c r="H30" s="70">
        <f t="shared" ca="1" si="27"/>
        <v>4520</v>
      </c>
      <c r="I30" s="71">
        <f t="shared" ca="1" si="1"/>
        <v>36.451612903225808</v>
      </c>
      <c r="J30" s="72">
        <f t="shared" ca="1" si="43"/>
        <v>4520</v>
      </c>
      <c r="K30" s="73">
        <f t="shared" ca="1" si="33"/>
        <v>36.451612903225808</v>
      </c>
      <c r="L30" s="73">
        <f t="shared" ca="1" si="34"/>
        <v>36.451612903225808</v>
      </c>
      <c r="M30" s="69">
        <f ca="1">IFERROR(__xludf.DUMMYFUNCTION("IMPORTRANGE(""https://docs.google.com/spreadsheets/d/1kII0BjS6CtVrBvI8IrytgPdxDrlyQDyigzMsohRtDMs/edit?usp=sharing"",""อุทัยธานี!N661"")"),0)</f>
        <v>0</v>
      </c>
      <c r="N30" s="69">
        <f ca="1">IFERROR(__xludf.DUMMYFUNCTION("IMPORTRANGE(""https://docs.google.com/spreadsheets/d/1kII0BjS6CtVrBvI8IrytgPdxDrlyQDyigzMsohRtDMs/edit?usp=sharing"",""อุทัยธานี!N662"")"),0)</f>
        <v>0</v>
      </c>
      <c r="O30" s="69">
        <f ca="1">IFERROR(__xludf.DUMMYFUNCTION("IMPORTRANGE(""https://docs.google.com/spreadsheets/d/1kII0BjS6CtVrBvI8IrytgPdxDrlyQDyigzMsohRtDMs/edit?usp=sharing"",""อุทัยธานี!N663"")"),0)</f>
        <v>0</v>
      </c>
      <c r="P30" s="69">
        <f ca="1">IFERROR(__xludf.DUMMYFUNCTION("IMPORTRANGE(""https://docs.google.com/spreadsheets/d/1kII0BjS6CtVrBvI8IrytgPdxDrlyQDyigzMsohRtDMs/edit?usp=sharing"",""อุทัยธานี!N664"")"),4520)</f>
        <v>4520</v>
      </c>
      <c r="Q30" s="74">
        <f ca="1">IFERROR(__xludf.DUMMYFUNCTION("IMPORTRANGE(""https://docs.google.com/spreadsheets/d/1kII0BjS6CtVrBvI8IrytgPdxDrlyQDyigzMsohRtDMs/edit?usp=sharing"",""อุทัยธานี!N667"")"),0)</f>
        <v>0</v>
      </c>
      <c r="R30" s="74">
        <f t="shared" ca="1" si="36"/>
        <v>0</v>
      </c>
      <c r="S30" s="68">
        <f ca="1">IFERROR(__xludf.DUMMYFUNCTION("IMPORTRANGE(""https://docs.google.com/spreadsheets/d/1kII0BjS6CtVrBvI8IrytgPdxDrlyQDyigzMsohRtDMs/edit?usp=sharing"",""อุทัยธานี!I669"")"),100)</f>
        <v>100</v>
      </c>
      <c r="T30" s="68">
        <f ca="1">IFERROR(__xludf.DUMMYFUNCTION("IMPORTRANGE(""https://docs.google.com/spreadsheets/d/1kII0BjS6CtVrBvI8IrytgPdxDrlyQDyigzMsohRtDMs/edit?usp=sharing"",""อุทัยธานี!J669"")"),0)</f>
        <v>0</v>
      </c>
      <c r="U30" s="75">
        <f t="shared" ca="1" si="28"/>
        <v>0</v>
      </c>
      <c r="V30" s="68">
        <f ca="1">IFERROR(__xludf.DUMMYFUNCTION("IMPORTRANGE(""https://docs.google.com/spreadsheets/d/1kII0BjS6CtVrBvI8IrytgPdxDrlyQDyigzMsohRtDMs/edit?usp=sharing"",""อุทัยธานี!I670"")"),4)</f>
        <v>4</v>
      </c>
      <c r="W30" s="68">
        <f ca="1">IFERROR(__xludf.DUMMYFUNCTION("IMPORTRANGE(""https://docs.google.com/spreadsheets/d/1kII0BjS6CtVrBvI8IrytgPdxDrlyQDyigzMsohRtDMs/edit?usp=sharing"",""อุทัยธานี!J670"")"),6)</f>
        <v>6</v>
      </c>
      <c r="X30" s="75">
        <f t="shared" ca="1" si="29"/>
        <v>150</v>
      </c>
      <c r="Y30" s="68">
        <f ca="1">IFERROR(__xludf.DUMMYFUNCTION("IMPORTRANGE(""https://docs.google.com/spreadsheets/d/1kII0BjS6CtVrBvI8IrytgPdxDrlyQDyigzMsohRtDMs/edit?usp=sharing"",""อุทัยธานี!I671"")"),4)</f>
        <v>4</v>
      </c>
      <c r="Z30" s="68">
        <f ca="1">IFERROR(__xludf.DUMMYFUNCTION("IMPORTRANGE(""https://docs.google.com/spreadsheets/d/1kII0BjS6CtVrBvI8IrytgPdxDrlyQDyigzMsohRtDMs/edit?usp=sharing"",""อุทัยธานี!J671"")"),6)</f>
        <v>6</v>
      </c>
      <c r="AA30" s="75">
        <f t="shared" ca="1" si="30"/>
        <v>150</v>
      </c>
      <c r="AB30" s="68">
        <f ca="1">IFERROR(__xludf.DUMMYFUNCTION("IMPORTRANGE(""https://docs.google.com/spreadsheets/d/1kII0BjS6CtVrBvI8IrytgPdxDrlyQDyigzMsohRtDMs/edit?usp=sharing"",""อุทัยธานี!J672"")"),0)</f>
        <v>0</v>
      </c>
      <c r="AC30" s="75">
        <f t="shared" ca="1" si="11"/>
        <v>0</v>
      </c>
      <c r="AD30" s="68">
        <f ca="1">IFERROR(__xludf.DUMMYFUNCTION("IMPORTRANGE(""https://docs.google.com/spreadsheets/d/1kII0BjS6CtVrBvI8IrytgPdxDrlyQDyigzMsohRtDMs/edit?usp=sharing"",""อุทัยธานี!J673"")"),0)</f>
        <v>0</v>
      </c>
      <c r="AE30" s="75">
        <f t="shared" ca="1" si="12"/>
        <v>0</v>
      </c>
      <c r="AF30" s="75">
        <f ca="1">IFERROR(__xludf.DUMMYFUNCTION("IMPORTRANGE(""https://docs.google.com/spreadsheets/d/1kII0BjS6CtVrBvI8IrytgPdxDrlyQDyigzMsohRtDMs/edit?usp=sharing"",""อุทัยธานี!J674"")"),0)</f>
        <v>0</v>
      </c>
      <c r="AG30" s="75">
        <f t="shared" ca="1" si="13"/>
        <v>0</v>
      </c>
      <c r="AH30" s="75">
        <f ca="1">IFERROR(__xludf.DUMMYFUNCTION("IMPORTRANGE(""https://docs.google.com/spreadsheets/d/1kII0BjS6CtVrBvI8IrytgPdxDrlyQDyigzMsohRtDMs/edit?usp=sharing"",""อุทัยธานี!J675"")"),0)</f>
        <v>0</v>
      </c>
      <c r="AI30" s="75">
        <f t="shared" ca="1" si="21"/>
        <v>0</v>
      </c>
      <c r="AJ30" s="75">
        <f ca="1">IFERROR(__xludf.DUMMYFUNCTION("IMPORTRANGE(""https://docs.google.com/spreadsheets/d/1kII0BjS6CtVrBvI8IrytgPdxDrlyQDyigzMsohRtDMs/edit?usp=sharing"",""อุทัยธานี!J676"")"),0)</f>
        <v>0</v>
      </c>
      <c r="AK30" s="75">
        <f ca="1">IFERROR(__xludf.DUMMYFUNCTION("IMPORTRANGE(""https://docs.google.com/spreadsheets/d/1kII0BjS6CtVrBvI8IrytgPdxDrlyQDyigzMsohRtDMs/edit?usp=sharing"",""อุทัยธานี!J677"")"),0)</f>
        <v>0</v>
      </c>
      <c r="AL30" s="68">
        <f ca="1">IFERROR(__xludf.DUMMYFUNCTION("IMPORTRANGE(""https://docs.google.com/spreadsheets/d/1kII0BjS6CtVrBvI8IrytgPdxDrlyQDyigzMsohRtDMs/edit?usp=sharing"",""อุทัยธานี!I678"")"),0)</f>
        <v>0</v>
      </c>
      <c r="AM30" s="68">
        <f ca="1">IFERROR(__xludf.DUMMYFUNCTION("IMPORTRANGE(""https://docs.google.com/spreadsheets/d/1kII0BjS6CtVrBvI8IrytgPdxDrlyQDyigzMsohRtDMs/edit?usp=sharing"",""อุทัยธานี!J678"")"),0)</f>
        <v>0</v>
      </c>
      <c r="AN30" s="75">
        <f t="shared" ca="1" si="31"/>
        <v>0</v>
      </c>
      <c r="AO30" s="68">
        <f ca="1">IFERROR(__xludf.DUMMYFUNCTION("IMPORTRANGE(""https://docs.google.com/spreadsheets/d/1kII0BjS6CtVrBvI8IrytgPdxDrlyQDyigzMsohRtDMs/edit?usp=sharing"",""อุทัยธานี!J679"")"),0)</f>
        <v>0</v>
      </c>
      <c r="AP30" s="68">
        <f ca="1">IFERROR(__xludf.DUMMYFUNCTION("IMPORTRANGE(""https://docs.google.com/spreadsheets/d/1kII0BjS6CtVrBvI8IrytgPdxDrlyQDyigzMsohRtDMs/edit?usp=sharing"",""อุทัยธานี!J680"")"),0)</f>
        <v>0</v>
      </c>
      <c r="AQ30" s="68">
        <f ca="1">IFERROR(__xludf.DUMMYFUNCTION("IMPORTRANGE(""https://docs.google.com/spreadsheets/d/1kII0BjS6CtVrBvI8IrytgPdxDrlyQDyigzMsohRtDMs/edit?usp=sharing"",""อุทัยธานี!J681"")"),0)</f>
        <v>0</v>
      </c>
      <c r="AR30" s="68">
        <f ca="1">IFERROR(__xludf.DUMMYFUNCTION("IMPORTRANGE(""https://docs.google.com/spreadsheets/d/1kII0BjS6CtVrBvI8IrytgPdxDrlyQDyigzMsohRtDMs/edit?usp=sharing"",""อุทัยธานี!J682"")"),0)</f>
        <v>0</v>
      </c>
      <c r="AS30" s="68">
        <f ca="1">IFERROR(__xludf.DUMMYFUNCTION("IMPORTRANGE(""https://docs.google.com/spreadsheets/d/1kII0BjS6CtVrBvI8IrytgPdxDrlyQDyigzMsohRtDMs/edit?usp=sharing"",""อุทัยธานี!J683"")"),0)</f>
        <v>0</v>
      </c>
    </row>
    <row r="31" spans="1:45" ht="21" customHeight="1" x14ac:dyDescent="0.3">
      <c r="A31" s="177" t="s">
        <v>52</v>
      </c>
      <c r="B31" s="178"/>
      <c r="C31" s="76">
        <f t="shared" ref="C31:G31" ca="1" si="44">SUM(C32:C51)</f>
        <v>194200</v>
      </c>
      <c r="D31" s="34">
        <f t="shared" ca="1" si="44"/>
        <v>194200</v>
      </c>
      <c r="E31" s="34">
        <f t="shared" ca="1" si="44"/>
        <v>0</v>
      </c>
      <c r="F31" s="34">
        <f t="shared" ca="1" si="44"/>
        <v>194200</v>
      </c>
      <c r="G31" s="34">
        <f t="shared" ca="1" si="44"/>
        <v>0</v>
      </c>
      <c r="H31" s="34">
        <f t="shared" ca="1" si="27"/>
        <v>129209</v>
      </c>
      <c r="I31" s="35">
        <f t="shared" ca="1" si="1"/>
        <v>66.533985581874362</v>
      </c>
      <c r="J31" s="34">
        <f ca="1">SUM(J32:J51)</f>
        <v>129209</v>
      </c>
      <c r="K31" s="35">
        <f t="shared" ca="1" si="33"/>
        <v>66.533985581874362</v>
      </c>
      <c r="L31" s="35">
        <f t="shared" ca="1" si="34"/>
        <v>66.533985581874362</v>
      </c>
      <c r="M31" s="34">
        <f t="shared" ref="M31:Q31" ca="1" si="45">SUM(M32:M51)</f>
        <v>0</v>
      </c>
      <c r="N31" s="34">
        <f t="shared" ca="1" si="45"/>
        <v>0</v>
      </c>
      <c r="O31" s="34">
        <f t="shared" ca="1" si="45"/>
        <v>2000</v>
      </c>
      <c r="P31" s="34">
        <f t="shared" ca="1" si="45"/>
        <v>127209</v>
      </c>
      <c r="Q31" s="36">
        <f t="shared" ca="1" si="45"/>
        <v>0</v>
      </c>
      <c r="R31" s="36">
        <f t="shared" ca="1" si="36"/>
        <v>0</v>
      </c>
      <c r="S31" s="34">
        <f t="shared" ref="S31:T31" ca="1" si="46">SUM(S32:S51)</f>
        <v>1370</v>
      </c>
      <c r="T31" s="34">
        <f t="shared" ca="1" si="46"/>
        <v>0</v>
      </c>
      <c r="U31" s="37">
        <f t="shared" ca="1" si="28"/>
        <v>0</v>
      </c>
      <c r="V31" s="34">
        <f t="shared" ref="V31:W31" ca="1" si="47">SUM(V32:V51)</f>
        <v>70</v>
      </c>
      <c r="W31" s="34">
        <f t="shared" ca="1" si="47"/>
        <v>70</v>
      </c>
      <c r="X31" s="37">
        <f t="shared" ca="1" si="29"/>
        <v>100</v>
      </c>
      <c r="Y31" s="34">
        <f t="shared" ref="Y31:Z31" ca="1" si="48">SUM(Y32:Y51)</f>
        <v>70</v>
      </c>
      <c r="Z31" s="34">
        <f t="shared" ca="1" si="48"/>
        <v>70</v>
      </c>
      <c r="AA31" s="37">
        <f t="shared" ca="1" si="30"/>
        <v>100</v>
      </c>
      <c r="AB31" s="34">
        <f ca="1">SUM(AB32:AB51)</f>
        <v>4465.38</v>
      </c>
      <c r="AC31" s="37">
        <f t="shared" ca="1" si="11"/>
        <v>325.94014598540144</v>
      </c>
      <c r="AD31" s="34">
        <f ca="1">SUM(AD32:AD51)</f>
        <v>2580.23</v>
      </c>
      <c r="AE31" s="37">
        <f t="shared" ca="1" si="12"/>
        <v>188.33795620437957</v>
      </c>
      <c r="AF31" s="37">
        <f ca="1">SUM(AF32:AF51)</f>
        <v>753</v>
      </c>
      <c r="AG31" s="37">
        <f t="shared" ca="1" si="13"/>
        <v>54.963503649635037</v>
      </c>
      <c r="AH31" s="37">
        <f ca="1">SUM(AH32:AH51)</f>
        <v>0</v>
      </c>
      <c r="AI31" s="37">
        <f t="shared" ca="1" si="21"/>
        <v>0</v>
      </c>
      <c r="AJ31" s="37">
        <f t="shared" ref="AJ31:AM31" ca="1" si="49">SUM(AJ32:AJ51)</f>
        <v>0</v>
      </c>
      <c r="AK31" s="37">
        <f t="shared" ca="1" si="49"/>
        <v>0</v>
      </c>
      <c r="AL31" s="34">
        <f t="shared" ca="1" si="49"/>
        <v>0</v>
      </c>
      <c r="AM31" s="34">
        <f t="shared" ca="1" si="49"/>
        <v>0</v>
      </c>
      <c r="AN31" s="37">
        <f t="shared" ca="1" si="31"/>
        <v>0</v>
      </c>
      <c r="AO31" s="34">
        <f t="shared" ref="AO31:AS31" ca="1" si="50">SUM(AO32:AO51)</f>
        <v>0</v>
      </c>
      <c r="AP31" s="34">
        <f t="shared" ca="1" si="50"/>
        <v>0</v>
      </c>
      <c r="AQ31" s="34">
        <f t="shared" ca="1" si="50"/>
        <v>0</v>
      </c>
      <c r="AR31" s="34">
        <f t="shared" ca="1" si="50"/>
        <v>0</v>
      </c>
      <c r="AS31" s="34">
        <f t="shared" ca="1" si="50"/>
        <v>0</v>
      </c>
    </row>
    <row r="32" spans="1:45" ht="21" customHeight="1" x14ac:dyDescent="0.3">
      <c r="A32" s="54">
        <v>1</v>
      </c>
      <c r="B32" s="55" t="s">
        <v>53</v>
      </c>
      <c r="C32" s="56">
        <f t="shared" ref="C32:C51" ca="1" si="51">D32+E32</f>
        <v>15600</v>
      </c>
      <c r="D32" s="57">
        <f ca="1">IFERROR(__xludf.DUMMYFUNCTION("IMPORTRANGE(""https://docs.google.com/spreadsheets/d/1fb2B9NLcpJgjIieIJvenUTNPn0TimZDUi0OtYeiSQ_s/edit?usp=sharing"",""กาฬสินธุ์!L660"")"),15600)</f>
        <v>15600</v>
      </c>
      <c r="E32" s="57">
        <f ca="1">IFERROR(__xludf.DUMMYFUNCTION("IMPORTRANGE(""https://docs.google.com/spreadsheets/d/1fb2B9NLcpJgjIieIJvenUTNPn0TimZDUi0OtYeiSQ_s/edit?usp=sharing"",""กาฬสินธุ์!L667"")"),0)</f>
        <v>0</v>
      </c>
      <c r="F32" s="57">
        <f ca="1">IFERROR(__xludf.DUMMYFUNCTION("IMPORTRANGE(""https://docs.google.com/spreadsheets/d/1fb2B9NLcpJgjIieIJvenUTNPn0TimZDUi0OtYeiSQ_s/edit?usp=sharing"",""กาฬสินธุ์!M660"")"),15600)</f>
        <v>15600</v>
      </c>
      <c r="G32" s="57">
        <f ca="1">IFERROR(__xludf.DUMMYFUNCTION("IMPORTRANGE(""https://docs.google.com/spreadsheets/d/1fb2B9NLcpJgjIieIJvenUTNPn0TimZDUi0OtYeiSQ_s/edit?usp=sharing"",""กาฬสินธุ์!M667"")"),0)</f>
        <v>0</v>
      </c>
      <c r="H32" s="58">
        <f t="shared" ca="1" si="27"/>
        <v>3690</v>
      </c>
      <c r="I32" s="59">
        <f t="shared" ca="1" si="1"/>
        <v>23.653846153846153</v>
      </c>
      <c r="J32" s="60">
        <f t="shared" ref="J32:J51" ca="1" si="52">M32+N32+O32+P32</f>
        <v>3690</v>
      </c>
      <c r="K32" s="61">
        <f t="shared" ca="1" si="33"/>
        <v>23.653846153846153</v>
      </c>
      <c r="L32" s="61">
        <f t="shared" ca="1" si="34"/>
        <v>23.653846153846153</v>
      </c>
      <c r="M32" s="57">
        <f ca="1">IFERROR(__xludf.DUMMYFUNCTION("IMPORTRANGE(""https://docs.google.com/spreadsheets/d/1fb2B9NLcpJgjIieIJvenUTNPn0TimZDUi0OtYeiSQ_s/edit?usp=sharing"",""กาฬสินธุ์!N661"")"),0)</f>
        <v>0</v>
      </c>
      <c r="N32" s="57">
        <f ca="1">IFERROR(__xludf.DUMMYFUNCTION("IMPORTRANGE(""https://docs.google.com/spreadsheets/d/1fb2B9NLcpJgjIieIJvenUTNPn0TimZDUi0OtYeiSQ_s/edit?usp=sharing"",""กาฬสินธุ์!N662"")"),0)</f>
        <v>0</v>
      </c>
      <c r="O32" s="57">
        <f ca="1">IFERROR(__xludf.DUMMYFUNCTION("IMPORTRANGE(""https://docs.google.com/spreadsheets/d/1fb2B9NLcpJgjIieIJvenUTNPn0TimZDUi0OtYeiSQ_s/edit?usp=sharing"",""กาฬสินธุ์!N663"")"),0)</f>
        <v>0</v>
      </c>
      <c r="P32" s="57">
        <f ca="1">IFERROR(__xludf.DUMMYFUNCTION("IMPORTRANGE(""https://docs.google.com/spreadsheets/d/1fb2B9NLcpJgjIieIJvenUTNPn0TimZDUi0OtYeiSQ_s/edit?usp=sharing"",""กาฬสินธุ์!N664"")"),3690)</f>
        <v>3690</v>
      </c>
      <c r="Q32" s="62">
        <f ca="1">IFERROR(__xludf.DUMMYFUNCTION("IMPORTRANGE(""https://docs.google.com/spreadsheets/d/1fb2B9NLcpJgjIieIJvenUTNPn0TimZDUi0OtYeiSQ_s/edit?usp=sharing"",""กาฬสินธุ์!N667"")"),0)</f>
        <v>0</v>
      </c>
      <c r="R32" s="62">
        <f t="shared" ca="1" si="36"/>
        <v>0</v>
      </c>
      <c r="S32" s="57">
        <f ca="1">IFERROR(__xludf.DUMMYFUNCTION("IMPORTRANGE(""https://docs.google.com/spreadsheets/d/1fb2B9NLcpJgjIieIJvenUTNPn0TimZDUi0OtYeiSQ_s/edit?usp=sharing"",""กาฬสินธุ์!I669"")"),100)</f>
        <v>100</v>
      </c>
      <c r="T32" s="57">
        <f ca="1">IFERROR(__xludf.DUMMYFUNCTION("IMPORTRANGE(""https://docs.google.com/spreadsheets/d/1fb2B9NLcpJgjIieIJvenUTNPn0TimZDUi0OtYeiSQ_s/edit?usp=sharing"",""กาฬสินธุ์!J669"")"),0)</f>
        <v>0</v>
      </c>
      <c r="U32" s="63">
        <f t="shared" ca="1" si="28"/>
        <v>0</v>
      </c>
      <c r="V32" s="57">
        <f ca="1">IFERROR(__xludf.DUMMYFUNCTION("IMPORTRANGE(""https://docs.google.com/spreadsheets/d/1fb2B9NLcpJgjIieIJvenUTNPn0TimZDUi0OtYeiSQ_s/edit?usp=sharing"",""กาฬสินธุ์!I670"")"),6)</f>
        <v>6</v>
      </c>
      <c r="W32" s="57">
        <f ca="1">IFERROR(__xludf.DUMMYFUNCTION("IMPORTRANGE(""https://docs.google.com/spreadsheets/d/1fb2B9NLcpJgjIieIJvenUTNPn0TimZDUi0OtYeiSQ_s/edit?usp=sharing"",""กาฬสินธุ์!J670"")"),6)</f>
        <v>6</v>
      </c>
      <c r="X32" s="63">
        <f t="shared" ca="1" si="29"/>
        <v>100</v>
      </c>
      <c r="Y32" s="57">
        <f ca="1">IFERROR(__xludf.DUMMYFUNCTION("IMPORTRANGE(""https://docs.google.com/spreadsheets/d/1fb2B9NLcpJgjIieIJvenUTNPn0TimZDUi0OtYeiSQ_s/edit?usp=sharing"",""กาฬสินธุ์!I671"")"),6)</f>
        <v>6</v>
      </c>
      <c r="Z32" s="57">
        <f ca="1">IFERROR(__xludf.DUMMYFUNCTION("IMPORTRANGE(""https://docs.google.com/spreadsheets/d/1fb2B9NLcpJgjIieIJvenUTNPn0TimZDUi0OtYeiSQ_s/edit?usp=sharing"",""กาฬสินธุ์!J671"")"),6)</f>
        <v>6</v>
      </c>
      <c r="AA32" s="63">
        <f t="shared" ca="1" si="30"/>
        <v>100</v>
      </c>
      <c r="AB32" s="57">
        <f ca="1">IFERROR(__xludf.DUMMYFUNCTION("IMPORTRANGE(""https://docs.google.com/spreadsheets/d/1fb2B9NLcpJgjIieIJvenUTNPn0TimZDUi0OtYeiSQ_s/edit?usp=sharing"",""กาฬสินธุ์!J672"")"),154)</f>
        <v>154</v>
      </c>
      <c r="AC32" s="63">
        <f t="shared" ca="1" si="11"/>
        <v>154</v>
      </c>
      <c r="AD32" s="57">
        <f ca="1">IFERROR(__xludf.DUMMYFUNCTION("IMPORTRANGE(""https://docs.google.com/spreadsheets/d/1fb2B9NLcpJgjIieIJvenUTNPn0TimZDUi0OtYeiSQ_s/edit?usp=sharing"",""กาฬสินธุ์!J673"")"),154)</f>
        <v>154</v>
      </c>
      <c r="AE32" s="63">
        <f t="shared" ca="1" si="12"/>
        <v>154</v>
      </c>
      <c r="AF32" s="63">
        <f ca="1">IFERROR(__xludf.DUMMYFUNCTION("IMPORTRANGE(""https://docs.google.com/spreadsheets/d/1fb2B9NLcpJgjIieIJvenUTNPn0TimZDUi0OtYeiSQ_s/edit?usp=sharing"",""กาฬสินธุ์!J674"")"),0)</f>
        <v>0</v>
      </c>
      <c r="AG32" s="63">
        <f t="shared" ca="1" si="13"/>
        <v>0</v>
      </c>
      <c r="AH32" s="63">
        <f ca="1">IFERROR(__xludf.DUMMYFUNCTION("IMPORTRANGE(""https://docs.google.com/spreadsheets/d/1fb2B9NLcpJgjIieIJvenUTNPn0TimZDUi0OtYeiSQ_s/edit?usp=sharing"",""กาฬสินธุ์!J675"")"),0)</f>
        <v>0</v>
      </c>
      <c r="AI32" s="63">
        <f t="shared" ca="1" si="21"/>
        <v>0</v>
      </c>
      <c r="AJ32" s="63">
        <f ca="1">IFERROR(__xludf.DUMMYFUNCTION("IMPORTRANGE(""https://docs.google.com/spreadsheets/d/1fb2B9NLcpJgjIieIJvenUTNPn0TimZDUi0OtYeiSQ_s/edit?usp=sharing"",""กาฬสินธุ์!J676"")"),0)</f>
        <v>0</v>
      </c>
      <c r="AK32" s="63">
        <f ca="1">IFERROR(__xludf.DUMMYFUNCTION("IMPORTRANGE(""https://docs.google.com/spreadsheets/d/1fb2B9NLcpJgjIieIJvenUTNPn0TimZDUi0OtYeiSQ_s/edit?usp=sharing"",""กาฬสินธุ์!J677"")"),0)</f>
        <v>0</v>
      </c>
      <c r="AL32" s="57">
        <f ca="1">IFERROR(__xludf.DUMMYFUNCTION("IMPORTRANGE(""https://docs.google.com/spreadsheets/d/1fb2B9NLcpJgjIieIJvenUTNPn0TimZDUi0OtYeiSQ_s/edit?usp=sharing"",""กาฬสินธุ์!I678"")"),0)</f>
        <v>0</v>
      </c>
      <c r="AM32" s="57">
        <f ca="1">IFERROR(__xludf.DUMMYFUNCTION("IMPORTRANGE(""https://docs.google.com/spreadsheets/d/1fb2B9NLcpJgjIieIJvenUTNPn0TimZDUi0OtYeiSQ_s/edit?usp=sharing"",""กาฬสินธุ์!J678"")"),0)</f>
        <v>0</v>
      </c>
      <c r="AN32" s="63">
        <f t="shared" ca="1" si="31"/>
        <v>0</v>
      </c>
      <c r="AO32" s="57">
        <f ca="1">IFERROR(__xludf.DUMMYFUNCTION("IMPORTRANGE(""https://docs.google.com/spreadsheets/d/1fb2B9NLcpJgjIieIJvenUTNPn0TimZDUi0OtYeiSQ_s/edit?usp=sharing"",""กาฬสินธุ์!J679"")"),0)</f>
        <v>0</v>
      </c>
      <c r="AP32" s="57">
        <f ca="1">IFERROR(__xludf.DUMMYFUNCTION("IMPORTRANGE(""https://docs.google.com/spreadsheets/d/1fb2B9NLcpJgjIieIJvenUTNPn0TimZDUi0OtYeiSQ_s/edit?usp=sharing"",""กาฬสินธุ์!J680"")"),0)</f>
        <v>0</v>
      </c>
      <c r="AQ32" s="57">
        <f ca="1">IFERROR(__xludf.DUMMYFUNCTION("IMPORTRANGE(""https://docs.google.com/spreadsheets/d/1fb2B9NLcpJgjIieIJvenUTNPn0TimZDUi0OtYeiSQ_s/edit?usp=sharing"",""กาฬสินธุ์!J681"")"),0)</f>
        <v>0</v>
      </c>
      <c r="AR32" s="57">
        <f ca="1">IFERROR(__xludf.DUMMYFUNCTION("IMPORTRANGE(""https://docs.google.com/spreadsheets/d/1fb2B9NLcpJgjIieIJvenUTNPn0TimZDUi0OtYeiSQ_s/edit?usp=sharing"",""กาฬสินธุ์!J682"")"),0)</f>
        <v>0</v>
      </c>
      <c r="AS32" s="57">
        <f ca="1">IFERROR(__xludf.DUMMYFUNCTION("IMPORTRANGE(""https://docs.google.com/spreadsheets/d/1fb2B9NLcpJgjIieIJvenUTNPn0TimZDUi0OtYeiSQ_s/edit?usp=sharing"",""กาฬสินธุ์!J683"")"),0)</f>
        <v>0</v>
      </c>
    </row>
    <row r="33" spans="1:45" ht="21" customHeight="1" x14ac:dyDescent="0.3">
      <c r="A33" s="54">
        <v>2</v>
      </c>
      <c r="B33" s="55" t="s">
        <v>54</v>
      </c>
      <c r="C33" s="56">
        <f t="shared" ca="1" si="51"/>
        <v>0</v>
      </c>
      <c r="D33" s="57">
        <f ca="1">IFERROR(__xludf.DUMMYFUNCTION("IMPORTRANGE(""https://docs.google.com/spreadsheets/d/1SaMnqrwRGmFYNR0MhpWmHuL5niYUd5E7vDq8X7whAlI/edit?usp=sharing"",""ขอนแก่น!L660"")"),0)</f>
        <v>0</v>
      </c>
      <c r="E33" s="64">
        <f ca="1">IFERROR(__xludf.DUMMYFUNCTION("IMPORTRANGE(""https://docs.google.com/spreadsheets/d/1SaMnqrwRGmFYNR0MhpWmHuL5niYUd5E7vDq8X7whAlI/edit?usp=sharing"",""ขอนแก่น!L667"")"),0)</f>
        <v>0</v>
      </c>
      <c r="F33" s="64">
        <f ca="1">IFERROR(__xludf.DUMMYFUNCTION("IMPORTRANGE(""https://docs.google.com/spreadsheets/d/1SaMnqrwRGmFYNR0MhpWmHuL5niYUd5E7vDq8X7whAlI/edit?usp=sharing"",""ขอนแก่น!M660"")"),0)</f>
        <v>0</v>
      </c>
      <c r="G33" s="64">
        <f ca="1">IFERROR(__xludf.DUMMYFUNCTION("IMPORTRANGE(""https://docs.google.com/spreadsheets/d/1SaMnqrwRGmFYNR0MhpWmHuL5niYUd5E7vDq8X7whAlI/edit?usp=sharing"",""ขอนแก่น!M667"")"),0)</f>
        <v>0</v>
      </c>
      <c r="H33" s="58">
        <f t="shared" ca="1" si="27"/>
        <v>0</v>
      </c>
      <c r="I33" s="59">
        <f t="shared" ca="1" si="1"/>
        <v>0</v>
      </c>
      <c r="J33" s="60">
        <f t="shared" ca="1" si="52"/>
        <v>0</v>
      </c>
      <c r="K33" s="61">
        <f t="shared" ca="1" si="33"/>
        <v>0</v>
      </c>
      <c r="L33" s="61">
        <f t="shared" ca="1" si="34"/>
        <v>0</v>
      </c>
      <c r="M33" s="64">
        <f ca="1">IFERROR(__xludf.DUMMYFUNCTION("IMPORTRANGE(""https://docs.google.com/spreadsheets/d/1SaMnqrwRGmFYNR0MhpWmHuL5niYUd5E7vDq8X7whAlI/edit?usp=sharing"",""ขอนแก่น!N661"")"),0)</f>
        <v>0</v>
      </c>
      <c r="N33" s="64">
        <f ca="1">IFERROR(__xludf.DUMMYFUNCTION("IMPORTRANGE(""https://docs.google.com/spreadsheets/d/1SaMnqrwRGmFYNR0MhpWmHuL5niYUd5E7vDq8X7whAlI/edit?usp=sharing"",""ขอนแก่น!N662"")"),0)</f>
        <v>0</v>
      </c>
      <c r="O33" s="64">
        <f ca="1">IFERROR(__xludf.DUMMYFUNCTION("IMPORTRANGE(""https://docs.google.com/spreadsheets/d/1SaMnqrwRGmFYNR0MhpWmHuL5niYUd5E7vDq8X7whAlI/edit?usp=sharing"",""ขอนแก่น!N663"")"),0)</f>
        <v>0</v>
      </c>
      <c r="P33" s="64">
        <f ca="1">IFERROR(__xludf.DUMMYFUNCTION("IMPORTRANGE(""https://docs.google.com/spreadsheets/d/1SaMnqrwRGmFYNR0MhpWmHuL5niYUd5E7vDq8X7whAlI/edit?usp=sharing"",""ขอนแก่น!N664"")"),0)</f>
        <v>0</v>
      </c>
      <c r="Q33" s="62">
        <f ca="1">IFERROR(__xludf.DUMMYFUNCTION("IMPORTRANGE(""https://docs.google.com/spreadsheets/d/1SaMnqrwRGmFYNR0MhpWmHuL5niYUd5E7vDq8X7whAlI/edit?usp=sharing"",""ขอนแก่น!N667"")"),0)</f>
        <v>0</v>
      </c>
      <c r="R33" s="62">
        <f t="shared" ca="1" si="36"/>
        <v>0</v>
      </c>
      <c r="S33" s="57">
        <f ca="1">IFERROR(__xludf.DUMMYFUNCTION("IMPORTRANGE(""https://docs.google.com/spreadsheets/d/1SaMnqrwRGmFYNR0MhpWmHuL5niYUd5E7vDq8X7whAlI/edit?usp=sharing"",""ขอนแก่น!I669"")"),0)</f>
        <v>0</v>
      </c>
      <c r="T33" s="57">
        <f ca="1">IFERROR(__xludf.DUMMYFUNCTION("IMPORTRANGE(""https://docs.google.com/spreadsheets/d/1SaMnqrwRGmFYNR0MhpWmHuL5niYUd5E7vDq8X7whAlI/edit?usp=sharing"",""ขอนแก่น!J669"")"),0)</f>
        <v>0</v>
      </c>
      <c r="U33" s="63">
        <f t="shared" ca="1" si="28"/>
        <v>0</v>
      </c>
      <c r="V33" s="57">
        <f ca="1">IFERROR(__xludf.DUMMYFUNCTION("IMPORTRANGE(""https://docs.google.com/spreadsheets/d/1SaMnqrwRGmFYNR0MhpWmHuL5niYUd5E7vDq8X7whAlI/edit?usp=sharing"",""ขอนแก่น!I670"")"),0)</f>
        <v>0</v>
      </c>
      <c r="W33" s="57">
        <f ca="1">IFERROR(__xludf.DUMMYFUNCTION("IMPORTRANGE(""https://docs.google.com/spreadsheets/d/1SaMnqrwRGmFYNR0MhpWmHuL5niYUd5E7vDq8X7whAlI/edit?usp=sharing"",""ขอนแก่น!J670"")"),0)</f>
        <v>0</v>
      </c>
      <c r="X33" s="63">
        <f t="shared" ca="1" si="29"/>
        <v>0</v>
      </c>
      <c r="Y33" s="57">
        <f ca="1">IFERROR(__xludf.DUMMYFUNCTION("IMPORTRANGE(""https://docs.google.com/spreadsheets/d/1SaMnqrwRGmFYNR0MhpWmHuL5niYUd5E7vDq8X7whAlI/edit?usp=sharing"",""ขอนแก่น!I671"")"),0)</f>
        <v>0</v>
      </c>
      <c r="Z33" s="57">
        <f ca="1">IFERROR(__xludf.DUMMYFUNCTION("IMPORTRANGE(""https://docs.google.com/spreadsheets/d/1SaMnqrwRGmFYNR0MhpWmHuL5niYUd5E7vDq8X7whAlI/edit?usp=sharing"",""ขอนแก่น!J671"")"),0)</f>
        <v>0</v>
      </c>
      <c r="AA33" s="63">
        <f t="shared" ca="1" si="30"/>
        <v>0</v>
      </c>
      <c r="AB33" s="57">
        <f ca="1">IFERROR(__xludf.DUMMYFUNCTION("IMPORTRANGE(""https://docs.google.com/spreadsheets/d/1SaMnqrwRGmFYNR0MhpWmHuL5niYUd5E7vDq8X7whAlI/edit?usp=sharing"",""ขอนแก่น!J672"")"),0)</f>
        <v>0</v>
      </c>
      <c r="AC33" s="63">
        <f t="shared" ca="1" si="11"/>
        <v>0</v>
      </c>
      <c r="AD33" s="57">
        <f ca="1">IFERROR(__xludf.DUMMYFUNCTION("IMPORTRANGE(""https://docs.google.com/spreadsheets/d/1SaMnqrwRGmFYNR0MhpWmHuL5niYUd5E7vDq8X7whAlI/edit?usp=sharing"",""ขอนแก่น!J673"")"),0)</f>
        <v>0</v>
      </c>
      <c r="AE33" s="63">
        <f t="shared" ca="1" si="12"/>
        <v>0</v>
      </c>
      <c r="AF33" s="63">
        <f ca="1">IFERROR(__xludf.DUMMYFUNCTION("IMPORTRANGE(""https://docs.google.com/spreadsheets/d/1SaMnqrwRGmFYNR0MhpWmHuL5niYUd5E7vDq8X7whAlI/edit?usp=sharing"",""ขอนแก่น!J674"")"),0)</f>
        <v>0</v>
      </c>
      <c r="AG33" s="63">
        <f t="shared" ca="1" si="13"/>
        <v>0</v>
      </c>
      <c r="AH33" s="63">
        <f ca="1">IFERROR(__xludf.DUMMYFUNCTION("IMPORTRANGE(""https://docs.google.com/spreadsheets/d/1SaMnqrwRGmFYNR0MhpWmHuL5niYUd5E7vDq8X7whAlI/edit?usp=sharing"",""ขอนแก่น!J675"")"),0)</f>
        <v>0</v>
      </c>
      <c r="AI33" s="63">
        <f t="shared" ca="1" si="21"/>
        <v>0</v>
      </c>
      <c r="AJ33" s="63">
        <f ca="1">IFERROR(__xludf.DUMMYFUNCTION("IMPORTRANGE(""https://docs.google.com/spreadsheets/d/1SaMnqrwRGmFYNR0MhpWmHuL5niYUd5E7vDq8X7whAlI/edit?usp=sharing"",""ขอนแก่น!J676"")"),0)</f>
        <v>0</v>
      </c>
      <c r="AK33" s="63">
        <f ca="1">IFERROR(__xludf.DUMMYFUNCTION("IMPORTRANGE(""https://docs.google.com/spreadsheets/d/1SaMnqrwRGmFYNR0MhpWmHuL5niYUd5E7vDq8X7whAlI/edit?usp=sharing"",""ขอนแก่น!J677"")"),0)</f>
        <v>0</v>
      </c>
      <c r="AL33" s="57">
        <f ca="1">IFERROR(__xludf.DUMMYFUNCTION("IMPORTRANGE(""https://docs.google.com/spreadsheets/d/1SaMnqrwRGmFYNR0MhpWmHuL5niYUd5E7vDq8X7whAlI/edit?usp=sharing"",""ขอนแก่น!I678"")"),0)</f>
        <v>0</v>
      </c>
      <c r="AM33" s="57">
        <f ca="1">IFERROR(__xludf.DUMMYFUNCTION("IMPORTRANGE(""https://docs.google.com/spreadsheets/d/1SaMnqrwRGmFYNR0MhpWmHuL5niYUd5E7vDq8X7whAlI/edit?usp=sharing"",""ขอนแก่น!J678"")"),0)</f>
        <v>0</v>
      </c>
      <c r="AN33" s="63">
        <f t="shared" ca="1" si="31"/>
        <v>0</v>
      </c>
      <c r="AO33" s="57">
        <f ca="1">IFERROR(__xludf.DUMMYFUNCTION("IMPORTRANGE(""https://docs.google.com/spreadsheets/d/1SaMnqrwRGmFYNR0MhpWmHuL5niYUd5E7vDq8X7whAlI/edit?usp=sharing"",""ขอนแก่น!J679"")"),0)</f>
        <v>0</v>
      </c>
      <c r="AP33" s="57">
        <f ca="1">IFERROR(__xludf.DUMMYFUNCTION("IMPORTRANGE(""https://docs.google.com/spreadsheets/d/1SaMnqrwRGmFYNR0MhpWmHuL5niYUd5E7vDq8X7whAlI/edit?usp=sharing"",""ขอนแก่น!J680"")"),0)</f>
        <v>0</v>
      </c>
      <c r="AQ33" s="57">
        <f ca="1">IFERROR(__xludf.DUMMYFUNCTION("IMPORTRANGE(""https://docs.google.com/spreadsheets/d/1SaMnqrwRGmFYNR0MhpWmHuL5niYUd5E7vDq8X7whAlI/edit?usp=sharing"",""ขอนแก่น!J681"")"),0)</f>
        <v>0</v>
      </c>
      <c r="AR33" s="57">
        <f ca="1">IFERROR(__xludf.DUMMYFUNCTION("IMPORTRANGE(""https://docs.google.com/spreadsheets/d/1SaMnqrwRGmFYNR0MhpWmHuL5niYUd5E7vDq8X7whAlI/edit?usp=sharing"",""ขอนแก่น!J682"")"),0)</f>
        <v>0</v>
      </c>
      <c r="AS33" s="57">
        <f ca="1">IFERROR(__xludf.DUMMYFUNCTION("IMPORTRANGE(""https://docs.google.com/spreadsheets/d/1SaMnqrwRGmFYNR0MhpWmHuL5niYUd5E7vDq8X7whAlI/edit?usp=sharing"",""ขอนแก่น!J683"")"),0)</f>
        <v>0</v>
      </c>
    </row>
    <row r="34" spans="1:45" ht="21" customHeight="1" x14ac:dyDescent="0.3">
      <c r="A34" s="54">
        <v>3</v>
      </c>
      <c r="B34" s="55" t="s">
        <v>55</v>
      </c>
      <c r="C34" s="56">
        <f t="shared" ca="1" si="51"/>
        <v>15600</v>
      </c>
      <c r="D34" s="57">
        <f ca="1">IFERROR(__xludf.DUMMYFUNCTION("IMPORTRANGE(""https://docs.google.com/spreadsheets/d/1xQzEtGHhTTgxHh6YUkKY1P4dRyjVhS74dGswLfAASA4/edit?usp=sharing"",""ชัยภูมิ!L660"")"),15600)</f>
        <v>15600</v>
      </c>
      <c r="E34" s="64">
        <f ca="1">IFERROR(__xludf.DUMMYFUNCTION("IMPORTRANGE(""https://docs.google.com/spreadsheets/d/1xQzEtGHhTTgxHh6YUkKY1P4dRyjVhS74dGswLfAASA4/edit?usp=sharing"",""ชัยภูมิ!L667"")"),0)</f>
        <v>0</v>
      </c>
      <c r="F34" s="64">
        <f ca="1">IFERROR(__xludf.DUMMYFUNCTION("IMPORTRANGE(""https://docs.google.com/spreadsheets/d/1xQzEtGHhTTgxHh6YUkKY1P4dRyjVhS74dGswLfAASA4/edit?usp=sharing"",""ชัยภูมิ!M660"")"),15600)</f>
        <v>15600</v>
      </c>
      <c r="G34" s="64">
        <f ca="1">IFERROR(__xludf.DUMMYFUNCTION("IMPORTRANGE(""https://docs.google.com/spreadsheets/d/1xQzEtGHhTTgxHh6YUkKY1P4dRyjVhS74dGswLfAASA4/edit?usp=sharing"",""ชัยภูมิ!M667"")"),0)</f>
        <v>0</v>
      </c>
      <c r="H34" s="58">
        <f t="shared" ca="1" si="27"/>
        <v>3880</v>
      </c>
      <c r="I34" s="59">
        <f t="shared" ca="1" si="1"/>
        <v>24.871794871794872</v>
      </c>
      <c r="J34" s="60">
        <f t="shared" ca="1" si="52"/>
        <v>3880</v>
      </c>
      <c r="K34" s="61">
        <f t="shared" ca="1" si="33"/>
        <v>24.871794871794872</v>
      </c>
      <c r="L34" s="61">
        <f t="shared" ca="1" si="34"/>
        <v>24.871794871794872</v>
      </c>
      <c r="M34" s="64">
        <f ca="1">IFERROR(__xludf.DUMMYFUNCTION("IMPORTRANGE(""https://docs.google.com/spreadsheets/d/1xQzEtGHhTTgxHh6YUkKY1P4dRyjVhS74dGswLfAASA4/edit?usp=sharing"",""ชัยภูมิ!N661"")"),0)</f>
        <v>0</v>
      </c>
      <c r="N34" s="64">
        <f ca="1">IFERROR(__xludf.DUMMYFUNCTION("IMPORTRANGE(""https://docs.google.com/spreadsheets/d/1xQzEtGHhTTgxHh6YUkKY1P4dRyjVhS74dGswLfAASA4/edit?usp=sharing"",""ชัยภูมิ!N662"")"),0)</f>
        <v>0</v>
      </c>
      <c r="O34" s="64">
        <f ca="1">IFERROR(__xludf.DUMMYFUNCTION("IMPORTRANGE(""https://docs.google.com/spreadsheets/d/1xQzEtGHhTTgxHh6YUkKY1P4dRyjVhS74dGswLfAASA4/edit?usp=sharing"",""ชัยภูมิ!N663"")"),0)</f>
        <v>0</v>
      </c>
      <c r="P34" s="64">
        <f ca="1">IFERROR(__xludf.DUMMYFUNCTION("IMPORTRANGE(""https://docs.google.com/spreadsheets/d/1xQzEtGHhTTgxHh6YUkKY1P4dRyjVhS74dGswLfAASA4/edit?usp=sharing"",""ชัยภูมิ!N664"")"),3880)</f>
        <v>3880</v>
      </c>
      <c r="Q34" s="62">
        <f ca="1">IFERROR(__xludf.DUMMYFUNCTION("IMPORTRANGE(""https://docs.google.com/spreadsheets/d/1xQzEtGHhTTgxHh6YUkKY1P4dRyjVhS74dGswLfAASA4/edit?usp=sharing"",""ชัยภูมิ!N667"")"),0)</f>
        <v>0</v>
      </c>
      <c r="R34" s="62">
        <f t="shared" ca="1" si="36"/>
        <v>0</v>
      </c>
      <c r="S34" s="57">
        <f ca="1">IFERROR(__xludf.DUMMYFUNCTION("IMPORTRANGE(""https://docs.google.com/spreadsheets/d/1xQzEtGHhTTgxHh6YUkKY1P4dRyjVhS74dGswLfAASA4/edit?usp=sharing"",""ชัยภูมิ!I669"")"),100)</f>
        <v>100</v>
      </c>
      <c r="T34" s="57">
        <f ca="1">IFERROR(__xludf.DUMMYFUNCTION("IMPORTRANGE(""https://docs.google.com/spreadsheets/d/1xQzEtGHhTTgxHh6YUkKY1P4dRyjVhS74dGswLfAASA4/edit?usp=sharing"",""ชัยภูมิ!J669"")"),0)</f>
        <v>0</v>
      </c>
      <c r="U34" s="63">
        <f t="shared" ca="1" si="28"/>
        <v>0</v>
      </c>
      <c r="V34" s="57">
        <f ca="1">IFERROR(__xludf.DUMMYFUNCTION("IMPORTRANGE(""https://docs.google.com/spreadsheets/d/1xQzEtGHhTTgxHh6YUkKY1P4dRyjVhS74dGswLfAASA4/edit?usp=sharing"",""ชัยภูมิ!I670"")"),6)</f>
        <v>6</v>
      </c>
      <c r="W34" s="57">
        <f ca="1">IFERROR(__xludf.DUMMYFUNCTION("IMPORTRANGE(""https://docs.google.com/spreadsheets/d/1xQzEtGHhTTgxHh6YUkKY1P4dRyjVhS74dGswLfAASA4/edit?usp=sharing"",""ชัยภูมิ!J670"")"),6)</f>
        <v>6</v>
      </c>
      <c r="X34" s="63">
        <f t="shared" ca="1" si="29"/>
        <v>100</v>
      </c>
      <c r="Y34" s="57">
        <f ca="1">IFERROR(__xludf.DUMMYFUNCTION("IMPORTRANGE(""https://docs.google.com/spreadsheets/d/1xQzEtGHhTTgxHh6YUkKY1P4dRyjVhS74dGswLfAASA4/edit?usp=sharing"",""ชัยภูมิ!I671"")"),6)</f>
        <v>6</v>
      </c>
      <c r="Z34" s="57">
        <f ca="1">IFERROR(__xludf.DUMMYFUNCTION("IMPORTRANGE(""https://docs.google.com/spreadsheets/d/1xQzEtGHhTTgxHh6YUkKY1P4dRyjVhS74dGswLfAASA4/edit?usp=sharing"",""ชัยภูมิ!J671"")"),6)</f>
        <v>6</v>
      </c>
      <c r="AA34" s="63">
        <f t="shared" ca="1" si="30"/>
        <v>100</v>
      </c>
      <c r="AB34" s="57">
        <f ca="1">IFERROR(__xludf.DUMMYFUNCTION("IMPORTRANGE(""https://docs.google.com/spreadsheets/d/1xQzEtGHhTTgxHh6YUkKY1P4dRyjVhS74dGswLfAASA4/edit?usp=sharing"",""ชัยภูมิ!J672"")"),512)</f>
        <v>512</v>
      </c>
      <c r="AC34" s="63">
        <f t="shared" ca="1" si="11"/>
        <v>512</v>
      </c>
      <c r="AD34" s="57">
        <f ca="1">IFERROR(__xludf.DUMMYFUNCTION("IMPORTRANGE(""https://docs.google.com/spreadsheets/d/1xQzEtGHhTTgxHh6YUkKY1P4dRyjVhS74dGswLfAASA4/edit?usp=sharing"",""ชัยภูมิ!J673"")"),0)</f>
        <v>0</v>
      </c>
      <c r="AE34" s="63">
        <f t="shared" ca="1" si="12"/>
        <v>0</v>
      </c>
      <c r="AF34" s="63">
        <f ca="1">IFERROR(__xludf.DUMMYFUNCTION("IMPORTRANGE(""https://docs.google.com/spreadsheets/d/1xQzEtGHhTTgxHh6YUkKY1P4dRyjVhS74dGswLfAASA4/edit?usp=sharing"",""ชัยภูมิ!J674"")"),0)</f>
        <v>0</v>
      </c>
      <c r="AG34" s="63">
        <f t="shared" ca="1" si="13"/>
        <v>0</v>
      </c>
      <c r="AH34" s="63">
        <f ca="1">IFERROR(__xludf.DUMMYFUNCTION("IMPORTRANGE(""https://docs.google.com/spreadsheets/d/1xQzEtGHhTTgxHh6YUkKY1P4dRyjVhS74dGswLfAASA4/edit?usp=sharing"",""ชัยภูมิ!J675"")"),0)</f>
        <v>0</v>
      </c>
      <c r="AI34" s="63">
        <f t="shared" ca="1" si="21"/>
        <v>0</v>
      </c>
      <c r="AJ34" s="63">
        <f ca="1">IFERROR(__xludf.DUMMYFUNCTION("IMPORTRANGE(""https://docs.google.com/spreadsheets/d/1xQzEtGHhTTgxHh6YUkKY1P4dRyjVhS74dGswLfAASA4/edit?usp=sharing"",""ชัยภูมิ!J676"")"),0)</f>
        <v>0</v>
      </c>
      <c r="AK34" s="63">
        <f ca="1">IFERROR(__xludf.DUMMYFUNCTION("IMPORTRANGE(""https://docs.google.com/spreadsheets/d/1xQzEtGHhTTgxHh6YUkKY1P4dRyjVhS74dGswLfAASA4/edit?usp=sharing"",""ชัยภูมิ!J677"")"),0)</f>
        <v>0</v>
      </c>
      <c r="AL34" s="57">
        <f ca="1">IFERROR(__xludf.DUMMYFUNCTION("IMPORTRANGE(""https://docs.google.com/spreadsheets/d/1xQzEtGHhTTgxHh6YUkKY1P4dRyjVhS74dGswLfAASA4/edit?usp=sharing"",""ชัยภูมิ!I678"")"),0)</f>
        <v>0</v>
      </c>
      <c r="AM34" s="57">
        <f ca="1">IFERROR(__xludf.DUMMYFUNCTION("IMPORTRANGE(""https://docs.google.com/spreadsheets/d/1xQzEtGHhTTgxHh6YUkKY1P4dRyjVhS74dGswLfAASA4/edit?usp=sharing"",""ชัยภูมิ!J678"")"),0)</f>
        <v>0</v>
      </c>
      <c r="AN34" s="63">
        <f t="shared" ca="1" si="31"/>
        <v>0</v>
      </c>
      <c r="AO34" s="57">
        <f ca="1">IFERROR(__xludf.DUMMYFUNCTION("IMPORTRANGE(""https://docs.google.com/spreadsheets/d/1xQzEtGHhTTgxHh6YUkKY1P4dRyjVhS74dGswLfAASA4/edit?usp=sharing"",""ชัยภูมิ!J679"")"),0)</f>
        <v>0</v>
      </c>
      <c r="AP34" s="57">
        <f ca="1">IFERROR(__xludf.DUMMYFUNCTION("IMPORTRANGE(""https://docs.google.com/spreadsheets/d/1xQzEtGHhTTgxHh6YUkKY1P4dRyjVhS74dGswLfAASA4/edit?usp=sharing"",""ชัยภูมิ!J680"")"),0)</f>
        <v>0</v>
      </c>
      <c r="AQ34" s="57">
        <f ca="1">IFERROR(__xludf.DUMMYFUNCTION("IMPORTRANGE(""https://docs.google.com/spreadsheets/d/1xQzEtGHhTTgxHh6YUkKY1P4dRyjVhS74dGswLfAASA4/edit?usp=sharing"",""ชัยภูมิ!J681"")"),0)</f>
        <v>0</v>
      </c>
      <c r="AR34" s="57">
        <f ca="1">IFERROR(__xludf.DUMMYFUNCTION("IMPORTRANGE(""https://docs.google.com/spreadsheets/d/1xQzEtGHhTTgxHh6YUkKY1P4dRyjVhS74dGswLfAASA4/edit?usp=sharing"",""ชัยภูมิ!J682"")"),0)</f>
        <v>0</v>
      </c>
      <c r="AS34" s="57">
        <f ca="1">IFERROR(__xludf.DUMMYFUNCTION("IMPORTRANGE(""https://docs.google.com/spreadsheets/d/1xQzEtGHhTTgxHh6YUkKY1P4dRyjVhS74dGswLfAASA4/edit?usp=sharing"",""ชัยภูมิ!J683"")"),0)</f>
        <v>0</v>
      </c>
    </row>
    <row r="35" spans="1:45" ht="21" customHeight="1" x14ac:dyDescent="0.3">
      <c r="A35" s="54">
        <v>4</v>
      </c>
      <c r="B35" s="55" t="s">
        <v>56</v>
      </c>
      <c r="C35" s="56">
        <f t="shared" ca="1" si="51"/>
        <v>11000</v>
      </c>
      <c r="D35" s="57">
        <f ca="1">IFERROR(__xludf.DUMMYFUNCTION("IMPORTRANGE(""https://docs.google.com/spreadsheets/d/1EXMBoBxU3OFbjT2TRpneM33qFjqDzrKmn9ydcflfI0o/edit?usp=sharing"",""นครพนม!L660"")"),11000)</f>
        <v>11000</v>
      </c>
      <c r="E35" s="64">
        <f ca="1">IFERROR(__xludf.DUMMYFUNCTION("IMPORTRANGE(""https://docs.google.com/spreadsheets/d/1EXMBoBxU3OFbjT2TRpneM33qFjqDzrKmn9ydcflfI0o/edit?usp=sharing"",""นครพนม!L667"")"),0)</f>
        <v>0</v>
      </c>
      <c r="F35" s="64">
        <f ca="1">IFERROR(__xludf.DUMMYFUNCTION("IMPORTRANGE(""https://docs.google.com/spreadsheets/d/1EXMBoBxU3OFbjT2TRpneM33qFjqDzrKmn9ydcflfI0o/edit?usp=sharing"",""นครพนม!M660"")"),11000)</f>
        <v>11000</v>
      </c>
      <c r="G35" s="64">
        <f ca="1">IFERROR(__xludf.DUMMYFUNCTION("IMPORTRANGE(""https://docs.google.com/spreadsheets/d/1EXMBoBxU3OFbjT2TRpneM33qFjqDzrKmn9ydcflfI0o/edit?usp=sharing"",""นครพนม!M667"")"),0)</f>
        <v>0</v>
      </c>
      <c r="H35" s="58">
        <f t="shared" ca="1" si="27"/>
        <v>6809</v>
      </c>
      <c r="I35" s="59">
        <f t="shared" ca="1" si="1"/>
        <v>61.9</v>
      </c>
      <c r="J35" s="60">
        <f t="shared" ca="1" si="52"/>
        <v>6809</v>
      </c>
      <c r="K35" s="61">
        <f t="shared" ca="1" si="33"/>
        <v>61.9</v>
      </c>
      <c r="L35" s="61">
        <f t="shared" ca="1" si="34"/>
        <v>61.9</v>
      </c>
      <c r="M35" s="64">
        <f ca="1">IFERROR(__xludf.DUMMYFUNCTION("IMPORTRANGE(""https://docs.google.com/spreadsheets/d/1EXMBoBxU3OFbjT2TRpneM33qFjqDzrKmn9ydcflfI0o/edit?usp=sharing"",""นครพนม!N661"")"),0)</f>
        <v>0</v>
      </c>
      <c r="N35" s="64">
        <f ca="1">IFERROR(__xludf.DUMMYFUNCTION("IMPORTRANGE(""https://docs.google.com/spreadsheets/d/1EXMBoBxU3OFbjT2TRpneM33qFjqDzrKmn9ydcflfI0o/edit?usp=sharing"",""นครพนม!N662"")"),0)</f>
        <v>0</v>
      </c>
      <c r="O35" s="64">
        <f ca="1">IFERROR(__xludf.DUMMYFUNCTION("IMPORTRANGE(""https://docs.google.com/spreadsheets/d/1EXMBoBxU3OFbjT2TRpneM33qFjqDzrKmn9ydcflfI0o/edit?usp=sharing"",""นครพนม!N663"")"),0)</f>
        <v>0</v>
      </c>
      <c r="P35" s="64">
        <f ca="1">IFERROR(__xludf.DUMMYFUNCTION("IMPORTRANGE(""https://docs.google.com/spreadsheets/d/1EXMBoBxU3OFbjT2TRpneM33qFjqDzrKmn9ydcflfI0o/edit?usp=sharing"",""นครพนม!N664"")"),6809)</f>
        <v>6809</v>
      </c>
      <c r="Q35" s="62">
        <f ca="1">IFERROR(__xludf.DUMMYFUNCTION("IMPORTRANGE(""https://docs.google.com/spreadsheets/d/1EXMBoBxU3OFbjT2TRpneM33qFjqDzrKmn9ydcflfI0o/edit?usp=sharing"",""นครพนม!N667"")"),0)</f>
        <v>0</v>
      </c>
      <c r="R35" s="62">
        <f t="shared" ca="1" si="36"/>
        <v>0</v>
      </c>
      <c r="S35" s="57">
        <f ca="1">IFERROR(__xludf.DUMMYFUNCTION("IMPORTRANGE(""https://docs.google.com/spreadsheets/d/1EXMBoBxU3OFbjT2TRpneM33qFjqDzrKmn9ydcflfI0o/edit?usp=sharing"",""นครพนม!I669"")"),50)</f>
        <v>50</v>
      </c>
      <c r="T35" s="57">
        <f ca="1">IFERROR(__xludf.DUMMYFUNCTION("IMPORTRANGE(""https://docs.google.com/spreadsheets/d/1EXMBoBxU3OFbjT2TRpneM33qFjqDzrKmn9ydcflfI0o/edit?usp=sharing"",""นครพนม!J669"")"),0)</f>
        <v>0</v>
      </c>
      <c r="U35" s="63">
        <f t="shared" ca="1" si="28"/>
        <v>0</v>
      </c>
      <c r="V35" s="57">
        <f ca="1">IFERROR(__xludf.DUMMYFUNCTION("IMPORTRANGE(""https://docs.google.com/spreadsheets/d/1EXMBoBxU3OFbjT2TRpneM33qFjqDzrKmn9ydcflfI0o/edit?usp=sharing"",""นครพนม!I670"")"),5)</f>
        <v>5</v>
      </c>
      <c r="W35" s="57">
        <f ca="1">IFERROR(__xludf.DUMMYFUNCTION("IMPORTRANGE(""https://docs.google.com/spreadsheets/d/1EXMBoBxU3OFbjT2TRpneM33qFjqDzrKmn9ydcflfI0o/edit?usp=sharing"",""นครพนม!J670"")"),5)</f>
        <v>5</v>
      </c>
      <c r="X35" s="63">
        <f t="shared" ca="1" si="29"/>
        <v>100</v>
      </c>
      <c r="Y35" s="57">
        <f ca="1">IFERROR(__xludf.DUMMYFUNCTION("IMPORTRANGE(""https://docs.google.com/spreadsheets/d/1EXMBoBxU3OFbjT2TRpneM33qFjqDzrKmn9ydcflfI0o/edit?usp=sharing"",""นครพนม!I671"")"),5)</f>
        <v>5</v>
      </c>
      <c r="Z35" s="57">
        <f ca="1">IFERROR(__xludf.DUMMYFUNCTION("IMPORTRANGE(""https://docs.google.com/spreadsheets/d/1EXMBoBxU3OFbjT2TRpneM33qFjqDzrKmn9ydcflfI0o/edit?usp=sharing"",""นครพนม!J671"")"),5)</f>
        <v>5</v>
      </c>
      <c r="AA35" s="63">
        <f t="shared" ca="1" si="30"/>
        <v>100</v>
      </c>
      <c r="AB35" s="57">
        <f ca="1">IFERROR(__xludf.DUMMYFUNCTION("IMPORTRANGE(""https://docs.google.com/spreadsheets/d/1EXMBoBxU3OFbjT2TRpneM33qFjqDzrKmn9ydcflfI0o/edit?usp=sharing"",""นครพนม!J672"")"),34)</f>
        <v>34</v>
      </c>
      <c r="AC35" s="63">
        <f t="shared" ca="1" si="11"/>
        <v>68</v>
      </c>
      <c r="AD35" s="57">
        <f ca="1">IFERROR(__xludf.DUMMYFUNCTION("IMPORTRANGE(""https://docs.google.com/spreadsheets/d/1EXMBoBxU3OFbjT2TRpneM33qFjqDzrKmn9ydcflfI0o/edit?usp=sharing"",""นครพนม!J673"")"),34)</f>
        <v>34</v>
      </c>
      <c r="AE35" s="63">
        <f t="shared" ca="1" si="12"/>
        <v>68</v>
      </c>
      <c r="AF35" s="63">
        <f ca="1">IFERROR(__xludf.DUMMYFUNCTION("IMPORTRANGE(""https://docs.google.com/spreadsheets/d/1EXMBoBxU3OFbjT2TRpneM33qFjqDzrKmn9ydcflfI0o/edit?usp=sharing"",""นครพนม!J674"")"),0)</f>
        <v>0</v>
      </c>
      <c r="AG35" s="63">
        <f t="shared" ca="1" si="13"/>
        <v>0</v>
      </c>
      <c r="AH35" s="63">
        <f ca="1">IFERROR(__xludf.DUMMYFUNCTION("IMPORTRANGE(""https://docs.google.com/spreadsheets/d/1EXMBoBxU3OFbjT2TRpneM33qFjqDzrKmn9ydcflfI0o/edit?usp=sharing"",""นครพนม!J675"")"),0)</f>
        <v>0</v>
      </c>
      <c r="AI35" s="63">
        <f t="shared" ca="1" si="21"/>
        <v>0</v>
      </c>
      <c r="AJ35" s="63">
        <f ca="1">IFERROR(__xludf.DUMMYFUNCTION("IMPORTRANGE(""https://docs.google.com/spreadsheets/d/1EXMBoBxU3OFbjT2TRpneM33qFjqDzrKmn9ydcflfI0o/edit?usp=sharing"",""นครพนม!J676"")"),0)</f>
        <v>0</v>
      </c>
      <c r="AK35" s="63">
        <f ca="1">IFERROR(__xludf.DUMMYFUNCTION("IMPORTRANGE(""https://docs.google.com/spreadsheets/d/1EXMBoBxU3OFbjT2TRpneM33qFjqDzrKmn9ydcflfI0o/edit?usp=sharing"",""นครพนม!J677"")"),0)</f>
        <v>0</v>
      </c>
      <c r="AL35" s="57">
        <f ca="1">IFERROR(__xludf.DUMMYFUNCTION("IMPORTRANGE(""https://docs.google.com/spreadsheets/d/1EXMBoBxU3OFbjT2TRpneM33qFjqDzrKmn9ydcflfI0o/edit?usp=sharing"",""นครพนม!I678"")"),0)</f>
        <v>0</v>
      </c>
      <c r="AM35" s="57">
        <f ca="1">IFERROR(__xludf.DUMMYFUNCTION("IMPORTRANGE(""https://docs.google.com/spreadsheets/d/1EXMBoBxU3OFbjT2TRpneM33qFjqDzrKmn9ydcflfI0o/edit?usp=sharing"",""นครพนม!J678"")"),0)</f>
        <v>0</v>
      </c>
      <c r="AN35" s="63">
        <f t="shared" ca="1" si="31"/>
        <v>0</v>
      </c>
      <c r="AO35" s="57">
        <f ca="1">IFERROR(__xludf.DUMMYFUNCTION("IMPORTRANGE(""https://docs.google.com/spreadsheets/d/1EXMBoBxU3OFbjT2TRpneM33qFjqDzrKmn9ydcflfI0o/edit?usp=sharing"",""นครพนม!J679"")"),0)</f>
        <v>0</v>
      </c>
      <c r="AP35" s="57">
        <f ca="1">IFERROR(__xludf.DUMMYFUNCTION("IMPORTRANGE(""https://docs.google.com/spreadsheets/d/1EXMBoBxU3OFbjT2TRpneM33qFjqDzrKmn9ydcflfI0o/edit?usp=sharing"",""นครพนม!J680"")"),0)</f>
        <v>0</v>
      </c>
      <c r="AQ35" s="57">
        <f ca="1">IFERROR(__xludf.DUMMYFUNCTION("IMPORTRANGE(""https://docs.google.com/spreadsheets/d/1EXMBoBxU3OFbjT2TRpneM33qFjqDzrKmn9ydcflfI0o/edit?usp=sharing"",""นครพนม!J681"")"),0)</f>
        <v>0</v>
      </c>
      <c r="AR35" s="57">
        <f ca="1">IFERROR(__xludf.DUMMYFUNCTION("IMPORTRANGE(""https://docs.google.com/spreadsheets/d/1EXMBoBxU3OFbjT2TRpneM33qFjqDzrKmn9ydcflfI0o/edit?usp=sharing"",""นครพนม!J682"")"),0)</f>
        <v>0</v>
      </c>
      <c r="AS35" s="57">
        <f ca="1">IFERROR(__xludf.DUMMYFUNCTION("IMPORTRANGE(""https://docs.google.com/spreadsheets/d/1EXMBoBxU3OFbjT2TRpneM33qFjqDzrKmn9ydcflfI0o/edit?usp=sharing"",""นครพนม!J683"")"),0)</f>
        <v>0</v>
      </c>
    </row>
    <row r="36" spans="1:45" ht="21" customHeight="1" x14ac:dyDescent="0.3">
      <c r="A36" s="54">
        <v>5</v>
      </c>
      <c r="B36" s="55" t="s">
        <v>57</v>
      </c>
      <c r="C36" s="56">
        <f t="shared" ca="1" si="51"/>
        <v>28800</v>
      </c>
      <c r="D36" s="57">
        <f ca="1">IFERROR(__xludf.DUMMYFUNCTION("IMPORTRANGE(""https://docs.google.com/spreadsheets/d/1bDQrolntRWtHumK8W-x-HXKntwxB9S3sF5aDeRS66Ko/edit?usp=sharing"",""นครราชสีมา!L660"")"),28800)</f>
        <v>28800</v>
      </c>
      <c r="E36" s="64">
        <f ca="1">IFERROR(__xludf.DUMMYFUNCTION("IMPORTRANGE(""https://docs.google.com/spreadsheets/d/1bDQrolntRWtHumK8W-x-HXKntwxB9S3sF5aDeRS66Ko/edit?usp=sharing"",""นครราชสีมา!L667"")"),0)</f>
        <v>0</v>
      </c>
      <c r="F36" s="64">
        <f ca="1">IFERROR(__xludf.DUMMYFUNCTION("IMPORTRANGE(""https://docs.google.com/spreadsheets/d/1bDQrolntRWtHumK8W-x-HXKntwxB9S3sF5aDeRS66Ko/edit?usp=sharing"",""นครราชสีมา!M660"")"),28800)</f>
        <v>28800</v>
      </c>
      <c r="G36" s="64">
        <f ca="1">IFERROR(__xludf.DUMMYFUNCTION("IMPORTRANGE(""https://docs.google.com/spreadsheets/d/1bDQrolntRWtHumK8W-x-HXKntwxB9S3sF5aDeRS66Ko/edit?usp=sharing"",""นครราชสีมา!M667"")"),0)</f>
        <v>0</v>
      </c>
      <c r="H36" s="58">
        <f t="shared" ca="1" si="27"/>
        <v>31130</v>
      </c>
      <c r="I36" s="59">
        <f t="shared" ca="1" si="1"/>
        <v>108.09027777777777</v>
      </c>
      <c r="J36" s="60">
        <f t="shared" ca="1" si="52"/>
        <v>31130</v>
      </c>
      <c r="K36" s="61">
        <f t="shared" ca="1" si="33"/>
        <v>108.09027777777777</v>
      </c>
      <c r="L36" s="61">
        <f t="shared" ca="1" si="34"/>
        <v>108.09027777777777</v>
      </c>
      <c r="M36" s="64">
        <f ca="1">IFERROR(__xludf.DUMMYFUNCTION("IMPORTRANGE(""https://docs.google.com/spreadsheets/d/1bDQrolntRWtHumK8W-x-HXKntwxB9S3sF5aDeRS66Ko/edit?usp=sharing"",""นครราชสีมา!N661"")"),0)</f>
        <v>0</v>
      </c>
      <c r="N36" s="64">
        <f ca="1">IFERROR(__xludf.DUMMYFUNCTION("IMPORTRANGE(""https://docs.google.com/spreadsheets/d/1bDQrolntRWtHumK8W-x-HXKntwxB9S3sF5aDeRS66Ko/edit?usp=sharing"",""นครราชสีมา!N662"")"),0)</f>
        <v>0</v>
      </c>
      <c r="O36" s="64">
        <f ca="1">IFERROR(__xludf.DUMMYFUNCTION("IMPORTRANGE(""https://docs.google.com/spreadsheets/d/1bDQrolntRWtHumK8W-x-HXKntwxB9S3sF5aDeRS66Ko/edit?usp=sharing"",""นครราชสีมา!N663"")"),0)</f>
        <v>0</v>
      </c>
      <c r="P36" s="64">
        <f ca="1">IFERROR(__xludf.DUMMYFUNCTION("IMPORTRANGE(""https://docs.google.com/spreadsheets/d/1bDQrolntRWtHumK8W-x-HXKntwxB9S3sF5aDeRS66Ko/edit?usp=sharing"",""นครราชสีมา!N664"")"),31130)</f>
        <v>31130</v>
      </c>
      <c r="Q36" s="62">
        <f ca="1">IFERROR(__xludf.DUMMYFUNCTION("IMPORTRANGE(""https://docs.google.com/spreadsheets/d/1bDQrolntRWtHumK8W-x-HXKntwxB9S3sF5aDeRS66Ko/edit?usp=sharing"",""นครราชสีมา!N667"")"),0)</f>
        <v>0</v>
      </c>
      <c r="R36" s="62">
        <f t="shared" ca="1" si="36"/>
        <v>0</v>
      </c>
      <c r="S36" s="57">
        <f ca="1">IFERROR(__xludf.DUMMYFUNCTION("IMPORTRANGE(""https://docs.google.com/spreadsheets/d/1bDQrolntRWtHumK8W-x-HXKntwxB9S3sF5aDeRS66Ko/edit?usp=sharing"",""นครราชสีมา!I669"")"),320)</f>
        <v>320</v>
      </c>
      <c r="T36" s="57">
        <f ca="1">IFERROR(__xludf.DUMMYFUNCTION("IMPORTRANGE(""https://docs.google.com/spreadsheets/d/1bDQrolntRWtHumK8W-x-HXKntwxB9S3sF5aDeRS66Ko/edit?usp=sharing"",""นครราชสีมา!J669"")"),0)</f>
        <v>0</v>
      </c>
      <c r="U36" s="63">
        <f t="shared" ca="1" si="28"/>
        <v>0</v>
      </c>
      <c r="V36" s="57">
        <f ca="1">IFERROR(__xludf.DUMMYFUNCTION("IMPORTRANGE(""https://docs.google.com/spreadsheets/d/1bDQrolntRWtHumK8W-x-HXKntwxB9S3sF5aDeRS66Ko/edit?usp=sharing"",""นครราชสีมา!I670"")"),6)</f>
        <v>6</v>
      </c>
      <c r="W36" s="57">
        <f ca="1">IFERROR(__xludf.DUMMYFUNCTION("IMPORTRANGE(""https://docs.google.com/spreadsheets/d/1bDQrolntRWtHumK8W-x-HXKntwxB9S3sF5aDeRS66Ko/edit?usp=sharing"",""นครราชสีมา!J670"")"),6)</f>
        <v>6</v>
      </c>
      <c r="X36" s="63">
        <f t="shared" ca="1" si="29"/>
        <v>100</v>
      </c>
      <c r="Y36" s="57">
        <f ca="1">IFERROR(__xludf.DUMMYFUNCTION("IMPORTRANGE(""https://docs.google.com/spreadsheets/d/1bDQrolntRWtHumK8W-x-HXKntwxB9S3sF5aDeRS66Ko/edit?usp=sharing"",""นครราชสีมา!I671"")"),6)</f>
        <v>6</v>
      </c>
      <c r="Z36" s="57">
        <f ca="1">IFERROR(__xludf.DUMMYFUNCTION("IMPORTRANGE(""https://docs.google.com/spreadsheets/d/1bDQrolntRWtHumK8W-x-HXKntwxB9S3sF5aDeRS66Ko/edit?usp=sharing"",""นครราชสีมา!J671"")"),6)</f>
        <v>6</v>
      </c>
      <c r="AA36" s="63">
        <f t="shared" ca="1" si="30"/>
        <v>100</v>
      </c>
      <c r="AB36" s="57">
        <f ca="1">IFERROR(__xludf.DUMMYFUNCTION("IMPORTRANGE(""https://docs.google.com/spreadsheets/d/1bDQrolntRWtHumK8W-x-HXKntwxB9S3sF5aDeRS66Ko/edit?usp=sharing"",""นครราชสีมา!J672"")"),2596)</f>
        <v>2596</v>
      </c>
      <c r="AC36" s="63">
        <f t="shared" ca="1" si="11"/>
        <v>811.25</v>
      </c>
      <c r="AD36" s="57">
        <f ca="1">IFERROR(__xludf.DUMMYFUNCTION("IMPORTRANGE(""https://docs.google.com/spreadsheets/d/1bDQrolntRWtHumK8W-x-HXKntwxB9S3sF5aDeRS66Ko/edit?usp=sharing"",""นครราชสีมา!J673"")"),1223)</f>
        <v>1223</v>
      </c>
      <c r="AE36" s="63">
        <f t="shared" ca="1" si="12"/>
        <v>382.1875</v>
      </c>
      <c r="AF36" s="63">
        <f ca="1">IFERROR(__xludf.DUMMYFUNCTION("IMPORTRANGE(""https://docs.google.com/spreadsheets/d/1bDQrolntRWtHumK8W-x-HXKntwxB9S3sF5aDeRS66Ko/edit?usp=sharing"",""นครราชสีมา!J674"")"),582)</f>
        <v>582</v>
      </c>
      <c r="AG36" s="63">
        <f t="shared" ca="1" si="13"/>
        <v>181.875</v>
      </c>
      <c r="AH36" s="63">
        <f ca="1">IFERROR(__xludf.DUMMYFUNCTION("IMPORTRANGE(""https://docs.google.com/spreadsheets/d/1bDQrolntRWtHumK8W-x-HXKntwxB9S3sF5aDeRS66Ko/edit?usp=sharing"",""นครราชสีมา!J675"")"),0)</f>
        <v>0</v>
      </c>
      <c r="AI36" s="63">
        <f t="shared" ca="1" si="21"/>
        <v>0</v>
      </c>
      <c r="AJ36" s="63">
        <f ca="1">IFERROR(__xludf.DUMMYFUNCTION("IMPORTRANGE(""https://docs.google.com/spreadsheets/d/1bDQrolntRWtHumK8W-x-HXKntwxB9S3sF5aDeRS66Ko/edit?usp=sharing"",""นครราชสีมา!J676"")"),0)</f>
        <v>0</v>
      </c>
      <c r="AK36" s="63">
        <f ca="1">IFERROR(__xludf.DUMMYFUNCTION("IMPORTRANGE(""https://docs.google.com/spreadsheets/d/1bDQrolntRWtHumK8W-x-HXKntwxB9S3sF5aDeRS66Ko/edit?usp=sharing"",""นครราชสีมา!J677"")"),0)</f>
        <v>0</v>
      </c>
      <c r="AL36" s="57">
        <f ca="1">IFERROR(__xludf.DUMMYFUNCTION("IMPORTRANGE(""https://docs.google.com/spreadsheets/d/1bDQrolntRWtHumK8W-x-HXKntwxB9S3sF5aDeRS66Ko/edit?usp=sharing"",""นครราชสีมา!I678"")"),0)</f>
        <v>0</v>
      </c>
      <c r="AM36" s="57">
        <f ca="1">IFERROR(__xludf.DUMMYFUNCTION("IMPORTRANGE(""https://docs.google.com/spreadsheets/d/1bDQrolntRWtHumK8W-x-HXKntwxB9S3sF5aDeRS66Ko/edit?usp=sharing"",""นครราชสีมา!J678"")"),0)</f>
        <v>0</v>
      </c>
      <c r="AN36" s="63">
        <f t="shared" ca="1" si="31"/>
        <v>0</v>
      </c>
      <c r="AO36" s="57">
        <f ca="1">IFERROR(__xludf.DUMMYFUNCTION("IMPORTRANGE(""https://docs.google.com/spreadsheets/d/1bDQrolntRWtHumK8W-x-HXKntwxB9S3sF5aDeRS66Ko/edit?usp=sharing"",""นครราชสีมา!J679"")"),0)</f>
        <v>0</v>
      </c>
      <c r="AP36" s="57">
        <f ca="1">IFERROR(__xludf.DUMMYFUNCTION("IMPORTRANGE(""https://docs.google.com/spreadsheets/d/1bDQrolntRWtHumK8W-x-HXKntwxB9S3sF5aDeRS66Ko/edit?usp=sharing"",""นครราชสีมา!J680"")"),0)</f>
        <v>0</v>
      </c>
      <c r="AQ36" s="57">
        <f ca="1">IFERROR(__xludf.DUMMYFUNCTION("IMPORTRANGE(""https://docs.google.com/spreadsheets/d/1bDQrolntRWtHumK8W-x-HXKntwxB9S3sF5aDeRS66Ko/edit?usp=sharing"",""นครราชสีมา!J681"")"),0)</f>
        <v>0</v>
      </c>
      <c r="AR36" s="57">
        <f ca="1">IFERROR(__xludf.DUMMYFUNCTION("IMPORTRANGE(""https://docs.google.com/spreadsheets/d/1bDQrolntRWtHumK8W-x-HXKntwxB9S3sF5aDeRS66Ko/edit?usp=sharing"",""นครราชสีมา!J682"")"),0)</f>
        <v>0</v>
      </c>
      <c r="AS36" s="57">
        <f ca="1">IFERROR(__xludf.DUMMYFUNCTION("IMPORTRANGE(""https://docs.google.com/spreadsheets/d/1bDQrolntRWtHumK8W-x-HXKntwxB9S3sF5aDeRS66Ko/edit?usp=sharing"",""นครราชสีมา!J683"")"),0)</f>
        <v>0</v>
      </c>
    </row>
    <row r="37" spans="1:45" ht="21" customHeight="1" x14ac:dyDescent="0.3">
      <c r="A37" s="54">
        <v>6</v>
      </c>
      <c r="B37" s="55" t="s">
        <v>58</v>
      </c>
      <c r="C37" s="56">
        <f t="shared" ca="1" si="51"/>
        <v>0</v>
      </c>
      <c r="D37" s="57">
        <f ca="1">IFERROR(__xludf.DUMMYFUNCTION("IMPORTRANGE(""https://docs.google.com/spreadsheets/d/1_MzZ-2gVPiCW-d2VcafoCmFJQTSrZ6SQyFcMqRRQQ2w/edit?usp=sharing"",""บึงกาฬ!L660"")"),0)</f>
        <v>0</v>
      </c>
      <c r="E37" s="64">
        <f ca="1">IFERROR(__xludf.DUMMYFUNCTION("IMPORTRANGE(""https://docs.google.com/spreadsheets/d/1_MzZ-2gVPiCW-d2VcafoCmFJQTSrZ6SQyFcMqRRQQ2w/edit?usp=sharing"",""บึงกาฬ!L667"")"),0)</f>
        <v>0</v>
      </c>
      <c r="F37" s="64">
        <f ca="1">IFERROR(__xludf.DUMMYFUNCTION("IMPORTRANGE(""https://docs.google.com/spreadsheets/d/1_MzZ-2gVPiCW-d2VcafoCmFJQTSrZ6SQyFcMqRRQQ2w/edit?usp=sharing"",""บึงกาฬ!M660"")"),0)</f>
        <v>0</v>
      </c>
      <c r="G37" s="64">
        <f ca="1">IFERROR(__xludf.DUMMYFUNCTION("IMPORTRANGE(""https://docs.google.com/spreadsheets/d/1_MzZ-2gVPiCW-d2VcafoCmFJQTSrZ6SQyFcMqRRQQ2w/edit?usp=sharing"",""บึงกาฬ!M667"")"),0)</f>
        <v>0</v>
      </c>
      <c r="H37" s="58">
        <f t="shared" ca="1" si="27"/>
        <v>0</v>
      </c>
      <c r="I37" s="59">
        <f t="shared" ca="1" si="1"/>
        <v>0</v>
      </c>
      <c r="J37" s="60">
        <f t="shared" ca="1" si="52"/>
        <v>0</v>
      </c>
      <c r="K37" s="61">
        <f t="shared" ca="1" si="33"/>
        <v>0</v>
      </c>
      <c r="L37" s="61">
        <f t="shared" ca="1" si="34"/>
        <v>0</v>
      </c>
      <c r="M37" s="64">
        <f ca="1">IFERROR(__xludf.DUMMYFUNCTION("IMPORTRANGE(""https://docs.google.com/spreadsheets/d/1_MzZ-2gVPiCW-d2VcafoCmFJQTSrZ6SQyFcMqRRQQ2w/edit?usp=sharing"",""บึงกาฬ!N661"")"),0)</f>
        <v>0</v>
      </c>
      <c r="N37" s="64">
        <f ca="1">IFERROR(__xludf.DUMMYFUNCTION("IMPORTRANGE(""https://docs.google.com/spreadsheets/d/1_MzZ-2gVPiCW-d2VcafoCmFJQTSrZ6SQyFcMqRRQQ2w/edit?usp=sharing"",""บึงกาฬ!N662"")"),0)</f>
        <v>0</v>
      </c>
      <c r="O37" s="64">
        <f ca="1">IFERROR(__xludf.DUMMYFUNCTION("IMPORTRANGE(""https://docs.google.com/spreadsheets/d/1_MzZ-2gVPiCW-d2VcafoCmFJQTSrZ6SQyFcMqRRQQ2w/edit?usp=sharing"",""บึงกาฬ!N663"")"),0)</f>
        <v>0</v>
      </c>
      <c r="P37" s="64">
        <f ca="1">IFERROR(__xludf.DUMMYFUNCTION("IMPORTRANGE(""https://docs.google.com/spreadsheets/d/1_MzZ-2gVPiCW-d2VcafoCmFJQTSrZ6SQyFcMqRRQQ2w/edit?usp=sharing"",""บึงกาฬ!N664"")"),0)</f>
        <v>0</v>
      </c>
      <c r="Q37" s="62">
        <f ca="1">IFERROR(__xludf.DUMMYFUNCTION("IMPORTRANGE(""https://docs.google.com/spreadsheets/d/1_MzZ-2gVPiCW-d2VcafoCmFJQTSrZ6SQyFcMqRRQQ2w/edit?usp=sharing"",""บึงกาฬ!N667"")"),0)</f>
        <v>0</v>
      </c>
      <c r="R37" s="62">
        <f t="shared" ca="1" si="36"/>
        <v>0</v>
      </c>
      <c r="S37" s="57">
        <f ca="1">IFERROR(__xludf.DUMMYFUNCTION("IMPORTRANGE(""https://docs.google.com/spreadsheets/d/1_MzZ-2gVPiCW-d2VcafoCmFJQTSrZ6SQyFcMqRRQQ2w/edit?usp=sharing"",""บึงกาฬ!I669"")"),0)</f>
        <v>0</v>
      </c>
      <c r="T37" s="57">
        <f ca="1">IFERROR(__xludf.DUMMYFUNCTION("IMPORTRANGE(""https://docs.google.com/spreadsheets/d/1_MzZ-2gVPiCW-d2VcafoCmFJQTSrZ6SQyFcMqRRQQ2w/edit?usp=sharing"",""บึงกาฬ!J669"")"),0)</f>
        <v>0</v>
      </c>
      <c r="U37" s="63">
        <f t="shared" ca="1" si="28"/>
        <v>0</v>
      </c>
      <c r="V37" s="57">
        <f ca="1">IFERROR(__xludf.DUMMYFUNCTION("IMPORTRANGE(""https://docs.google.com/spreadsheets/d/1_MzZ-2gVPiCW-d2VcafoCmFJQTSrZ6SQyFcMqRRQQ2w/edit?usp=sharing"",""บึงกาฬ!I670"")"),0)</f>
        <v>0</v>
      </c>
      <c r="W37" s="57">
        <f ca="1">IFERROR(__xludf.DUMMYFUNCTION("IMPORTRANGE(""https://docs.google.com/spreadsheets/d/1_MzZ-2gVPiCW-d2VcafoCmFJQTSrZ6SQyFcMqRRQQ2w/edit?usp=sharing"",""บึงกาฬ!J670"")"),0)</f>
        <v>0</v>
      </c>
      <c r="X37" s="63">
        <f t="shared" ca="1" si="29"/>
        <v>0</v>
      </c>
      <c r="Y37" s="57">
        <f ca="1">IFERROR(__xludf.DUMMYFUNCTION("IMPORTRANGE(""https://docs.google.com/spreadsheets/d/1_MzZ-2gVPiCW-d2VcafoCmFJQTSrZ6SQyFcMqRRQQ2w/edit?usp=sharing"",""บึงกาฬ!I671"")"),0)</f>
        <v>0</v>
      </c>
      <c r="Z37" s="57">
        <f ca="1">IFERROR(__xludf.DUMMYFUNCTION("IMPORTRANGE(""https://docs.google.com/spreadsheets/d/1_MzZ-2gVPiCW-d2VcafoCmFJQTSrZ6SQyFcMqRRQQ2w/edit?usp=sharing"",""บึงกาฬ!J671"")"),0)</f>
        <v>0</v>
      </c>
      <c r="AA37" s="63">
        <f t="shared" ca="1" si="30"/>
        <v>0</v>
      </c>
      <c r="AB37" s="57">
        <f ca="1">IFERROR(__xludf.DUMMYFUNCTION("IMPORTRANGE(""https://docs.google.com/spreadsheets/d/1_MzZ-2gVPiCW-d2VcafoCmFJQTSrZ6SQyFcMqRRQQ2w/edit?usp=sharing"",""บึงกาฬ!J672"")"),0)</f>
        <v>0</v>
      </c>
      <c r="AC37" s="63">
        <f t="shared" ca="1" si="11"/>
        <v>0</v>
      </c>
      <c r="AD37" s="57">
        <f ca="1">IFERROR(__xludf.DUMMYFUNCTION("IMPORTRANGE(""https://docs.google.com/spreadsheets/d/1_MzZ-2gVPiCW-d2VcafoCmFJQTSrZ6SQyFcMqRRQQ2w/edit?usp=sharing"",""บึงกาฬ!J673"")"),0)</f>
        <v>0</v>
      </c>
      <c r="AE37" s="63">
        <f t="shared" ca="1" si="12"/>
        <v>0</v>
      </c>
      <c r="AF37" s="63">
        <f ca="1">IFERROR(__xludf.DUMMYFUNCTION("IMPORTRANGE(""https://docs.google.com/spreadsheets/d/1_MzZ-2gVPiCW-d2VcafoCmFJQTSrZ6SQyFcMqRRQQ2w/edit?usp=sharing"",""บึงกาฬ!J674"")"),0)</f>
        <v>0</v>
      </c>
      <c r="AG37" s="63">
        <f t="shared" ca="1" si="13"/>
        <v>0</v>
      </c>
      <c r="AH37" s="63">
        <f ca="1">IFERROR(__xludf.DUMMYFUNCTION("IMPORTRANGE(""https://docs.google.com/spreadsheets/d/1_MzZ-2gVPiCW-d2VcafoCmFJQTSrZ6SQyFcMqRRQQ2w/edit?usp=sharing"",""บึงกาฬ!J675"")"),0)</f>
        <v>0</v>
      </c>
      <c r="AI37" s="63">
        <f t="shared" ca="1" si="21"/>
        <v>0</v>
      </c>
      <c r="AJ37" s="63">
        <f ca="1">IFERROR(__xludf.DUMMYFUNCTION("IMPORTRANGE(""https://docs.google.com/spreadsheets/d/1_MzZ-2gVPiCW-d2VcafoCmFJQTSrZ6SQyFcMqRRQQ2w/edit?usp=sharing"",""บึงกาฬ!J676"")"),0)</f>
        <v>0</v>
      </c>
      <c r="AK37" s="63">
        <f ca="1">IFERROR(__xludf.DUMMYFUNCTION("IMPORTRANGE(""https://docs.google.com/spreadsheets/d/1_MzZ-2gVPiCW-d2VcafoCmFJQTSrZ6SQyFcMqRRQQ2w/edit?usp=sharing"",""บึงกาฬ!J677"")"),0)</f>
        <v>0</v>
      </c>
      <c r="AL37" s="57">
        <f ca="1">IFERROR(__xludf.DUMMYFUNCTION("IMPORTRANGE(""https://docs.google.com/spreadsheets/d/1_MzZ-2gVPiCW-d2VcafoCmFJQTSrZ6SQyFcMqRRQQ2w/edit?usp=sharing"",""บึงกาฬ!I678"")"),0)</f>
        <v>0</v>
      </c>
      <c r="AM37" s="57">
        <f ca="1">IFERROR(__xludf.DUMMYFUNCTION("IMPORTRANGE(""https://docs.google.com/spreadsheets/d/1_MzZ-2gVPiCW-d2VcafoCmFJQTSrZ6SQyFcMqRRQQ2w/edit?usp=sharing"",""บึงกาฬ!J678"")"),0)</f>
        <v>0</v>
      </c>
      <c r="AN37" s="63">
        <f t="shared" ca="1" si="31"/>
        <v>0</v>
      </c>
      <c r="AO37" s="57">
        <f ca="1">IFERROR(__xludf.DUMMYFUNCTION("IMPORTRANGE(""https://docs.google.com/spreadsheets/d/1_MzZ-2gVPiCW-d2VcafoCmFJQTSrZ6SQyFcMqRRQQ2w/edit?usp=sharing"",""บึงกาฬ!J679"")"),0)</f>
        <v>0</v>
      </c>
      <c r="AP37" s="57">
        <f ca="1">IFERROR(__xludf.DUMMYFUNCTION("IMPORTRANGE(""https://docs.google.com/spreadsheets/d/1_MzZ-2gVPiCW-d2VcafoCmFJQTSrZ6SQyFcMqRRQQ2w/edit?usp=sharing"",""บึงกาฬ!J680"")"),0)</f>
        <v>0</v>
      </c>
      <c r="AQ37" s="57">
        <f ca="1">IFERROR(__xludf.DUMMYFUNCTION("IMPORTRANGE(""https://docs.google.com/spreadsheets/d/1_MzZ-2gVPiCW-d2VcafoCmFJQTSrZ6SQyFcMqRRQQ2w/edit?usp=sharing"",""บึงกาฬ!J681"")"),0)</f>
        <v>0</v>
      </c>
      <c r="AR37" s="57">
        <f ca="1">IFERROR(__xludf.DUMMYFUNCTION("IMPORTRANGE(""https://docs.google.com/spreadsheets/d/1_MzZ-2gVPiCW-d2VcafoCmFJQTSrZ6SQyFcMqRRQQ2w/edit?usp=sharing"",""บึงกาฬ!J682"")"),0)</f>
        <v>0</v>
      </c>
      <c r="AS37" s="57">
        <f ca="1">IFERROR(__xludf.DUMMYFUNCTION("IMPORTRANGE(""https://docs.google.com/spreadsheets/d/1_MzZ-2gVPiCW-d2VcafoCmFJQTSrZ6SQyFcMqRRQQ2w/edit?usp=sharing"",""บึงกาฬ!J683"")"),0)</f>
        <v>0</v>
      </c>
    </row>
    <row r="38" spans="1:45" ht="21" customHeight="1" x14ac:dyDescent="0.3">
      <c r="A38" s="54">
        <v>7</v>
      </c>
      <c r="B38" s="55" t="s">
        <v>59</v>
      </c>
      <c r="C38" s="56">
        <f t="shared" ca="1" si="51"/>
        <v>15600</v>
      </c>
      <c r="D38" s="57">
        <f ca="1">IFERROR(__xludf.DUMMYFUNCTION("IMPORTRANGE(""https://docs.google.com/spreadsheets/d/1B3lPpzOuaNwVItLwLEZYl_qEblfcx7dRnbRkAw0l-pE/edit?usp=sharing"",""บุรีรัมย์!L660"")"),15600)</f>
        <v>15600</v>
      </c>
      <c r="E38" s="64">
        <f ca="1">IFERROR(__xludf.DUMMYFUNCTION("IMPORTRANGE(""https://docs.google.com/spreadsheets/d/1B3lPpzOuaNwVItLwLEZYl_qEblfcx7dRnbRkAw0l-pE/edit?usp=sharing"",""บุรีรัมย์!L667"")"),0)</f>
        <v>0</v>
      </c>
      <c r="F38" s="64">
        <f ca="1">IFERROR(__xludf.DUMMYFUNCTION("IMPORTRANGE(""https://docs.google.com/spreadsheets/d/1B3lPpzOuaNwVItLwLEZYl_qEblfcx7dRnbRkAw0l-pE/edit?usp=sharing"",""บุรีรัมย์!M660"")"),15600)</f>
        <v>15600</v>
      </c>
      <c r="G38" s="64">
        <f ca="1">IFERROR(__xludf.DUMMYFUNCTION("IMPORTRANGE(""https://docs.google.com/spreadsheets/d/1B3lPpzOuaNwVItLwLEZYl_qEblfcx7dRnbRkAw0l-pE/edit?usp=sharing"",""บุรีรัมย์!M667"")"),0)</f>
        <v>0</v>
      </c>
      <c r="H38" s="58">
        <f t="shared" ca="1" si="27"/>
        <v>5180</v>
      </c>
      <c r="I38" s="59">
        <f t="shared" ca="1" si="1"/>
        <v>33.205128205128204</v>
      </c>
      <c r="J38" s="60">
        <f t="shared" ca="1" si="52"/>
        <v>5180</v>
      </c>
      <c r="K38" s="61">
        <f t="shared" ca="1" si="33"/>
        <v>33.205128205128204</v>
      </c>
      <c r="L38" s="61">
        <f t="shared" ca="1" si="34"/>
        <v>33.205128205128204</v>
      </c>
      <c r="M38" s="64">
        <f ca="1">IFERROR(__xludf.DUMMYFUNCTION("IMPORTRANGE(""https://docs.google.com/spreadsheets/d/1B3lPpzOuaNwVItLwLEZYl_qEblfcx7dRnbRkAw0l-pE/edit?usp=sharing"",""บุรีรัมย์!N661"")"),0)</f>
        <v>0</v>
      </c>
      <c r="N38" s="64">
        <f ca="1">IFERROR(__xludf.DUMMYFUNCTION("IMPORTRANGE(""https://docs.google.com/spreadsheets/d/1B3lPpzOuaNwVItLwLEZYl_qEblfcx7dRnbRkAw0l-pE/edit?usp=sharing"",""บุรีรัมย์!N662"")"),0)</f>
        <v>0</v>
      </c>
      <c r="O38" s="64">
        <f ca="1">IFERROR(__xludf.DUMMYFUNCTION("IMPORTRANGE(""https://docs.google.com/spreadsheets/d/1B3lPpzOuaNwVItLwLEZYl_qEblfcx7dRnbRkAw0l-pE/edit?usp=sharing"",""บุรีรัมย์!N663"")"),0)</f>
        <v>0</v>
      </c>
      <c r="P38" s="64">
        <f ca="1">IFERROR(__xludf.DUMMYFUNCTION("IMPORTRANGE(""https://docs.google.com/spreadsheets/d/1B3lPpzOuaNwVItLwLEZYl_qEblfcx7dRnbRkAw0l-pE/edit?usp=sharing"",""บุรีรัมย์!N664"")"),5180)</f>
        <v>5180</v>
      </c>
      <c r="Q38" s="62">
        <f ca="1">IFERROR(__xludf.DUMMYFUNCTION("IMPORTRANGE(""https://docs.google.com/spreadsheets/d/1B3lPpzOuaNwVItLwLEZYl_qEblfcx7dRnbRkAw0l-pE/edit?usp=sharing"",""บุรีรัมย์!N667"")"),0)</f>
        <v>0</v>
      </c>
      <c r="R38" s="62">
        <f t="shared" ca="1" si="36"/>
        <v>0</v>
      </c>
      <c r="S38" s="57">
        <f ca="1">IFERROR(__xludf.DUMMYFUNCTION("IMPORTRANGE(""https://docs.google.com/spreadsheets/d/1B3lPpzOuaNwVItLwLEZYl_qEblfcx7dRnbRkAw0l-pE/edit?usp=sharing"",""บุรีรัมย์!I669"")"),100)</f>
        <v>100</v>
      </c>
      <c r="T38" s="57">
        <f ca="1">IFERROR(__xludf.DUMMYFUNCTION("IMPORTRANGE(""https://docs.google.com/spreadsheets/d/1B3lPpzOuaNwVItLwLEZYl_qEblfcx7dRnbRkAw0l-pE/edit?usp=sharing"",""บุรีรัมย์!J669"")"),0)</f>
        <v>0</v>
      </c>
      <c r="U38" s="63">
        <f t="shared" ca="1" si="28"/>
        <v>0</v>
      </c>
      <c r="V38" s="57">
        <f ca="1">IFERROR(__xludf.DUMMYFUNCTION("IMPORTRANGE(""https://docs.google.com/spreadsheets/d/1B3lPpzOuaNwVItLwLEZYl_qEblfcx7dRnbRkAw0l-pE/edit?usp=sharing"",""บุรีรัมย์!I670"")"),6)</f>
        <v>6</v>
      </c>
      <c r="W38" s="57">
        <f ca="1">IFERROR(__xludf.DUMMYFUNCTION("IMPORTRANGE(""https://docs.google.com/spreadsheets/d/1B3lPpzOuaNwVItLwLEZYl_qEblfcx7dRnbRkAw0l-pE/edit?usp=sharing"",""บุรีรัมย์!J670"")"),6)</f>
        <v>6</v>
      </c>
      <c r="X38" s="63">
        <f t="shared" ca="1" si="29"/>
        <v>100</v>
      </c>
      <c r="Y38" s="57">
        <f ca="1">IFERROR(__xludf.DUMMYFUNCTION("IMPORTRANGE(""https://docs.google.com/spreadsheets/d/1B3lPpzOuaNwVItLwLEZYl_qEblfcx7dRnbRkAw0l-pE/edit?usp=sharing"",""บุรีรัมย์!I671"")"),6)</f>
        <v>6</v>
      </c>
      <c r="Z38" s="57">
        <f ca="1">IFERROR(__xludf.DUMMYFUNCTION("IMPORTRANGE(""https://docs.google.com/spreadsheets/d/1B3lPpzOuaNwVItLwLEZYl_qEblfcx7dRnbRkAw0l-pE/edit?usp=sharing"",""บุรีรัมย์!J671"")"),6)</f>
        <v>6</v>
      </c>
      <c r="AA38" s="63">
        <f t="shared" ca="1" si="30"/>
        <v>100</v>
      </c>
      <c r="AB38" s="57">
        <f ca="1">IFERROR(__xludf.DUMMYFUNCTION("IMPORTRANGE(""https://docs.google.com/spreadsheets/d/1B3lPpzOuaNwVItLwLEZYl_qEblfcx7dRnbRkAw0l-pE/edit?usp=sharing"",""บุรีรัมย์!J672"")"),77.23)</f>
        <v>77.23</v>
      </c>
      <c r="AC38" s="63">
        <f t="shared" ca="1" si="11"/>
        <v>77.23</v>
      </c>
      <c r="AD38" s="57">
        <f ca="1">IFERROR(__xludf.DUMMYFUNCTION("IMPORTRANGE(""https://docs.google.com/spreadsheets/d/1B3lPpzOuaNwVItLwLEZYl_qEblfcx7dRnbRkAw0l-pE/edit?usp=sharing"",""บุรีรัมย์!J673"")"),77.23)</f>
        <v>77.23</v>
      </c>
      <c r="AE38" s="63">
        <f t="shared" ca="1" si="12"/>
        <v>77.23</v>
      </c>
      <c r="AF38" s="63">
        <f ca="1">IFERROR(__xludf.DUMMYFUNCTION("IMPORTRANGE(""https://docs.google.com/spreadsheets/d/1B3lPpzOuaNwVItLwLEZYl_qEblfcx7dRnbRkAw0l-pE/edit?usp=sharing"",""บุรีรัมย์!J674"")"),0)</f>
        <v>0</v>
      </c>
      <c r="AG38" s="63">
        <f t="shared" ca="1" si="13"/>
        <v>0</v>
      </c>
      <c r="AH38" s="63">
        <f ca="1">IFERROR(__xludf.DUMMYFUNCTION("IMPORTRANGE(""https://docs.google.com/spreadsheets/d/1B3lPpzOuaNwVItLwLEZYl_qEblfcx7dRnbRkAw0l-pE/edit?usp=sharing"",""บุรีรัมย์!J675"")"),0)</f>
        <v>0</v>
      </c>
      <c r="AI38" s="63">
        <f t="shared" ca="1" si="21"/>
        <v>0</v>
      </c>
      <c r="AJ38" s="63">
        <f ca="1">IFERROR(__xludf.DUMMYFUNCTION("IMPORTRANGE(""https://docs.google.com/spreadsheets/d/1B3lPpzOuaNwVItLwLEZYl_qEblfcx7dRnbRkAw0l-pE/edit?usp=sharing"",""บุรีรัมย์!J676"")"),0)</f>
        <v>0</v>
      </c>
      <c r="AK38" s="63">
        <f ca="1">IFERROR(__xludf.DUMMYFUNCTION("IMPORTRANGE(""https://docs.google.com/spreadsheets/d/1B3lPpzOuaNwVItLwLEZYl_qEblfcx7dRnbRkAw0l-pE/edit?usp=sharing"",""บุรีรัมย์!J677"")"),0)</f>
        <v>0</v>
      </c>
      <c r="AL38" s="57">
        <f ca="1">IFERROR(__xludf.DUMMYFUNCTION("IMPORTRANGE(""https://docs.google.com/spreadsheets/d/1B3lPpzOuaNwVItLwLEZYl_qEblfcx7dRnbRkAw0l-pE/edit?usp=sharing"",""บุรีรัมย์!I678"")"),0)</f>
        <v>0</v>
      </c>
      <c r="AM38" s="57">
        <f ca="1">IFERROR(__xludf.DUMMYFUNCTION("IMPORTRANGE(""https://docs.google.com/spreadsheets/d/1B3lPpzOuaNwVItLwLEZYl_qEblfcx7dRnbRkAw0l-pE/edit?usp=sharing"",""บุรีรัมย์!J678"")"),0)</f>
        <v>0</v>
      </c>
      <c r="AN38" s="63">
        <f t="shared" ca="1" si="31"/>
        <v>0</v>
      </c>
      <c r="AO38" s="57">
        <f ca="1">IFERROR(__xludf.DUMMYFUNCTION("IMPORTRANGE(""https://docs.google.com/spreadsheets/d/1B3lPpzOuaNwVItLwLEZYl_qEblfcx7dRnbRkAw0l-pE/edit?usp=sharing"",""บุรีรัมย์!J679"")"),0)</f>
        <v>0</v>
      </c>
      <c r="AP38" s="57">
        <f ca="1">IFERROR(__xludf.DUMMYFUNCTION("IMPORTRANGE(""https://docs.google.com/spreadsheets/d/1B3lPpzOuaNwVItLwLEZYl_qEblfcx7dRnbRkAw0l-pE/edit?usp=sharing"",""บุรีรัมย์!J680"")"),0)</f>
        <v>0</v>
      </c>
      <c r="AQ38" s="57">
        <f ca="1">IFERROR(__xludf.DUMMYFUNCTION("IMPORTRANGE(""https://docs.google.com/spreadsheets/d/1B3lPpzOuaNwVItLwLEZYl_qEblfcx7dRnbRkAw0l-pE/edit?usp=sharing"",""บุรีรัมย์!J681"")"),0)</f>
        <v>0</v>
      </c>
      <c r="AR38" s="57">
        <f ca="1">IFERROR(__xludf.DUMMYFUNCTION("IMPORTRANGE(""https://docs.google.com/spreadsheets/d/1B3lPpzOuaNwVItLwLEZYl_qEblfcx7dRnbRkAw0l-pE/edit?usp=sharing"",""บุรีรัมย์!J682"")"),0)</f>
        <v>0</v>
      </c>
      <c r="AS38" s="57">
        <f ca="1">IFERROR(__xludf.DUMMYFUNCTION("IMPORTRANGE(""https://docs.google.com/spreadsheets/d/1B3lPpzOuaNwVItLwLEZYl_qEblfcx7dRnbRkAw0l-pE/edit?usp=sharing"",""บุรีรัมย์!J683"")"),0)</f>
        <v>0</v>
      </c>
    </row>
    <row r="39" spans="1:45" ht="21" customHeight="1" x14ac:dyDescent="0.3">
      <c r="A39" s="54">
        <v>8</v>
      </c>
      <c r="B39" s="55" t="s">
        <v>60</v>
      </c>
      <c r="C39" s="56">
        <f t="shared" ca="1" si="51"/>
        <v>0</v>
      </c>
      <c r="D39" s="57">
        <f ca="1">IFERROR(__xludf.DUMMYFUNCTION("IMPORTRANGE(""https://docs.google.com/spreadsheets/d/19GOkiOqnzYbevLYWrMk4qFOXe3rX14BkSA8X-mq-a40/edit?usp=sharing"",""มหาสารคาม!L660"")"),0)</f>
        <v>0</v>
      </c>
      <c r="E39" s="64">
        <f ca="1">IFERROR(__xludf.DUMMYFUNCTION("IMPORTRANGE(""https://docs.google.com/spreadsheets/d/19GOkiOqnzYbevLYWrMk4qFOXe3rX14BkSA8X-mq-a40/edit?usp=sharing"",""มหาสารคาม!L667"")"),0)</f>
        <v>0</v>
      </c>
      <c r="F39" s="64">
        <f ca="1">IFERROR(__xludf.DUMMYFUNCTION("IMPORTRANGE(""https://docs.google.com/spreadsheets/d/19GOkiOqnzYbevLYWrMk4qFOXe3rX14BkSA8X-mq-a40/edit?usp=sharing"",""มหาสารคาม!M660"")"),0)</f>
        <v>0</v>
      </c>
      <c r="G39" s="64">
        <f ca="1">IFERROR(__xludf.DUMMYFUNCTION("IMPORTRANGE(""https://docs.google.com/spreadsheets/d/19GOkiOqnzYbevLYWrMk4qFOXe3rX14BkSA8X-mq-a40/edit?usp=sharing"",""มหาสารคาม!M667"")"),0)</f>
        <v>0</v>
      </c>
      <c r="H39" s="58">
        <f t="shared" ca="1" si="27"/>
        <v>0</v>
      </c>
      <c r="I39" s="59">
        <f t="shared" ca="1" si="1"/>
        <v>0</v>
      </c>
      <c r="J39" s="60">
        <f t="shared" ca="1" si="52"/>
        <v>0</v>
      </c>
      <c r="K39" s="61">
        <f t="shared" ca="1" si="33"/>
        <v>0</v>
      </c>
      <c r="L39" s="61">
        <f t="shared" ca="1" si="34"/>
        <v>0</v>
      </c>
      <c r="M39" s="64">
        <f ca="1">IFERROR(__xludf.DUMMYFUNCTION("IMPORTRANGE(""https://docs.google.com/spreadsheets/d/19GOkiOqnzYbevLYWrMk4qFOXe3rX14BkSA8X-mq-a40/edit?usp=sharing"",""มหาสารคาม!N661"")"),0)</f>
        <v>0</v>
      </c>
      <c r="N39" s="64">
        <f ca="1">IFERROR(__xludf.DUMMYFUNCTION("IMPORTRANGE(""https://docs.google.com/spreadsheets/d/19GOkiOqnzYbevLYWrMk4qFOXe3rX14BkSA8X-mq-a40/edit?usp=sharing"",""มหาสารคาม!N662"")"),0)</f>
        <v>0</v>
      </c>
      <c r="O39" s="64">
        <f ca="1">IFERROR(__xludf.DUMMYFUNCTION("IMPORTRANGE(""https://docs.google.com/spreadsheets/d/19GOkiOqnzYbevLYWrMk4qFOXe3rX14BkSA8X-mq-a40/edit?usp=sharing"",""มหาสารคาม!N663"")"),0)</f>
        <v>0</v>
      </c>
      <c r="P39" s="64">
        <f ca="1">IFERROR(__xludf.DUMMYFUNCTION("IMPORTRANGE(""https://docs.google.com/spreadsheets/d/19GOkiOqnzYbevLYWrMk4qFOXe3rX14BkSA8X-mq-a40/edit?usp=sharing"",""มหาสารคาม!N664"")"),0)</f>
        <v>0</v>
      </c>
      <c r="Q39" s="62">
        <f ca="1">IFERROR(__xludf.DUMMYFUNCTION("IMPORTRANGE(""https://docs.google.com/spreadsheets/d/19GOkiOqnzYbevLYWrMk4qFOXe3rX14BkSA8X-mq-a40/edit?usp=sharing"",""มหาสารคาม!N667"")"),0)</f>
        <v>0</v>
      </c>
      <c r="R39" s="62">
        <f t="shared" ca="1" si="36"/>
        <v>0</v>
      </c>
      <c r="S39" s="57">
        <f ca="1">IFERROR(__xludf.DUMMYFUNCTION("IMPORTRANGE(""https://docs.google.com/spreadsheets/d/19GOkiOqnzYbevLYWrMk4qFOXe3rX14BkSA8X-mq-a40/edit?usp=sharing"",""มหาสารคาม!I669"")"),0)</f>
        <v>0</v>
      </c>
      <c r="T39" s="57">
        <f ca="1">IFERROR(__xludf.DUMMYFUNCTION("IMPORTRANGE(""https://docs.google.com/spreadsheets/d/19GOkiOqnzYbevLYWrMk4qFOXe3rX14BkSA8X-mq-a40/edit?usp=sharing"",""มหาสารคาม!J669"")"),0)</f>
        <v>0</v>
      </c>
      <c r="U39" s="63">
        <f t="shared" ca="1" si="28"/>
        <v>0</v>
      </c>
      <c r="V39" s="57">
        <f ca="1">IFERROR(__xludf.DUMMYFUNCTION("IMPORTRANGE(""https://docs.google.com/spreadsheets/d/19GOkiOqnzYbevLYWrMk4qFOXe3rX14BkSA8X-mq-a40/edit?usp=sharing"",""มหาสารคาม!I670"")"),0)</f>
        <v>0</v>
      </c>
      <c r="W39" s="57">
        <f ca="1">IFERROR(__xludf.DUMMYFUNCTION("IMPORTRANGE(""https://docs.google.com/spreadsheets/d/19GOkiOqnzYbevLYWrMk4qFOXe3rX14BkSA8X-mq-a40/edit?usp=sharing"",""มหาสารคาม!J670"")"),0)</f>
        <v>0</v>
      </c>
      <c r="X39" s="63">
        <f t="shared" ca="1" si="29"/>
        <v>0</v>
      </c>
      <c r="Y39" s="57">
        <f ca="1">IFERROR(__xludf.DUMMYFUNCTION("IMPORTRANGE(""https://docs.google.com/spreadsheets/d/19GOkiOqnzYbevLYWrMk4qFOXe3rX14BkSA8X-mq-a40/edit?usp=sharing"",""มหาสารคาม!I671"")"),0)</f>
        <v>0</v>
      </c>
      <c r="Z39" s="57">
        <f ca="1">IFERROR(__xludf.DUMMYFUNCTION("IMPORTRANGE(""https://docs.google.com/spreadsheets/d/19GOkiOqnzYbevLYWrMk4qFOXe3rX14BkSA8X-mq-a40/edit?usp=sharing"",""มหาสารคาม!J671"")"),0)</f>
        <v>0</v>
      </c>
      <c r="AA39" s="63">
        <f t="shared" ca="1" si="30"/>
        <v>0</v>
      </c>
      <c r="AB39" s="57">
        <f ca="1">IFERROR(__xludf.DUMMYFUNCTION("IMPORTRANGE(""https://docs.google.com/spreadsheets/d/19GOkiOqnzYbevLYWrMk4qFOXe3rX14BkSA8X-mq-a40/edit?usp=sharing"",""มหาสารคาม!J672"")"),0)</f>
        <v>0</v>
      </c>
      <c r="AC39" s="63">
        <f t="shared" ca="1" si="11"/>
        <v>0</v>
      </c>
      <c r="AD39" s="57">
        <f ca="1">IFERROR(__xludf.DUMMYFUNCTION("IMPORTRANGE(""https://docs.google.com/spreadsheets/d/19GOkiOqnzYbevLYWrMk4qFOXe3rX14BkSA8X-mq-a40/edit?usp=sharing"",""มหาสารคาม!J673"")"),0)</f>
        <v>0</v>
      </c>
      <c r="AE39" s="63">
        <f t="shared" ca="1" si="12"/>
        <v>0</v>
      </c>
      <c r="AF39" s="63">
        <f ca="1">IFERROR(__xludf.DUMMYFUNCTION("IMPORTRANGE(""https://docs.google.com/spreadsheets/d/19GOkiOqnzYbevLYWrMk4qFOXe3rX14BkSA8X-mq-a40/edit?usp=sharing"",""มหาสารคาม!J674"")"),0)</f>
        <v>0</v>
      </c>
      <c r="AG39" s="63">
        <f t="shared" ca="1" si="13"/>
        <v>0</v>
      </c>
      <c r="AH39" s="63">
        <f ca="1">IFERROR(__xludf.DUMMYFUNCTION("IMPORTRANGE(""https://docs.google.com/spreadsheets/d/19GOkiOqnzYbevLYWrMk4qFOXe3rX14BkSA8X-mq-a40/edit?usp=sharing"",""มหาสารคาม!J675"")"),0)</f>
        <v>0</v>
      </c>
      <c r="AI39" s="63">
        <f t="shared" ca="1" si="21"/>
        <v>0</v>
      </c>
      <c r="AJ39" s="63">
        <f ca="1">IFERROR(__xludf.DUMMYFUNCTION("IMPORTRANGE(""https://docs.google.com/spreadsheets/d/19GOkiOqnzYbevLYWrMk4qFOXe3rX14BkSA8X-mq-a40/edit?usp=sharing"",""มหาสารคาม!J676"")"),0)</f>
        <v>0</v>
      </c>
      <c r="AK39" s="63">
        <f ca="1">IFERROR(__xludf.DUMMYFUNCTION("IMPORTRANGE(""https://docs.google.com/spreadsheets/d/19GOkiOqnzYbevLYWrMk4qFOXe3rX14BkSA8X-mq-a40/edit?usp=sharing"",""มหาสารคาม!J677"")"),0)</f>
        <v>0</v>
      </c>
      <c r="AL39" s="57">
        <f ca="1">IFERROR(__xludf.DUMMYFUNCTION("IMPORTRANGE(""https://docs.google.com/spreadsheets/d/19GOkiOqnzYbevLYWrMk4qFOXe3rX14BkSA8X-mq-a40/edit?usp=sharing"",""มหาสารคาม!I678"")"),0)</f>
        <v>0</v>
      </c>
      <c r="AM39" s="57">
        <f ca="1">IFERROR(__xludf.DUMMYFUNCTION("IMPORTRANGE(""https://docs.google.com/spreadsheets/d/19GOkiOqnzYbevLYWrMk4qFOXe3rX14BkSA8X-mq-a40/edit?usp=sharing"",""มหาสารคาม!J678"")"),0)</f>
        <v>0</v>
      </c>
      <c r="AN39" s="63">
        <f t="shared" ca="1" si="31"/>
        <v>0</v>
      </c>
      <c r="AO39" s="57">
        <f ca="1">IFERROR(__xludf.DUMMYFUNCTION("IMPORTRANGE(""https://docs.google.com/spreadsheets/d/19GOkiOqnzYbevLYWrMk4qFOXe3rX14BkSA8X-mq-a40/edit?usp=sharing"",""มหาสารคาม!J679"")"),0)</f>
        <v>0</v>
      </c>
      <c r="AP39" s="57">
        <f ca="1">IFERROR(__xludf.DUMMYFUNCTION("IMPORTRANGE(""https://docs.google.com/spreadsheets/d/19GOkiOqnzYbevLYWrMk4qFOXe3rX14BkSA8X-mq-a40/edit?usp=sharing"",""มหาสารคาม!J680"")"),0)</f>
        <v>0</v>
      </c>
      <c r="AQ39" s="57">
        <f ca="1">IFERROR(__xludf.DUMMYFUNCTION("IMPORTRANGE(""https://docs.google.com/spreadsheets/d/19GOkiOqnzYbevLYWrMk4qFOXe3rX14BkSA8X-mq-a40/edit?usp=sharing"",""มหาสารคาม!J681"")"),0)</f>
        <v>0</v>
      </c>
      <c r="AR39" s="57">
        <f ca="1">IFERROR(__xludf.DUMMYFUNCTION("IMPORTRANGE(""https://docs.google.com/spreadsheets/d/19GOkiOqnzYbevLYWrMk4qFOXe3rX14BkSA8X-mq-a40/edit?usp=sharing"",""มหาสารคาม!J682"")"),0)</f>
        <v>0</v>
      </c>
      <c r="AS39" s="57">
        <f ca="1">IFERROR(__xludf.DUMMYFUNCTION("IMPORTRANGE(""https://docs.google.com/spreadsheets/d/19GOkiOqnzYbevLYWrMk4qFOXe3rX14BkSA8X-mq-a40/edit?usp=sharing"",""มหาสารคาม!J683"")"),0)</f>
        <v>0</v>
      </c>
    </row>
    <row r="40" spans="1:45" ht="21" customHeight="1" x14ac:dyDescent="0.3">
      <c r="A40" s="54">
        <v>9</v>
      </c>
      <c r="B40" s="55" t="s">
        <v>61</v>
      </c>
      <c r="C40" s="56">
        <f t="shared" ca="1" si="51"/>
        <v>0</v>
      </c>
      <c r="D40" s="57">
        <f ca="1">IFERROR(__xludf.DUMMYFUNCTION("IMPORTRANGE(""https://docs.google.com/spreadsheets/d/1uMKqWwuNQ-TCKboGA3Bb1qXb5uj2-faACNUINCz8PN4/edit?usp=sharing"",""มุกดาหาร!L660"")"),0)</f>
        <v>0</v>
      </c>
      <c r="E40" s="64">
        <f ca="1">IFERROR(__xludf.DUMMYFUNCTION("IMPORTRANGE(""https://docs.google.com/spreadsheets/d/1uMKqWwuNQ-TCKboGA3Bb1qXb5uj2-faACNUINCz8PN4/edit?usp=sharing"",""มุกดาหาร!L667"")"),0)</f>
        <v>0</v>
      </c>
      <c r="F40" s="64">
        <f ca="1">IFERROR(__xludf.DUMMYFUNCTION("IMPORTRANGE(""https://docs.google.com/spreadsheets/d/1uMKqWwuNQ-TCKboGA3Bb1qXb5uj2-faACNUINCz8PN4/edit?usp=sharing"",""มุกดาหาร!M660"")"),0)</f>
        <v>0</v>
      </c>
      <c r="G40" s="64">
        <f ca="1">IFERROR(__xludf.DUMMYFUNCTION("IMPORTRANGE(""https://docs.google.com/spreadsheets/d/1uMKqWwuNQ-TCKboGA3Bb1qXb5uj2-faACNUINCz8PN4/edit?usp=sharing"",""มุกดาหาร!M667"")"),0)</f>
        <v>0</v>
      </c>
      <c r="H40" s="58">
        <f t="shared" ca="1" si="27"/>
        <v>0</v>
      </c>
      <c r="I40" s="59">
        <f t="shared" ca="1" si="1"/>
        <v>0</v>
      </c>
      <c r="J40" s="60">
        <f t="shared" ca="1" si="52"/>
        <v>0</v>
      </c>
      <c r="K40" s="61">
        <f t="shared" ca="1" si="33"/>
        <v>0</v>
      </c>
      <c r="L40" s="61">
        <f t="shared" ca="1" si="34"/>
        <v>0</v>
      </c>
      <c r="M40" s="64">
        <f ca="1">IFERROR(__xludf.DUMMYFUNCTION("IMPORTRANGE(""https://docs.google.com/spreadsheets/d/1uMKqWwuNQ-TCKboGA3Bb1qXb5uj2-faACNUINCz8PN4/edit?usp=sharing"",""มุกดาหาร!N661"")"),0)</f>
        <v>0</v>
      </c>
      <c r="N40" s="64">
        <f ca="1">IFERROR(__xludf.DUMMYFUNCTION("IMPORTRANGE(""https://docs.google.com/spreadsheets/d/1uMKqWwuNQ-TCKboGA3Bb1qXb5uj2-faACNUINCz8PN4/edit?usp=sharing"",""มุกดาหาร!N662"")"),0)</f>
        <v>0</v>
      </c>
      <c r="O40" s="64">
        <f ca="1">IFERROR(__xludf.DUMMYFUNCTION("IMPORTRANGE(""https://docs.google.com/spreadsheets/d/1uMKqWwuNQ-TCKboGA3Bb1qXb5uj2-faACNUINCz8PN4/edit?usp=sharing"",""มุกดาหาร!N663"")"),0)</f>
        <v>0</v>
      </c>
      <c r="P40" s="64">
        <f ca="1">IFERROR(__xludf.DUMMYFUNCTION("IMPORTRANGE(""https://docs.google.com/spreadsheets/d/1uMKqWwuNQ-TCKboGA3Bb1qXb5uj2-faACNUINCz8PN4/edit?usp=sharing"",""มุกดาหาร!N664"")"),0)</f>
        <v>0</v>
      </c>
      <c r="Q40" s="62">
        <f ca="1">IFERROR(__xludf.DUMMYFUNCTION("IMPORTRANGE(""https://docs.google.com/spreadsheets/d/1uMKqWwuNQ-TCKboGA3Bb1qXb5uj2-faACNUINCz8PN4/edit?usp=sharing"",""มุกดาหาร!N667"")"),0)</f>
        <v>0</v>
      </c>
      <c r="R40" s="62">
        <f t="shared" ca="1" si="36"/>
        <v>0</v>
      </c>
      <c r="S40" s="57">
        <f ca="1">IFERROR(__xludf.DUMMYFUNCTION("IMPORTRANGE(""https://docs.google.com/spreadsheets/d/1uMKqWwuNQ-TCKboGA3Bb1qXb5uj2-faACNUINCz8PN4/edit?usp=sharing"",""มุกดาหาร!I669"")"),0)</f>
        <v>0</v>
      </c>
      <c r="T40" s="57">
        <f ca="1">IFERROR(__xludf.DUMMYFUNCTION("IMPORTRANGE(""https://docs.google.com/spreadsheets/d/1uMKqWwuNQ-TCKboGA3Bb1qXb5uj2-faACNUINCz8PN4/edit?usp=sharing"",""มุกดาหาร!J669"")"),0)</f>
        <v>0</v>
      </c>
      <c r="U40" s="63">
        <f t="shared" ca="1" si="28"/>
        <v>0</v>
      </c>
      <c r="V40" s="57">
        <f ca="1">IFERROR(__xludf.DUMMYFUNCTION("IMPORTRANGE(""https://docs.google.com/spreadsheets/d/1uMKqWwuNQ-TCKboGA3Bb1qXb5uj2-faACNUINCz8PN4/edit?usp=sharing"",""มุกดาหาร!I670"")"),0)</f>
        <v>0</v>
      </c>
      <c r="W40" s="57">
        <f ca="1">IFERROR(__xludf.DUMMYFUNCTION("IMPORTRANGE(""https://docs.google.com/spreadsheets/d/1uMKqWwuNQ-TCKboGA3Bb1qXb5uj2-faACNUINCz8PN4/edit?usp=sharing"",""มุกดาหาร!J670"")"),0)</f>
        <v>0</v>
      </c>
      <c r="X40" s="63">
        <f t="shared" ca="1" si="29"/>
        <v>0</v>
      </c>
      <c r="Y40" s="57">
        <f ca="1">IFERROR(__xludf.DUMMYFUNCTION("IMPORTRANGE(""https://docs.google.com/spreadsheets/d/1uMKqWwuNQ-TCKboGA3Bb1qXb5uj2-faACNUINCz8PN4/edit?usp=sharing"",""มุกดาหาร!I671"")"),0)</f>
        <v>0</v>
      </c>
      <c r="Z40" s="57">
        <f ca="1">IFERROR(__xludf.DUMMYFUNCTION("IMPORTRANGE(""https://docs.google.com/spreadsheets/d/1uMKqWwuNQ-TCKboGA3Bb1qXb5uj2-faACNUINCz8PN4/edit?usp=sharing"",""มุกดาหาร!J671"")"),0)</f>
        <v>0</v>
      </c>
      <c r="AA40" s="63">
        <f t="shared" ca="1" si="30"/>
        <v>0</v>
      </c>
      <c r="AB40" s="57">
        <f ca="1">IFERROR(__xludf.DUMMYFUNCTION("IMPORTRANGE(""https://docs.google.com/spreadsheets/d/1uMKqWwuNQ-TCKboGA3Bb1qXb5uj2-faACNUINCz8PN4/edit?usp=sharing"",""มุกดาหาร!J672"")"),0)</f>
        <v>0</v>
      </c>
      <c r="AC40" s="63">
        <f t="shared" ca="1" si="11"/>
        <v>0</v>
      </c>
      <c r="AD40" s="57">
        <f ca="1">IFERROR(__xludf.DUMMYFUNCTION("IMPORTRANGE(""https://docs.google.com/spreadsheets/d/1uMKqWwuNQ-TCKboGA3Bb1qXb5uj2-faACNUINCz8PN4/edit?usp=sharing"",""มุกดาหาร!J673"")"),0)</f>
        <v>0</v>
      </c>
      <c r="AE40" s="63">
        <f t="shared" ca="1" si="12"/>
        <v>0</v>
      </c>
      <c r="AF40" s="63">
        <f ca="1">IFERROR(__xludf.DUMMYFUNCTION("IMPORTRANGE(""https://docs.google.com/spreadsheets/d/1uMKqWwuNQ-TCKboGA3Bb1qXb5uj2-faACNUINCz8PN4/edit?usp=sharing"",""มุกดาหาร!J674"")"),0)</f>
        <v>0</v>
      </c>
      <c r="AG40" s="63">
        <f t="shared" ca="1" si="13"/>
        <v>0</v>
      </c>
      <c r="AH40" s="63">
        <f ca="1">IFERROR(__xludf.DUMMYFUNCTION("IMPORTRANGE(""https://docs.google.com/spreadsheets/d/1uMKqWwuNQ-TCKboGA3Bb1qXb5uj2-faACNUINCz8PN4/edit?usp=sharing"",""มุกดาหาร!J675"")"),0)</f>
        <v>0</v>
      </c>
      <c r="AI40" s="63">
        <f t="shared" ca="1" si="21"/>
        <v>0</v>
      </c>
      <c r="AJ40" s="63">
        <f ca="1">IFERROR(__xludf.DUMMYFUNCTION("IMPORTRANGE(""https://docs.google.com/spreadsheets/d/1uMKqWwuNQ-TCKboGA3Bb1qXb5uj2-faACNUINCz8PN4/edit?usp=sharing"",""มุกดาหาร!J676"")"),0)</f>
        <v>0</v>
      </c>
      <c r="AK40" s="63">
        <f ca="1">IFERROR(__xludf.DUMMYFUNCTION("IMPORTRANGE(""https://docs.google.com/spreadsheets/d/1uMKqWwuNQ-TCKboGA3Bb1qXb5uj2-faACNUINCz8PN4/edit?usp=sharing"",""มุกดาหาร!J677"")"),0)</f>
        <v>0</v>
      </c>
      <c r="AL40" s="57">
        <f ca="1">IFERROR(__xludf.DUMMYFUNCTION("IMPORTRANGE(""https://docs.google.com/spreadsheets/d/1uMKqWwuNQ-TCKboGA3Bb1qXb5uj2-faACNUINCz8PN4/edit?usp=sharing"",""มุกดาหาร!I678"")"),0)</f>
        <v>0</v>
      </c>
      <c r="AM40" s="57">
        <f ca="1">IFERROR(__xludf.DUMMYFUNCTION("IMPORTRANGE(""https://docs.google.com/spreadsheets/d/1uMKqWwuNQ-TCKboGA3Bb1qXb5uj2-faACNUINCz8PN4/edit?usp=sharing"",""มุกดาหาร!J678"")"),0)</f>
        <v>0</v>
      </c>
      <c r="AN40" s="63">
        <f t="shared" ca="1" si="31"/>
        <v>0</v>
      </c>
      <c r="AO40" s="57">
        <f ca="1">IFERROR(__xludf.DUMMYFUNCTION("IMPORTRANGE(""https://docs.google.com/spreadsheets/d/1uMKqWwuNQ-TCKboGA3Bb1qXb5uj2-faACNUINCz8PN4/edit?usp=sharing"",""มุกดาหาร!J679"")"),0)</f>
        <v>0</v>
      </c>
      <c r="AP40" s="57">
        <f ca="1">IFERROR(__xludf.DUMMYFUNCTION("IMPORTRANGE(""https://docs.google.com/spreadsheets/d/1uMKqWwuNQ-TCKboGA3Bb1qXb5uj2-faACNUINCz8PN4/edit?usp=sharing"",""มุกดาหาร!J680"")"),0)</f>
        <v>0</v>
      </c>
      <c r="AQ40" s="57">
        <f ca="1">IFERROR(__xludf.DUMMYFUNCTION("IMPORTRANGE(""https://docs.google.com/spreadsheets/d/1uMKqWwuNQ-TCKboGA3Bb1qXb5uj2-faACNUINCz8PN4/edit?usp=sharing"",""มุกดาหาร!J681"")"),0)</f>
        <v>0</v>
      </c>
      <c r="AR40" s="57">
        <f ca="1">IFERROR(__xludf.DUMMYFUNCTION("IMPORTRANGE(""https://docs.google.com/spreadsheets/d/1uMKqWwuNQ-TCKboGA3Bb1qXb5uj2-faACNUINCz8PN4/edit?usp=sharing"",""มุกดาหาร!J682"")"),0)</f>
        <v>0</v>
      </c>
      <c r="AS40" s="57">
        <f ca="1">IFERROR(__xludf.DUMMYFUNCTION("IMPORTRANGE(""https://docs.google.com/spreadsheets/d/1uMKqWwuNQ-TCKboGA3Bb1qXb5uj2-faACNUINCz8PN4/edit?usp=sharing"",""มุกดาหาร!J683"")"),0)</f>
        <v>0</v>
      </c>
    </row>
    <row r="41" spans="1:45" ht="21" customHeight="1" x14ac:dyDescent="0.3">
      <c r="A41" s="54">
        <v>10</v>
      </c>
      <c r="B41" s="55" t="s">
        <v>62</v>
      </c>
      <c r="C41" s="56">
        <f t="shared" ca="1" si="51"/>
        <v>0</v>
      </c>
      <c r="D41" s="57">
        <f ca="1">IFERROR(__xludf.DUMMYFUNCTION("IMPORTRANGE(""https://docs.google.com/spreadsheets/d/1oKaccgDdQABndOzGr688Dbfxb_V3YcF67VqEPBtdzsc/edit?usp=sharing"",""ยโสธร!L660"")"),0)</f>
        <v>0</v>
      </c>
      <c r="E41" s="64">
        <f ca="1">IFERROR(__xludf.DUMMYFUNCTION("IMPORTRANGE(""https://docs.google.com/spreadsheets/d/1oKaccgDdQABndOzGr688Dbfxb_V3YcF67VqEPBtdzsc/edit?usp=sharing"",""ยโสธร!L667"")"),0)</f>
        <v>0</v>
      </c>
      <c r="F41" s="64">
        <f ca="1">IFERROR(__xludf.DUMMYFUNCTION("IMPORTRANGE(""https://docs.google.com/spreadsheets/d/1oKaccgDdQABndOzGr688Dbfxb_V3YcF67VqEPBtdzsc/edit?usp=sharing"",""ยโสธร!M660"")"),0)</f>
        <v>0</v>
      </c>
      <c r="G41" s="64">
        <f ca="1">IFERROR(__xludf.DUMMYFUNCTION("IMPORTRANGE(""https://docs.google.com/spreadsheets/d/1oKaccgDdQABndOzGr688Dbfxb_V3YcF67VqEPBtdzsc/edit?usp=sharing"",""ยโสธร!M667"")"),0)</f>
        <v>0</v>
      </c>
      <c r="H41" s="58">
        <f t="shared" ca="1" si="27"/>
        <v>0</v>
      </c>
      <c r="I41" s="59">
        <f t="shared" ca="1" si="1"/>
        <v>0</v>
      </c>
      <c r="J41" s="60">
        <f t="shared" ca="1" si="52"/>
        <v>0</v>
      </c>
      <c r="K41" s="61">
        <f t="shared" ca="1" si="33"/>
        <v>0</v>
      </c>
      <c r="L41" s="61">
        <f t="shared" ca="1" si="34"/>
        <v>0</v>
      </c>
      <c r="M41" s="64">
        <f ca="1">IFERROR(__xludf.DUMMYFUNCTION("IMPORTRANGE(""https://docs.google.com/spreadsheets/d/1oKaccgDdQABndOzGr688Dbfxb_V3YcF67VqEPBtdzsc/edit?usp=sharing"",""ยโสธร!N661"")"),0)</f>
        <v>0</v>
      </c>
      <c r="N41" s="64">
        <f ca="1">IFERROR(__xludf.DUMMYFUNCTION("IMPORTRANGE(""https://docs.google.com/spreadsheets/d/1oKaccgDdQABndOzGr688Dbfxb_V3YcF67VqEPBtdzsc/edit?usp=sharing"",""ยโสธร!N662"")"),0)</f>
        <v>0</v>
      </c>
      <c r="O41" s="64">
        <f ca="1">IFERROR(__xludf.DUMMYFUNCTION("IMPORTRANGE(""https://docs.google.com/spreadsheets/d/1oKaccgDdQABndOzGr688Dbfxb_V3YcF67VqEPBtdzsc/edit?usp=sharing"",""ยโสธร!N663"")"),0)</f>
        <v>0</v>
      </c>
      <c r="P41" s="64">
        <f ca="1">IFERROR(__xludf.DUMMYFUNCTION("IMPORTRANGE(""https://docs.google.com/spreadsheets/d/1oKaccgDdQABndOzGr688Dbfxb_V3YcF67VqEPBtdzsc/edit?usp=sharing"",""ยโสธร!N664"")"),0)</f>
        <v>0</v>
      </c>
      <c r="Q41" s="62">
        <f ca="1">IFERROR(__xludf.DUMMYFUNCTION("IMPORTRANGE(""https://docs.google.com/spreadsheets/d/1oKaccgDdQABndOzGr688Dbfxb_V3YcF67VqEPBtdzsc/edit?usp=sharing"",""ยโสธร!N667"")"),0)</f>
        <v>0</v>
      </c>
      <c r="R41" s="62">
        <f t="shared" ca="1" si="36"/>
        <v>0</v>
      </c>
      <c r="S41" s="57">
        <f ca="1">IFERROR(__xludf.DUMMYFUNCTION("IMPORTRANGE(""https://docs.google.com/spreadsheets/d/1oKaccgDdQABndOzGr688Dbfxb_V3YcF67VqEPBtdzsc/edit?usp=sharing"",""ยโสธร!I669"")"),0)</f>
        <v>0</v>
      </c>
      <c r="T41" s="57">
        <f ca="1">IFERROR(__xludf.DUMMYFUNCTION("IMPORTRANGE(""https://docs.google.com/spreadsheets/d/1oKaccgDdQABndOzGr688Dbfxb_V3YcF67VqEPBtdzsc/edit?usp=sharing"",""ยโสธร!J669"")"),0)</f>
        <v>0</v>
      </c>
      <c r="U41" s="63">
        <f t="shared" ca="1" si="28"/>
        <v>0</v>
      </c>
      <c r="V41" s="57">
        <f ca="1">IFERROR(__xludf.DUMMYFUNCTION("IMPORTRANGE(""https://docs.google.com/spreadsheets/d/1oKaccgDdQABndOzGr688Dbfxb_V3YcF67VqEPBtdzsc/edit?usp=sharing"",""ยโสธร!I670"")"),0)</f>
        <v>0</v>
      </c>
      <c r="W41" s="57">
        <f ca="1">IFERROR(__xludf.DUMMYFUNCTION("IMPORTRANGE(""https://docs.google.com/spreadsheets/d/1oKaccgDdQABndOzGr688Dbfxb_V3YcF67VqEPBtdzsc/edit?usp=sharing"",""ยโสธร!J670"")"),0)</f>
        <v>0</v>
      </c>
      <c r="X41" s="63">
        <f t="shared" ca="1" si="29"/>
        <v>0</v>
      </c>
      <c r="Y41" s="57">
        <f ca="1">IFERROR(__xludf.DUMMYFUNCTION("IMPORTRANGE(""https://docs.google.com/spreadsheets/d/1oKaccgDdQABndOzGr688Dbfxb_V3YcF67VqEPBtdzsc/edit?usp=sharing"",""ยโสธร!I671"")"),0)</f>
        <v>0</v>
      </c>
      <c r="Z41" s="57">
        <f ca="1">IFERROR(__xludf.DUMMYFUNCTION("IMPORTRANGE(""https://docs.google.com/spreadsheets/d/1oKaccgDdQABndOzGr688Dbfxb_V3YcF67VqEPBtdzsc/edit?usp=sharing"",""ยโสธร!J671"")"),0)</f>
        <v>0</v>
      </c>
      <c r="AA41" s="63">
        <f t="shared" ca="1" si="30"/>
        <v>0</v>
      </c>
      <c r="AB41" s="57">
        <f ca="1">IFERROR(__xludf.DUMMYFUNCTION("IMPORTRANGE(""https://docs.google.com/spreadsheets/d/1oKaccgDdQABndOzGr688Dbfxb_V3YcF67VqEPBtdzsc/edit?usp=sharing"",""ยโสธร!J672"")"),0)</f>
        <v>0</v>
      </c>
      <c r="AC41" s="63">
        <f t="shared" ca="1" si="11"/>
        <v>0</v>
      </c>
      <c r="AD41" s="57">
        <f ca="1">IFERROR(__xludf.DUMMYFUNCTION("IMPORTRANGE(""https://docs.google.com/spreadsheets/d/1oKaccgDdQABndOzGr688Dbfxb_V3YcF67VqEPBtdzsc/edit?usp=sharing"",""ยโสธร!J673"")"),0)</f>
        <v>0</v>
      </c>
      <c r="AE41" s="63">
        <f t="shared" ca="1" si="12"/>
        <v>0</v>
      </c>
      <c r="AF41" s="63">
        <f ca="1">IFERROR(__xludf.DUMMYFUNCTION("IMPORTRANGE(""https://docs.google.com/spreadsheets/d/1oKaccgDdQABndOzGr688Dbfxb_V3YcF67VqEPBtdzsc/edit?usp=sharing"",""ยโสธร!J674"")"),0)</f>
        <v>0</v>
      </c>
      <c r="AG41" s="63">
        <f t="shared" ca="1" si="13"/>
        <v>0</v>
      </c>
      <c r="AH41" s="63">
        <f ca="1">IFERROR(__xludf.DUMMYFUNCTION("IMPORTRANGE(""https://docs.google.com/spreadsheets/d/1oKaccgDdQABndOzGr688Dbfxb_V3YcF67VqEPBtdzsc/edit?usp=sharing"",""ยโสธร!J675"")"),0)</f>
        <v>0</v>
      </c>
      <c r="AI41" s="63">
        <f t="shared" ca="1" si="21"/>
        <v>0</v>
      </c>
      <c r="AJ41" s="63">
        <f ca="1">IFERROR(__xludf.DUMMYFUNCTION("IMPORTRANGE(""https://docs.google.com/spreadsheets/d/1oKaccgDdQABndOzGr688Dbfxb_V3YcF67VqEPBtdzsc/edit?usp=sharing"",""ยโสธร!J676"")"),0)</f>
        <v>0</v>
      </c>
      <c r="AK41" s="63">
        <f ca="1">IFERROR(__xludf.DUMMYFUNCTION("IMPORTRANGE(""https://docs.google.com/spreadsheets/d/1oKaccgDdQABndOzGr688Dbfxb_V3YcF67VqEPBtdzsc/edit?usp=sharing"",""ยโสธร!J677"")"),0)</f>
        <v>0</v>
      </c>
      <c r="AL41" s="57">
        <f ca="1">IFERROR(__xludf.DUMMYFUNCTION("IMPORTRANGE(""https://docs.google.com/spreadsheets/d/1oKaccgDdQABndOzGr688Dbfxb_V3YcF67VqEPBtdzsc/edit?usp=sharing"",""ยโสธร!I678"")"),0)</f>
        <v>0</v>
      </c>
      <c r="AM41" s="57">
        <f ca="1">IFERROR(__xludf.DUMMYFUNCTION("IMPORTRANGE(""https://docs.google.com/spreadsheets/d/1oKaccgDdQABndOzGr688Dbfxb_V3YcF67VqEPBtdzsc/edit?usp=sharing"",""ยโสธร!J678"")"),0)</f>
        <v>0</v>
      </c>
      <c r="AN41" s="63">
        <f t="shared" ca="1" si="31"/>
        <v>0</v>
      </c>
      <c r="AO41" s="57">
        <f ca="1">IFERROR(__xludf.DUMMYFUNCTION("IMPORTRANGE(""https://docs.google.com/spreadsheets/d/1oKaccgDdQABndOzGr688Dbfxb_V3YcF67VqEPBtdzsc/edit?usp=sharing"",""ยโสธร!J679"")"),0)</f>
        <v>0</v>
      </c>
      <c r="AP41" s="57">
        <f ca="1">IFERROR(__xludf.DUMMYFUNCTION("IMPORTRANGE(""https://docs.google.com/spreadsheets/d/1oKaccgDdQABndOzGr688Dbfxb_V3YcF67VqEPBtdzsc/edit?usp=sharing"",""ยโสธร!J680"")"),0)</f>
        <v>0</v>
      </c>
      <c r="AQ41" s="57">
        <f ca="1">IFERROR(__xludf.DUMMYFUNCTION("IMPORTRANGE(""https://docs.google.com/spreadsheets/d/1oKaccgDdQABndOzGr688Dbfxb_V3YcF67VqEPBtdzsc/edit?usp=sharing"",""ยโสธร!J681"")"),0)</f>
        <v>0</v>
      </c>
      <c r="AR41" s="57">
        <f ca="1">IFERROR(__xludf.DUMMYFUNCTION("IMPORTRANGE(""https://docs.google.com/spreadsheets/d/1oKaccgDdQABndOzGr688Dbfxb_V3YcF67VqEPBtdzsc/edit?usp=sharing"",""ยโสธร!J682"")"),0)</f>
        <v>0</v>
      </c>
      <c r="AS41" s="57">
        <f ca="1">IFERROR(__xludf.DUMMYFUNCTION("IMPORTRANGE(""https://docs.google.com/spreadsheets/d/1oKaccgDdQABndOzGr688Dbfxb_V3YcF67VqEPBtdzsc/edit?usp=sharing"",""ยโสธร!J683"")"),0)</f>
        <v>0</v>
      </c>
    </row>
    <row r="42" spans="1:45" ht="21" customHeight="1" x14ac:dyDescent="0.3">
      <c r="A42" s="54">
        <v>11</v>
      </c>
      <c r="B42" s="55" t="s">
        <v>63</v>
      </c>
      <c r="C42" s="56">
        <f t="shared" ca="1" si="51"/>
        <v>12600</v>
      </c>
      <c r="D42" s="57">
        <f ca="1">IFERROR(__xludf.DUMMYFUNCTION("IMPORTRANGE(""https://docs.google.com/spreadsheets/d/1BRgc8xKpxZ0PX-gauieMVkV_IOxKSotf0yW8MabGprQ/edit?usp=sharing"",""ร้อยเอ็ด!L660"")"),12600)</f>
        <v>12600</v>
      </c>
      <c r="E42" s="64">
        <f ca="1">IFERROR(__xludf.DUMMYFUNCTION("IMPORTRANGE(""https://docs.google.com/spreadsheets/d/1BRgc8xKpxZ0PX-gauieMVkV_IOxKSotf0yW8MabGprQ/edit?usp=sharing"",""ร้อยเอ็ด!L667"")"),0)</f>
        <v>0</v>
      </c>
      <c r="F42" s="64">
        <f ca="1">IFERROR(__xludf.DUMMYFUNCTION("IMPORTRANGE(""https://docs.google.com/spreadsheets/d/1BRgc8xKpxZ0PX-gauieMVkV_IOxKSotf0yW8MabGprQ/edit?usp=sharing"",""ร้อยเอ็ด!M660"")"),12600)</f>
        <v>12600</v>
      </c>
      <c r="G42" s="64">
        <f ca="1">IFERROR(__xludf.DUMMYFUNCTION("IMPORTRANGE(""https://docs.google.com/spreadsheets/d/1BRgc8xKpxZ0PX-gauieMVkV_IOxKSotf0yW8MabGprQ/edit?usp=sharing"",""ร้อยเอ็ด!M667"")"),0)</f>
        <v>0</v>
      </c>
      <c r="H42" s="58">
        <f t="shared" ca="1" si="27"/>
        <v>12600</v>
      </c>
      <c r="I42" s="59">
        <f t="shared" ca="1" si="1"/>
        <v>100</v>
      </c>
      <c r="J42" s="60">
        <f t="shared" ca="1" si="52"/>
        <v>12600</v>
      </c>
      <c r="K42" s="61">
        <f t="shared" ca="1" si="33"/>
        <v>100</v>
      </c>
      <c r="L42" s="61">
        <f t="shared" ca="1" si="34"/>
        <v>100</v>
      </c>
      <c r="M42" s="64">
        <f ca="1">IFERROR(__xludf.DUMMYFUNCTION("IMPORTRANGE(""https://docs.google.com/spreadsheets/d/1BRgc8xKpxZ0PX-gauieMVkV_IOxKSotf0yW8MabGprQ/edit?usp=sharing"",""ร้อยเอ็ด!N661"")"),0)</f>
        <v>0</v>
      </c>
      <c r="N42" s="64">
        <f ca="1">IFERROR(__xludf.DUMMYFUNCTION("IMPORTRANGE(""https://docs.google.com/spreadsheets/d/1BRgc8xKpxZ0PX-gauieMVkV_IOxKSotf0yW8MabGprQ/edit?usp=sharing"",""ร้อยเอ็ด!N662"")"),0)</f>
        <v>0</v>
      </c>
      <c r="O42" s="64">
        <f ca="1">IFERROR(__xludf.DUMMYFUNCTION("IMPORTRANGE(""https://docs.google.com/spreadsheets/d/1BRgc8xKpxZ0PX-gauieMVkV_IOxKSotf0yW8MabGprQ/edit?usp=sharing"",""ร้อยเอ็ด!N663"")"),0)</f>
        <v>0</v>
      </c>
      <c r="P42" s="64">
        <f ca="1">IFERROR(__xludf.DUMMYFUNCTION("IMPORTRANGE(""https://docs.google.com/spreadsheets/d/1BRgc8xKpxZ0PX-gauieMVkV_IOxKSotf0yW8MabGprQ/edit?usp=sharing"",""ร้อยเอ็ด!N664"")"),12600)</f>
        <v>12600</v>
      </c>
      <c r="Q42" s="62">
        <f ca="1">IFERROR(__xludf.DUMMYFUNCTION("IMPORTRANGE(""https://docs.google.com/spreadsheets/d/1BRgc8xKpxZ0PX-gauieMVkV_IOxKSotf0yW8MabGprQ/edit?usp=sharing"",""ร้อยเอ็ด!N667"")"),0)</f>
        <v>0</v>
      </c>
      <c r="R42" s="62">
        <f t="shared" ca="1" si="36"/>
        <v>0</v>
      </c>
      <c r="S42" s="57">
        <f ca="1">IFERROR(__xludf.DUMMYFUNCTION("IMPORTRANGE(""https://docs.google.com/spreadsheets/d/1BRgc8xKpxZ0PX-gauieMVkV_IOxKSotf0yW8MabGprQ/edit?usp=sharing"",""ร้อยเอ็ด!I669"")"),50)</f>
        <v>50</v>
      </c>
      <c r="T42" s="57">
        <f ca="1">IFERROR(__xludf.DUMMYFUNCTION("IMPORTRANGE(""https://docs.google.com/spreadsheets/d/1BRgc8xKpxZ0PX-gauieMVkV_IOxKSotf0yW8MabGprQ/edit?usp=sharing"",""ร้อยเอ็ด!J669"")"),0)</f>
        <v>0</v>
      </c>
      <c r="U42" s="63">
        <f t="shared" ca="1" si="28"/>
        <v>0</v>
      </c>
      <c r="V42" s="57">
        <f ca="1">IFERROR(__xludf.DUMMYFUNCTION("IMPORTRANGE(""https://docs.google.com/spreadsheets/d/1BRgc8xKpxZ0PX-gauieMVkV_IOxKSotf0yW8MabGprQ/edit?usp=sharing"",""ร้อยเอ็ด!I670"")"),6)</f>
        <v>6</v>
      </c>
      <c r="W42" s="57">
        <f ca="1">IFERROR(__xludf.DUMMYFUNCTION("IMPORTRANGE(""https://docs.google.com/spreadsheets/d/1BRgc8xKpxZ0PX-gauieMVkV_IOxKSotf0yW8MabGprQ/edit?usp=sharing"",""ร้อยเอ็ด!J670"")"),6)</f>
        <v>6</v>
      </c>
      <c r="X42" s="63">
        <f t="shared" ca="1" si="29"/>
        <v>100</v>
      </c>
      <c r="Y42" s="57">
        <f ca="1">IFERROR(__xludf.DUMMYFUNCTION("IMPORTRANGE(""https://docs.google.com/spreadsheets/d/1BRgc8xKpxZ0PX-gauieMVkV_IOxKSotf0yW8MabGprQ/edit?usp=sharing"",""ร้อยเอ็ด!I671"")"),6)</f>
        <v>6</v>
      </c>
      <c r="Z42" s="57">
        <f ca="1">IFERROR(__xludf.DUMMYFUNCTION("IMPORTRANGE(""https://docs.google.com/spreadsheets/d/1BRgc8xKpxZ0PX-gauieMVkV_IOxKSotf0yW8MabGprQ/edit?usp=sharing"",""ร้อยเอ็ด!J671"")"),6)</f>
        <v>6</v>
      </c>
      <c r="AA42" s="63">
        <f t="shared" ca="1" si="30"/>
        <v>100</v>
      </c>
      <c r="AB42" s="57">
        <f ca="1">IFERROR(__xludf.DUMMYFUNCTION("IMPORTRANGE(""https://docs.google.com/spreadsheets/d/1BRgc8xKpxZ0PX-gauieMVkV_IOxKSotf0yW8MabGprQ/edit?usp=sharing"",""ร้อยเอ็ด!J672"")"),107)</f>
        <v>107</v>
      </c>
      <c r="AC42" s="63">
        <f t="shared" ca="1" si="11"/>
        <v>214</v>
      </c>
      <c r="AD42" s="57">
        <f ca="1">IFERROR(__xludf.DUMMYFUNCTION("IMPORTRANGE(""https://docs.google.com/spreadsheets/d/1BRgc8xKpxZ0PX-gauieMVkV_IOxKSotf0yW8MabGprQ/edit?usp=sharing"",""ร้อยเอ็ด!J673"")"),107)</f>
        <v>107</v>
      </c>
      <c r="AE42" s="63">
        <f t="shared" ca="1" si="12"/>
        <v>214</v>
      </c>
      <c r="AF42" s="63">
        <f ca="1">IFERROR(__xludf.DUMMYFUNCTION("IMPORTRANGE(""https://docs.google.com/spreadsheets/d/1BRgc8xKpxZ0PX-gauieMVkV_IOxKSotf0yW8MabGprQ/edit?usp=sharing"",""ร้อยเอ็ด!J674"")"),107)</f>
        <v>107</v>
      </c>
      <c r="AG42" s="63">
        <f t="shared" ca="1" si="13"/>
        <v>214</v>
      </c>
      <c r="AH42" s="63">
        <f ca="1">IFERROR(__xludf.DUMMYFUNCTION("IMPORTRANGE(""https://docs.google.com/spreadsheets/d/1BRgc8xKpxZ0PX-gauieMVkV_IOxKSotf0yW8MabGprQ/edit?usp=sharing"",""ร้อยเอ็ด!J675"")"),0)</f>
        <v>0</v>
      </c>
      <c r="AI42" s="63">
        <f t="shared" ca="1" si="21"/>
        <v>0</v>
      </c>
      <c r="AJ42" s="63">
        <f ca="1">IFERROR(__xludf.DUMMYFUNCTION("IMPORTRANGE(""https://docs.google.com/spreadsheets/d/1BRgc8xKpxZ0PX-gauieMVkV_IOxKSotf0yW8MabGprQ/edit?usp=sharing"",""ร้อยเอ็ด!J676"")"),0)</f>
        <v>0</v>
      </c>
      <c r="AK42" s="63">
        <f ca="1">IFERROR(__xludf.DUMMYFUNCTION("IMPORTRANGE(""https://docs.google.com/spreadsheets/d/1BRgc8xKpxZ0PX-gauieMVkV_IOxKSotf0yW8MabGprQ/edit?usp=sharing"",""ร้อยเอ็ด!J677"")"),0)</f>
        <v>0</v>
      </c>
      <c r="AL42" s="57">
        <f ca="1">IFERROR(__xludf.DUMMYFUNCTION("IMPORTRANGE(""https://docs.google.com/spreadsheets/d/1BRgc8xKpxZ0PX-gauieMVkV_IOxKSotf0yW8MabGprQ/edit?usp=sharing"",""ร้อยเอ็ด!I678"")"),0)</f>
        <v>0</v>
      </c>
      <c r="AM42" s="57">
        <f ca="1">IFERROR(__xludf.DUMMYFUNCTION("IMPORTRANGE(""https://docs.google.com/spreadsheets/d/1BRgc8xKpxZ0PX-gauieMVkV_IOxKSotf0yW8MabGprQ/edit?usp=sharing"",""ร้อยเอ็ด!J678"")"),0)</f>
        <v>0</v>
      </c>
      <c r="AN42" s="63">
        <f t="shared" ca="1" si="31"/>
        <v>0</v>
      </c>
      <c r="AO42" s="57">
        <f ca="1">IFERROR(__xludf.DUMMYFUNCTION("IMPORTRANGE(""https://docs.google.com/spreadsheets/d/1BRgc8xKpxZ0PX-gauieMVkV_IOxKSotf0yW8MabGprQ/edit?usp=sharing"",""ร้อยเอ็ด!J679"")"),0)</f>
        <v>0</v>
      </c>
      <c r="AP42" s="57">
        <f ca="1">IFERROR(__xludf.DUMMYFUNCTION("IMPORTRANGE(""https://docs.google.com/spreadsheets/d/1BRgc8xKpxZ0PX-gauieMVkV_IOxKSotf0yW8MabGprQ/edit?usp=sharing"",""ร้อยเอ็ด!J680"")"),0)</f>
        <v>0</v>
      </c>
      <c r="AQ42" s="57">
        <f ca="1">IFERROR(__xludf.DUMMYFUNCTION("IMPORTRANGE(""https://docs.google.com/spreadsheets/d/1BRgc8xKpxZ0PX-gauieMVkV_IOxKSotf0yW8MabGprQ/edit?usp=sharing"",""ร้อยเอ็ด!J681"")"),0)</f>
        <v>0</v>
      </c>
      <c r="AR42" s="57">
        <f ca="1">IFERROR(__xludf.DUMMYFUNCTION("IMPORTRANGE(""https://docs.google.com/spreadsheets/d/1BRgc8xKpxZ0PX-gauieMVkV_IOxKSotf0yW8MabGprQ/edit?usp=sharing"",""ร้อยเอ็ด!J682"")"),0)</f>
        <v>0</v>
      </c>
      <c r="AS42" s="57">
        <f ca="1">IFERROR(__xludf.DUMMYFUNCTION("IMPORTRANGE(""https://docs.google.com/spreadsheets/d/1BRgc8xKpxZ0PX-gauieMVkV_IOxKSotf0yW8MabGprQ/edit?usp=sharing"",""ร้อยเอ็ด!J683"")"),0)</f>
        <v>0</v>
      </c>
    </row>
    <row r="43" spans="1:45" ht="21" customHeight="1" x14ac:dyDescent="0.3">
      <c r="A43" s="54">
        <v>12</v>
      </c>
      <c r="B43" s="55" t="s">
        <v>64</v>
      </c>
      <c r="C43" s="56">
        <f t="shared" ca="1" si="51"/>
        <v>14000</v>
      </c>
      <c r="D43" s="57">
        <f ca="1">IFERROR(__xludf.DUMMYFUNCTION("IMPORTRANGE(""https://docs.google.com/spreadsheets/d/1IdolZc-dfdgMwAm_KZxYJl1sUOcIgnbGQzbWOlddedo/edit?usp=sharing"",""เลย!L660"")"),14000)</f>
        <v>14000</v>
      </c>
      <c r="E43" s="64">
        <f ca="1">IFERROR(__xludf.DUMMYFUNCTION("IMPORTRANGE(""https://docs.google.com/spreadsheets/d/1IdolZc-dfdgMwAm_KZxYJl1sUOcIgnbGQzbWOlddedo/edit?usp=sharing"",""เลย!L667"")"),0)</f>
        <v>0</v>
      </c>
      <c r="F43" s="64">
        <f ca="1">IFERROR(__xludf.DUMMYFUNCTION("IMPORTRANGE(""https://docs.google.com/spreadsheets/d/1IdolZc-dfdgMwAm_KZxYJl1sUOcIgnbGQzbWOlddedo/edit?usp=sharing"",""เลย!M660"")"),14000)</f>
        <v>14000</v>
      </c>
      <c r="G43" s="64">
        <f ca="1">IFERROR(__xludf.DUMMYFUNCTION("IMPORTRANGE(""https://docs.google.com/spreadsheets/d/1IdolZc-dfdgMwAm_KZxYJl1sUOcIgnbGQzbWOlddedo/edit?usp=sharing"",""เลย!M667"")"),0)</f>
        <v>0</v>
      </c>
      <c r="H43" s="58">
        <f t="shared" ca="1" si="27"/>
        <v>14000</v>
      </c>
      <c r="I43" s="59">
        <f t="shared" ca="1" si="1"/>
        <v>100</v>
      </c>
      <c r="J43" s="60">
        <f t="shared" ca="1" si="52"/>
        <v>14000</v>
      </c>
      <c r="K43" s="61">
        <f t="shared" ca="1" si="33"/>
        <v>100</v>
      </c>
      <c r="L43" s="61">
        <f t="shared" ca="1" si="34"/>
        <v>100</v>
      </c>
      <c r="M43" s="64">
        <f ca="1">IFERROR(__xludf.DUMMYFUNCTION("IMPORTRANGE(""https://docs.google.com/spreadsheets/d/1IdolZc-dfdgMwAm_KZxYJl1sUOcIgnbGQzbWOlddedo/edit?usp=sharing"",""เลย!N661"")"),0)</f>
        <v>0</v>
      </c>
      <c r="N43" s="64">
        <f ca="1">IFERROR(__xludf.DUMMYFUNCTION("IMPORTRANGE(""https://docs.google.com/spreadsheets/d/1IdolZc-dfdgMwAm_KZxYJl1sUOcIgnbGQzbWOlddedo/edit?usp=sharing"",""เลย!N662"")"),0)</f>
        <v>0</v>
      </c>
      <c r="O43" s="64">
        <f ca="1">IFERROR(__xludf.DUMMYFUNCTION("IMPORTRANGE(""https://docs.google.com/spreadsheets/d/1IdolZc-dfdgMwAm_KZxYJl1sUOcIgnbGQzbWOlddedo/edit?usp=sharing"",""เลย!N663"")"),0)</f>
        <v>0</v>
      </c>
      <c r="P43" s="64">
        <f ca="1">IFERROR(__xludf.DUMMYFUNCTION("IMPORTRANGE(""https://docs.google.com/spreadsheets/d/1IdolZc-dfdgMwAm_KZxYJl1sUOcIgnbGQzbWOlddedo/edit?usp=sharing"",""เลย!N664"")"),14000)</f>
        <v>14000</v>
      </c>
      <c r="Q43" s="62">
        <f ca="1">IFERROR(__xludf.DUMMYFUNCTION("IMPORTRANGE(""https://docs.google.com/spreadsheets/d/1IdolZc-dfdgMwAm_KZxYJl1sUOcIgnbGQzbWOlddedo/edit?usp=sharing"",""เลย!N667"")"),0)</f>
        <v>0</v>
      </c>
      <c r="R43" s="62">
        <f t="shared" ca="1" si="36"/>
        <v>0</v>
      </c>
      <c r="S43" s="57">
        <f ca="1">IFERROR(__xludf.DUMMYFUNCTION("IMPORTRANGE(""https://docs.google.com/spreadsheets/d/1IdolZc-dfdgMwAm_KZxYJl1sUOcIgnbGQzbWOlddedo/edit?usp=sharing"",""เลย!I669"")"),100)</f>
        <v>100</v>
      </c>
      <c r="T43" s="57">
        <f ca="1">IFERROR(__xludf.DUMMYFUNCTION("IMPORTRANGE(""https://docs.google.com/spreadsheets/d/1IdolZc-dfdgMwAm_KZxYJl1sUOcIgnbGQzbWOlddedo/edit?usp=sharing"",""เลย!J669"")"),0)</f>
        <v>0</v>
      </c>
      <c r="U43" s="63">
        <f t="shared" ca="1" si="28"/>
        <v>0</v>
      </c>
      <c r="V43" s="57">
        <f ca="1">IFERROR(__xludf.DUMMYFUNCTION("IMPORTRANGE(""https://docs.google.com/spreadsheets/d/1IdolZc-dfdgMwAm_KZxYJl1sUOcIgnbGQzbWOlddedo/edit?usp=sharing"",""เลย!I670"")"),5)</f>
        <v>5</v>
      </c>
      <c r="W43" s="57">
        <f ca="1">IFERROR(__xludf.DUMMYFUNCTION("IMPORTRANGE(""https://docs.google.com/spreadsheets/d/1IdolZc-dfdgMwAm_KZxYJl1sUOcIgnbGQzbWOlddedo/edit?usp=sharing"",""เลย!J670"")"),5)</f>
        <v>5</v>
      </c>
      <c r="X43" s="63">
        <f t="shared" ca="1" si="29"/>
        <v>100</v>
      </c>
      <c r="Y43" s="57">
        <f ca="1">IFERROR(__xludf.DUMMYFUNCTION("IMPORTRANGE(""https://docs.google.com/spreadsheets/d/1IdolZc-dfdgMwAm_KZxYJl1sUOcIgnbGQzbWOlddedo/edit?usp=sharing"",""เลย!I671"")"),5)</f>
        <v>5</v>
      </c>
      <c r="Z43" s="57">
        <f ca="1">IFERROR(__xludf.DUMMYFUNCTION("IMPORTRANGE(""https://docs.google.com/spreadsheets/d/1IdolZc-dfdgMwAm_KZxYJl1sUOcIgnbGQzbWOlddedo/edit?usp=sharing"",""เลย!J671"")"),5)</f>
        <v>5</v>
      </c>
      <c r="AA43" s="63">
        <f t="shared" ca="1" si="30"/>
        <v>100</v>
      </c>
      <c r="AB43" s="57">
        <f ca="1">IFERROR(__xludf.DUMMYFUNCTION("IMPORTRANGE(""https://docs.google.com/spreadsheets/d/1IdolZc-dfdgMwAm_KZxYJl1sUOcIgnbGQzbWOlddedo/edit?usp=sharing"",""เลย!J672"")"),8)</f>
        <v>8</v>
      </c>
      <c r="AC43" s="63">
        <f t="shared" ca="1" si="11"/>
        <v>8</v>
      </c>
      <c r="AD43" s="57">
        <f ca="1">IFERROR(__xludf.DUMMYFUNCTION("IMPORTRANGE(""https://docs.google.com/spreadsheets/d/1IdolZc-dfdgMwAm_KZxYJl1sUOcIgnbGQzbWOlddedo/edit?usp=sharing"",""เลย!J673"")"),8)</f>
        <v>8</v>
      </c>
      <c r="AE43" s="63">
        <f t="shared" ca="1" si="12"/>
        <v>8</v>
      </c>
      <c r="AF43" s="63">
        <f ca="1">IFERROR(__xludf.DUMMYFUNCTION("IMPORTRANGE(""https://docs.google.com/spreadsheets/d/1IdolZc-dfdgMwAm_KZxYJl1sUOcIgnbGQzbWOlddedo/edit?usp=sharing"",""เลย!J674"")"),0)</f>
        <v>0</v>
      </c>
      <c r="AG43" s="63">
        <f t="shared" ca="1" si="13"/>
        <v>0</v>
      </c>
      <c r="AH43" s="63">
        <f ca="1">IFERROR(__xludf.DUMMYFUNCTION("IMPORTRANGE(""https://docs.google.com/spreadsheets/d/1IdolZc-dfdgMwAm_KZxYJl1sUOcIgnbGQzbWOlddedo/edit?usp=sharing"",""เลย!J675"")"),0)</f>
        <v>0</v>
      </c>
      <c r="AI43" s="63">
        <f t="shared" ca="1" si="21"/>
        <v>0</v>
      </c>
      <c r="AJ43" s="63">
        <f ca="1">IFERROR(__xludf.DUMMYFUNCTION("IMPORTRANGE(""https://docs.google.com/spreadsheets/d/1IdolZc-dfdgMwAm_KZxYJl1sUOcIgnbGQzbWOlddedo/edit?usp=sharing"",""เลย!J676"")"),0)</f>
        <v>0</v>
      </c>
      <c r="AK43" s="63">
        <f ca="1">IFERROR(__xludf.DUMMYFUNCTION("IMPORTRANGE(""https://docs.google.com/spreadsheets/d/1IdolZc-dfdgMwAm_KZxYJl1sUOcIgnbGQzbWOlddedo/edit?usp=sharing"",""เลย!J677"")"),0)</f>
        <v>0</v>
      </c>
      <c r="AL43" s="57">
        <f ca="1">IFERROR(__xludf.DUMMYFUNCTION("IMPORTRANGE(""https://docs.google.com/spreadsheets/d/1IdolZc-dfdgMwAm_KZxYJl1sUOcIgnbGQzbWOlddedo/edit?usp=sharing"",""เลย!I678"")"),0)</f>
        <v>0</v>
      </c>
      <c r="AM43" s="57">
        <f ca="1">IFERROR(__xludf.DUMMYFUNCTION("IMPORTRANGE(""https://docs.google.com/spreadsheets/d/1IdolZc-dfdgMwAm_KZxYJl1sUOcIgnbGQzbWOlddedo/edit?usp=sharing"",""เลย!J678"")"),0)</f>
        <v>0</v>
      </c>
      <c r="AN43" s="63">
        <f t="shared" ca="1" si="31"/>
        <v>0</v>
      </c>
      <c r="AO43" s="57">
        <f ca="1">IFERROR(__xludf.DUMMYFUNCTION("IMPORTRANGE(""https://docs.google.com/spreadsheets/d/1IdolZc-dfdgMwAm_KZxYJl1sUOcIgnbGQzbWOlddedo/edit?usp=sharing"",""เลย!J679"")"),0)</f>
        <v>0</v>
      </c>
      <c r="AP43" s="57">
        <f ca="1">IFERROR(__xludf.DUMMYFUNCTION("IMPORTRANGE(""https://docs.google.com/spreadsheets/d/1IdolZc-dfdgMwAm_KZxYJl1sUOcIgnbGQzbWOlddedo/edit?usp=sharing"",""เลย!J680"")"),0)</f>
        <v>0</v>
      </c>
      <c r="AQ43" s="57">
        <f ca="1">IFERROR(__xludf.DUMMYFUNCTION("IMPORTRANGE(""https://docs.google.com/spreadsheets/d/1IdolZc-dfdgMwAm_KZxYJl1sUOcIgnbGQzbWOlddedo/edit?usp=sharing"",""เลย!J681"")"),0)</f>
        <v>0</v>
      </c>
      <c r="AR43" s="57">
        <f ca="1">IFERROR(__xludf.DUMMYFUNCTION("IMPORTRANGE(""https://docs.google.com/spreadsheets/d/1IdolZc-dfdgMwAm_KZxYJl1sUOcIgnbGQzbWOlddedo/edit?usp=sharing"",""เลย!J682"")"),0)</f>
        <v>0</v>
      </c>
      <c r="AS43" s="57">
        <f ca="1">IFERROR(__xludf.DUMMYFUNCTION("IMPORTRANGE(""https://docs.google.com/spreadsheets/d/1IdolZc-dfdgMwAm_KZxYJl1sUOcIgnbGQzbWOlddedo/edit?usp=sharing"",""เลย!J683"")"),0)</f>
        <v>0</v>
      </c>
    </row>
    <row r="44" spans="1:45" ht="21" customHeight="1" x14ac:dyDescent="0.3">
      <c r="A44" s="54">
        <v>13</v>
      </c>
      <c r="B44" s="55" t="s">
        <v>65</v>
      </c>
      <c r="C44" s="56">
        <f t="shared" ca="1" si="51"/>
        <v>15600</v>
      </c>
      <c r="D44" s="57">
        <f ca="1">IFERROR(__xludf.DUMMYFUNCTION("IMPORTRANGE(""https://docs.google.com/spreadsheets/d/1tZ0nmtGuIRCaGAMXHlQU8EpR9LOAJvyKfc4f7EFmE34/edit?usp=sharing"",""ศรีสะเกษ!L660"")"),15600)</f>
        <v>15600</v>
      </c>
      <c r="E44" s="64">
        <f ca="1">IFERROR(__xludf.DUMMYFUNCTION("IMPORTRANGE(""https://docs.google.com/spreadsheets/d/1tZ0nmtGuIRCaGAMXHlQU8EpR9LOAJvyKfc4f7EFmE34/edit?usp=sharing"",""ศรีสะเกษ!L667"")"),0)</f>
        <v>0</v>
      </c>
      <c r="F44" s="64">
        <f ca="1">IFERROR(__xludf.DUMMYFUNCTION("IMPORTRANGE(""https://docs.google.com/spreadsheets/d/1tZ0nmtGuIRCaGAMXHlQU8EpR9LOAJvyKfc4f7EFmE34/edit?usp=sharing"",""ศรีสะเกษ!M660"")"),15600)</f>
        <v>15600</v>
      </c>
      <c r="G44" s="64">
        <f ca="1">IFERROR(__xludf.DUMMYFUNCTION("IMPORTRANGE(""https://docs.google.com/spreadsheets/d/1tZ0nmtGuIRCaGAMXHlQU8EpR9LOAJvyKfc4f7EFmE34/edit?usp=sharing"",""ศรีสะเกษ!M667"")"),0)</f>
        <v>0</v>
      </c>
      <c r="H44" s="58">
        <f t="shared" ca="1" si="27"/>
        <v>13340</v>
      </c>
      <c r="I44" s="59">
        <f t="shared" ca="1" si="1"/>
        <v>85.512820512820511</v>
      </c>
      <c r="J44" s="60">
        <f t="shared" ca="1" si="52"/>
        <v>13340</v>
      </c>
      <c r="K44" s="61">
        <f t="shared" ca="1" si="33"/>
        <v>85.512820512820511</v>
      </c>
      <c r="L44" s="61">
        <f t="shared" ca="1" si="34"/>
        <v>85.512820512820511</v>
      </c>
      <c r="M44" s="64">
        <f ca="1">IFERROR(__xludf.DUMMYFUNCTION("IMPORTRANGE(""https://docs.google.com/spreadsheets/d/1tZ0nmtGuIRCaGAMXHlQU8EpR9LOAJvyKfc4f7EFmE34/edit?usp=sharing"",""ศรีสะเกษ!N661"")"),0)</f>
        <v>0</v>
      </c>
      <c r="N44" s="64">
        <f ca="1">IFERROR(__xludf.DUMMYFUNCTION("IMPORTRANGE(""https://docs.google.com/spreadsheets/d/1tZ0nmtGuIRCaGAMXHlQU8EpR9LOAJvyKfc4f7EFmE34/edit?usp=sharing"",""ศรีสะเกษ!N662"")"),0)</f>
        <v>0</v>
      </c>
      <c r="O44" s="64">
        <f ca="1">IFERROR(__xludf.DUMMYFUNCTION("IMPORTRANGE(""https://docs.google.com/spreadsheets/d/1tZ0nmtGuIRCaGAMXHlQU8EpR9LOAJvyKfc4f7EFmE34/edit?usp=sharing"",""ศรีสะเกษ!N663"")"),0)</f>
        <v>0</v>
      </c>
      <c r="P44" s="64">
        <f ca="1">IFERROR(__xludf.DUMMYFUNCTION("IMPORTRANGE(""https://docs.google.com/spreadsheets/d/1tZ0nmtGuIRCaGAMXHlQU8EpR9LOAJvyKfc4f7EFmE34/edit?usp=sharing"",""ศรีสะเกษ!N664"")"),13340)</f>
        <v>13340</v>
      </c>
      <c r="Q44" s="62">
        <f ca="1">IFERROR(__xludf.DUMMYFUNCTION("IMPORTRANGE(""https://docs.google.com/spreadsheets/d/1tZ0nmtGuIRCaGAMXHlQU8EpR9LOAJvyKfc4f7EFmE34/edit?usp=sharing"",""ศรีสะเกษ!N667"")"),0)</f>
        <v>0</v>
      </c>
      <c r="R44" s="62">
        <f t="shared" ca="1" si="36"/>
        <v>0</v>
      </c>
      <c r="S44" s="57">
        <f ca="1">IFERROR(__xludf.DUMMYFUNCTION("IMPORTRANGE(""https://docs.google.com/spreadsheets/d/1tZ0nmtGuIRCaGAMXHlQU8EpR9LOAJvyKfc4f7EFmE34/edit?usp=sharing"",""ศรีสะเกษ!I669"")"),100)</f>
        <v>100</v>
      </c>
      <c r="T44" s="57">
        <f ca="1">IFERROR(__xludf.DUMMYFUNCTION("IMPORTRANGE(""https://docs.google.com/spreadsheets/d/1tZ0nmtGuIRCaGAMXHlQU8EpR9LOAJvyKfc4f7EFmE34/edit?usp=sharing"",""ศรีสะเกษ!J669"")"),0)</f>
        <v>0</v>
      </c>
      <c r="U44" s="63">
        <f t="shared" ca="1" si="28"/>
        <v>0</v>
      </c>
      <c r="V44" s="57">
        <f ca="1">IFERROR(__xludf.DUMMYFUNCTION("IMPORTRANGE(""https://docs.google.com/spreadsheets/d/1tZ0nmtGuIRCaGAMXHlQU8EpR9LOAJvyKfc4f7EFmE34/edit?usp=sharing"",""ศรีสะเกษ!I670"")"),6)</f>
        <v>6</v>
      </c>
      <c r="W44" s="57">
        <f ca="1">IFERROR(__xludf.DUMMYFUNCTION("IMPORTRANGE(""https://docs.google.com/spreadsheets/d/1tZ0nmtGuIRCaGAMXHlQU8EpR9LOAJvyKfc4f7EFmE34/edit?usp=sharing"",""ศรีสะเกษ!J670"")"),6)</f>
        <v>6</v>
      </c>
      <c r="X44" s="63">
        <f t="shared" ca="1" si="29"/>
        <v>100</v>
      </c>
      <c r="Y44" s="57">
        <f ca="1">IFERROR(__xludf.DUMMYFUNCTION("IMPORTRANGE(""https://docs.google.com/spreadsheets/d/1tZ0nmtGuIRCaGAMXHlQU8EpR9LOAJvyKfc4f7EFmE34/edit?usp=sharing"",""ศรีสะเกษ!I671"")"),6)</f>
        <v>6</v>
      </c>
      <c r="Z44" s="57">
        <f ca="1">IFERROR(__xludf.DUMMYFUNCTION("IMPORTRANGE(""https://docs.google.com/spreadsheets/d/1tZ0nmtGuIRCaGAMXHlQU8EpR9LOAJvyKfc4f7EFmE34/edit?usp=sharing"",""ศรีสะเกษ!J671"")"),6)</f>
        <v>6</v>
      </c>
      <c r="AA44" s="63">
        <f t="shared" ca="1" si="30"/>
        <v>100</v>
      </c>
      <c r="AB44" s="57">
        <f ca="1">IFERROR(__xludf.DUMMYFUNCTION("IMPORTRANGE(""https://docs.google.com/spreadsheets/d/1tZ0nmtGuIRCaGAMXHlQU8EpR9LOAJvyKfc4f7EFmE34/edit?usp=sharing"",""ศรีสะเกษ!J672"")"),18)</f>
        <v>18</v>
      </c>
      <c r="AC44" s="63">
        <f t="shared" ca="1" si="11"/>
        <v>18</v>
      </c>
      <c r="AD44" s="57">
        <f ca="1">IFERROR(__xludf.DUMMYFUNCTION("IMPORTRANGE(""https://docs.google.com/spreadsheets/d/1tZ0nmtGuIRCaGAMXHlQU8EpR9LOAJvyKfc4f7EFmE34/edit?usp=sharing"",""ศรีสะเกษ!J673"")"),18)</f>
        <v>18</v>
      </c>
      <c r="AE44" s="63">
        <f t="shared" ca="1" si="12"/>
        <v>18</v>
      </c>
      <c r="AF44" s="63">
        <f ca="1">IFERROR(__xludf.DUMMYFUNCTION("IMPORTRANGE(""https://docs.google.com/spreadsheets/d/1tZ0nmtGuIRCaGAMXHlQU8EpR9LOAJvyKfc4f7EFmE34/edit?usp=sharing"",""ศรีสะเกษ!J674"")"),0)</f>
        <v>0</v>
      </c>
      <c r="AG44" s="63">
        <f t="shared" ca="1" si="13"/>
        <v>0</v>
      </c>
      <c r="AH44" s="63">
        <f ca="1">IFERROR(__xludf.DUMMYFUNCTION("IMPORTRANGE(""https://docs.google.com/spreadsheets/d/1tZ0nmtGuIRCaGAMXHlQU8EpR9LOAJvyKfc4f7EFmE34/edit?usp=sharing"",""ศรีสะเกษ!J675"")"),0)</f>
        <v>0</v>
      </c>
      <c r="AI44" s="63">
        <f t="shared" ca="1" si="21"/>
        <v>0</v>
      </c>
      <c r="AJ44" s="63">
        <f ca="1">IFERROR(__xludf.DUMMYFUNCTION("IMPORTRANGE(""https://docs.google.com/spreadsheets/d/1tZ0nmtGuIRCaGAMXHlQU8EpR9LOAJvyKfc4f7EFmE34/edit?usp=sharing"",""ศรีสะเกษ!J676"")"),0)</f>
        <v>0</v>
      </c>
      <c r="AK44" s="63">
        <f ca="1">IFERROR(__xludf.DUMMYFUNCTION("IMPORTRANGE(""https://docs.google.com/spreadsheets/d/1tZ0nmtGuIRCaGAMXHlQU8EpR9LOAJvyKfc4f7EFmE34/edit?usp=sharing"",""ศรีสะเกษ!J677"")"),0)</f>
        <v>0</v>
      </c>
      <c r="AL44" s="57">
        <f ca="1">IFERROR(__xludf.DUMMYFUNCTION("IMPORTRANGE(""https://docs.google.com/spreadsheets/d/1tZ0nmtGuIRCaGAMXHlQU8EpR9LOAJvyKfc4f7EFmE34/edit?usp=sharing"",""ศรีสะเกษ!I678"")"),0)</f>
        <v>0</v>
      </c>
      <c r="AM44" s="57">
        <f ca="1">IFERROR(__xludf.DUMMYFUNCTION("IMPORTRANGE(""https://docs.google.com/spreadsheets/d/1tZ0nmtGuIRCaGAMXHlQU8EpR9LOAJvyKfc4f7EFmE34/edit?usp=sharing"",""ศรีสะเกษ!J678"")"),0)</f>
        <v>0</v>
      </c>
      <c r="AN44" s="63">
        <f t="shared" ca="1" si="31"/>
        <v>0</v>
      </c>
      <c r="AO44" s="57">
        <f ca="1">IFERROR(__xludf.DUMMYFUNCTION("IMPORTRANGE(""https://docs.google.com/spreadsheets/d/1tZ0nmtGuIRCaGAMXHlQU8EpR9LOAJvyKfc4f7EFmE34/edit?usp=sharing"",""ศรีสะเกษ!J679"")"),0)</f>
        <v>0</v>
      </c>
      <c r="AP44" s="57">
        <f ca="1">IFERROR(__xludf.DUMMYFUNCTION("IMPORTRANGE(""https://docs.google.com/spreadsheets/d/1tZ0nmtGuIRCaGAMXHlQU8EpR9LOAJvyKfc4f7EFmE34/edit?usp=sharing"",""ศรีสะเกษ!J680"")"),0)</f>
        <v>0</v>
      </c>
      <c r="AQ44" s="57">
        <f ca="1">IFERROR(__xludf.DUMMYFUNCTION("IMPORTRANGE(""https://docs.google.com/spreadsheets/d/1tZ0nmtGuIRCaGAMXHlQU8EpR9LOAJvyKfc4f7EFmE34/edit?usp=sharing"",""ศรีสะเกษ!J681"")"),0)</f>
        <v>0</v>
      </c>
      <c r="AR44" s="57">
        <f ca="1">IFERROR(__xludf.DUMMYFUNCTION("IMPORTRANGE(""https://docs.google.com/spreadsheets/d/1tZ0nmtGuIRCaGAMXHlQU8EpR9LOAJvyKfc4f7EFmE34/edit?usp=sharing"",""ศรีสะเกษ!J682"")"),0)</f>
        <v>0</v>
      </c>
      <c r="AS44" s="57">
        <f ca="1">IFERROR(__xludf.DUMMYFUNCTION("IMPORTRANGE(""https://docs.google.com/spreadsheets/d/1tZ0nmtGuIRCaGAMXHlQU8EpR9LOAJvyKfc4f7EFmE34/edit?usp=sharing"",""ศรีสะเกษ!J683"")"),0)</f>
        <v>0</v>
      </c>
    </row>
    <row r="45" spans="1:45" ht="21" customHeight="1" x14ac:dyDescent="0.3">
      <c r="A45" s="54">
        <v>14</v>
      </c>
      <c r="B45" s="55" t="s">
        <v>66</v>
      </c>
      <c r="C45" s="56">
        <f t="shared" ca="1" si="51"/>
        <v>0</v>
      </c>
      <c r="D45" s="57">
        <f ca="1">IFERROR(__xludf.DUMMYFUNCTION("IMPORTRANGE(""https://docs.google.com/spreadsheets/d/1QC8psz9w0f9IVE9Xuc2FT_btkaOzZbbUSgYObpBuetM/edit?usp=sharing"",""สกลนคร!L660"")"),0)</f>
        <v>0</v>
      </c>
      <c r="E45" s="64">
        <f ca="1">IFERROR(__xludf.DUMMYFUNCTION("IMPORTRANGE(""https://docs.google.com/spreadsheets/d/1QC8psz9w0f9IVE9Xuc2FT_btkaOzZbbUSgYObpBuetM/edit?usp=sharing"",""สกลนคร!L667"")"),0)</f>
        <v>0</v>
      </c>
      <c r="F45" s="64">
        <f ca="1">IFERROR(__xludf.DUMMYFUNCTION("IMPORTRANGE(""https://docs.google.com/spreadsheets/d/1QC8psz9w0f9IVE9Xuc2FT_btkaOzZbbUSgYObpBuetM/edit?usp=sharing"",""สกลนคร!M660"")"),0)</f>
        <v>0</v>
      </c>
      <c r="G45" s="64">
        <f ca="1">IFERROR(__xludf.DUMMYFUNCTION("IMPORTRANGE(""https://docs.google.com/spreadsheets/d/1QC8psz9w0f9IVE9Xuc2FT_btkaOzZbbUSgYObpBuetM/edit?usp=sharing"",""สกลนคร!M667"")"),0)</f>
        <v>0</v>
      </c>
      <c r="H45" s="58">
        <f t="shared" ca="1" si="27"/>
        <v>0</v>
      </c>
      <c r="I45" s="59">
        <f t="shared" ca="1" si="1"/>
        <v>0</v>
      </c>
      <c r="J45" s="60">
        <f t="shared" ca="1" si="52"/>
        <v>0</v>
      </c>
      <c r="K45" s="61">
        <f t="shared" ca="1" si="33"/>
        <v>0</v>
      </c>
      <c r="L45" s="61">
        <f t="shared" ca="1" si="34"/>
        <v>0</v>
      </c>
      <c r="M45" s="64">
        <f ca="1">IFERROR(__xludf.DUMMYFUNCTION("IMPORTRANGE(""https://docs.google.com/spreadsheets/d/1QC8psz9w0f9IVE9Xuc2FT_btkaOzZbbUSgYObpBuetM/edit?usp=sharing"",""สกลนคร!N661"")"),0)</f>
        <v>0</v>
      </c>
      <c r="N45" s="64">
        <f ca="1">IFERROR(__xludf.DUMMYFUNCTION("IMPORTRANGE(""https://docs.google.com/spreadsheets/d/1QC8psz9w0f9IVE9Xuc2FT_btkaOzZbbUSgYObpBuetM/edit?usp=sharing"",""สกลนคร!N662"")"),0)</f>
        <v>0</v>
      </c>
      <c r="O45" s="64">
        <f ca="1">IFERROR(__xludf.DUMMYFUNCTION("IMPORTRANGE(""https://docs.google.com/spreadsheets/d/1QC8psz9w0f9IVE9Xuc2FT_btkaOzZbbUSgYObpBuetM/edit?usp=sharing"",""สกลนคร!N663"")"),0)</f>
        <v>0</v>
      </c>
      <c r="P45" s="64">
        <f ca="1">IFERROR(__xludf.DUMMYFUNCTION("IMPORTRANGE(""https://docs.google.com/spreadsheets/d/1QC8psz9w0f9IVE9Xuc2FT_btkaOzZbbUSgYObpBuetM/edit?usp=sharing"",""สกลนคร!N664"")"),0)</f>
        <v>0</v>
      </c>
      <c r="Q45" s="62">
        <f ca="1">IFERROR(__xludf.DUMMYFUNCTION("IMPORTRANGE(""https://docs.google.com/spreadsheets/d/1QC8psz9w0f9IVE9Xuc2FT_btkaOzZbbUSgYObpBuetM/edit?usp=sharing"",""สกลนคร!N667"")"),0)</f>
        <v>0</v>
      </c>
      <c r="R45" s="62">
        <f t="shared" ca="1" si="36"/>
        <v>0</v>
      </c>
      <c r="S45" s="57">
        <f ca="1">IFERROR(__xludf.DUMMYFUNCTION("IMPORTRANGE(""https://docs.google.com/spreadsheets/d/1QC8psz9w0f9IVE9Xuc2FT_btkaOzZbbUSgYObpBuetM/edit?usp=sharing"",""สกลนคร!I669"")"),0)</f>
        <v>0</v>
      </c>
      <c r="T45" s="57">
        <f ca="1">IFERROR(__xludf.DUMMYFUNCTION("IMPORTRANGE(""https://docs.google.com/spreadsheets/d/1QC8psz9w0f9IVE9Xuc2FT_btkaOzZbbUSgYObpBuetM/edit?usp=sharing"",""สกลนคร!J669"")"),0)</f>
        <v>0</v>
      </c>
      <c r="U45" s="63">
        <f t="shared" ca="1" si="28"/>
        <v>0</v>
      </c>
      <c r="V45" s="57">
        <f ca="1">IFERROR(__xludf.DUMMYFUNCTION("IMPORTRANGE(""https://docs.google.com/spreadsheets/d/1QC8psz9w0f9IVE9Xuc2FT_btkaOzZbbUSgYObpBuetM/edit?usp=sharing"",""สกลนคร!I670"")"),0)</f>
        <v>0</v>
      </c>
      <c r="W45" s="57">
        <f ca="1">IFERROR(__xludf.DUMMYFUNCTION("IMPORTRANGE(""https://docs.google.com/spreadsheets/d/1QC8psz9w0f9IVE9Xuc2FT_btkaOzZbbUSgYObpBuetM/edit?usp=sharing"",""สกลนคร!J670"")"),0)</f>
        <v>0</v>
      </c>
      <c r="X45" s="63">
        <f t="shared" ca="1" si="29"/>
        <v>0</v>
      </c>
      <c r="Y45" s="57">
        <f ca="1">IFERROR(__xludf.DUMMYFUNCTION("IMPORTRANGE(""https://docs.google.com/spreadsheets/d/1QC8psz9w0f9IVE9Xuc2FT_btkaOzZbbUSgYObpBuetM/edit?usp=sharing"",""สกลนคร!I671"")"),0)</f>
        <v>0</v>
      </c>
      <c r="Z45" s="57">
        <f ca="1">IFERROR(__xludf.DUMMYFUNCTION("IMPORTRANGE(""https://docs.google.com/spreadsheets/d/1QC8psz9w0f9IVE9Xuc2FT_btkaOzZbbUSgYObpBuetM/edit?usp=sharing"",""สกลนคร!J671"")"),0)</f>
        <v>0</v>
      </c>
      <c r="AA45" s="63">
        <f t="shared" ca="1" si="30"/>
        <v>0</v>
      </c>
      <c r="AB45" s="57">
        <f ca="1">IFERROR(__xludf.DUMMYFUNCTION("IMPORTRANGE(""https://docs.google.com/spreadsheets/d/1QC8psz9w0f9IVE9Xuc2FT_btkaOzZbbUSgYObpBuetM/edit?usp=sharing"",""สกลนคร!J672"")"),0)</f>
        <v>0</v>
      </c>
      <c r="AC45" s="63">
        <f t="shared" ca="1" si="11"/>
        <v>0</v>
      </c>
      <c r="AD45" s="57">
        <f ca="1">IFERROR(__xludf.DUMMYFUNCTION("IMPORTRANGE(""https://docs.google.com/spreadsheets/d/1QC8psz9w0f9IVE9Xuc2FT_btkaOzZbbUSgYObpBuetM/edit?usp=sharing"",""สกลนคร!J673"")"),0)</f>
        <v>0</v>
      </c>
      <c r="AE45" s="63">
        <f t="shared" ca="1" si="12"/>
        <v>0</v>
      </c>
      <c r="AF45" s="63">
        <f ca="1">IFERROR(__xludf.DUMMYFUNCTION("IMPORTRANGE(""https://docs.google.com/spreadsheets/d/1QC8psz9w0f9IVE9Xuc2FT_btkaOzZbbUSgYObpBuetM/edit?usp=sharing"",""สกลนคร!J674"")"),0)</f>
        <v>0</v>
      </c>
      <c r="AG45" s="63">
        <f t="shared" ca="1" si="13"/>
        <v>0</v>
      </c>
      <c r="AH45" s="63">
        <f ca="1">IFERROR(__xludf.DUMMYFUNCTION("IMPORTRANGE(""https://docs.google.com/spreadsheets/d/1QC8psz9w0f9IVE9Xuc2FT_btkaOzZbbUSgYObpBuetM/edit?usp=sharing"",""สกลนคร!J675"")"),0)</f>
        <v>0</v>
      </c>
      <c r="AI45" s="63">
        <f t="shared" ca="1" si="21"/>
        <v>0</v>
      </c>
      <c r="AJ45" s="63">
        <f ca="1">IFERROR(__xludf.DUMMYFUNCTION("IMPORTRANGE(""https://docs.google.com/spreadsheets/d/1QC8psz9w0f9IVE9Xuc2FT_btkaOzZbbUSgYObpBuetM/edit?usp=sharing"",""สกลนคร!J676"")"),0)</f>
        <v>0</v>
      </c>
      <c r="AK45" s="63">
        <f ca="1">IFERROR(__xludf.DUMMYFUNCTION("IMPORTRANGE(""https://docs.google.com/spreadsheets/d/1QC8psz9w0f9IVE9Xuc2FT_btkaOzZbbUSgYObpBuetM/edit?usp=sharing"",""สกลนคร!J677"")"),0)</f>
        <v>0</v>
      </c>
      <c r="AL45" s="57">
        <f ca="1">IFERROR(__xludf.DUMMYFUNCTION("IMPORTRANGE(""https://docs.google.com/spreadsheets/d/1QC8psz9w0f9IVE9Xuc2FT_btkaOzZbbUSgYObpBuetM/edit?usp=sharing"",""สกลนคร!I678"")"),0)</f>
        <v>0</v>
      </c>
      <c r="AM45" s="57">
        <f ca="1">IFERROR(__xludf.DUMMYFUNCTION("IMPORTRANGE(""https://docs.google.com/spreadsheets/d/1QC8psz9w0f9IVE9Xuc2FT_btkaOzZbbUSgYObpBuetM/edit?usp=sharing"",""สกลนคร!J678"")"),0)</f>
        <v>0</v>
      </c>
      <c r="AN45" s="63">
        <f t="shared" ca="1" si="31"/>
        <v>0</v>
      </c>
      <c r="AO45" s="57">
        <f ca="1">IFERROR(__xludf.DUMMYFUNCTION("IMPORTRANGE(""https://docs.google.com/spreadsheets/d/1QC8psz9w0f9IVE9Xuc2FT_btkaOzZbbUSgYObpBuetM/edit?usp=sharing"",""สกลนคร!J679"")"),0)</f>
        <v>0</v>
      </c>
      <c r="AP45" s="57">
        <f ca="1">IFERROR(__xludf.DUMMYFUNCTION("IMPORTRANGE(""https://docs.google.com/spreadsheets/d/1QC8psz9w0f9IVE9Xuc2FT_btkaOzZbbUSgYObpBuetM/edit?usp=sharing"",""สกลนคร!J680"")"),0)</f>
        <v>0</v>
      </c>
      <c r="AQ45" s="57">
        <f ca="1">IFERROR(__xludf.DUMMYFUNCTION("IMPORTRANGE(""https://docs.google.com/spreadsheets/d/1QC8psz9w0f9IVE9Xuc2FT_btkaOzZbbUSgYObpBuetM/edit?usp=sharing"",""สกลนคร!J681"")"),0)</f>
        <v>0</v>
      </c>
      <c r="AR45" s="57">
        <f ca="1">IFERROR(__xludf.DUMMYFUNCTION("IMPORTRANGE(""https://docs.google.com/spreadsheets/d/1QC8psz9w0f9IVE9Xuc2FT_btkaOzZbbUSgYObpBuetM/edit?usp=sharing"",""สกลนคร!J682"")"),0)</f>
        <v>0</v>
      </c>
      <c r="AS45" s="57">
        <f ca="1">IFERROR(__xludf.DUMMYFUNCTION("IMPORTRANGE(""https://docs.google.com/spreadsheets/d/1QC8psz9w0f9IVE9Xuc2FT_btkaOzZbbUSgYObpBuetM/edit?usp=sharing"",""สกลนคร!J683"")"),0)</f>
        <v>0</v>
      </c>
    </row>
    <row r="46" spans="1:45" ht="21" customHeight="1" x14ac:dyDescent="0.3">
      <c r="A46" s="54">
        <v>15</v>
      </c>
      <c r="B46" s="55" t="s">
        <v>67</v>
      </c>
      <c r="C46" s="56">
        <f t="shared" ca="1" si="51"/>
        <v>15600</v>
      </c>
      <c r="D46" s="57">
        <f ca="1">IFERROR(__xludf.DUMMYFUNCTION("IMPORTRANGE(""https://docs.google.com/spreadsheets/d/1wPdvRbu02d33MYVlbsCnyTiZpefEBs9NNktAnT1HZvw/edit?usp=sharing"",""สุรินทร์!L660"")"),15600)</f>
        <v>15600</v>
      </c>
      <c r="E46" s="64">
        <f ca="1">IFERROR(__xludf.DUMMYFUNCTION("IMPORTRANGE(""https://docs.google.com/spreadsheets/d/1wPdvRbu02d33MYVlbsCnyTiZpefEBs9NNktAnT1HZvw/edit?usp=sharing"",""สุรินทร์!L667"")"),0)</f>
        <v>0</v>
      </c>
      <c r="F46" s="64">
        <f ca="1">IFERROR(__xludf.DUMMYFUNCTION("IMPORTRANGE(""https://docs.google.com/spreadsheets/d/1wPdvRbu02d33MYVlbsCnyTiZpefEBs9NNktAnT1HZvw/edit?usp=sharing"",""สุรินทร์!M660"")"),15600)</f>
        <v>15600</v>
      </c>
      <c r="G46" s="64">
        <f ca="1">IFERROR(__xludf.DUMMYFUNCTION("IMPORTRANGE(""https://docs.google.com/spreadsheets/d/1wPdvRbu02d33MYVlbsCnyTiZpefEBs9NNktAnT1HZvw/edit?usp=sharing"",""สุรินทร์!M667"")"),0)</f>
        <v>0</v>
      </c>
      <c r="H46" s="58">
        <f t="shared" ca="1" si="27"/>
        <v>12860</v>
      </c>
      <c r="I46" s="59">
        <f t="shared" ca="1" si="1"/>
        <v>82.435897435897431</v>
      </c>
      <c r="J46" s="60">
        <f t="shared" ca="1" si="52"/>
        <v>12860</v>
      </c>
      <c r="K46" s="61">
        <f t="shared" ca="1" si="33"/>
        <v>82.435897435897431</v>
      </c>
      <c r="L46" s="61">
        <f t="shared" ca="1" si="34"/>
        <v>82.435897435897431</v>
      </c>
      <c r="M46" s="64">
        <f ca="1">IFERROR(__xludf.DUMMYFUNCTION("IMPORTRANGE(""https://docs.google.com/spreadsheets/d/1wPdvRbu02d33MYVlbsCnyTiZpefEBs9NNktAnT1HZvw/edit?usp=sharing"",""สุรินทร์!N661"")"),0)</f>
        <v>0</v>
      </c>
      <c r="N46" s="64">
        <f ca="1">IFERROR(__xludf.DUMMYFUNCTION("IMPORTRANGE(""https://docs.google.com/spreadsheets/d/1wPdvRbu02d33MYVlbsCnyTiZpefEBs9NNktAnT1HZvw/edit?usp=sharing"",""สุรินทร์!N662"")"),0)</f>
        <v>0</v>
      </c>
      <c r="O46" s="64">
        <f ca="1">IFERROR(__xludf.DUMMYFUNCTION("IMPORTRANGE(""https://docs.google.com/spreadsheets/d/1wPdvRbu02d33MYVlbsCnyTiZpefEBs9NNktAnT1HZvw/edit?usp=sharing"",""สุรินทร์!N663"")"),0)</f>
        <v>0</v>
      </c>
      <c r="P46" s="64">
        <f ca="1">IFERROR(__xludf.DUMMYFUNCTION("IMPORTRANGE(""https://docs.google.com/spreadsheets/d/1wPdvRbu02d33MYVlbsCnyTiZpefEBs9NNktAnT1HZvw/edit?usp=sharing"",""สุรินทร์!N664"")"),12860)</f>
        <v>12860</v>
      </c>
      <c r="Q46" s="62">
        <f ca="1">IFERROR(__xludf.DUMMYFUNCTION("IMPORTRANGE(""https://docs.google.com/spreadsheets/d/1wPdvRbu02d33MYVlbsCnyTiZpefEBs9NNktAnT1HZvw/edit?usp=sharing"",""สุรินทร์!N667"")"),0)</f>
        <v>0</v>
      </c>
      <c r="R46" s="62">
        <f t="shared" ca="1" si="36"/>
        <v>0</v>
      </c>
      <c r="S46" s="57">
        <f ca="1">IFERROR(__xludf.DUMMYFUNCTION("IMPORTRANGE(""https://docs.google.com/spreadsheets/d/1wPdvRbu02d33MYVlbsCnyTiZpefEBs9NNktAnT1HZvw/edit?usp=sharing"",""สุรินทร์!I669"")"),100)</f>
        <v>100</v>
      </c>
      <c r="T46" s="57">
        <f ca="1">IFERROR(__xludf.DUMMYFUNCTION("IMPORTRANGE(""https://docs.google.com/spreadsheets/d/1wPdvRbu02d33MYVlbsCnyTiZpefEBs9NNktAnT1HZvw/edit?usp=sharing"",""สุรินทร์!J669"")"),0)</f>
        <v>0</v>
      </c>
      <c r="U46" s="63">
        <f t="shared" ca="1" si="28"/>
        <v>0</v>
      </c>
      <c r="V46" s="57">
        <f ca="1">IFERROR(__xludf.DUMMYFUNCTION("IMPORTRANGE(""https://docs.google.com/spreadsheets/d/1wPdvRbu02d33MYVlbsCnyTiZpefEBs9NNktAnT1HZvw/edit?usp=sharing"",""สุรินทร์!I670"")"),6)</f>
        <v>6</v>
      </c>
      <c r="W46" s="57">
        <f ca="1">IFERROR(__xludf.DUMMYFUNCTION("IMPORTRANGE(""https://docs.google.com/spreadsheets/d/1wPdvRbu02d33MYVlbsCnyTiZpefEBs9NNktAnT1HZvw/edit?usp=sharing"",""สุรินทร์!J670"")"),6)</f>
        <v>6</v>
      </c>
      <c r="X46" s="63">
        <f t="shared" ca="1" si="29"/>
        <v>100</v>
      </c>
      <c r="Y46" s="57">
        <f ca="1">IFERROR(__xludf.DUMMYFUNCTION("IMPORTRANGE(""https://docs.google.com/spreadsheets/d/1wPdvRbu02d33MYVlbsCnyTiZpefEBs9NNktAnT1HZvw/edit?usp=sharing"",""สุรินทร์!I671"")"),6)</f>
        <v>6</v>
      </c>
      <c r="Z46" s="57">
        <f ca="1">IFERROR(__xludf.DUMMYFUNCTION("IMPORTRANGE(""https://docs.google.com/spreadsheets/d/1wPdvRbu02d33MYVlbsCnyTiZpefEBs9NNktAnT1HZvw/edit?usp=sharing"",""สุรินทร์!J671"")"),6)</f>
        <v>6</v>
      </c>
      <c r="AA46" s="63">
        <f t="shared" ca="1" si="30"/>
        <v>100</v>
      </c>
      <c r="AB46" s="57">
        <f ca="1">IFERROR(__xludf.DUMMYFUNCTION("IMPORTRANGE(""https://docs.google.com/spreadsheets/d/1wPdvRbu02d33MYVlbsCnyTiZpefEBs9NNktAnT1HZvw/edit?usp=sharing"",""สุรินทร์!J672"")"),64.4)</f>
        <v>64.400000000000006</v>
      </c>
      <c r="AC46" s="63">
        <f t="shared" ca="1" si="11"/>
        <v>64.400000000000006</v>
      </c>
      <c r="AD46" s="57">
        <f ca="1">IFERROR(__xludf.DUMMYFUNCTION("IMPORTRANGE(""https://docs.google.com/spreadsheets/d/1wPdvRbu02d33MYVlbsCnyTiZpefEBs9NNktAnT1HZvw/edit?usp=sharing"",""สุรินทร์!J673"")"),64)</f>
        <v>64</v>
      </c>
      <c r="AE46" s="63">
        <f t="shared" ca="1" si="12"/>
        <v>64</v>
      </c>
      <c r="AF46" s="63">
        <f ca="1">IFERROR(__xludf.DUMMYFUNCTION("IMPORTRANGE(""https://docs.google.com/spreadsheets/d/1wPdvRbu02d33MYVlbsCnyTiZpefEBs9NNktAnT1HZvw/edit?usp=sharing"",""สุรินทร์!J674"")"),64)</f>
        <v>64</v>
      </c>
      <c r="AG46" s="63">
        <f t="shared" ca="1" si="13"/>
        <v>64</v>
      </c>
      <c r="AH46" s="63">
        <f ca="1">IFERROR(__xludf.DUMMYFUNCTION("IMPORTRANGE(""https://docs.google.com/spreadsheets/d/1wPdvRbu02d33MYVlbsCnyTiZpefEBs9NNktAnT1HZvw/edit?usp=sharing"",""สุรินทร์!J675"")"),0)</f>
        <v>0</v>
      </c>
      <c r="AI46" s="63">
        <f t="shared" ca="1" si="21"/>
        <v>0</v>
      </c>
      <c r="AJ46" s="63">
        <f ca="1">IFERROR(__xludf.DUMMYFUNCTION("IMPORTRANGE(""https://docs.google.com/spreadsheets/d/1wPdvRbu02d33MYVlbsCnyTiZpefEBs9NNktAnT1HZvw/edit?usp=sharing"",""สุรินทร์!J676"")"),0)</f>
        <v>0</v>
      </c>
      <c r="AK46" s="63">
        <f ca="1">IFERROR(__xludf.DUMMYFUNCTION("IMPORTRANGE(""https://docs.google.com/spreadsheets/d/1wPdvRbu02d33MYVlbsCnyTiZpefEBs9NNktAnT1HZvw/edit?usp=sharing"",""สุรินทร์!J677"")"),0)</f>
        <v>0</v>
      </c>
      <c r="AL46" s="57">
        <f ca="1">IFERROR(__xludf.DUMMYFUNCTION("IMPORTRANGE(""https://docs.google.com/spreadsheets/d/1wPdvRbu02d33MYVlbsCnyTiZpefEBs9NNktAnT1HZvw/edit?usp=sharing"",""สุรินทร์!I678"")"),0)</f>
        <v>0</v>
      </c>
      <c r="AM46" s="57">
        <f ca="1">IFERROR(__xludf.DUMMYFUNCTION("IMPORTRANGE(""https://docs.google.com/spreadsheets/d/1wPdvRbu02d33MYVlbsCnyTiZpefEBs9NNktAnT1HZvw/edit?usp=sharing"",""สุรินทร์!J678"")"),0)</f>
        <v>0</v>
      </c>
      <c r="AN46" s="63">
        <f t="shared" ca="1" si="31"/>
        <v>0</v>
      </c>
      <c r="AO46" s="57">
        <f ca="1">IFERROR(__xludf.DUMMYFUNCTION("IMPORTRANGE(""https://docs.google.com/spreadsheets/d/1wPdvRbu02d33MYVlbsCnyTiZpefEBs9NNktAnT1HZvw/edit?usp=sharing"",""สุรินทร์!J679"")"),0)</f>
        <v>0</v>
      </c>
      <c r="AP46" s="57">
        <f ca="1">IFERROR(__xludf.DUMMYFUNCTION("IMPORTRANGE(""https://docs.google.com/spreadsheets/d/1wPdvRbu02d33MYVlbsCnyTiZpefEBs9NNktAnT1HZvw/edit?usp=sharing"",""สุรินทร์!J680"")"),0)</f>
        <v>0</v>
      </c>
      <c r="AQ46" s="57">
        <f ca="1">IFERROR(__xludf.DUMMYFUNCTION("IMPORTRANGE(""https://docs.google.com/spreadsheets/d/1wPdvRbu02d33MYVlbsCnyTiZpefEBs9NNktAnT1HZvw/edit?usp=sharing"",""สุรินทร์!J681"")"),0)</f>
        <v>0</v>
      </c>
      <c r="AR46" s="57">
        <f ca="1">IFERROR(__xludf.DUMMYFUNCTION("IMPORTRANGE(""https://docs.google.com/spreadsheets/d/1wPdvRbu02d33MYVlbsCnyTiZpefEBs9NNktAnT1HZvw/edit?usp=sharing"",""สุรินทร์!J682"")"),0)</f>
        <v>0</v>
      </c>
      <c r="AS46" s="57">
        <f ca="1">IFERROR(__xludf.DUMMYFUNCTION("IMPORTRANGE(""https://docs.google.com/spreadsheets/d/1wPdvRbu02d33MYVlbsCnyTiZpefEBs9NNktAnT1HZvw/edit?usp=sharing"",""สุรินทร์!J683"")"),0)</f>
        <v>0</v>
      </c>
    </row>
    <row r="47" spans="1:45" ht="21" customHeight="1" x14ac:dyDescent="0.3">
      <c r="A47" s="54">
        <v>16</v>
      </c>
      <c r="B47" s="55" t="s">
        <v>68</v>
      </c>
      <c r="C47" s="56">
        <f t="shared" ca="1" si="51"/>
        <v>12400</v>
      </c>
      <c r="D47" s="57">
        <f ca="1">IFERROR(__xludf.DUMMYFUNCTION("IMPORTRANGE(""https://docs.google.com/spreadsheets/d/1GVExpf-Exi_2gmuqTYH28fseTB9MoKPXWcXCbSt_YrM/edit?usp=sharing"",""หนองคาย!L660"")"),12400)</f>
        <v>12400</v>
      </c>
      <c r="E47" s="64">
        <f ca="1">IFERROR(__xludf.DUMMYFUNCTION("IMPORTRANGE(""https://docs.google.com/spreadsheets/d/1GVExpf-Exi_2gmuqTYH28fseTB9MoKPXWcXCbSt_YrM/edit?usp=sharing"",""หนองคาย!L667"")"),0)</f>
        <v>0</v>
      </c>
      <c r="F47" s="64">
        <f ca="1">IFERROR(__xludf.DUMMYFUNCTION("IMPORTRANGE(""https://docs.google.com/spreadsheets/d/1GVExpf-Exi_2gmuqTYH28fseTB9MoKPXWcXCbSt_YrM/edit?usp=sharing"",""หนองคาย!M660"")"),12400)</f>
        <v>12400</v>
      </c>
      <c r="G47" s="64">
        <f ca="1">IFERROR(__xludf.DUMMYFUNCTION("IMPORTRANGE(""https://docs.google.com/spreadsheets/d/1GVExpf-Exi_2gmuqTYH28fseTB9MoKPXWcXCbSt_YrM/edit?usp=sharing"",""หนองคาย!M667"")"),0)</f>
        <v>0</v>
      </c>
      <c r="H47" s="58">
        <f t="shared" ca="1" si="27"/>
        <v>6340</v>
      </c>
      <c r="I47" s="59">
        <f t="shared" ca="1" si="1"/>
        <v>51.12903225806452</v>
      </c>
      <c r="J47" s="60">
        <f t="shared" ca="1" si="52"/>
        <v>6340</v>
      </c>
      <c r="K47" s="61">
        <f t="shared" ca="1" si="33"/>
        <v>51.12903225806452</v>
      </c>
      <c r="L47" s="61">
        <f t="shared" ca="1" si="34"/>
        <v>51.12903225806452</v>
      </c>
      <c r="M47" s="64">
        <f ca="1">IFERROR(__xludf.DUMMYFUNCTION("IMPORTRANGE(""https://docs.google.com/spreadsheets/d/1GVExpf-Exi_2gmuqTYH28fseTB9MoKPXWcXCbSt_YrM/edit?usp=sharing"",""หนองคาย!N661"")"),0)</f>
        <v>0</v>
      </c>
      <c r="N47" s="64">
        <f ca="1">IFERROR(__xludf.DUMMYFUNCTION("IMPORTRANGE(""https://docs.google.com/spreadsheets/d/1GVExpf-Exi_2gmuqTYH28fseTB9MoKPXWcXCbSt_YrM/edit?usp=sharing"",""หนองคาย!N662"")"),0)</f>
        <v>0</v>
      </c>
      <c r="O47" s="64">
        <f ca="1">IFERROR(__xludf.DUMMYFUNCTION("IMPORTRANGE(""https://docs.google.com/spreadsheets/d/1GVExpf-Exi_2gmuqTYH28fseTB9MoKPXWcXCbSt_YrM/edit?usp=sharing"",""หนองคาย!N663"")"),0)</f>
        <v>0</v>
      </c>
      <c r="P47" s="64">
        <f ca="1">IFERROR(__xludf.DUMMYFUNCTION("IMPORTRANGE(""https://docs.google.com/spreadsheets/d/1GVExpf-Exi_2gmuqTYH28fseTB9MoKPXWcXCbSt_YrM/edit?usp=sharing"",""หนองคาย!N664"")"),6340)</f>
        <v>6340</v>
      </c>
      <c r="Q47" s="62">
        <f ca="1">IFERROR(__xludf.DUMMYFUNCTION("IMPORTRANGE(""https://docs.google.com/spreadsheets/d/1GVExpf-Exi_2gmuqTYH28fseTB9MoKPXWcXCbSt_YrM/edit?usp=sharing"",""หนองคาย!N667"")"),0)</f>
        <v>0</v>
      </c>
      <c r="R47" s="62">
        <f t="shared" ca="1" si="36"/>
        <v>0</v>
      </c>
      <c r="S47" s="57">
        <f ca="1">IFERROR(__xludf.DUMMYFUNCTION("IMPORTRANGE(""https://docs.google.com/spreadsheets/d/1GVExpf-Exi_2gmuqTYH28fseTB9MoKPXWcXCbSt_YrM/edit?usp=sharing"",""หนองคาย!I669"")"),100)</f>
        <v>100</v>
      </c>
      <c r="T47" s="57">
        <f ca="1">IFERROR(__xludf.DUMMYFUNCTION("IMPORTRANGE(""https://docs.google.com/spreadsheets/d/1GVExpf-Exi_2gmuqTYH28fseTB9MoKPXWcXCbSt_YrM/edit?usp=sharing"",""หนองคาย!J669"")"),0)</f>
        <v>0</v>
      </c>
      <c r="U47" s="63">
        <f t="shared" ca="1" si="28"/>
        <v>0</v>
      </c>
      <c r="V47" s="57">
        <f ca="1">IFERROR(__xludf.DUMMYFUNCTION("IMPORTRANGE(""https://docs.google.com/spreadsheets/d/1GVExpf-Exi_2gmuqTYH28fseTB9MoKPXWcXCbSt_YrM/edit?usp=sharing"",""หนองคาย!I670"")"),4)</f>
        <v>4</v>
      </c>
      <c r="W47" s="57">
        <f ca="1">IFERROR(__xludf.DUMMYFUNCTION("IMPORTRANGE(""https://docs.google.com/spreadsheets/d/1GVExpf-Exi_2gmuqTYH28fseTB9MoKPXWcXCbSt_YrM/edit?usp=sharing"",""หนองคาย!J670"")"),4)</f>
        <v>4</v>
      </c>
      <c r="X47" s="63">
        <f t="shared" ca="1" si="29"/>
        <v>100</v>
      </c>
      <c r="Y47" s="57">
        <f ca="1">IFERROR(__xludf.DUMMYFUNCTION("IMPORTRANGE(""https://docs.google.com/spreadsheets/d/1GVExpf-Exi_2gmuqTYH28fseTB9MoKPXWcXCbSt_YrM/edit?usp=sharing"",""หนองคาย!I671"")"),4)</f>
        <v>4</v>
      </c>
      <c r="Z47" s="57">
        <f ca="1">IFERROR(__xludf.DUMMYFUNCTION("IMPORTRANGE(""https://docs.google.com/spreadsheets/d/1GVExpf-Exi_2gmuqTYH28fseTB9MoKPXWcXCbSt_YrM/edit?usp=sharing"",""หนองคาย!J671"")"),4)</f>
        <v>4</v>
      </c>
      <c r="AA47" s="63">
        <f t="shared" ca="1" si="30"/>
        <v>100</v>
      </c>
      <c r="AB47" s="57">
        <f ca="1">IFERROR(__xludf.DUMMYFUNCTION("IMPORTRANGE(""https://docs.google.com/spreadsheets/d/1GVExpf-Exi_2gmuqTYH28fseTB9MoKPXWcXCbSt_YrM/edit?usp=sharing"",""หนองคาย!J672"")"),0)</f>
        <v>0</v>
      </c>
      <c r="AC47" s="63">
        <f t="shared" ca="1" si="11"/>
        <v>0</v>
      </c>
      <c r="AD47" s="57">
        <f ca="1">IFERROR(__xludf.DUMMYFUNCTION("IMPORTRANGE(""https://docs.google.com/spreadsheets/d/1GVExpf-Exi_2gmuqTYH28fseTB9MoKPXWcXCbSt_YrM/edit?usp=sharing"",""หนองคาย!J673"")"),0)</f>
        <v>0</v>
      </c>
      <c r="AE47" s="63">
        <f t="shared" ca="1" si="12"/>
        <v>0</v>
      </c>
      <c r="AF47" s="63">
        <f ca="1">IFERROR(__xludf.DUMMYFUNCTION("IMPORTRANGE(""https://docs.google.com/spreadsheets/d/1GVExpf-Exi_2gmuqTYH28fseTB9MoKPXWcXCbSt_YrM/edit?usp=sharing"",""หนองคาย!J674"")"),0)</f>
        <v>0</v>
      </c>
      <c r="AG47" s="63">
        <f t="shared" ca="1" si="13"/>
        <v>0</v>
      </c>
      <c r="AH47" s="63">
        <f ca="1">IFERROR(__xludf.DUMMYFUNCTION("IMPORTRANGE(""https://docs.google.com/spreadsheets/d/1GVExpf-Exi_2gmuqTYH28fseTB9MoKPXWcXCbSt_YrM/edit?usp=sharing"",""หนองคาย!J675"")"),0)</f>
        <v>0</v>
      </c>
      <c r="AI47" s="63">
        <f t="shared" ca="1" si="21"/>
        <v>0</v>
      </c>
      <c r="AJ47" s="63">
        <f ca="1">IFERROR(__xludf.DUMMYFUNCTION("IMPORTRANGE(""https://docs.google.com/spreadsheets/d/1GVExpf-Exi_2gmuqTYH28fseTB9MoKPXWcXCbSt_YrM/edit?usp=sharing"",""หนองคาย!J676"")"),0)</f>
        <v>0</v>
      </c>
      <c r="AK47" s="63">
        <f ca="1">IFERROR(__xludf.DUMMYFUNCTION("IMPORTRANGE(""https://docs.google.com/spreadsheets/d/1GVExpf-Exi_2gmuqTYH28fseTB9MoKPXWcXCbSt_YrM/edit?usp=sharing"",""หนองคาย!J677"")"),0)</f>
        <v>0</v>
      </c>
      <c r="AL47" s="57">
        <f ca="1">IFERROR(__xludf.DUMMYFUNCTION("IMPORTRANGE(""https://docs.google.com/spreadsheets/d/1GVExpf-Exi_2gmuqTYH28fseTB9MoKPXWcXCbSt_YrM/edit?usp=sharing"",""หนองคาย!I678"")"),0)</f>
        <v>0</v>
      </c>
      <c r="AM47" s="57">
        <f ca="1">IFERROR(__xludf.DUMMYFUNCTION("IMPORTRANGE(""https://docs.google.com/spreadsheets/d/1GVExpf-Exi_2gmuqTYH28fseTB9MoKPXWcXCbSt_YrM/edit?usp=sharing"",""หนองคาย!J678"")"),0)</f>
        <v>0</v>
      </c>
      <c r="AN47" s="63">
        <f t="shared" ca="1" si="31"/>
        <v>0</v>
      </c>
      <c r="AO47" s="57">
        <f ca="1">IFERROR(__xludf.DUMMYFUNCTION("IMPORTRANGE(""https://docs.google.com/spreadsheets/d/1GVExpf-Exi_2gmuqTYH28fseTB9MoKPXWcXCbSt_YrM/edit?usp=sharing"",""หนองคาย!J679"")"),0)</f>
        <v>0</v>
      </c>
      <c r="AP47" s="57">
        <f ca="1">IFERROR(__xludf.DUMMYFUNCTION("IMPORTRANGE(""https://docs.google.com/spreadsheets/d/1GVExpf-Exi_2gmuqTYH28fseTB9MoKPXWcXCbSt_YrM/edit?usp=sharing"",""หนองคาย!J680"")"),0)</f>
        <v>0</v>
      </c>
      <c r="AQ47" s="57">
        <f ca="1">IFERROR(__xludf.DUMMYFUNCTION("IMPORTRANGE(""https://docs.google.com/spreadsheets/d/1GVExpf-Exi_2gmuqTYH28fseTB9MoKPXWcXCbSt_YrM/edit?usp=sharing"",""หนองคาย!J681"")"),0)</f>
        <v>0</v>
      </c>
      <c r="AR47" s="57">
        <f ca="1">IFERROR(__xludf.DUMMYFUNCTION("IMPORTRANGE(""https://docs.google.com/spreadsheets/d/1GVExpf-Exi_2gmuqTYH28fseTB9MoKPXWcXCbSt_YrM/edit?usp=sharing"",""หนองคาย!J682"")"),0)</f>
        <v>0</v>
      </c>
      <c r="AS47" s="57">
        <f ca="1">IFERROR(__xludf.DUMMYFUNCTION("IMPORTRANGE(""https://docs.google.com/spreadsheets/d/1GVExpf-Exi_2gmuqTYH28fseTB9MoKPXWcXCbSt_YrM/edit?usp=sharing"",""หนองคาย!J683"")"),0)</f>
        <v>0</v>
      </c>
    </row>
    <row r="48" spans="1:45" ht="21" customHeight="1" x14ac:dyDescent="0.3">
      <c r="A48" s="54">
        <v>17</v>
      </c>
      <c r="B48" s="55" t="s">
        <v>69</v>
      </c>
      <c r="C48" s="56">
        <f t="shared" ca="1" si="51"/>
        <v>12400</v>
      </c>
      <c r="D48" s="57">
        <f ca="1">IFERROR(__xludf.DUMMYFUNCTION("IMPORTRANGE(""https://docs.google.com/spreadsheets/d/16UeMz0UgOB5BZcoxP75eYGcLFtGYRn9GoesD4OX9m5U/edit?usp=sharing"",""หนองบัวลำภู!L660"")"),12400)</f>
        <v>12400</v>
      </c>
      <c r="E48" s="64">
        <f ca="1">IFERROR(__xludf.DUMMYFUNCTION("IMPORTRANGE(""https://docs.google.com/spreadsheets/d/16UeMz0UgOB5BZcoxP75eYGcLFtGYRn9GoesD4OX9m5U/edit?usp=sharing"",""หนองบัวลำภู!L667"")"),0)</f>
        <v>0</v>
      </c>
      <c r="F48" s="64">
        <f ca="1">IFERROR(__xludf.DUMMYFUNCTION("IMPORTRANGE(""https://docs.google.com/spreadsheets/d/16UeMz0UgOB5BZcoxP75eYGcLFtGYRn9GoesD4OX9m5U/edit?usp=sharing"",""หนองบัวลำภู!M660"")"),12400)</f>
        <v>12400</v>
      </c>
      <c r="G48" s="64">
        <f ca="1">IFERROR(__xludf.DUMMYFUNCTION("IMPORTRANGE(""https://docs.google.com/spreadsheets/d/16UeMz0UgOB5BZcoxP75eYGcLFtGYRn9GoesD4OX9m5U/edit?usp=sharing"",""หนองบัวลำภู!M667"")"),0)</f>
        <v>0</v>
      </c>
      <c r="H48" s="58">
        <f t="shared" ca="1" si="27"/>
        <v>2000</v>
      </c>
      <c r="I48" s="59">
        <f t="shared" ca="1" si="1"/>
        <v>16.129032258064516</v>
      </c>
      <c r="J48" s="60">
        <f t="shared" ca="1" si="52"/>
        <v>2000</v>
      </c>
      <c r="K48" s="61">
        <f t="shared" ca="1" si="33"/>
        <v>16.129032258064516</v>
      </c>
      <c r="L48" s="61">
        <f t="shared" ca="1" si="34"/>
        <v>16.129032258064516</v>
      </c>
      <c r="M48" s="64">
        <f ca="1">IFERROR(__xludf.DUMMYFUNCTION("IMPORTRANGE(""https://docs.google.com/spreadsheets/d/16UeMz0UgOB5BZcoxP75eYGcLFtGYRn9GoesD4OX9m5U/edit?usp=sharing"",""หนองบัวลำภู!N661"")"),0)</f>
        <v>0</v>
      </c>
      <c r="N48" s="64">
        <f ca="1">IFERROR(__xludf.DUMMYFUNCTION("IMPORTRANGE(""https://docs.google.com/spreadsheets/d/16UeMz0UgOB5BZcoxP75eYGcLFtGYRn9GoesD4OX9m5U/edit?usp=sharing"",""หนองบัวลำภู!N662"")"),0)</f>
        <v>0</v>
      </c>
      <c r="O48" s="64">
        <f ca="1">IFERROR(__xludf.DUMMYFUNCTION("IMPORTRANGE(""https://docs.google.com/spreadsheets/d/16UeMz0UgOB5BZcoxP75eYGcLFtGYRn9GoesD4OX9m5U/edit?usp=sharing"",""หนองบัวลำภู!N663"")"),0)</f>
        <v>0</v>
      </c>
      <c r="P48" s="64">
        <f ca="1">IFERROR(__xludf.DUMMYFUNCTION("IMPORTRANGE(""https://docs.google.com/spreadsheets/d/16UeMz0UgOB5BZcoxP75eYGcLFtGYRn9GoesD4OX9m5U/edit?usp=sharing"",""หนองบัวลำภู!N664"")"),2000)</f>
        <v>2000</v>
      </c>
      <c r="Q48" s="62">
        <f ca="1">IFERROR(__xludf.DUMMYFUNCTION("IMPORTRANGE(""https://docs.google.com/spreadsheets/d/16UeMz0UgOB5BZcoxP75eYGcLFtGYRn9GoesD4OX9m5U/edit?usp=sharing"",""หนองบัวลำภู!N667"")"),0)</f>
        <v>0</v>
      </c>
      <c r="R48" s="62">
        <f t="shared" ca="1" si="36"/>
        <v>0</v>
      </c>
      <c r="S48" s="57">
        <f ca="1">IFERROR(__xludf.DUMMYFUNCTION("IMPORTRANGE(""https://docs.google.com/spreadsheets/d/16UeMz0UgOB5BZcoxP75eYGcLFtGYRn9GoesD4OX9m5U/edit?usp=sharing"",""หนองบัวลำภู!I669"")"),100)</f>
        <v>100</v>
      </c>
      <c r="T48" s="57">
        <f ca="1">IFERROR(__xludf.DUMMYFUNCTION("IMPORTRANGE(""https://docs.google.com/spreadsheets/d/16UeMz0UgOB5BZcoxP75eYGcLFtGYRn9GoesD4OX9m5U/edit?usp=sharing"",""หนองบัวลำภู!J669"")"),0)</f>
        <v>0</v>
      </c>
      <c r="U48" s="63">
        <f t="shared" ca="1" si="28"/>
        <v>0</v>
      </c>
      <c r="V48" s="57">
        <f ca="1">IFERROR(__xludf.DUMMYFUNCTION("IMPORTRANGE(""https://docs.google.com/spreadsheets/d/16UeMz0UgOB5BZcoxP75eYGcLFtGYRn9GoesD4OX9m5U/edit?usp=sharing"",""หนองบัวลำภู!I670"")"),4)</f>
        <v>4</v>
      </c>
      <c r="W48" s="57">
        <f ca="1">IFERROR(__xludf.DUMMYFUNCTION("IMPORTRANGE(""https://docs.google.com/spreadsheets/d/16UeMz0UgOB5BZcoxP75eYGcLFtGYRn9GoesD4OX9m5U/edit?usp=sharing"",""หนองบัวลำภู!J670"")"),4)</f>
        <v>4</v>
      </c>
      <c r="X48" s="63">
        <f t="shared" ca="1" si="29"/>
        <v>100</v>
      </c>
      <c r="Y48" s="57">
        <f ca="1">IFERROR(__xludf.DUMMYFUNCTION("IMPORTRANGE(""https://docs.google.com/spreadsheets/d/16UeMz0UgOB5BZcoxP75eYGcLFtGYRn9GoesD4OX9m5U/edit?usp=sharing"",""หนองบัวลำภู!I671"")"),4)</f>
        <v>4</v>
      </c>
      <c r="Z48" s="57">
        <f ca="1">IFERROR(__xludf.DUMMYFUNCTION("IMPORTRANGE(""https://docs.google.com/spreadsheets/d/16UeMz0UgOB5BZcoxP75eYGcLFtGYRn9GoesD4OX9m5U/edit?usp=sharing"",""หนองบัวลำภู!J671"")"),4)</f>
        <v>4</v>
      </c>
      <c r="AA48" s="63">
        <f t="shared" ca="1" si="30"/>
        <v>100</v>
      </c>
      <c r="AB48" s="57">
        <f ca="1">IFERROR(__xludf.DUMMYFUNCTION("IMPORTRANGE(""https://docs.google.com/spreadsheets/d/16UeMz0UgOB5BZcoxP75eYGcLFtGYRn9GoesD4OX9m5U/edit?usp=sharing"",""หนองบัวลำภู!J672"")"),0)</f>
        <v>0</v>
      </c>
      <c r="AC48" s="63">
        <f t="shared" ca="1" si="11"/>
        <v>0</v>
      </c>
      <c r="AD48" s="57">
        <f ca="1">IFERROR(__xludf.DUMMYFUNCTION("IMPORTRANGE(""https://docs.google.com/spreadsheets/d/16UeMz0UgOB5BZcoxP75eYGcLFtGYRn9GoesD4OX9m5U/edit?usp=sharing"",""หนองบัวลำภู!J673"")"),0)</f>
        <v>0</v>
      </c>
      <c r="AE48" s="63">
        <f t="shared" ca="1" si="12"/>
        <v>0</v>
      </c>
      <c r="AF48" s="63">
        <f ca="1">IFERROR(__xludf.DUMMYFUNCTION("IMPORTRANGE(""https://docs.google.com/spreadsheets/d/16UeMz0UgOB5BZcoxP75eYGcLFtGYRn9GoesD4OX9m5U/edit?usp=sharing"",""หนองบัวลำภู!J674"")"),0)</f>
        <v>0</v>
      </c>
      <c r="AG48" s="63">
        <f t="shared" ca="1" si="13"/>
        <v>0</v>
      </c>
      <c r="AH48" s="63">
        <f ca="1">IFERROR(__xludf.DUMMYFUNCTION("IMPORTRANGE(""https://docs.google.com/spreadsheets/d/16UeMz0UgOB5BZcoxP75eYGcLFtGYRn9GoesD4OX9m5U/edit?usp=sharing"",""หนองบัวลำภู!J675"")"),0)</f>
        <v>0</v>
      </c>
      <c r="AI48" s="63">
        <f t="shared" ca="1" si="21"/>
        <v>0</v>
      </c>
      <c r="AJ48" s="63">
        <f ca="1">IFERROR(__xludf.DUMMYFUNCTION("IMPORTRANGE(""https://docs.google.com/spreadsheets/d/16UeMz0UgOB5BZcoxP75eYGcLFtGYRn9GoesD4OX9m5U/edit?usp=sharing"",""หนองบัวลำภู!J676"")"),0)</f>
        <v>0</v>
      </c>
      <c r="AK48" s="63">
        <f ca="1">IFERROR(__xludf.DUMMYFUNCTION("IMPORTRANGE(""https://docs.google.com/spreadsheets/d/16UeMz0UgOB5BZcoxP75eYGcLFtGYRn9GoesD4OX9m5U/edit?usp=sharing"",""หนองบัวลำภู!J677"")"),0)</f>
        <v>0</v>
      </c>
      <c r="AL48" s="57">
        <f ca="1">IFERROR(__xludf.DUMMYFUNCTION("IMPORTRANGE(""https://docs.google.com/spreadsheets/d/16UeMz0UgOB5BZcoxP75eYGcLFtGYRn9GoesD4OX9m5U/edit?usp=sharing"",""หนองบัวลำภู!I678"")"),0)</f>
        <v>0</v>
      </c>
      <c r="AM48" s="57">
        <f ca="1">IFERROR(__xludf.DUMMYFUNCTION("IMPORTRANGE(""https://docs.google.com/spreadsheets/d/16UeMz0UgOB5BZcoxP75eYGcLFtGYRn9GoesD4OX9m5U/edit?usp=sharing"",""หนองบัวลำภู!J678"")"),0)</f>
        <v>0</v>
      </c>
      <c r="AN48" s="63">
        <f t="shared" ca="1" si="31"/>
        <v>0</v>
      </c>
      <c r="AO48" s="57">
        <f ca="1">IFERROR(__xludf.DUMMYFUNCTION("IMPORTRANGE(""https://docs.google.com/spreadsheets/d/16UeMz0UgOB5BZcoxP75eYGcLFtGYRn9GoesD4OX9m5U/edit?usp=sharing"",""หนองบัวลำภู!J679"")"),0)</f>
        <v>0</v>
      </c>
      <c r="AP48" s="57">
        <f ca="1">IFERROR(__xludf.DUMMYFUNCTION("IMPORTRANGE(""https://docs.google.com/spreadsheets/d/16UeMz0UgOB5BZcoxP75eYGcLFtGYRn9GoesD4OX9m5U/edit?usp=sharing"",""หนองบัวลำภู!J680"")"),0)</f>
        <v>0</v>
      </c>
      <c r="AQ48" s="57">
        <f ca="1">IFERROR(__xludf.DUMMYFUNCTION("IMPORTRANGE(""https://docs.google.com/spreadsheets/d/16UeMz0UgOB5BZcoxP75eYGcLFtGYRn9GoesD4OX9m5U/edit?usp=sharing"",""หนองบัวลำภู!J681"")"),0)</f>
        <v>0</v>
      </c>
      <c r="AR48" s="57">
        <f ca="1">IFERROR(__xludf.DUMMYFUNCTION("IMPORTRANGE(""https://docs.google.com/spreadsheets/d/16UeMz0UgOB5BZcoxP75eYGcLFtGYRn9GoesD4OX9m5U/edit?usp=sharing"",""หนองบัวลำภู!J682"")"),0)</f>
        <v>0</v>
      </c>
      <c r="AS48" s="57">
        <f ca="1">IFERROR(__xludf.DUMMYFUNCTION("IMPORTRANGE(""https://docs.google.com/spreadsheets/d/16UeMz0UgOB5BZcoxP75eYGcLFtGYRn9GoesD4OX9m5U/edit?usp=sharing"",""หนองบัวลำภู!J683"")"),0)</f>
        <v>0</v>
      </c>
    </row>
    <row r="49" spans="1:45" ht="21" customHeight="1" x14ac:dyDescent="0.3">
      <c r="A49" s="54">
        <v>18</v>
      </c>
      <c r="B49" s="55" t="s">
        <v>70</v>
      </c>
      <c r="C49" s="56">
        <f t="shared" ca="1" si="51"/>
        <v>9400</v>
      </c>
      <c r="D49" s="57">
        <f ca="1">IFERROR(__xludf.DUMMYFUNCTION("IMPORTRANGE(""https://docs.google.com/spreadsheets/d/1uUP8Zo1-qaJLuIkRU0qlwLSE3DHkbdrrj2JGJiWBQZE/edit?usp=sharing"",""อำนาจเจริญ!L660"")"),9400)</f>
        <v>9400</v>
      </c>
      <c r="E49" s="64">
        <f ca="1">IFERROR(__xludf.DUMMYFUNCTION("IMPORTRANGE(""https://docs.google.com/spreadsheets/d/1uUP8Zo1-qaJLuIkRU0qlwLSE3DHkbdrrj2JGJiWBQZE/edit?usp=sharing"",""อำนาจเจริญ!L667"")"),0)</f>
        <v>0</v>
      </c>
      <c r="F49" s="64">
        <f ca="1">IFERROR(__xludf.DUMMYFUNCTION("IMPORTRANGE(""https://docs.google.com/spreadsheets/d/1uUP8Zo1-qaJLuIkRU0qlwLSE3DHkbdrrj2JGJiWBQZE/edit?usp=sharing"",""อำนาจเจริญ!M660"")"),9400)</f>
        <v>9400</v>
      </c>
      <c r="G49" s="64">
        <f ca="1">IFERROR(__xludf.DUMMYFUNCTION("IMPORTRANGE(""https://docs.google.com/spreadsheets/d/1uUP8Zo1-qaJLuIkRU0qlwLSE3DHkbdrrj2JGJiWBQZE/edit?usp=sharing"",""อำนาจเจริญ!M667"")"),0)</f>
        <v>0</v>
      </c>
      <c r="H49" s="58">
        <f t="shared" ca="1" si="27"/>
        <v>2000</v>
      </c>
      <c r="I49" s="59">
        <f t="shared" ca="1" si="1"/>
        <v>21.276595744680851</v>
      </c>
      <c r="J49" s="60">
        <f t="shared" ca="1" si="52"/>
        <v>2000</v>
      </c>
      <c r="K49" s="61">
        <f t="shared" ca="1" si="33"/>
        <v>21.276595744680851</v>
      </c>
      <c r="L49" s="61">
        <f t="shared" ca="1" si="34"/>
        <v>21.276595744680851</v>
      </c>
      <c r="M49" s="64">
        <f ca="1">IFERROR(__xludf.DUMMYFUNCTION("IMPORTRANGE(""https://docs.google.com/spreadsheets/d/1uUP8Zo1-qaJLuIkRU0qlwLSE3DHkbdrrj2JGJiWBQZE/edit?usp=sharing"",""อำนาจเจริญ!N661"")"),0)</f>
        <v>0</v>
      </c>
      <c r="N49" s="64">
        <f ca="1">IFERROR(__xludf.DUMMYFUNCTION("IMPORTRANGE(""https://docs.google.com/spreadsheets/d/1uUP8Zo1-qaJLuIkRU0qlwLSE3DHkbdrrj2JGJiWBQZE/edit?usp=sharing"",""อำนาจเจริญ!N662"")"),0)</f>
        <v>0</v>
      </c>
      <c r="O49" s="64">
        <f ca="1">IFERROR(__xludf.DUMMYFUNCTION("IMPORTRANGE(""https://docs.google.com/spreadsheets/d/1uUP8Zo1-qaJLuIkRU0qlwLSE3DHkbdrrj2JGJiWBQZE/edit?usp=sharing"",""อำนาจเจริญ!N663"")"),2000)</f>
        <v>2000</v>
      </c>
      <c r="P49" s="64">
        <f ca="1">IFERROR(__xludf.DUMMYFUNCTION("IMPORTRANGE(""https://docs.google.com/spreadsheets/d/1uUP8Zo1-qaJLuIkRU0qlwLSE3DHkbdrrj2JGJiWBQZE/edit?usp=sharing"",""อำนาจเจริญ!N664"")"),0)</f>
        <v>0</v>
      </c>
      <c r="Q49" s="62">
        <f ca="1">IFERROR(__xludf.DUMMYFUNCTION("IMPORTRANGE(""https://docs.google.com/spreadsheets/d/1uUP8Zo1-qaJLuIkRU0qlwLSE3DHkbdrrj2JGJiWBQZE/edit?usp=sharing"",""อำนาจเจริญ!N667"")"),0)</f>
        <v>0</v>
      </c>
      <c r="R49" s="62">
        <f t="shared" ca="1" si="36"/>
        <v>0</v>
      </c>
      <c r="S49" s="57">
        <f ca="1">IFERROR(__xludf.DUMMYFUNCTION("IMPORTRANGE(""https://docs.google.com/spreadsheets/d/1uUP8Zo1-qaJLuIkRU0qlwLSE3DHkbdrrj2JGJiWBQZE/edit?usp=sharing"",""อำนาจเจริญ!I669"")"),50)</f>
        <v>50</v>
      </c>
      <c r="T49" s="57">
        <f ca="1">IFERROR(__xludf.DUMMYFUNCTION("IMPORTRANGE(""https://docs.google.com/spreadsheets/d/1uUP8Zo1-qaJLuIkRU0qlwLSE3DHkbdrrj2JGJiWBQZE/edit?usp=sharing"",""อำนาจเจริญ!J669"")"),0)</f>
        <v>0</v>
      </c>
      <c r="U49" s="63">
        <f t="shared" ca="1" si="28"/>
        <v>0</v>
      </c>
      <c r="V49" s="57">
        <f ca="1">IFERROR(__xludf.DUMMYFUNCTION("IMPORTRANGE(""https://docs.google.com/spreadsheets/d/1uUP8Zo1-qaJLuIkRU0qlwLSE3DHkbdrrj2JGJiWBQZE/edit?usp=sharing"",""อำนาจเจริญ!I670"")"),4)</f>
        <v>4</v>
      </c>
      <c r="W49" s="57">
        <f ca="1">IFERROR(__xludf.DUMMYFUNCTION("IMPORTRANGE(""https://docs.google.com/spreadsheets/d/1uUP8Zo1-qaJLuIkRU0qlwLSE3DHkbdrrj2JGJiWBQZE/edit?usp=sharing"",""อำนาจเจริญ!J670"")"),4)</f>
        <v>4</v>
      </c>
      <c r="X49" s="63">
        <f t="shared" ca="1" si="29"/>
        <v>100</v>
      </c>
      <c r="Y49" s="57">
        <f ca="1">IFERROR(__xludf.DUMMYFUNCTION("IMPORTRANGE(""https://docs.google.com/spreadsheets/d/1uUP8Zo1-qaJLuIkRU0qlwLSE3DHkbdrrj2JGJiWBQZE/edit?usp=sharing"",""อำนาจเจริญ!I671"")"),4)</f>
        <v>4</v>
      </c>
      <c r="Z49" s="57">
        <f ca="1">IFERROR(__xludf.DUMMYFUNCTION("IMPORTRANGE(""https://docs.google.com/spreadsheets/d/1uUP8Zo1-qaJLuIkRU0qlwLSE3DHkbdrrj2JGJiWBQZE/edit?usp=sharing"",""อำนาจเจริญ!J671"")"),4)</f>
        <v>4</v>
      </c>
      <c r="AA49" s="63">
        <f t="shared" ca="1" si="30"/>
        <v>100</v>
      </c>
      <c r="AB49" s="57">
        <f ca="1">IFERROR(__xludf.DUMMYFUNCTION("IMPORTRANGE(""https://docs.google.com/spreadsheets/d/1uUP8Zo1-qaJLuIkRU0qlwLSE3DHkbdrrj2JGJiWBQZE/edit?usp=sharing"",""อำนาจเจริญ!J672"")"),183.75)</f>
        <v>183.75</v>
      </c>
      <c r="AC49" s="63">
        <f t="shared" ca="1" si="11"/>
        <v>367.5</v>
      </c>
      <c r="AD49" s="57">
        <f ca="1">IFERROR(__xludf.DUMMYFUNCTION("IMPORTRANGE(""https://docs.google.com/spreadsheets/d/1uUP8Zo1-qaJLuIkRU0qlwLSE3DHkbdrrj2JGJiWBQZE/edit?usp=sharing"",""อำนาจเจริญ!J673"")"),184)</f>
        <v>184</v>
      </c>
      <c r="AE49" s="63">
        <f t="shared" ca="1" si="12"/>
        <v>368</v>
      </c>
      <c r="AF49" s="63">
        <f ca="1">IFERROR(__xludf.DUMMYFUNCTION("IMPORTRANGE(""https://docs.google.com/spreadsheets/d/1uUP8Zo1-qaJLuIkRU0qlwLSE3DHkbdrrj2JGJiWBQZE/edit?usp=sharing"",""อำนาจเจริญ!J674"")"),0)</f>
        <v>0</v>
      </c>
      <c r="AG49" s="63">
        <f t="shared" ca="1" si="13"/>
        <v>0</v>
      </c>
      <c r="AH49" s="63">
        <f ca="1">IFERROR(__xludf.DUMMYFUNCTION("IMPORTRANGE(""https://docs.google.com/spreadsheets/d/1uUP8Zo1-qaJLuIkRU0qlwLSE3DHkbdrrj2JGJiWBQZE/edit?usp=sharing"",""อำนาจเจริญ!J675"")"),0)</f>
        <v>0</v>
      </c>
      <c r="AI49" s="63">
        <f t="shared" ca="1" si="21"/>
        <v>0</v>
      </c>
      <c r="AJ49" s="63">
        <f ca="1">IFERROR(__xludf.DUMMYFUNCTION("IMPORTRANGE(""https://docs.google.com/spreadsheets/d/1uUP8Zo1-qaJLuIkRU0qlwLSE3DHkbdrrj2JGJiWBQZE/edit?usp=sharing"",""อำนาจเจริญ!J676"")"),0)</f>
        <v>0</v>
      </c>
      <c r="AK49" s="63">
        <f ca="1">IFERROR(__xludf.DUMMYFUNCTION("IMPORTRANGE(""https://docs.google.com/spreadsheets/d/1uUP8Zo1-qaJLuIkRU0qlwLSE3DHkbdrrj2JGJiWBQZE/edit?usp=sharing"",""อำนาจเจริญ!J677"")"),0)</f>
        <v>0</v>
      </c>
      <c r="AL49" s="57">
        <f ca="1">IFERROR(__xludf.DUMMYFUNCTION("IMPORTRANGE(""https://docs.google.com/spreadsheets/d/1uUP8Zo1-qaJLuIkRU0qlwLSE3DHkbdrrj2JGJiWBQZE/edit?usp=sharing"",""อำนาจเจริญ!I678"")"),0)</f>
        <v>0</v>
      </c>
      <c r="AM49" s="57">
        <f ca="1">IFERROR(__xludf.DUMMYFUNCTION("IMPORTRANGE(""https://docs.google.com/spreadsheets/d/1uUP8Zo1-qaJLuIkRU0qlwLSE3DHkbdrrj2JGJiWBQZE/edit?usp=sharing"",""อำนาจเจริญ!J678"")"),0)</f>
        <v>0</v>
      </c>
      <c r="AN49" s="63">
        <f t="shared" ca="1" si="31"/>
        <v>0</v>
      </c>
      <c r="AO49" s="57">
        <f ca="1">IFERROR(__xludf.DUMMYFUNCTION("IMPORTRANGE(""https://docs.google.com/spreadsheets/d/1uUP8Zo1-qaJLuIkRU0qlwLSE3DHkbdrrj2JGJiWBQZE/edit?usp=sharing"",""อำนาจเจริญ!J679"")"),0)</f>
        <v>0</v>
      </c>
      <c r="AP49" s="57">
        <f ca="1">IFERROR(__xludf.DUMMYFUNCTION("IMPORTRANGE(""https://docs.google.com/spreadsheets/d/1uUP8Zo1-qaJLuIkRU0qlwLSE3DHkbdrrj2JGJiWBQZE/edit?usp=sharing"",""อำนาจเจริญ!J680"")"),0)</f>
        <v>0</v>
      </c>
      <c r="AQ49" s="57">
        <f ca="1">IFERROR(__xludf.DUMMYFUNCTION("IMPORTRANGE(""https://docs.google.com/spreadsheets/d/1uUP8Zo1-qaJLuIkRU0qlwLSE3DHkbdrrj2JGJiWBQZE/edit?usp=sharing"",""อำนาจเจริญ!J681"")"),0)</f>
        <v>0</v>
      </c>
      <c r="AR49" s="57">
        <f ca="1">IFERROR(__xludf.DUMMYFUNCTION("IMPORTRANGE(""https://docs.google.com/spreadsheets/d/1uUP8Zo1-qaJLuIkRU0qlwLSE3DHkbdrrj2JGJiWBQZE/edit?usp=sharing"",""อำนาจเจริญ!J682"")"),0)</f>
        <v>0</v>
      </c>
      <c r="AS49" s="57">
        <f ca="1">IFERROR(__xludf.DUMMYFUNCTION("IMPORTRANGE(""https://docs.google.com/spreadsheets/d/1uUP8Zo1-qaJLuIkRU0qlwLSE3DHkbdrrj2JGJiWBQZE/edit?usp=sharing"",""อำนาจเจริญ!J683"")"),0)</f>
        <v>0</v>
      </c>
    </row>
    <row r="50" spans="1:45" ht="21" customHeight="1" x14ac:dyDescent="0.3">
      <c r="A50" s="54">
        <v>19</v>
      </c>
      <c r="B50" s="55" t="s">
        <v>71</v>
      </c>
      <c r="C50" s="56">
        <f t="shared" ca="1" si="51"/>
        <v>0</v>
      </c>
      <c r="D50" s="57">
        <f ca="1">IFERROR(__xludf.DUMMYFUNCTION("IMPORTRANGE(""https://docs.google.com/spreadsheets/d/1hb_taSOHanzRjqfzWPiFo8yiT83VV1L7vvUCLhOiHKc/edit?usp=sharing"",""อุดรธานี!L660"")"),0)</f>
        <v>0</v>
      </c>
      <c r="E50" s="64">
        <f ca="1">IFERROR(__xludf.DUMMYFUNCTION("IMPORTRANGE(""https://docs.google.com/spreadsheets/d/1hb_taSOHanzRjqfzWPiFo8yiT83VV1L7vvUCLhOiHKc/edit?usp=sharing"",""อุดรธานี!L667"")"),0)</f>
        <v>0</v>
      </c>
      <c r="F50" s="64">
        <f ca="1">IFERROR(__xludf.DUMMYFUNCTION("IMPORTRANGE(""https://docs.google.com/spreadsheets/d/1hb_taSOHanzRjqfzWPiFo8yiT83VV1L7vvUCLhOiHKc/edit?usp=sharing"",""อุดรธานี!M660"")"),0)</f>
        <v>0</v>
      </c>
      <c r="G50" s="64">
        <f ca="1">IFERROR(__xludf.DUMMYFUNCTION("IMPORTRANGE(""https://docs.google.com/spreadsheets/d/1hb_taSOHanzRjqfzWPiFo8yiT83VV1L7vvUCLhOiHKc/edit?usp=sharing"",""อุดรธานี!M667"")"),0)</f>
        <v>0</v>
      </c>
      <c r="H50" s="58">
        <f t="shared" ca="1" si="27"/>
        <v>0</v>
      </c>
      <c r="I50" s="59">
        <f t="shared" ca="1" si="1"/>
        <v>0</v>
      </c>
      <c r="J50" s="60">
        <f t="shared" ca="1" si="52"/>
        <v>0</v>
      </c>
      <c r="K50" s="61">
        <f t="shared" ca="1" si="33"/>
        <v>0</v>
      </c>
      <c r="L50" s="61">
        <f t="shared" ca="1" si="34"/>
        <v>0</v>
      </c>
      <c r="M50" s="64">
        <f ca="1">IFERROR(__xludf.DUMMYFUNCTION("IMPORTRANGE(""https://docs.google.com/spreadsheets/d/1hb_taSOHanzRjqfzWPiFo8yiT83VV1L7vvUCLhOiHKc/edit?usp=sharing"",""อุดรธานี!N661"")"),0)</f>
        <v>0</v>
      </c>
      <c r="N50" s="64">
        <f ca="1">IFERROR(__xludf.DUMMYFUNCTION("IMPORTRANGE(""https://docs.google.com/spreadsheets/d/1hb_taSOHanzRjqfzWPiFo8yiT83VV1L7vvUCLhOiHKc/edit?usp=sharing"",""อุดรธานี!N662"")"),0)</f>
        <v>0</v>
      </c>
      <c r="O50" s="64">
        <f ca="1">IFERROR(__xludf.DUMMYFUNCTION("IMPORTRANGE(""https://docs.google.com/spreadsheets/d/1hb_taSOHanzRjqfzWPiFo8yiT83VV1L7vvUCLhOiHKc/edit?usp=sharing"",""อุดรธานี!N663"")"),0)</f>
        <v>0</v>
      </c>
      <c r="P50" s="64">
        <f ca="1">IFERROR(__xludf.DUMMYFUNCTION("IMPORTRANGE(""https://docs.google.com/spreadsheets/d/1hb_taSOHanzRjqfzWPiFo8yiT83VV1L7vvUCLhOiHKc/edit?usp=sharing"",""อุดรธานี!N664"")"),0)</f>
        <v>0</v>
      </c>
      <c r="Q50" s="62">
        <f ca="1">IFERROR(__xludf.DUMMYFUNCTION("IMPORTRANGE(""https://docs.google.com/spreadsheets/d/1hb_taSOHanzRjqfzWPiFo8yiT83VV1L7vvUCLhOiHKc/edit?usp=sharing"",""อุดรธานี!N667"")"),0)</f>
        <v>0</v>
      </c>
      <c r="R50" s="62">
        <f t="shared" ca="1" si="36"/>
        <v>0</v>
      </c>
      <c r="S50" s="57">
        <f ca="1">IFERROR(__xludf.DUMMYFUNCTION("IMPORTRANGE(""https://docs.google.com/spreadsheets/d/1hb_taSOHanzRjqfzWPiFo8yiT83VV1L7vvUCLhOiHKc/edit?usp=sharing"",""อุดรธานี!I669"")"),0)</f>
        <v>0</v>
      </c>
      <c r="T50" s="57">
        <f ca="1">IFERROR(__xludf.DUMMYFUNCTION("IMPORTRANGE(""https://docs.google.com/spreadsheets/d/1hb_taSOHanzRjqfzWPiFo8yiT83VV1L7vvUCLhOiHKc/edit?usp=sharing"",""อุดรธานี!J669"")"),0)</f>
        <v>0</v>
      </c>
      <c r="U50" s="63">
        <f t="shared" ca="1" si="28"/>
        <v>0</v>
      </c>
      <c r="V50" s="57">
        <f ca="1">IFERROR(__xludf.DUMMYFUNCTION("IMPORTRANGE(""https://docs.google.com/spreadsheets/d/1hb_taSOHanzRjqfzWPiFo8yiT83VV1L7vvUCLhOiHKc/edit?usp=sharing"",""อุดรธานี!I670"")"),0)</f>
        <v>0</v>
      </c>
      <c r="W50" s="57">
        <f ca="1">IFERROR(__xludf.DUMMYFUNCTION("IMPORTRANGE(""https://docs.google.com/spreadsheets/d/1hb_taSOHanzRjqfzWPiFo8yiT83VV1L7vvUCLhOiHKc/edit?usp=sharing"",""อุดรธานี!J670"")"),0)</f>
        <v>0</v>
      </c>
      <c r="X50" s="63">
        <f t="shared" ca="1" si="29"/>
        <v>0</v>
      </c>
      <c r="Y50" s="57">
        <f ca="1">IFERROR(__xludf.DUMMYFUNCTION("IMPORTRANGE(""https://docs.google.com/spreadsheets/d/1hb_taSOHanzRjqfzWPiFo8yiT83VV1L7vvUCLhOiHKc/edit?usp=sharing"",""อุดรธานี!I671"")"),0)</f>
        <v>0</v>
      </c>
      <c r="Z50" s="57">
        <f ca="1">IFERROR(__xludf.DUMMYFUNCTION("IMPORTRANGE(""https://docs.google.com/spreadsheets/d/1hb_taSOHanzRjqfzWPiFo8yiT83VV1L7vvUCLhOiHKc/edit?usp=sharing"",""อุดรธานี!J671"")"),0)</f>
        <v>0</v>
      </c>
      <c r="AA50" s="63">
        <f t="shared" ca="1" si="30"/>
        <v>0</v>
      </c>
      <c r="AB50" s="57">
        <f ca="1">IFERROR(__xludf.DUMMYFUNCTION("IMPORTRANGE(""https://docs.google.com/spreadsheets/d/1hb_taSOHanzRjqfzWPiFo8yiT83VV1L7vvUCLhOiHKc/edit?usp=sharing"",""อุดรธานี!J672"")"),0)</f>
        <v>0</v>
      </c>
      <c r="AC50" s="63">
        <f t="shared" ca="1" si="11"/>
        <v>0</v>
      </c>
      <c r="AD50" s="57">
        <f ca="1">IFERROR(__xludf.DUMMYFUNCTION("IMPORTRANGE(""https://docs.google.com/spreadsheets/d/1hb_taSOHanzRjqfzWPiFo8yiT83VV1L7vvUCLhOiHKc/edit?usp=sharing"",""อุดรธานี!J673"")"),0)</f>
        <v>0</v>
      </c>
      <c r="AE50" s="63">
        <f t="shared" ca="1" si="12"/>
        <v>0</v>
      </c>
      <c r="AF50" s="63">
        <f ca="1">IFERROR(__xludf.DUMMYFUNCTION("IMPORTRANGE(""https://docs.google.com/spreadsheets/d/1hb_taSOHanzRjqfzWPiFo8yiT83VV1L7vvUCLhOiHKc/edit?usp=sharing"",""อุดรธานี!J674"")"),0)</f>
        <v>0</v>
      </c>
      <c r="AG50" s="63">
        <f t="shared" ca="1" si="13"/>
        <v>0</v>
      </c>
      <c r="AH50" s="63">
        <f ca="1">IFERROR(__xludf.DUMMYFUNCTION("IMPORTRANGE(""https://docs.google.com/spreadsheets/d/1hb_taSOHanzRjqfzWPiFo8yiT83VV1L7vvUCLhOiHKc/edit?usp=sharing"",""อุดรธานี!J675"")"),0)</f>
        <v>0</v>
      </c>
      <c r="AI50" s="63">
        <f t="shared" ca="1" si="21"/>
        <v>0</v>
      </c>
      <c r="AJ50" s="63">
        <f ca="1">IFERROR(__xludf.DUMMYFUNCTION("IMPORTRANGE(""https://docs.google.com/spreadsheets/d/1hb_taSOHanzRjqfzWPiFo8yiT83VV1L7vvUCLhOiHKc/edit?usp=sharing"",""อุดรธานี!J676"")"),0)</f>
        <v>0</v>
      </c>
      <c r="AK50" s="63">
        <f ca="1">IFERROR(__xludf.DUMMYFUNCTION("IMPORTRANGE(""https://docs.google.com/spreadsheets/d/1hb_taSOHanzRjqfzWPiFo8yiT83VV1L7vvUCLhOiHKc/edit?usp=sharing"",""อุดรธานี!J677"")"),0)</f>
        <v>0</v>
      </c>
      <c r="AL50" s="57">
        <f ca="1">IFERROR(__xludf.DUMMYFUNCTION("IMPORTRANGE(""https://docs.google.com/spreadsheets/d/1hb_taSOHanzRjqfzWPiFo8yiT83VV1L7vvUCLhOiHKc/edit?usp=sharing"",""อุดรธานี!I678"")"),0)</f>
        <v>0</v>
      </c>
      <c r="AM50" s="57">
        <f ca="1">IFERROR(__xludf.DUMMYFUNCTION("IMPORTRANGE(""https://docs.google.com/spreadsheets/d/1hb_taSOHanzRjqfzWPiFo8yiT83VV1L7vvUCLhOiHKc/edit?usp=sharing"",""อุดรธานี!J678"")"),0)</f>
        <v>0</v>
      </c>
      <c r="AN50" s="63">
        <f t="shared" ca="1" si="31"/>
        <v>0</v>
      </c>
      <c r="AO50" s="57">
        <f ca="1">IFERROR(__xludf.DUMMYFUNCTION("IMPORTRANGE(""https://docs.google.com/spreadsheets/d/1hb_taSOHanzRjqfzWPiFo8yiT83VV1L7vvUCLhOiHKc/edit?usp=sharing"",""อุดรธานี!J679"")"),0)</f>
        <v>0</v>
      </c>
      <c r="AP50" s="57">
        <f ca="1">IFERROR(__xludf.DUMMYFUNCTION("IMPORTRANGE(""https://docs.google.com/spreadsheets/d/1hb_taSOHanzRjqfzWPiFo8yiT83VV1L7vvUCLhOiHKc/edit?usp=sharing"",""อุดรธานี!J680"")"),0)</f>
        <v>0</v>
      </c>
      <c r="AQ50" s="57">
        <f ca="1">IFERROR(__xludf.DUMMYFUNCTION("IMPORTRANGE(""https://docs.google.com/spreadsheets/d/1hb_taSOHanzRjqfzWPiFo8yiT83VV1L7vvUCLhOiHKc/edit?usp=sharing"",""อุดรธานี!J681"")"),0)</f>
        <v>0</v>
      </c>
      <c r="AR50" s="57">
        <f ca="1">IFERROR(__xludf.DUMMYFUNCTION("IMPORTRANGE(""https://docs.google.com/spreadsheets/d/1hb_taSOHanzRjqfzWPiFo8yiT83VV1L7vvUCLhOiHKc/edit?usp=sharing"",""อุดรธานี!J682"")"),0)</f>
        <v>0</v>
      </c>
      <c r="AS50" s="57">
        <f ca="1">IFERROR(__xludf.DUMMYFUNCTION("IMPORTRANGE(""https://docs.google.com/spreadsheets/d/1hb_taSOHanzRjqfzWPiFo8yiT83VV1L7vvUCLhOiHKc/edit?usp=sharing"",""อุดรธานี!J683"")"),0)</f>
        <v>0</v>
      </c>
    </row>
    <row r="51" spans="1:45" ht="21" customHeight="1" x14ac:dyDescent="0.3">
      <c r="A51" s="65">
        <v>20</v>
      </c>
      <c r="B51" s="66" t="s">
        <v>72</v>
      </c>
      <c r="C51" s="67">
        <f t="shared" ca="1" si="51"/>
        <v>15600</v>
      </c>
      <c r="D51" s="68">
        <f ca="1">IFERROR(__xludf.DUMMYFUNCTION("IMPORTRANGE(""https://docs.google.com/spreadsheets/d/17IOkEwkUd63EGNfyNDnM5de9YlZ7rwzTiW6-dokVjKI/edit?usp=sharing"",""อุบลราชธานี!L660"")"),15600)</f>
        <v>15600</v>
      </c>
      <c r="E51" s="69">
        <f ca="1">IFERROR(__xludf.DUMMYFUNCTION("IMPORTRANGE(""https://docs.google.com/spreadsheets/d/17IOkEwkUd63EGNfyNDnM5de9YlZ7rwzTiW6-dokVjKI/edit?usp=sharing"",""อุบลราชธานี!L667"")"),0)</f>
        <v>0</v>
      </c>
      <c r="F51" s="69">
        <f ca="1">IFERROR(__xludf.DUMMYFUNCTION("IMPORTRANGE(""https://docs.google.com/spreadsheets/d/17IOkEwkUd63EGNfyNDnM5de9YlZ7rwzTiW6-dokVjKI/edit?usp=sharing"",""อุบลราชธานี!M660"")"),15600)</f>
        <v>15600</v>
      </c>
      <c r="G51" s="69">
        <f ca="1">IFERROR(__xludf.DUMMYFUNCTION("IMPORTRANGE(""https://docs.google.com/spreadsheets/d/17IOkEwkUd63EGNfyNDnM5de9YlZ7rwzTiW6-dokVjKI/edit?usp=sharing"",""อุบลราชธานี!M667"")"),0)</f>
        <v>0</v>
      </c>
      <c r="H51" s="70">
        <f t="shared" ca="1" si="27"/>
        <v>15380</v>
      </c>
      <c r="I51" s="71">
        <f t="shared" ca="1" si="1"/>
        <v>98.589743589743591</v>
      </c>
      <c r="J51" s="72">
        <f t="shared" ca="1" si="52"/>
        <v>15380</v>
      </c>
      <c r="K51" s="73">
        <f t="shared" ca="1" si="33"/>
        <v>98.589743589743591</v>
      </c>
      <c r="L51" s="73">
        <f t="shared" ca="1" si="34"/>
        <v>98.589743589743591</v>
      </c>
      <c r="M51" s="69">
        <f ca="1">IFERROR(__xludf.DUMMYFUNCTION("IMPORTRANGE(""https://docs.google.com/spreadsheets/d/17IOkEwkUd63EGNfyNDnM5de9YlZ7rwzTiW6-dokVjKI/edit?usp=sharing"",""อุบลราชธานี!N661"")"),0)</f>
        <v>0</v>
      </c>
      <c r="N51" s="69">
        <f ca="1">IFERROR(__xludf.DUMMYFUNCTION("IMPORTRANGE(""https://docs.google.com/spreadsheets/d/17IOkEwkUd63EGNfyNDnM5de9YlZ7rwzTiW6-dokVjKI/edit?usp=sharing"",""อุบลราชธานี!N662"")"),0)</f>
        <v>0</v>
      </c>
      <c r="O51" s="69">
        <f ca="1">IFERROR(__xludf.DUMMYFUNCTION("IMPORTRANGE(""https://docs.google.com/spreadsheets/d/17IOkEwkUd63EGNfyNDnM5de9YlZ7rwzTiW6-dokVjKI/edit?usp=sharing"",""อุบลราชธานี!N663"")"),0)</f>
        <v>0</v>
      </c>
      <c r="P51" s="69">
        <f ca="1">IFERROR(__xludf.DUMMYFUNCTION("IMPORTRANGE(""https://docs.google.com/spreadsheets/d/17IOkEwkUd63EGNfyNDnM5de9YlZ7rwzTiW6-dokVjKI/edit?usp=sharing"",""อุบลราชธานี!N664"")"),15380)</f>
        <v>15380</v>
      </c>
      <c r="Q51" s="74">
        <f ca="1">IFERROR(__xludf.DUMMYFUNCTION("IMPORTRANGE(""https://docs.google.com/spreadsheets/d/17IOkEwkUd63EGNfyNDnM5de9YlZ7rwzTiW6-dokVjKI/edit?usp=sharing"",""อุบลราชธานี!N667"")"),0)</f>
        <v>0</v>
      </c>
      <c r="R51" s="74">
        <f t="shared" ca="1" si="36"/>
        <v>0</v>
      </c>
      <c r="S51" s="68">
        <f ca="1">IFERROR(__xludf.DUMMYFUNCTION("IMPORTRANGE(""https://docs.google.com/spreadsheets/d/17IOkEwkUd63EGNfyNDnM5de9YlZ7rwzTiW6-dokVjKI/edit?usp=sharing"",""อุบลราชธานี!I669"")"),100)</f>
        <v>100</v>
      </c>
      <c r="T51" s="68">
        <f ca="1">IFERROR(__xludf.DUMMYFUNCTION("IMPORTRANGE(""https://docs.google.com/spreadsheets/d/17IOkEwkUd63EGNfyNDnM5de9YlZ7rwzTiW6-dokVjKI/edit?usp=sharing"",""อุบลราชธานี!J669"")"),0)</f>
        <v>0</v>
      </c>
      <c r="U51" s="75">
        <f t="shared" ca="1" si="28"/>
        <v>0</v>
      </c>
      <c r="V51" s="68">
        <f ca="1">IFERROR(__xludf.DUMMYFUNCTION("IMPORTRANGE(""https://docs.google.com/spreadsheets/d/17IOkEwkUd63EGNfyNDnM5de9YlZ7rwzTiW6-dokVjKI/edit?usp=sharing"",""อุบลราชธานี!I670"")"),6)</f>
        <v>6</v>
      </c>
      <c r="W51" s="68">
        <f ca="1">IFERROR(__xludf.DUMMYFUNCTION("IMPORTRANGE(""https://docs.google.com/spreadsheets/d/17IOkEwkUd63EGNfyNDnM5de9YlZ7rwzTiW6-dokVjKI/edit?usp=sharing"",""อุบลราชธานี!J670"")"),6)</f>
        <v>6</v>
      </c>
      <c r="X51" s="75">
        <f t="shared" ca="1" si="29"/>
        <v>100</v>
      </c>
      <c r="Y51" s="68">
        <f ca="1">IFERROR(__xludf.DUMMYFUNCTION("IMPORTRANGE(""https://docs.google.com/spreadsheets/d/17IOkEwkUd63EGNfyNDnM5de9YlZ7rwzTiW6-dokVjKI/edit?usp=sharing"",""อุบลราชธานี!I671"")"),6)</f>
        <v>6</v>
      </c>
      <c r="Z51" s="68">
        <f ca="1">IFERROR(__xludf.DUMMYFUNCTION("IMPORTRANGE(""https://docs.google.com/spreadsheets/d/17IOkEwkUd63EGNfyNDnM5de9YlZ7rwzTiW6-dokVjKI/edit?usp=sharing"",""อุบลราชธานี!J671"")"),6)</f>
        <v>6</v>
      </c>
      <c r="AA51" s="75">
        <f t="shared" ca="1" si="30"/>
        <v>100</v>
      </c>
      <c r="AB51" s="68">
        <f ca="1">IFERROR(__xludf.DUMMYFUNCTION("IMPORTRANGE(""https://docs.google.com/spreadsheets/d/17IOkEwkUd63EGNfyNDnM5de9YlZ7rwzTiW6-dokVjKI/edit?usp=sharing"",""อุบลราชธานี!J672"")"),711)</f>
        <v>711</v>
      </c>
      <c r="AC51" s="75">
        <f t="shared" ca="1" si="11"/>
        <v>711</v>
      </c>
      <c r="AD51" s="68">
        <f ca="1">IFERROR(__xludf.DUMMYFUNCTION("IMPORTRANGE(""https://docs.google.com/spreadsheets/d/17IOkEwkUd63EGNfyNDnM5de9YlZ7rwzTiW6-dokVjKI/edit?usp=sharing"",""อุบลราชธานี!J673"")"),711)</f>
        <v>711</v>
      </c>
      <c r="AE51" s="75">
        <f t="shared" ca="1" si="12"/>
        <v>711</v>
      </c>
      <c r="AF51" s="75">
        <f ca="1">IFERROR(__xludf.DUMMYFUNCTION("IMPORTRANGE(""https://docs.google.com/spreadsheets/d/17IOkEwkUd63EGNfyNDnM5de9YlZ7rwzTiW6-dokVjKI/edit?usp=sharing"",""อุบลราชธานี!J674"")"),0)</f>
        <v>0</v>
      </c>
      <c r="AG51" s="75">
        <f t="shared" ca="1" si="13"/>
        <v>0</v>
      </c>
      <c r="AH51" s="75">
        <f ca="1">IFERROR(__xludf.DUMMYFUNCTION("IMPORTRANGE(""https://docs.google.com/spreadsheets/d/17IOkEwkUd63EGNfyNDnM5de9YlZ7rwzTiW6-dokVjKI/edit?usp=sharing"",""อุบลราชธานี!J675"")"),0)</f>
        <v>0</v>
      </c>
      <c r="AI51" s="75">
        <f t="shared" ca="1" si="21"/>
        <v>0</v>
      </c>
      <c r="AJ51" s="75">
        <f ca="1">IFERROR(__xludf.DUMMYFUNCTION("IMPORTRANGE(""https://docs.google.com/spreadsheets/d/17IOkEwkUd63EGNfyNDnM5de9YlZ7rwzTiW6-dokVjKI/edit?usp=sharing"",""อุบลราชธานี!J676"")"),0)</f>
        <v>0</v>
      </c>
      <c r="AK51" s="75">
        <f ca="1">IFERROR(__xludf.DUMMYFUNCTION("IMPORTRANGE(""https://docs.google.com/spreadsheets/d/17IOkEwkUd63EGNfyNDnM5de9YlZ7rwzTiW6-dokVjKI/edit?usp=sharing"",""อุบลราชธานี!J677"")"),0)</f>
        <v>0</v>
      </c>
      <c r="AL51" s="68">
        <f ca="1">IFERROR(__xludf.DUMMYFUNCTION("IMPORTRANGE(""https://docs.google.com/spreadsheets/d/17IOkEwkUd63EGNfyNDnM5de9YlZ7rwzTiW6-dokVjKI/edit?usp=sharing"",""อุบลราชธานี!I678"")"),0)</f>
        <v>0</v>
      </c>
      <c r="AM51" s="68">
        <f ca="1">IFERROR(__xludf.DUMMYFUNCTION("IMPORTRANGE(""https://docs.google.com/spreadsheets/d/17IOkEwkUd63EGNfyNDnM5de9YlZ7rwzTiW6-dokVjKI/edit?usp=sharing"",""อุบลราชธานี!J678"")"),0)</f>
        <v>0</v>
      </c>
      <c r="AN51" s="75">
        <f t="shared" ca="1" si="31"/>
        <v>0</v>
      </c>
      <c r="AO51" s="68">
        <f ca="1">IFERROR(__xludf.DUMMYFUNCTION("IMPORTRANGE(""https://docs.google.com/spreadsheets/d/17IOkEwkUd63EGNfyNDnM5de9YlZ7rwzTiW6-dokVjKI/edit?usp=sharing"",""อุบลราชธานี!J679"")"),0)</f>
        <v>0</v>
      </c>
      <c r="AP51" s="68">
        <f ca="1">IFERROR(__xludf.DUMMYFUNCTION("IMPORTRANGE(""https://docs.google.com/spreadsheets/d/17IOkEwkUd63EGNfyNDnM5de9YlZ7rwzTiW6-dokVjKI/edit?usp=sharing"",""อุบลราชธานี!J680"")"),0)</f>
        <v>0</v>
      </c>
      <c r="AQ51" s="68">
        <f ca="1">IFERROR(__xludf.DUMMYFUNCTION("IMPORTRANGE(""https://docs.google.com/spreadsheets/d/17IOkEwkUd63EGNfyNDnM5de9YlZ7rwzTiW6-dokVjKI/edit?usp=sharing"",""อุบลราชธานี!J681"")"),0)</f>
        <v>0</v>
      </c>
      <c r="AR51" s="68">
        <f ca="1">IFERROR(__xludf.DUMMYFUNCTION("IMPORTRANGE(""https://docs.google.com/spreadsheets/d/17IOkEwkUd63EGNfyNDnM5de9YlZ7rwzTiW6-dokVjKI/edit?usp=sharing"",""อุบลราชธานี!J682"")"),0)</f>
        <v>0</v>
      </c>
      <c r="AS51" s="68">
        <f ca="1">IFERROR(__xludf.DUMMYFUNCTION("IMPORTRANGE(""https://docs.google.com/spreadsheets/d/17IOkEwkUd63EGNfyNDnM5de9YlZ7rwzTiW6-dokVjKI/edit?usp=sharing"",""อุบลราชธานี!J683"")"),0)</f>
        <v>0</v>
      </c>
    </row>
    <row r="52" spans="1:45" ht="21" customHeight="1" x14ac:dyDescent="0.3">
      <c r="A52" s="186" t="s">
        <v>73</v>
      </c>
      <c r="B52" s="178"/>
      <c r="C52" s="76">
        <f t="shared" ref="C52:G52" ca="1" si="53">SUM(C53:C73)</f>
        <v>171700</v>
      </c>
      <c r="D52" s="34">
        <f t="shared" ca="1" si="53"/>
        <v>171700</v>
      </c>
      <c r="E52" s="34">
        <f t="shared" ca="1" si="53"/>
        <v>0</v>
      </c>
      <c r="F52" s="34">
        <f t="shared" ca="1" si="53"/>
        <v>171700</v>
      </c>
      <c r="G52" s="34">
        <f t="shared" ca="1" si="53"/>
        <v>0</v>
      </c>
      <c r="H52" s="34">
        <f t="shared" ca="1" si="27"/>
        <v>49425.2</v>
      </c>
      <c r="I52" s="35">
        <f t="shared" ca="1" si="1"/>
        <v>28.785789167152011</v>
      </c>
      <c r="J52" s="34">
        <f ca="1">SUM(J53:J73)</f>
        <v>49425.2</v>
      </c>
      <c r="K52" s="35">
        <f t="shared" ca="1" si="33"/>
        <v>28.785789167152011</v>
      </c>
      <c r="L52" s="35">
        <f t="shared" ca="1" si="34"/>
        <v>28.785789167152011</v>
      </c>
      <c r="M52" s="34">
        <f t="shared" ref="M52:Q52" ca="1" si="54">SUM(M53:M73)</f>
        <v>1500</v>
      </c>
      <c r="N52" s="34">
        <f t="shared" ca="1" si="54"/>
        <v>0</v>
      </c>
      <c r="O52" s="34">
        <f t="shared" ca="1" si="54"/>
        <v>0</v>
      </c>
      <c r="P52" s="34">
        <f t="shared" ca="1" si="54"/>
        <v>47925.2</v>
      </c>
      <c r="Q52" s="36">
        <f t="shared" ca="1" si="54"/>
        <v>0</v>
      </c>
      <c r="R52" s="36">
        <f t="shared" ca="1" si="36"/>
        <v>0</v>
      </c>
      <c r="S52" s="34">
        <f t="shared" ref="S52:T52" ca="1" si="55">SUM(S53:S73)</f>
        <v>1235</v>
      </c>
      <c r="T52" s="34">
        <f t="shared" ca="1" si="55"/>
        <v>143</v>
      </c>
      <c r="U52" s="37">
        <f t="shared" ca="1" si="28"/>
        <v>11.578947368421053</v>
      </c>
      <c r="V52" s="34">
        <f t="shared" ref="V52:W52" ca="1" si="56">SUM(V53:V73)</f>
        <v>61</v>
      </c>
      <c r="W52" s="34">
        <f t="shared" ca="1" si="56"/>
        <v>57</v>
      </c>
      <c r="X52" s="37">
        <f t="shared" ca="1" si="29"/>
        <v>93.442622950819668</v>
      </c>
      <c r="Y52" s="34">
        <f t="shared" ref="Y52:Z52" ca="1" si="57">SUM(Y53:Y73)</f>
        <v>61</v>
      </c>
      <c r="Z52" s="34">
        <f t="shared" ca="1" si="57"/>
        <v>57</v>
      </c>
      <c r="AA52" s="37">
        <f t="shared" ca="1" si="30"/>
        <v>93.442622950819668</v>
      </c>
      <c r="AB52" s="34">
        <f ca="1">SUM(AB53:AB73)</f>
        <v>1163.2</v>
      </c>
      <c r="AC52" s="37">
        <f t="shared" ca="1" si="11"/>
        <v>94.186234817813769</v>
      </c>
      <c r="AD52" s="34">
        <f ca="1">SUM(AD53:AD73)</f>
        <v>829.38</v>
      </c>
      <c r="AE52" s="37">
        <f t="shared" ca="1" si="12"/>
        <v>67.156275303643724</v>
      </c>
      <c r="AF52" s="37">
        <f ca="1">SUM(AF53:AF73)</f>
        <v>170</v>
      </c>
      <c r="AG52" s="37">
        <f t="shared" ca="1" si="13"/>
        <v>13.765182186234817</v>
      </c>
      <c r="AH52" s="37">
        <f ca="1">SUM(AH53:AH73)</f>
        <v>143</v>
      </c>
      <c r="AI52" s="37">
        <f t="shared" ca="1" si="21"/>
        <v>1235</v>
      </c>
      <c r="AJ52" s="37">
        <f t="shared" ref="AJ52:AM52" ca="1" si="58">SUM(AJ53:AJ73)</f>
        <v>0</v>
      </c>
      <c r="AK52" s="37">
        <f t="shared" ca="1" si="58"/>
        <v>143</v>
      </c>
      <c r="AL52" s="34">
        <f t="shared" ca="1" si="58"/>
        <v>0</v>
      </c>
      <c r="AM52" s="34">
        <f t="shared" ca="1" si="58"/>
        <v>136</v>
      </c>
      <c r="AN52" s="37">
        <f t="shared" ca="1" si="31"/>
        <v>0</v>
      </c>
      <c r="AO52" s="34">
        <f t="shared" ref="AO52:AS52" ca="1" si="59">SUM(AO53:AO73)</f>
        <v>136</v>
      </c>
      <c r="AP52" s="34">
        <f t="shared" ca="1" si="59"/>
        <v>136</v>
      </c>
      <c r="AQ52" s="34">
        <f t="shared" ca="1" si="59"/>
        <v>0</v>
      </c>
      <c r="AR52" s="34">
        <f t="shared" ca="1" si="59"/>
        <v>0</v>
      </c>
      <c r="AS52" s="34">
        <f t="shared" ca="1" si="59"/>
        <v>0</v>
      </c>
    </row>
    <row r="53" spans="1:45" ht="21" customHeight="1" x14ac:dyDescent="0.3">
      <c r="A53" s="54">
        <v>1</v>
      </c>
      <c r="B53" s="55" t="s">
        <v>74</v>
      </c>
      <c r="C53" s="56">
        <f t="shared" ref="C53:C73" ca="1" si="60">D53+E53</f>
        <v>20000</v>
      </c>
      <c r="D53" s="57">
        <f ca="1">IFERROR(__xludf.DUMMYFUNCTION("IMPORTRANGE(""https://docs.google.com/spreadsheets/d/1hKO5uv94SSRZWOvrh72HRcpyoEQF9TsE_Cvxl77XNU4/edit?usp=sharing"",""กาญจนบุรี!L660"")"),20000)</f>
        <v>20000</v>
      </c>
      <c r="E53" s="57">
        <f ca="1">IFERROR(__xludf.DUMMYFUNCTION("IMPORTRANGE(""https://docs.google.com/spreadsheets/d/1hKO5uv94SSRZWOvrh72HRcpyoEQF9TsE_Cvxl77XNU4/edit?usp=sharing"",""กาญจนบุรี!L667"")"),0)</f>
        <v>0</v>
      </c>
      <c r="F53" s="57">
        <f ca="1">IFERROR(__xludf.DUMMYFUNCTION("IMPORTRANGE(""https://docs.google.com/spreadsheets/d/1hKO5uv94SSRZWOvrh72HRcpyoEQF9TsE_Cvxl77XNU4/edit?usp=sharing"",""กาญจนบุรี!M660"")"),20000)</f>
        <v>20000</v>
      </c>
      <c r="G53" s="57">
        <f ca="1">IFERROR(__xludf.DUMMYFUNCTION("IMPORTRANGE(""https://docs.google.com/spreadsheets/d/1hKO5uv94SSRZWOvrh72HRcpyoEQF9TsE_Cvxl77XNU4/edit?usp=sharing"",""กาญจนบุรี!M667"")"),0)</f>
        <v>0</v>
      </c>
      <c r="H53" s="58">
        <f t="shared" ca="1" si="27"/>
        <v>1615</v>
      </c>
      <c r="I53" s="59">
        <f t="shared" ca="1" si="1"/>
        <v>8.0749999999999993</v>
      </c>
      <c r="J53" s="60">
        <f t="shared" ref="J53:J73" ca="1" si="61">M53+N53+O53+P53</f>
        <v>1615</v>
      </c>
      <c r="K53" s="61">
        <f t="shared" ca="1" si="33"/>
        <v>8.0749999999999993</v>
      </c>
      <c r="L53" s="61">
        <f t="shared" ca="1" si="34"/>
        <v>8.0749999999999993</v>
      </c>
      <c r="M53" s="57">
        <f ca="1">IFERROR(__xludf.DUMMYFUNCTION("IMPORTRANGE(""https://docs.google.com/spreadsheets/d/1hKO5uv94SSRZWOvrh72HRcpyoEQF9TsE_Cvxl77XNU4/edit?usp=sharing"",""กาญจนบุรี!N661"")"),0)</f>
        <v>0</v>
      </c>
      <c r="N53" s="57">
        <f ca="1">IFERROR(__xludf.DUMMYFUNCTION("IMPORTRANGE(""https://docs.google.com/spreadsheets/d/1hKO5uv94SSRZWOvrh72HRcpyoEQF9TsE_Cvxl77XNU4/edit?usp=sharing"",""กาญจนบุรี!N662"")"),0)</f>
        <v>0</v>
      </c>
      <c r="O53" s="57">
        <f ca="1">IFERROR(__xludf.DUMMYFUNCTION("IMPORTRANGE(""https://docs.google.com/spreadsheets/d/1hKO5uv94SSRZWOvrh72HRcpyoEQF9TsE_Cvxl77XNU4/edit?usp=sharing"",""กาญจนบุรี!N663"")"),0)</f>
        <v>0</v>
      </c>
      <c r="P53" s="57">
        <f ca="1">IFERROR(__xludf.DUMMYFUNCTION("IMPORTRANGE(""https://docs.google.com/spreadsheets/d/1hKO5uv94SSRZWOvrh72HRcpyoEQF9TsE_Cvxl77XNU4/edit?usp=sharing"",""กาญจนบุรี!N664"")"),1615)</f>
        <v>1615</v>
      </c>
      <c r="Q53" s="62">
        <f ca="1">IFERROR(__xludf.DUMMYFUNCTION("IMPORTRANGE(""https://docs.google.com/spreadsheets/d/1hKO5uv94SSRZWOvrh72HRcpyoEQF9TsE_Cvxl77XNU4/edit?usp=sharing"",""กาญจนบุรี!N667"")"),0)</f>
        <v>0</v>
      </c>
      <c r="R53" s="62">
        <f t="shared" ca="1" si="36"/>
        <v>0</v>
      </c>
      <c r="S53" s="57">
        <f ca="1">IFERROR(__xludf.DUMMYFUNCTION("IMPORTRANGE(""https://docs.google.com/spreadsheets/d/1hKO5uv94SSRZWOvrh72HRcpyoEQF9TsE_Cvxl77XNU4/edit?usp=sharing"",""กาญจนบุรี!I669"")"),200)</f>
        <v>200</v>
      </c>
      <c r="T53" s="57">
        <f ca="1">IFERROR(__xludf.DUMMYFUNCTION("IMPORTRANGE(""https://docs.google.com/spreadsheets/d/1hKO5uv94SSRZWOvrh72HRcpyoEQF9TsE_Cvxl77XNU4/edit?usp=sharing"",""กาญจนบุรี!J669"")"),0)</f>
        <v>0</v>
      </c>
      <c r="U53" s="63">
        <f t="shared" ca="1" si="28"/>
        <v>0</v>
      </c>
      <c r="V53" s="57">
        <f ca="1">IFERROR(__xludf.DUMMYFUNCTION("IMPORTRANGE(""https://docs.google.com/spreadsheets/d/1hKO5uv94SSRZWOvrh72HRcpyoEQF9TsE_Cvxl77XNU4/edit?usp=sharing"",""กาญจนบุรี!I670"")"),5)</f>
        <v>5</v>
      </c>
      <c r="W53" s="57">
        <f ca="1">IFERROR(__xludf.DUMMYFUNCTION("IMPORTRANGE(""https://docs.google.com/spreadsheets/d/1hKO5uv94SSRZWOvrh72HRcpyoEQF9TsE_Cvxl77XNU4/edit?usp=sharing"",""กาญจนบุรี!J670"")"),1)</f>
        <v>1</v>
      </c>
      <c r="X53" s="63">
        <f t="shared" ca="1" si="29"/>
        <v>20</v>
      </c>
      <c r="Y53" s="57">
        <f ca="1">IFERROR(__xludf.DUMMYFUNCTION("IMPORTRANGE(""https://docs.google.com/spreadsheets/d/1hKO5uv94SSRZWOvrh72HRcpyoEQF9TsE_Cvxl77XNU4/edit?usp=sharing"",""กาญจนบุรี!I671"")"),5)</f>
        <v>5</v>
      </c>
      <c r="Z53" s="57">
        <f ca="1">IFERROR(__xludf.DUMMYFUNCTION("IMPORTRANGE(""https://docs.google.com/spreadsheets/d/1hKO5uv94SSRZWOvrh72HRcpyoEQF9TsE_Cvxl77XNU4/edit?usp=sharing"",""กาญจนบุรี!J671"")"),1)</f>
        <v>1</v>
      </c>
      <c r="AA53" s="63">
        <f t="shared" ca="1" si="30"/>
        <v>20</v>
      </c>
      <c r="AB53" s="57">
        <f ca="1">IFERROR(__xludf.DUMMYFUNCTION("IMPORTRANGE(""https://docs.google.com/spreadsheets/d/1hKO5uv94SSRZWOvrh72HRcpyoEQF9TsE_Cvxl77XNU4/edit?usp=sharing"",""กาญจนบุรี!J672"")"),0)</f>
        <v>0</v>
      </c>
      <c r="AC53" s="63">
        <f t="shared" ca="1" si="11"/>
        <v>0</v>
      </c>
      <c r="AD53" s="57">
        <f ca="1">IFERROR(__xludf.DUMMYFUNCTION("IMPORTRANGE(""https://docs.google.com/spreadsheets/d/1hKO5uv94SSRZWOvrh72HRcpyoEQF9TsE_Cvxl77XNU4/edit?usp=sharing"",""กาญจนบุรี!J673"")"),0)</f>
        <v>0</v>
      </c>
      <c r="AE53" s="63">
        <f t="shared" ca="1" si="12"/>
        <v>0</v>
      </c>
      <c r="AF53" s="63">
        <f ca="1">IFERROR(__xludf.DUMMYFUNCTION("IMPORTRANGE(""https://docs.google.com/spreadsheets/d/1hKO5uv94SSRZWOvrh72HRcpyoEQF9TsE_Cvxl77XNU4/edit?usp=sharing"",""กาญจนบุรี!J674"")"),0)</f>
        <v>0</v>
      </c>
      <c r="AG53" s="63">
        <f t="shared" ca="1" si="13"/>
        <v>0</v>
      </c>
      <c r="AH53" s="63">
        <f ca="1">IFERROR(__xludf.DUMMYFUNCTION("IMPORTRANGE(""https://docs.google.com/spreadsheets/d/1hKO5uv94SSRZWOvrh72HRcpyoEQF9TsE_Cvxl77XNU4/edit?usp=sharing"",""กาญจนบุรี!J675"")"),0)</f>
        <v>0</v>
      </c>
      <c r="AI53" s="63">
        <f t="shared" ca="1" si="21"/>
        <v>0</v>
      </c>
      <c r="AJ53" s="63">
        <f ca="1">IFERROR(__xludf.DUMMYFUNCTION("IMPORTRANGE(""https://docs.google.com/spreadsheets/d/1hKO5uv94SSRZWOvrh72HRcpyoEQF9TsE_Cvxl77XNU4/edit?usp=sharing"",""กาญจนบุรี!J676"")"),0)</f>
        <v>0</v>
      </c>
      <c r="AK53" s="63">
        <f ca="1">IFERROR(__xludf.DUMMYFUNCTION("IMPORTRANGE(""https://docs.google.com/spreadsheets/d/1hKO5uv94SSRZWOvrh72HRcpyoEQF9TsE_Cvxl77XNU4/edit?usp=sharing"",""กาญจนบุรี!J677"")"),0)</f>
        <v>0</v>
      </c>
      <c r="AL53" s="57">
        <f ca="1">IFERROR(__xludf.DUMMYFUNCTION("IMPORTRANGE(""https://docs.google.com/spreadsheets/d/1hKO5uv94SSRZWOvrh72HRcpyoEQF9TsE_Cvxl77XNU4/edit?usp=sharing"",""กาญจนบุรี!I678"")"),0)</f>
        <v>0</v>
      </c>
      <c r="AM53" s="57">
        <f ca="1">IFERROR(__xludf.DUMMYFUNCTION("IMPORTRANGE(""https://docs.google.com/spreadsheets/d/1hKO5uv94SSRZWOvrh72HRcpyoEQF9TsE_Cvxl77XNU4/edit?usp=sharing"",""กาญจนบุรี!J678"")"),0)</f>
        <v>0</v>
      </c>
      <c r="AN53" s="63">
        <f t="shared" ca="1" si="31"/>
        <v>0</v>
      </c>
      <c r="AO53" s="57">
        <f ca="1">IFERROR(__xludf.DUMMYFUNCTION("IMPORTRANGE(""https://docs.google.com/spreadsheets/d/1hKO5uv94SSRZWOvrh72HRcpyoEQF9TsE_Cvxl77XNU4/edit?usp=sharing"",""กาญจนบุรี!J679"")"),0)</f>
        <v>0</v>
      </c>
      <c r="AP53" s="57">
        <f ca="1">IFERROR(__xludf.DUMMYFUNCTION("IMPORTRANGE(""https://docs.google.com/spreadsheets/d/1hKO5uv94SSRZWOvrh72HRcpyoEQF9TsE_Cvxl77XNU4/edit?usp=sharing"",""กาญจนบุรี!J680"")"),0)</f>
        <v>0</v>
      </c>
      <c r="AQ53" s="57">
        <f ca="1">IFERROR(__xludf.DUMMYFUNCTION("IMPORTRANGE(""https://docs.google.com/spreadsheets/d/1hKO5uv94SSRZWOvrh72HRcpyoEQF9TsE_Cvxl77XNU4/edit?usp=sharing"",""กาญจนบุรี!J681"")"),0)</f>
        <v>0</v>
      </c>
      <c r="AR53" s="57">
        <f ca="1">IFERROR(__xludf.DUMMYFUNCTION("IMPORTRANGE(""https://docs.google.com/spreadsheets/d/1hKO5uv94SSRZWOvrh72HRcpyoEQF9TsE_Cvxl77XNU4/edit?usp=sharing"",""กาญจนบุรี!J682"")"),0)</f>
        <v>0</v>
      </c>
      <c r="AS53" s="57">
        <f ca="1">IFERROR(__xludf.DUMMYFUNCTION("IMPORTRANGE(""https://docs.google.com/spreadsheets/d/1hKO5uv94SSRZWOvrh72HRcpyoEQF9TsE_Cvxl77XNU4/edit?usp=sharing"",""กาญจนบุรี!J683"")"),0)</f>
        <v>0</v>
      </c>
    </row>
    <row r="54" spans="1:45" ht="21" customHeight="1" x14ac:dyDescent="0.3">
      <c r="A54" s="54">
        <v>2</v>
      </c>
      <c r="B54" s="55" t="s">
        <v>75</v>
      </c>
      <c r="C54" s="56">
        <f t="shared" ca="1" si="60"/>
        <v>9400</v>
      </c>
      <c r="D54" s="57">
        <f ca="1">IFERROR(__xludf.DUMMYFUNCTION("IMPORTRANGE(""https://docs.google.com/spreadsheets/d/1njBaP_xXd-Uotvo2D9zb01TTCFkLJLDK97Tk1l9Qux0/edit?usp=sharing"",""จันทบุรี!L660"")"),9400)</f>
        <v>9400</v>
      </c>
      <c r="E54" s="64">
        <f ca="1">IFERROR(__xludf.DUMMYFUNCTION("IMPORTRANGE(""https://docs.google.com/spreadsheets/d/1njBaP_xXd-Uotvo2D9zb01TTCFkLJLDK97Tk1l9Qux0/edit?usp=sharing"",""จันทบุรี!L667"")"),0)</f>
        <v>0</v>
      </c>
      <c r="F54" s="64">
        <f ca="1">IFERROR(__xludf.DUMMYFUNCTION("IMPORTRANGE(""https://docs.google.com/spreadsheets/d/1njBaP_xXd-Uotvo2D9zb01TTCFkLJLDK97Tk1l9Qux0/edit?usp=sharing"",""จันทบุรี!M660"")"),9400)</f>
        <v>9400</v>
      </c>
      <c r="G54" s="64">
        <f ca="1">IFERROR(__xludf.DUMMYFUNCTION("IMPORTRANGE(""https://docs.google.com/spreadsheets/d/1njBaP_xXd-Uotvo2D9zb01TTCFkLJLDK97Tk1l9Qux0/edit?usp=sharing"",""จันทบุรี!M667"")"),0)</f>
        <v>0</v>
      </c>
      <c r="H54" s="58">
        <f t="shared" ca="1" si="27"/>
        <v>4269</v>
      </c>
      <c r="I54" s="59">
        <f t="shared" ca="1" si="1"/>
        <v>45.414893617021278</v>
      </c>
      <c r="J54" s="60">
        <f t="shared" ca="1" si="61"/>
        <v>4269</v>
      </c>
      <c r="K54" s="61">
        <f t="shared" ca="1" si="33"/>
        <v>45.414893617021278</v>
      </c>
      <c r="L54" s="61">
        <f t="shared" ca="1" si="34"/>
        <v>45.414893617021278</v>
      </c>
      <c r="M54" s="64">
        <f ca="1">IFERROR(__xludf.DUMMYFUNCTION("IMPORTRANGE(""https://docs.google.com/spreadsheets/d/1njBaP_xXd-Uotvo2D9zb01TTCFkLJLDK97Tk1l9Qux0/edit?usp=sharing"",""จันทบุรี!N661"")"),0)</f>
        <v>0</v>
      </c>
      <c r="N54" s="64">
        <f ca="1">IFERROR(__xludf.DUMMYFUNCTION("IMPORTRANGE(""https://docs.google.com/spreadsheets/d/1njBaP_xXd-Uotvo2D9zb01TTCFkLJLDK97Tk1l9Qux0/edit?usp=sharing"",""จันทบุรี!N662"")"),0)</f>
        <v>0</v>
      </c>
      <c r="O54" s="64">
        <f ca="1">IFERROR(__xludf.DUMMYFUNCTION("IMPORTRANGE(""https://docs.google.com/spreadsheets/d/1njBaP_xXd-Uotvo2D9zb01TTCFkLJLDK97Tk1l9Qux0/edit?usp=sharing"",""จันทบุรี!N663"")"),0)</f>
        <v>0</v>
      </c>
      <c r="P54" s="64">
        <f ca="1">IFERROR(__xludf.DUMMYFUNCTION("IMPORTRANGE(""https://docs.google.com/spreadsheets/d/1njBaP_xXd-Uotvo2D9zb01TTCFkLJLDK97Tk1l9Qux0/edit?usp=sharing"",""จันทบุรี!N664"")"),4269)</f>
        <v>4269</v>
      </c>
      <c r="Q54" s="62">
        <f ca="1">IFERROR(__xludf.DUMMYFUNCTION("IMPORTRANGE(""https://docs.google.com/spreadsheets/d/1njBaP_xXd-Uotvo2D9zb01TTCFkLJLDK97Tk1l9Qux0/edit?usp=sharing"",""จันทบุรี!N667"")"),0)</f>
        <v>0</v>
      </c>
      <c r="R54" s="62">
        <f t="shared" ca="1" si="36"/>
        <v>0</v>
      </c>
      <c r="S54" s="57">
        <f ca="1">IFERROR(__xludf.DUMMYFUNCTION("IMPORTRANGE(""https://docs.google.com/spreadsheets/d/1njBaP_xXd-Uotvo2D9zb01TTCFkLJLDK97Tk1l9Qux0/edit?usp=sharing"",""จันทบุรี!I669"")"),50)</f>
        <v>50</v>
      </c>
      <c r="T54" s="57">
        <f ca="1">IFERROR(__xludf.DUMMYFUNCTION("IMPORTRANGE(""https://docs.google.com/spreadsheets/d/1njBaP_xXd-Uotvo2D9zb01TTCFkLJLDK97Tk1l9Qux0/edit?usp=sharing"",""จันทบุรี!J669"")"),0)</f>
        <v>0</v>
      </c>
      <c r="U54" s="63">
        <f t="shared" ca="1" si="28"/>
        <v>0</v>
      </c>
      <c r="V54" s="57">
        <f ca="1">IFERROR(__xludf.DUMMYFUNCTION("IMPORTRANGE(""https://docs.google.com/spreadsheets/d/1njBaP_xXd-Uotvo2D9zb01TTCFkLJLDK97Tk1l9Qux0/edit?usp=sharing"",""จันทบุรี!I670"")"),4)</f>
        <v>4</v>
      </c>
      <c r="W54" s="57">
        <f ca="1">IFERROR(__xludf.DUMMYFUNCTION("IMPORTRANGE(""https://docs.google.com/spreadsheets/d/1njBaP_xXd-Uotvo2D9zb01TTCFkLJLDK97Tk1l9Qux0/edit?usp=sharing"",""จันทบุรี!J670"")"),4)</f>
        <v>4</v>
      </c>
      <c r="X54" s="63">
        <f t="shared" ca="1" si="29"/>
        <v>100</v>
      </c>
      <c r="Y54" s="57">
        <f ca="1">IFERROR(__xludf.DUMMYFUNCTION("IMPORTRANGE(""https://docs.google.com/spreadsheets/d/1njBaP_xXd-Uotvo2D9zb01TTCFkLJLDK97Tk1l9Qux0/edit?usp=sharing"",""จันทบุรี!I671"")"),4)</f>
        <v>4</v>
      </c>
      <c r="Z54" s="57">
        <f ca="1">IFERROR(__xludf.DUMMYFUNCTION("IMPORTRANGE(""https://docs.google.com/spreadsheets/d/1njBaP_xXd-Uotvo2D9zb01TTCFkLJLDK97Tk1l9Qux0/edit?usp=sharing"",""จันทบุรี!J671"")"),4)</f>
        <v>4</v>
      </c>
      <c r="AA54" s="63">
        <f t="shared" ca="1" si="30"/>
        <v>100</v>
      </c>
      <c r="AB54" s="57">
        <f ca="1">IFERROR(__xludf.DUMMYFUNCTION("IMPORTRANGE(""https://docs.google.com/spreadsheets/d/1njBaP_xXd-Uotvo2D9zb01TTCFkLJLDK97Tk1l9Qux0/edit?usp=sharing"",""จันทบุรี!J672"")"),181)</f>
        <v>181</v>
      </c>
      <c r="AC54" s="63">
        <f t="shared" ca="1" si="11"/>
        <v>362</v>
      </c>
      <c r="AD54" s="57">
        <f ca="1">IFERROR(__xludf.DUMMYFUNCTION("IMPORTRANGE(""https://docs.google.com/spreadsheets/d/1njBaP_xXd-Uotvo2D9zb01TTCFkLJLDK97Tk1l9Qux0/edit?usp=sharing"",""จันทบุรี!J673"")"),0)</f>
        <v>0</v>
      </c>
      <c r="AE54" s="63">
        <f t="shared" ca="1" si="12"/>
        <v>0</v>
      </c>
      <c r="AF54" s="63">
        <f ca="1">IFERROR(__xludf.DUMMYFUNCTION("IMPORTRANGE(""https://docs.google.com/spreadsheets/d/1njBaP_xXd-Uotvo2D9zb01TTCFkLJLDK97Tk1l9Qux0/edit?usp=sharing"",""จันทบุรี!J674"")"),0)</f>
        <v>0</v>
      </c>
      <c r="AG54" s="63">
        <f t="shared" ca="1" si="13"/>
        <v>0</v>
      </c>
      <c r="AH54" s="63">
        <f ca="1">IFERROR(__xludf.DUMMYFUNCTION("IMPORTRANGE(""https://docs.google.com/spreadsheets/d/1njBaP_xXd-Uotvo2D9zb01TTCFkLJLDK97Tk1l9Qux0/edit?usp=sharing"",""จันทบุรี!J675"")"),0)</f>
        <v>0</v>
      </c>
      <c r="AI54" s="63">
        <f t="shared" ca="1" si="21"/>
        <v>0</v>
      </c>
      <c r="AJ54" s="63">
        <f ca="1">IFERROR(__xludf.DUMMYFUNCTION("IMPORTRANGE(""https://docs.google.com/spreadsheets/d/1njBaP_xXd-Uotvo2D9zb01TTCFkLJLDK97Tk1l9Qux0/edit?usp=sharing"",""จันทบุรี!J676"")"),0)</f>
        <v>0</v>
      </c>
      <c r="AK54" s="63">
        <f ca="1">IFERROR(__xludf.DUMMYFUNCTION("IMPORTRANGE(""https://docs.google.com/spreadsheets/d/1njBaP_xXd-Uotvo2D9zb01TTCFkLJLDK97Tk1l9Qux0/edit?usp=sharing"",""จันทบุรี!J677"")"),0)</f>
        <v>0</v>
      </c>
      <c r="AL54" s="57">
        <f ca="1">IFERROR(__xludf.DUMMYFUNCTION("IMPORTRANGE(""https://docs.google.com/spreadsheets/d/1njBaP_xXd-Uotvo2D9zb01TTCFkLJLDK97Tk1l9Qux0/edit?usp=sharing"",""จันทบุรี!I678"")"),0)</f>
        <v>0</v>
      </c>
      <c r="AM54" s="57">
        <f ca="1">IFERROR(__xludf.DUMMYFUNCTION("IMPORTRANGE(""https://docs.google.com/spreadsheets/d/1njBaP_xXd-Uotvo2D9zb01TTCFkLJLDK97Tk1l9Qux0/edit?usp=sharing"",""จันทบุรี!J678"")"),0)</f>
        <v>0</v>
      </c>
      <c r="AN54" s="63">
        <f t="shared" ca="1" si="31"/>
        <v>0</v>
      </c>
      <c r="AO54" s="57">
        <f ca="1">IFERROR(__xludf.DUMMYFUNCTION("IMPORTRANGE(""https://docs.google.com/spreadsheets/d/1njBaP_xXd-Uotvo2D9zb01TTCFkLJLDK97Tk1l9Qux0/edit?usp=sharing"",""จันทบุรี!J679"")"),0)</f>
        <v>0</v>
      </c>
      <c r="AP54" s="57">
        <f ca="1">IFERROR(__xludf.DUMMYFUNCTION("IMPORTRANGE(""https://docs.google.com/spreadsheets/d/1njBaP_xXd-Uotvo2D9zb01TTCFkLJLDK97Tk1l9Qux0/edit?usp=sharing"",""จันทบุรี!J680"")"),0)</f>
        <v>0</v>
      </c>
      <c r="AQ54" s="57">
        <f ca="1">IFERROR(__xludf.DUMMYFUNCTION("IMPORTRANGE(""https://docs.google.com/spreadsheets/d/1njBaP_xXd-Uotvo2D9zb01TTCFkLJLDK97Tk1l9Qux0/edit?usp=sharing"",""จันทบุรี!J681"")"),0)</f>
        <v>0</v>
      </c>
      <c r="AR54" s="57">
        <f ca="1">IFERROR(__xludf.DUMMYFUNCTION("IMPORTRANGE(""https://docs.google.com/spreadsheets/d/1njBaP_xXd-Uotvo2D9zb01TTCFkLJLDK97Tk1l9Qux0/edit?usp=sharing"",""จันทบุรี!J682"")"),0)</f>
        <v>0</v>
      </c>
      <c r="AS54" s="57">
        <f ca="1">IFERROR(__xludf.DUMMYFUNCTION("IMPORTRANGE(""https://docs.google.com/spreadsheets/d/1njBaP_xXd-Uotvo2D9zb01TTCFkLJLDK97Tk1l9Qux0/edit?usp=sharing"",""จันทบุรี!J683"")"),0)</f>
        <v>0</v>
      </c>
    </row>
    <row r="55" spans="1:45" ht="21" customHeight="1" x14ac:dyDescent="0.3">
      <c r="A55" s="54">
        <v>3</v>
      </c>
      <c r="B55" s="55" t="s">
        <v>76</v>
      </c>
      <c r="C55" s="56">
        <f t="shared" ca="1" si="60"/>
        <v>14000</v>
      </c>
      <c r="D55" s="57">
        <f ca="1">IFERROR(__xludf.DUMMYFUNCTION("IMPORTRANGE(""https://docs.google.com/spreadsheets/d/14xp6qUzrGFnUk_qnc1eEmfiaNRd4_grkhpfQH_46fa8/edit?usp=sharing"",""ฉะเชิงเทรา!L660"")"),14000)</f>
        <v>14000</v>
      </c>
      <c r="E55" s="64">
        <f ca="1">IFERROR(__xludf.DUMMYFUNCTION("IMPORTRANGE(""https://docs.google.com/spreadsheets/d/14xp6qUzrGFnUk_qnc1eEmfiaNRd4_grkhpfQH_46fa8/edit?usp=sharing"",""ฉะเชิงเทรา!L667"")"),0)</f>
        <v>0</v>
      </c>
      <c r="F55" s="64">
        <f ca="1">IFERROR(__xludf.DUMMYFUNCTION("IMPORTRANGE(""https://docs.google.com/spreadsheets/d/14xp6qUzrGFnUk_qnc1eEmfiaNRd4_grkhpfQH_46fa8/edit?usp=sharing"",""ฉะเชิงเทรา!M660"")"),14000)</f>
        <v>14000</v>
      </c>
      <c r="G55" s="64">
        <f ca="1">IFERROR(__xludf.DUMMYFUNCTION("IMPORTRANGE(""https://docs.google.com/spreadsheets/d/14xp6qUzrGFnUk_qnc1eEmfiaNRd4_grkhpfQH_46fa8/edit?usp=sharing"",""ฉะเชิงเทรา!M667"")"),0)</f>
        <v>0</v>
      </c>
      <c r="H55" s="58">
        <f t="shared" ca="1" si="27"/>
        <v>3500</v>
      </c>
      <c r="I55" s="59">
        <f t="shared" ca="1" si="1"/>
        <v>25</v>
      </c>
      <c r="J55" s="60">
        <f t="shared" ca="1" si="61"/>
        <v>3500</v>
      </c>
      <c r="K55" s="61">
        <f t="shared" ca="1" si="33"/>
        <v>25</v>
      </c>
      <c r="L55" s="61">
        <f t="shared" ca="1" si="34"/>
        <v>25</v>
      </c>
      <c r="M55" s="64">
        <f ca="1">IFERROR(__xludf.DUMMYFUNCTION("IMPORTRANGE(""https://docs.google.com/spreadsheets/d/14xp6qUzrGFnUk_qnc1eEmfiaNRd4_grkhpfQH_46fa8/edit?usp=sharing"",""ฉะเชิงเทรา!N661"")"),0)</f>
        <v>0</v>
      </c>
      <c r="N55" s="64">
        <f ca="1">IFERROR(__xludf.DUMMYFUNCTION("IMPORTRANGE(""https://docs.google.com/spreadsheets/d/14xp6qUzrGFnUk_qnc1eEmfiaNRd4_grkhpfQH_46fa8/edit?usp=sharing"",""ฉะเชิงเทรา!N662"")"),0)</f>
        <v>0</v>
      </c>
      <c r="O55" s="64">
        <f ca="1">IFERROR(__xludf.DUMMYFUNCTION("IMPORTRANGE(""https://docs.google.com/spreadsheets/d/14xp6qUzrGFnUk_qnc1eEmfiaNRd4_grkhpfQH_46fa8/edit?usp=sharing"",""ฉะเชิงเทรา!N663"")"),0)</f>
        <v>0</v>
      </c>
      <c r="P55" s="64">
        <f ca="1">IFERROR(__xludf.DUMMYFUNCTION("IMPORTRANGE(""https://docs.google.com/spreadsheets/d/14xp6qUzrGFnUk_qnc1eEmfiaNRd4_grkhpfQH_46fa8/edit?usp=sharing"",""ฉะเชิงเทรา!N664"")"),3500)</f>
        <v>3500</v>
      </c>
      <c r="Q55" s="62">
        <f ca="1">IFERROR(__xludf.DUMMYFUNCTION("IMPORTRANGE(""https://docs.google.com/spreadsheets/d/14xp6qUzrGFnUk_qnc1eEmfiaNRd4_grkhpfQH_46fa8/edit?usp=sharing"",""ฉะเชิงเทรา!N667"")"),0)</f>
        <v>0</v>
      </c>
      <c r="R55" s="62">
        <f t="shared" ca="1" si="36"/>
        <v>0</v>
      </c>
      <c r="S55" s="57">
        <f ca="1">IFERROR(__xludf.DUMMYFUNCTION("IMPORTRANGE(""https://docs.google.com/spreadsheets/d/14xp6qUzrGFnUk_qnc1eEmfiaNRd4_grkhpfQH_46fa8/edit?usp=sharing"",""ฉะเชิงเทรา!I669"")"),100)</f>
        <v>100</v>
      </c>
      <c r="T55" s="57">
        <f ca="1">IFERROR(__xludf.DUMMYFUNCTION("IMPORTRANGE(""https://docs.google.com/spreadsheets/d/14xp6qUzrGFnUk_qnc1eEmfiaNRd4_grkhpfQH_46fa8/edit?usp=sharing"",""ฉะเชิงเทรา!J669"")"),0)</f>
        <v>0</v>
      </c>
      <c r="U55" s="63">
        <f t="shared" ca="1" si="28"/>
        <v>0</v>
      </c>
      <c r="V55" s="57">
        <f ca="1">IFERROR(__xludf.DUMMYFUNCTION("IMPORTRANGE(""https://docs.google.com/spreadsheets/d/14xp6qUzrGFnUk_qnc1eEmfiaNRd4_grkhpfQH_46fa8/edit?usp=sharing"",""ฉะเชิงเทรา!I670"")"),5)</f>
        <v>5</v>
      </c>
      <c r="W55" s="57">
        <f ca="1">IFERROR(__xludf.DUMMYFUNCTION("IMPORTRANGE(""https://docs.google.com/spreadsheets/d/14xp6qUzrGFnUk_qnc1eEmfiaNRd4_grkhpfQH_46fa8/edit?usp=sharing"",""ฉะเชิงเทรา!J670"")"),5)</f>
        <v>5</v>
      </c>
      <c r="X55" s="63">
        <f t="shared" ca="1" si="29"/>
        <v>100</v>
      </c>
      <c r="Y55" s="57">
        <f ca="1">IFERROR(__xludf.DUMMYFUNCTION("IMPORTRANGE(""https://docs.google.com/spreadsheets/d/14xp6qUzrGFnUk_qnc1eEmfiaNRd4_grkhpfQH_46fa8/edit?usp=sharing"",""ฉะเชิงเทรา!I671"")"),5)</f>
        <v>5</v>
      </c>
      <c r="Z55" s="57">
        <f ca="1">IFERROR(__xludf.DUMMYFUNCTION("IMPORTRANGE(""https://docs.google.com/spreadsheets/d/14xp6qUzrGFnUk_qnc1eEmfiaNRd4_grkhpfQH_46fa8/edit?usp=sharing"",""ฉะเชิงเทรา!J671"")"),5)</f>
        <v>5</v>
      </c>
      <c r="AA55" s="63">
        <f t="shared" ca="1" si="30"/>
        <v>100</v>
      </c>
      <c r="AB55" s="57">
        <f ca="1">IFERROR(__xludf.DUMMYFUNCTION("IMPORTRANGE(""https://docs.google.com/spreadsheets/d/14xp6qUzrGFnUk_qnc1eEmfiaNRd4_grkhpfQH_46fa8/edit?usp=sharing"",""ฉะเชิงเทรา!J672"")"),179)</f>
        <v>179</v>
      </c>
      <c r="AC55" s="63">
        <f t="shared" ca="1" si="11"/>
        <v>179</v>
      </c>
      <c r="AD55" s="57">
        <f ca="1">IFERROR(__xludf.DUMMYFUNCTION("IMPORTRANGE(""https://docs.google.com/spreadsheets/d/14xp6qUzrGFnUk_qnc1eEmfiaNRd4_grkhpfQH_46fa8/edit?usp=sharing"",""ฉะเชิงเทรา!J673"")"),179)</f>
        <v>179</v>
      </c>
      <c r="AE55" s="63">
        <f t="shared" ca="1" si="12"/>
        <v>179</v>
      </c>
      <c r="AF55" s="63">
        <f ca="1">IFERROR(__xludf.DUMMYFUNCTION("IMPORTRANGE(""https://docs.google.com/spreadsheets/d/14xp6qUzrGFnUk_qnc1eEmfiaNRd4_grkhpfQH_46fa8/edit?usp=sharing"",""ฉะเชิงเทรา!J674"")"),0)</f>
        <v>0</v>
      </c>
      <c r="AG55" s="63">
        <f t="shared" ca="1" si="13"/>
        <v>0</v>
      </c>
      <c r="AH55" s="63">
        <f ca="1">IFERROR(__xludf.DUMMYFUNCTION("IMPORTRANGE(""https://docs.google.com/spreadsheets/d/14xp6qUzrGFnUk_qnc1eEmfiaNRd4_grkhpfQH_46fa8/edit?usp=sharing"",""ฉะเชิงเทรา!J675"")"),0)</f>
        <v>0</v>
      </c>
      <c r="AI55" s="63">
        <f t="shared" ca="1" si="21"/>
        <v>0</v>
      </c>
      <c r="AJ55" s="63">
        <f ca="1">IFERROR(__xludf.DUMMYFUNCTION("IMPORTRANGE(""https://docs.google.com/spreadsheets/d/14xp6qUzrGFnUk_qnc1eEmfiaNRd4_grkhpfQH_46fa8/edit?usp=sharing"",""ฉะเชิงเทรา!J676"")"),0)</f>
        <v>0</v>
      </c>
      <c r="AK55" s="63">
        <f ca="1">IFERROR(__xludf.DUMMYFUNCTION("IMPORTRANGE(""https://docs.google.com/spreadsheets/d/14xp6qUzrGFnUk_qnc1eEmfiaNRd4_grkhpfQH_46fa8/edit?usp=sharing"",""ฉะเชิงเทรา!J677"")"),0)</f>
        <v>0</v>
      </c>
      <c r="AL55" s="57">
        <f ca="1">IFERROR(__xludf.DUMMYFUNCTION("IMPORTRANGE(""https://docs.google.com/spreadsheets/d/14xp6qUzrGFnUk_qnc1eEmfiaNRd4_grkhpfQH_46fa8/edit?usp=sharing"",""ฉะเชิงเทรา!I678"")"),0)</f>
        <v>0</v>
      </c>
      <c r="AM55" s="57">
        <f ca="1">IFERROR(__xludf.DUMMYFUNCTION("IMPORTRANGE(""https://docs.google.com/spreadsheets/d/14xp6qUzrGFnUk_qnc1eEmfiaNRd4_grkhpfQH_46fa8/edit?usp=sharing"",""ฉะเชิงเทรา!J678"")"),0)</f>
        <v>0</v>
      </c>
      <c r="AN55" s="63">
        <f t="shared" ca="1" si="31"/>
        <v>0</v>
      </c>
      <c r="AO55" s="57">
        <f ca="1">IFERROR(__xludf.DUMMYFUNCTION("IMPORTRANGE(""https://docs.google.com/spreadsheets/d/14xp6qUzrGFnUk_qnc1eEmfiaNRd4_grkhpfQH_46fa8/edit?usp=sharing"",""ฉะเชิงเทรา!J679"")"),0)</f>
        <v>0</v>
      </c>
      <c r="AP55" s="57">
        <f ca="1">IFERROR(__xludf.DUMMYFUNCTION("IMPORTRANGE(""https://docs.google.com/spreadsheets/d/14xp6qUzrGFnUk_qnc1eEmfiaNRd4_grkhpfQH_46fa8/edit?usp=sharing"",""ฉะเชิงเทรา!J680"")"),0)</f>
        <v>0</v>
      </c>
      <c r="AQ55" s="57">
        <f ca="1">IFERROR(__xludf.DUMMYFUNCTION("IMPORTRANGE(""https://docs.google.com/spreadsheets/d/14xp6qUzrGFnUk_qnc1eEmfiaNRd4_grkhpfQH_46fa8/edit?usp=sharing"",""ฉะเชิงเทรา!J681"")"),0)</f>
        <v>0</v>
      </c>
      <c r="AR55" s="57">
        <f ca="1">IFERROR(__xludf.DUMMYFUNCTION("IMPORTRANGE(""https://docs.google.com/spreadsheets/d/14xp6qUzrGFnUk_qnc1eEmfiaNRd4_grkhpfQH_46fa8/edit?usp=sharing"",""ฉะเชิงเทรา!J682"")"),0)</f>
        <v>0</v>
      </c>
      <c r="AS55" s="57">
        <f ca="1">IFERROR(__xludf.DUMMYFUNCTION("IMPORTRANGE(""https://docs.google.com/spreadsheets/d/14xp6qUzrGFnUk_qnc1eEmfiaNRd4_grkhpfQH_46fa8/edit?usp=sharing"",""ฉะเชิงเทรา!J683"")"),0)</f>
        <v>0</v>
      </c>
    </row>
    <row r="56" spans="1:45" ht="21" customHeight="1" x14ac:dyDescent="0.3">
      <c r="A56" s="54">
        <v>4</v>
      </c>
      <c r="B56" s="55" t="s">
        <v>77</v>
      </c>
      <c r="C56" s="56">
        <f t="shared" ca="1" si="60"/>
        <v>0</v>
      </c>
      <c r="D56" s="57">
        <f ca="1">IFERROR(__xludf.DUMMYFUNCTION("IMPORTRANGE(""https://docs.google.com/spreadsheets/d/1_Zwps30dlVa-pZFsorjVf1Pil6WXwzCsJU0U2whO3NI/edit?usp=sharing"",""ชลบุรี!L660"")"),0)</f>
        <v>0</v>
      </c>
      <c r="E56" s="64">
        <f ca="1">IFERROR(__xludf.DUMMYFUNCTION("IMPORTRANGE(""https://docs.google.com/spreadsheets/d/1_Zwps30dlVa-pZFsorjVf1Pil6WXwzCsJU0U2whO3NI/edit?usp=sharing"",""ชลบุรี!L667"")"),0)</f>
        <v>0</v>
      </c>
      <c r="F56" s="64">
        <f ca="1">IFERROR(__xludf.DUMMYFUNCTION("IMPORTRANGE(""https://docs.google.com/spreadsheets/d/1_Zwps30dlVa-pZFsorjVf1Pil6WXwzCsJU0U2whO3NI/edit?usp=sharing"",""ชลบุรี!M660"")"),0)</f>
        <v>0</v>
      </c>
      <c r="G56" s="64">
        <f ca="1">IFERROR(__xludf.DUMMYFUNCTION("IMPORTRANGE(""https://docs.google.com/spreadsheets/d/1_Zwps30dlVa-pZFsorjVf1Pil6WXwzCsJU0U2whO3NI/edit?usp=sharing"",""ชลบุรี!M667"")"),0)</f>
        <v>0</v>
      </c>
      <c r="H56" s="58">
        <f t="shared" ca="1" si="27"/>
        <v>0</v>
      </c>
      <c r="I56" s="59">
        <f t="shared" ca="1" si="1"/>
        <v>0</v>
      </c>
      <c r="J56" s="60">
        <f t="shared" ca="1" si="61"/>
        <v>0</v>
      </c>
      <c r="K56" s="61">
        <f t="shared" ca="1" si="33"/>
        <v>0</v>
      </c>
      <c r="L56" s="61">
        <f t="shared" ca="1" si="34"/>
        <v>0</v>
      </c>
      <c r="M56" s="64">
        <f ca="1">IFERROR(__xludf.DUMMYFUNCTION("IMPORTRANGE(""https://docs.google.com/spreadsheets/d/1_Zwps30dlVa-pZFsorjVf1Pil6WXwzCsJU0U2whO3NI/edit?usp=sharing"",""ชลบุรี!N661"")"),0)</f>
        <v>0</v>
      </c>
      <c r="N56" s="64">
        <f ca="1">IFERROR(__xludf.DUMMYFUNCTION("IMPORTRANGE(""https://docs.google.com/spreadsheets/d/1_Zwps30dlVa-pZFsorjVf1Pil6WXwzCsJU0U2whO3NI/edit?usp=sharing"",""ชลบุรี!N662"")"),0)</f>
        <v>0</v>
      </c>
      <c r="O56" s="64">
        <f ca="1">IFERROR(__xludf.DUMMYFUNCTION("IMPORTRANGE(""https://docs.google.com/spreadsheets/d/1_Zwps30dlVa-pZFsorjVf1Pil6WXwzCsJU0U2whO3NI/edit?usp=sharing"",""ชลบุรี!N663"")"),0)</f>
        <v>0</v>
      </c>
      <c r="P56" s="64">
        <f ca="1">IFERROR(__xludf.DUMMYFUNCTION("IMPORTRANGE(""https://docs.google.com/spreadsheets/d/1_Zwps30dlVa-pZFsorjVf1Pil6WXwzCsJU0U2whO3NI/edit?usp=sharing"",""ชลบุรี!N664"")"),0)</f>
        <v>0</v>
      </c>
      <c r="Q56" s="62">
        <f ca="1">IFERROR(__xludf.DUMMYFUNCTION("IMPORTRANGE(""https://docs.google.com/spreadsheets/d/1_Zwps30dlVa-pZFsorjVf1Pil6WXwzCsJU0U2whO3NI/edit?usp=sharing"",""ชลบุรี!N667"")"),0)</f>
        <v>0</v>
      </c>
      <c r="R56" s="62">
        <f t="shared" ca="1" si="36"/>
        <v>0</v>
      </c>
      <c r="S56" s="57">
        <f ca="1">IFERROR(__xludf.DUMMYFUNCTION("IMPORTRANGE(""https://docs.google.com/spreadsheets/d/1_Zwps30dlVa-pZFsorjVf1Pil6WXwzCsJU0U2whO3NI/edit?usp=sharing"",""ชลบุรี!I669"")"),0)</f>
        <v>0</v>
      </c>
      <c r="T56" s="57">
        <f ca="1">IFERROR(__xludf.DUMMYFUNCTION("IMPORTRANGE(""https://docs.google.com/spreadsheets/d/1_Zwps30dlVa-pZFsorjVf1Pil6WXwzCsJU0U2whO3NI/edit?usp=sharing"",""ชลบุรี!J669"")"),0)</f>
        <v>0</v>
      </c>
      <c r="U56" s="63">
        <f t="shared" ca="1" si="28"/>
        <v>0</v>
      </c>
      <c r="V56" s="57">
        <f ca="1">IFERROR(__xludf.DUMMYFUNCTION("IMPORTRANGE(""https://docs.google.com/spreadsheets/d/1_Zwps30dlVa-pZFsorjVf1Pil6WXwzCsJU0U2whO3NI/edit?usp=sharing"",""ชลบุรี!I670"")"),0)</f>
        <v>0</v>
      </c>
      <c r="W56" s="57">
        <f ca="1">IFERROR(__xludf.DUMMYFUNCTION("IMPORTRANGE(""https://docs.google.com/spreadsheets/d/1_Zwps30dlVa-pZFsorjVf1Pil6WXwzCsJU0U2whO3NI/edit?usp=sharing"",""ชลบุรี!J670"")"),0)</f>
        <v>0</v>
      </c>
      <c r="X56" s="63">
        <f t="shared" ca="1" si="29"/>
        <v>0</v>
      </c>
      <c r="Y56" s="57">
        <f ca="1">IFERROR(__xludf.DUMMYFUNCTION("IMPORTRANGE(""https://docs.google.com/spreadsheets/d/1_Zwps30dlVa-pZFsorjVf1Pil6WXwzCsJU0U2whO3NI/edit?usp=sharing"",""ชลบุรี!I671"")"),0)</f>
        <v>0</v>
      </c>
      <c r="Z56" s="57">
        <f ca="1">IFERROR(__xludf.DUMMYFUNCTION("IMPORTRANGE(""https://docs.google.com/spreadsheets/d/1_Zwps30dlVa-pZFsorjVf1Pil6WXwzCsJU0U2whO3NI/edit?usp=sharing"",""ชลบุรี!J671"")"),0)</f>
        <v>0</v>
      </c>
      <c r="AA56" s="63">
        <f t="shared" ca="1" si="30"/>
        <v>0</v>
      </c>
      <c r="AB56" s="57">
        <f ca="1">IFERROR(__xludf.DUMMYFUNCTION("IMPORTRANGE(""https://docs.google.com/spreadsheets/d/1_Zwps30dlVa-pZFsorjVf1Pil6WXwzCsJU0U2whO3NI/edit?usp=sharing"",""ชลบุรี!J672"")"),0)</f>
        <v>0</v>
      </c>
      <c r="AC56" s="63">
        <f t="shared" ca="1" si="11"/>
        <v>0</v>
      </c>
      <c r="AD56" s="57">
        <f ca="1">IFERROR(__xludf.DUMMYFUNCTION("IMPORTRANGE(""https://docs.google.com/spreadsheets/d/1_Zwps30dlVa-pZFsorjVf1Pil6WXwzCsJU0U2whO3NI/edit?usp=sharing"",""ชลบุรี!J673"")"),0)</f>
        <v>0</v>
      </c>
      <c r="AE56" s="63">
        <f t="shared" ca="1" si="12"/>
        <v>0</v>
      </c>
      <c r="AF56" s="63">
        <f ca="1">IFERROR(__xludf.DUMMYFUNCTION("IMPORTRANGE(""https://docs.google.com/spreadsheets/d/1_Zwps30dlVa-pZFsorjVf1Pil6WXwzCsJU0U2whO3NI/edit?usp=sharing"",""ชลบุรี!J674"")"),0)</f>
        <v>0</v>
      </c>
      <c r="AG56" s="63">
        <f t="shared" ca="1" si="13"/>
        <v>0</v>
      </c>
      <c r="AH56" s="63">
        <f ca="1">IFERROR(__xludf.DUMMYFUNCTION("IMPORTRANGE(""https://docs.google.com/spreadsheets/d/1_Zwps30dlVa-pZFsorjVf1Pil6WXwzCsJU0U2whO3NI/edit?usp=sharing"",""ชลบุรี!J675"")"),0)</f>
        <v>0</v>
      </c>
      <c r="AI56" s="63">
        <f t="shared" ca="1" si="21"/>
        <v>0</v>
      </c>
      <c r="AJ56" s="63">
        <f ca="1">IFERROR(__xludf.DUMMYFUNCTION("IMPORTRANGE(""https://docs.google.com/spreadsheets/d/1_Zwps30dlVa-pZFsorjVf1Pil6WXwzCsJU0U2whO3NI/edit?usp=sharing"",""ชลบุรี!J676"")"),0)</f>
        <v>0</v>
      </c>
      <c r="AK56" s="63">
        <f ca="1">IFERROR(__xludf.DUMMYFUNCTION("IMPORTRANGE(""https://docs.google.com/spreadsheets/d/1_Zwps30dlVa-pZFsorjVf1Pil6WXwzCsJU0U2whO3NI/edit?usp=sharing"",""ชลบุรี!J677"")"),0)</f>
        <v>0</v>
      </c>
      <c r="AL56" s="57">
        <f ca="1">IFERROR(__xludf.DUMMYFUNCTION("IMPORTRANGE(""https://docs.google.com/spreadsheets/d/1_Zwps30dlVa-pZFsorjVf1Pil6WXwzCsJU0U2whO3NI/edit?usp=sharing"",""ชลบุรี!I678"")"),0)</f>
        <v>0</v>
      </c>
      <c r="AM56" s="57">
        <f ca="1">IFERROR(__xludf.DUMMYFUNCTION("IMPORTRANGE(""https://docs.google.com/spreadsheets/d/1_Zwps30dlVa-pZFsorjVf1Pil6WXwzCsJU0U2whO3NI/edit?usp=sharing"",""ชลบุรี!J678"")"),0)</f>
        <v>0</v>
      </c>
      <c r="AN56" s="63">
        <f t="shared" ca="1" si="31"/>
        <v>0</v>
      </c>
      <c r="AO56" s="57">
        <f ca="1">IFERROR(__xludf.DUMMYFUNCTION("IMPORTRANGE(""https://docs.google.com/spreadsheets/d/1_Zwps30dlVa-pZFsorjVf1Pil6WXwzCsJU0U2whO3NI/edit?usp=sharing"",""ชลบุรี!J679"")"),0)</f>
        <v>0</v>
      </c>
      <c r="AP56" s="57">
        <f ca="1">IFERROR(__xludf.DUMMYFUNCTION("IMPORTRANGE(""https://docs.google.com/spreadsheets/d/1_Zwps30dlVa-pZFsorjVf1Pil6WXwzCsJU0U2whO3NI/edit?usp=sharing"",""ชลบุรี!J680"")"),0)</f>
        <v>0</v>
      </c>
      <c r="AQ56" s="57">
        <f ca="1">IFERROR(__xludf.DUMMYFUNCTION("IMPORTRANGE(""https://docs.google.com/spreadsheets/d/1_Zwps30dlVa-pZFsorjVf1Pil6WXwzCsJU0U2whO3NI/edit?usp=sharing"",""ชลบุรี!J681"")"),0)</f>
        <v>0</v>
      </c>
      <c r="AR56" s="57">
        <f ca="1">IFERROR(__xludf.DUMMYFUNCTION("IMPORTRANGE(""https://docs.google.com/spreadsheets/d/1_Zwps30dlVa-pZFsorjVf1Pil6WXwzCsJU0U2whO3NI/edit?usp=sharing"",""ชลบุรี!J682"")"),0)</f>
        <v>0</v>
      </c>
      <c r="AS56" s="57">
        <f ca="1">IFERROR(__xludf.DUMMYFUNCTION("IMPORTRANGE(""https://docs.google.com/spreadsheets/d/1_Zwps30dlVa-pZFsorjVf1Pil6WXwzCsJU0U2whO3NI/edit?usp=sharing"",""ชลบุรี!J683"")"),0)</f>
        <v>0</v>
      </c>
    </row>
    <row r="57" spans="1:45" ht="21" customHeight="1" x14ac:dyDescent="0.3">
      <c r="A57" s="54">
        <v>5</v>
      </c>
      <c r="B57" s="55" t="s">
        <v>78</v>
      </c>
      <c r="C57" s="56">
        <f t="shared" ca="1" si="60"/>
        <v>9400</v>
      </c>
      <c r="D57" s="57">
        <f ca="1">IFERROR(__xludf.DUMMYFUNCTION("IMPORTRANGE(""https://docs.google.com/spreadsheets/d/1xAsT4sUbBlom7l0acStESh_15nvjZcXjZM7fK5uZSq8/edit?usp=sharing"",""ชัยนาท!L660"")"),9400)</f>
        <v>9400</v>
      </c>
      <c r="E57" s="64">
        <f ca="1">IFERROR(__xludf.DUMMYFUNCTION("IMPORTRANGE(""https://docs.google.com/spreadsheets/d/1xAsT4sUbBlom7l0acStESh_15nvjZcXjZM7fK5uZSq8/edit?usp=sharing"",""ชัยนาท!L667"")"),0)</f>
        <v>0</v>
      </c>
      <c r="F57" s="64">
        <f ca="1">IFERROR(__xludf.DUMMYFUNCTION("IMPORTRANGE(""https://docs.google.com/spreadsheets/d/1xAsT4sUbBlom7l0acStESh_15nvjZcXjZM7fK5uZSq8/edit?usp=sharing"",""ชัยนาท!M660"")"),9400)</f>
        <v>9400</v>
      </c>
      <c r="G57" s="64">
        <f ca="1">IFERROR(__xludf.DUMMYFUNCTION("IMPORTRANGE(""https://docs.google.com/spreadsheets/d/1xAsT4sUbBlom7l0acStESh_15nvjZcXjZM7fK5uZSq8/edit?usp=sharing"",""ชัยนาท!M667"")"),0)</f>
        <v>0</v>
      </c>
      <c r="H57" s="58">
        <f t="shared" ca="1" si="27"/>
        <v>1840</v>
      </c>
      <c r="I57" s="59">
        <f t="shared" ca="1" si="1"/>
        <v>19.574468085106382</v>
      </c>
      <c r="J57" s="60">
        <f t="shared" ca="1" si="61"/>
        <v>1840</v>
      </c>
      <c r="K57" s="61">
        <f t="shared" ca="1" si="33"/>
        <v>19.574468085106382</v>
      </c>
      <c r="L57" s="61">
        <f t="shared" ca="1" si="34"/>
        <v>19.574468085106382</v>
      </c>
      <c r="M57" s="64">
        <f ca="1">IFERROR(__xludf.DUMMYFUNCTION("IMPORTRANGE(""https://docs.google.com/spreadsheets/d/1xAsT4sUbBlom7l0acStESh_15nvjZcXjZM7fK5uZSq8/edit?usp=sharing"",""ชัยนาท!N661"")"),0)</f>
        <v>0</v>
      </c>
      <c r="N57" s="64">
        <f ca="1">IFERROR(__xludf.DUMMYFUNCTION("IMPORTRANGE(""https://docs.google.com/spreadsheets/d/1xAsT4sUbBlom7l0acStESh_15nvjZcXjZM7fK5uZSq8/edit?usp=sharing"",""ชัยนาท!N662"")"),0)</f>
        <v>0</v>
      </c>
      <c r="O57" s="64">
        <f ca="1">IFERROR(__xludf.DUMMYFUNCTION("IMPORTRANGE(""https://docs.google.com/spreadsheets/d/1xAsT4sUbBlom7l0acStESh_15nvjZcXjZM7fK5uZSq8/edit?usp=sharing"",""ชัยนาท!N663"")"),0)</f>
        <v>0</v>
      </c>
      <c r="P57" s="64">
        <f ca="1">IFERROR(__xludf.DUMMYFUNCTION("IMPORTRANGE(""https://docs.google.com/spreadsheets/d/1xAsT4sUbBlom7l0acStESh_15nvjZcXjZM7fK5uZSq8/edit?usp=sharing"",""ชัยนาท!N664"")"),1840)</f>
        <v>1840</v>
      </c>
      <c r="Q57" s="62">
        <f ca="1">IFERROR(__xludf.DUMMYFUNCTION("IMPORTRANGE(""https://docs.google.com/spreadsheets/d/1xAsT4sUbBlom7l0acStESh_15nvjZcXjZM7fK5uZSq8/edit?usp=sharing"",""ชัยนาท!N667"")"),0)</f>
        <v>0</v>
      </c>
      <c r="R57" s="62">
        <f t="shared" ca="1" si="36"/>
        <v>0</v>
      </c>
      <c r="S57" s="57">
        <f ca="1">IFERROR(__xludf.DUMMYFUNCTION("IMPORTRANGE(""https://docs.google.com/spreadsheets/d/1xAsT4sUbBlom7l0acStESh_15nvjZcXjZM7fK5uZSq8/edit?usp=sharing"",""ชัยนาท!I669"")"),50)</f>
        <v>50</v>
      </c>
      <c r="T57" s="57">
        <f ca="1">IFERROR(__xludf.DUMMYFUNCTION("IMPORTRANGE(""https://docs.google.com/spreadsheets/d/1xAsT4sUbBlom7l0acStESh_15nvjZcXjZM7fK5uZSq8/edit?usp=sharing"",""ชัยนาท!J669"")"),0)</f>
        <v>0</v>
      </c>
      <c r="U57" s="63">
        <f t="shared" ca="1" si="28"/>
        <v>0</v>
      </c>
      <c r="V57" s="57">
        <f ca="1">IFERROR(__xludf.DUMMYFUNCTION("IMPORTRANGE(""https://docs.google.com/spreadsheets/d/1xAsT4sUbBlom7l0acStESh_15nvjZcXjZM7fK5uZSq8/edit?usp=sharing"",""ชัยนาท!I670"")"),4)</f>
        <v>4</v>
      </c>
      <c r="W57" s="57">
        <f ca="1">IFERROR(__xludf.DUMMYFUNCTION("IMPORTRANGE(""https://docs.google.com/spreadsheets/d/1xAsT4sUbBlom7l0acStESh_15nvjZcXjZM7fK5uZSq8/edit?usp=sharing"",""ชัยนาท!J670"")"),8)</f>
        <v>8</v>
      </c>
      <c r="X57" s="63">
        <f t="shared" ca="1" si="29"/>
        <v>200</v>
      </c>
      <c r="Y57" s="57">
        <f ca="1">IFERROR(__xludf.DUMMYFUNCTION("IMPORTRANGE(""https://docs.google.com/spreadsheets/d/1xAsT4sUbBlom7l0acStESh_15nvjZcXjZM7fK5uZSq8/edit?usp=sharing"",""ชัยนาท!I671"")"),4)</f>
        <v>4</v>
      </c>
      <c r="Z57" s="57">
        <f ca="1">IFERROR(__xludf.DUMMYFUNCTION("IMPORTRANGE(""https://docs.google.com/spreadsheets/d/1xAsT4sUbBlom7l0acStESh_15nvjZcXjZM7fK5uZSq8/edit?usp=sharing"",""ชัยนาท!J671"")"),8)</f>
        <v>8</v>
      </c>
      <c r="AA57" s="63">
        <f t="shared" ca="1" si="30"/>
        <v>200</v>
      </c>
      <c r="AB57" s="57">
        <f ca="1">IFERROR(__xludf.DUMMYFUNCTION("IMPORTRANGE(""https://docs.google.com/spreadsheets/d/1xAsT4sUbBlom7l0acStESh_15nvjZcXjZM7fK5uZSq8/edit?usp=sharing"",""ชัยนาท!J672"")"),209)</f>
        <v>209</v>
      </c>
      <c r="AC57" s="63">
        <f t="shared" ca="1" si="11"/>
        <v>418</v>
      </c>
      <c r="AD57" s="57">
        <f ca="1">IFERROR(__xludf.DUMMYFUNCTION("IMPORTRANGE(""https://docs.google.com/spreadsheets/d/1xAsT4sUbBlom7l0acStESh_15nvjZcXjZM7fK5uZSq8/edit?usp=sharing"",""ชัยนาท!J673"")"),209)</f>
        <v>209</v>
      </c>
      <c r="AE57" s="63">
        <f t="shared" ca="1" si="12"/>
        <v>418</v>
      </c>
      <c r="AF57" s="63">
        <f ca="1">IFERROR(__xludf.DUMMYFUNCTION("IMPORTRANGE(""https://docs.google.com/spreadsheets/d/1xAsT4sUbBlom7l0acStESh_15nvjZcXjZM7fK5uZSq8/edit?usp=sharing"",""ชัยนาท!J674"")"),0)</f>
        <v>0</v>
      </c>
      <c r="AG57" s="63">
        <f t="shared" ca="1" si="13"/>
        <v>0</v>
      </c>
      <c r="AH57" s="63">
        <f ca="1">IFERROR(__xludf.DUMMYFUNCTION("IMPORTRANGE(""https://docs.google.com/spreadsheets/d/1xAsT4sUbBlom7l0acStESh_15nvjZcXjZM7fK5uZSq8/edit?usp=sharing"",""ชัยนาท!J675"")"),0)</f>
        <v>0</v>
      </c>
      <c r="AI57" s="63">
        <f t="shared" ca="1" si="21"/>
        <v>0</v>
      </c>
      <c r="AJ57" s="63">
        <f ca="1">IFERROR(__xludf.DUMMYFUNCTION("IMPORTRANGE(""https://docs.google.com/spreadsheets/d/1xAsT4sUbBlom7l0acStESh_15nvjZcXjZM7fK5uZSq8/edit?usp=sharing"",""ชัยนาท!J676"")"),0)</f>
        <v>0</v>
      </c>
      <c r="AK57" s="63">
        <f ca="1">IFERROR(__xludf.DUMMYFUNCTION("IMPORTRANGE(""https://docs.google.com/spreadsheets/d/1xAsT4sUbBlom7l0acStESh_15nvjZcXjZM7fK5uZSq8/edit?usp=sharing"",""ชัยนาท!J677"")"),0)</f>
        <v>0</v>
      </c>
      <c r="AL57" s="57">
        <f ca="1">IFERROR(__xludf.DUMMYFUNCTION("IMPORTRANGE(""https://docs.google.com/spreadsheets/d/1xAsT4sUbBlom7l0acStESh_15nvjZcXjZM7fK5uZSq8/edit?usp=sharing"",""ชัยนาท!I678"")"),0)</f>
        <v>0</v>
      </c>
      <c r="AM57" s="57">
        <f ca="1">IFERROR(__xludf.DUMMYFUNCTION("IMPORTRANGE(""https://docs.google.com/spreadsheets/d/1xAsT4sUbBlom7l0acStESh_15nvjZcXjZM7fK5uZSq8/edit?usp=sharing"",""ชัยนาท!J678"")"),0)</f>
        <v>0</v>
      </c>
      <c r="AN57" s="63">
        <f t="shared" ca="1" si="31"/>
        <v>0</v>
      </c>
      <c r="AO57" s="57">
        <f ca="1">IFERROR(__xludf.DUMMYFUNCTION("IMPORTRANGE(""https://docs.google.com/spreadsheets/d/1xAsT4sUbBlom7l0acStESh_15nvjZcXjZM7fK5uZSq8/edit?usp=sharing"",""ชัยนาท!J679"")"),0)</f>
        <v>0</v>
      </c>
      <c r="AP57" s="57">
        <f ca="1">IFERROR(__xludf.DUMMYFUNCTION("IMPORTRANGE(""https://docs.google.com/spreadsheets/d/1xAsT4sUbBlom7l0acStESh_15nvjZcXjZM7fK5uZSq8/edit?usp=sharing"",""ชัยนาท!J680"")"),0)</f>
        <v>0</v>
      </c>
      <c r="AQ57" s="57">
        <f ca="1">IFERROR(__xludf.DUMMYFUNCTION("IMPORTRANGE(""https://docs.google.com/spreadsheets/d/1xAsT4sUbBlom7l0acStESh_15nvjZcXjZM7fK5uZSq8/edit?usp=sharing"",""ชัยนาท!J681"")"),0)</f>
        <v>0</v>
      </c>
      <c r="AR57" s="57">
        <f ca="1">IFERROR(__xludf.DUMMYFUNCTION("IMPORTRANGE(""https://docs.google.com/spreadsheets/d/1xAsT4sUbBlom7l0acStESh_15nvjZcXjZM7fK5uZSq8/edit?usp=sharing"",""ชัยนาท!J682"")"),0)</f>
        <v>0</v>
      </c>
      <c r="AS57" s="57">
        <f ca="1">IFERROR(__xludf.DUMMYFUNCTION("IMPORTRANGE(""https://docs.google.com/spreadsheets/d/1xAsT4sUbBlom7l0acStESh_15nvjZcXjZM7fK5uZSq8/edit?usp=sharing"",""ชัยนาท!J683"")"),0)</f>
        <v>0</v>
      </c>
    </row>
    <row r="58" spans="1:45" ht="21" customHeight="1" x14ac:dyDescent="0.3">
      <c r="A58" s="54">
        <v>6</v>
      </c>
      <c r="B58" s="55" t="s">
        <v>79</v>
      </c>
      <c r="C58" s="56">
        <f t="shared" ca="1" si="60"/>
        <v>0</v>
      </c>
      <c r="D58" s="57">
        <f ca="1">IFERROR(__xludf.DUMMYFUNCTION("IMPORTRANGE(""https://docs.google.com/spreadsheets/d/1vWPVBOAaZ6mHSI8yf95DNqHwTJ1cpeFsvqt6cxV34QA/edit?usp=sharing"",""ตราด!L660"")"),0)</f>
        <v>0</v>
      </c>
      <c r="E58" s="64">
        <f ca="1">IFERROR(__xludf.DUMMYFUNCTION("IMPORTRANGE(""https://docs.google.com/spreadsheets/d/1vWPVBOAaZ6mHSI8yf95DNqHwTJ1cpeFsvqt6cxV34QA/edit?usp=sharing"",""ตราด!L667"")"),0)</f>
        <v>0</v>
      </c>
      <c r="F58" s="64">
        <f ca="1">IFERROR(__xludf.DUMMYFUNCTION("IMPORTRANGE(""https://docs.google.com/spreadsheets/d/1vWPVBOAaZ6mHSI8yf95DNqHwTJ1cpeFsvqt6cxV34QA/edit?usp=sharing"",""ตราด!M660"")"),0)</f>
        <v>0</v>
      </c>
      <c r="G58" s="64">
        <f ca="1">IFERROR(__xludf.DUMMYFUNCTION("IMPORTRANGE(""https://docs.google.com/spreadsheets/d/1vWPVBOAaZ6mHSI8yf95DNqHwTJ1cpeFsvqt6cxV34QA/edit?usp=sharing"",""ตราด!M667"")"),0)</f>
        <v>0</v>
      </c>
      <c r="H58" s="58">
        <f t="shared" ca="1" si="27"/>
        <v>0</v>
      </c>
      <c r="I58" s="59">
        <f t="shared" ca="1" si="1"/>
        <v>0</v>
      </c>
      <c r="J58" s="60">
        <f t="shared" ca="1" si="61"/>
        <v>0</v>
      </c>
      <c r="K58" s="61">
        <f t="shared" ca="1" si="33"/>
        <v>0</v>
      </c>
      <c r="L58" s="61">
        <f t="shared" ca="1" si="34"/>
        <v>0</v>
      </c>
      <c r="M58" s="64">
        <f ca="1">IFERROR(__xludf.DUMMYFUNCTION("IMPORTRANGE(""https://docs.google.com/spreadsheets/d/1vWPVBOAaZ6mHSI8yf95DNqHwTJ1cpeFsvqt6cxV34QA/edit?usp=sharing"",""ตราด!N661"")"),0)</f>
        <v>0</v>
      </c>
      <c r="N58" s="64">
        <f ca="1">IFERROR(__xludf.DUMMYFUNCTION("IMPORTRANGE(""https://docs.google.com/spreadsheets/d/1vWPVBOAaZ6mHSI8yf95DNqHwTJ1cpeFsvqt6cxV34QA/edit?usp=sharing"",""ตราด!N662"")"),0)</f>
        <v>0</v>
      </c>
      <c r="O58" s="64">
        <f ca="1">IFERROR(__xludf.DUMMYFUNCTION("IMPORTRANGE(""https://docs.google.com/spreadsheets/d/1vWPVBOAaZ6mHSI8yf95DNqHwTJ1cpeFsvqt6cxV34QA/edit?usp=sharing"",""ตราด!N663"")"),0)</f>
        <v>0</v>
      </c>
      <c r="P58" s="64">
        <f ca="1">IFERROR(__xludf.DUMMYFUNCTION("IMPORTRANGE(""https://docs.google.com/spreadsheets/d/1vWPVBOAaZ6mHSI8yf95DNqHwTJ1cpeFsvqt6cxV34QA/edit?usp=sharing"",""ตราด!N664"")"),0)</f>
        <v>0</v>
      </c>
      <c r="Q58" s="62">
        <f ca="1">IFERROR(__xludf.DUMMYFUNCTION("IMPORTRANGE(""https://docs.google.com/spreadsheets/d/1vWPVBOAaZ6mHSI8yf95DNqHwTJ1cpeFsvqt6cxV34QA/edit?usp=sharing"",""ตราด!N667"")"),0)</f>
        <v>0</v>
      </c>
      <c r="R58" s="62">
        <f t="shared" ca="1" si="36"/>
        <v>0</v>
      </c>
      <c r="S58" s="57">
        <f ca="1">IFERROR(__xludf.DUMMYFUNCTION("IMPORTRANGE(""https://docs.google.com/spreadsheets/d/1vWPVBOAaZ6mHSI8yf95DNqHwTJ1cpeFsvqt6cxV34QA/edit?usp=sharing"",""ตราด!I669"")"),0)</f>
        <v>0</v>
      </c>
      <c r="T58" s="57">
        <f ca="1">IFERROR(__xludf.DUMMYFUNCTION("IMPORTRANGE(""https://docs.google.com/spreadsheets/d/1vWPVBOAaZ6mHSI8yf95DNqHwTJ1cpeFsvqt6cxV34QA/edit?usp=sharing"",""ตราด!J669"")"),0)</f>
        <v>0</v>
      </c>
      <c r="U58" s="63">
        <f t="shared" ca="1" si="28"/>
        <v>0</v>
      </c>
      <c r="V58" s="57">
        <f ca="1">IFERROR(__xludf.DUMMYFUNCTION("IMPORTRANGE(""https://docs.google.com/spreadsheets/d/1vWPVBOAaZ6mHSI8yf95DNqHwTJ1cpeFsvqt6cxV34QA/edit?usp=sharing"",""ตราด!I670"")"),0)</f>
        <v>0</v>
      </c>
      <c r="W58" s="57">
        <f ca="1">IFERROR(__xludf.DUMMYFUNCTION("IMPORTRANGE(""https://docs.google.com/spreadsheets/d/1vWPVBOAaZ6mHSI8yf95DNqHwTJ1cpeFsvqt6cxV34QA/edit?usp=sharing"",""ตราด!J670"")"),0)</f>
        <v>0</v>
      </c>
      <c r="X58" s="63">
        <f t="shared" ca="1" si="29"/>
        <v>0</v>
      </c>
      <c r="Y58" s="57">
        <f ca="1">IFERROR(__xludf.DUMMYFUNCTION("IMPORTRANGE(""https://docs.google.com/spreadsheets/d/1vWPVBOAaZ6mHSI8yf95DNqHwTJ1cpeFsvqt6cxV34QA/edit?usp=sharing"",""ตราด!I671"")"),0)</f>
        <v>0</v>
      </c>
      <c r="Z58" s="57">
        <f ca="1">IFERROR(__xludf.DUMMYFUNCTION("IMPORTRANGE(""https://docs.google.com/spreadsheets/d/1vWPVBOAaZ6mHSI8yf95DNqHwTJ1cpeFsvqt6cxV34QA/edit?usp=sharing"",""ตราด!J671"")"),0)</f>
        <v>0</v>
      </c>
      <c r="AA58" s="63">
        <f t="shared" ca="1" si="30"/>
        <v>0</v>
      </c>
      <c r="AB58" s="57">
        <f ca="1">IFERROR(__xludf.DUMMYFUNCTION("IMPORTRANGE(""https://docs.google.com/spreadsheets/d/1vWPVBOAaZ6mHSI8yf95DNqHwTJ1cpeFsvqt6cxV34QA/edit?usp=sharing"",""ตราด!J672"")"),0)</f>
        <v>0</v>
      </c>
      <c r="AC58" s="63">
        <f t="shared" ca="1" si="11"/>
        <v>0</v>
      </c>
      <c r="AD58" s="57">
        <f ca="1">IFERROR(__xludf.DUMMYFUNCTION("IMPORTRANGE(""https://docs.google.com/spreadsheets/d/1vWPVBOAaZ6mHSI8yf95DNqHwTJ1cpeFsvqt6cxV34QA/edit?usp=sharing"",""ตราด!J673"")"),0)</f>
        <v>0</v>
      </c>
      <c r="AE58" s="63">
        <f t="shared" ca="1" si="12"/>
        <v>0</v>
      </c>
      <c r="AF58" s="63">
        <f ca="1">IFERROR(__xludf.DUMMYFUNCTION("IMPORTRANGE(""https://docs.google.com/spreadsheets/d/1vWPVBOAaZ6mHSI8yf95DNqHwTJ1cpeFsvqt6cxV34QA/edit?usp=sharing"",""ตราด!J674"")"),0)</f>
        <v>0</v>
      </c>
      <c r="AG58" s="63">
        <f t="shared" ca="1" si="13"/>
        <v>0</v>
      </c>
      <c r="AH58" s="63">
        <f ca="1">IFERROR(__xludf.DUMMYFUNCTION("IMPORTRANGE(""https://docs.google.com/spreadsheets/d/1vWPVBOAaZ6mHSI8yf95DNqHwTJ1cpeFsvqt6cxV34QA/edit?usp=sharing"",""ตราด!J675"")"),0)</f>
        <v>0</v>
      </c>
      <c r="AI58" s="63">
        <f t="shared" ca="1" si="21"/>
        <v>0</v>
      </c>
      <c r="AJ58" s="63">
        <f ca="1">IFERROR(__xludf.DUMMYFUNCTION("IMPORTRANGE(""https://docs.google.com/spreadsheets/d/1vWPVBOAaZ6mHSI8yf95DNqHwTJ1cpeFsvqt6cxV34QA/edit?usp=sharing"",""ตราด!J676"")"),0)</f>
        <v>0</v>
      </c>
      <c r="AK58" s="63">
        <f ca="1">IFERROR(__xludf.DUMMYFUNCTION("IMPORTRANGE(""https://docs.google.com/spreadsheets/d/1vWPVBOAaZ6mHSI8yf95DNqHwTJ1cpeFsvqt6cxV34QA/edit?usp=sharing"",""ตราด!J677"")"),0)</f>
        <v>0</v>
      </c>
      <c r="AL58" s="57">
        <f ca="1">IFERROR(__xludf.DUMMYFUNCTION("IMPORTRANGE(""https://docs.google.com/spreadsheets/d/1vWPVBOAaZ6mHSI8yf95DNqHwTJ1cpeFsvqt6cxV34QA/edit?usp=sharing"",""ตราด!I678"")"),0)</f>
        <v>0</v>
      </c>
      <c r="AM58" s="57">
        <f ca="1">IFERROR(__xludf.DUMMYFUNCTION("IMPORTRANGE(""https://docs.google.com/spreadsheets/d/1vWPVBOAaZ6mHSI8yf95DNqHwTJ1cpeFsvqt6cxV34QA/edit?usp=sharing"",""ตราด!J678"")"),0)</f>
        <v>0</v>
      </c>
      <c r="AN58" s="63">
        <f t="shared" ca="1" si="31"/>
        <v>0</v>
      </c>
      <c r="AO58" s="57">
        <f ca="1">IFERROR(__xludf.DUMMYFUNCTION("IMPORTRANGE(""https://docs.google.com/spreadsheets/d/1vWPVBOAaZ6mHSI8yf95DNqHwTJ1cpeFsvqt6cxV34QA/edit?usp=sharing"",""ตราด!J679"")"),0)</f>
        <v>0</v>
      </c>
      <c r="AP58" s="57">
        <f ca="1">IFERROR(__xludf.DUMMYFUNCTION("IMPORTRANGE(""https://docs.google.com/spreadsheets/d/1vWPVBOAaZ6mHSI8yf95DNqHwTJ1cpeFsvqt6cxV34QA/edit?usp=sharing"",""ตราด!J680"")"),0)</f>
        <v>0</v>
      </c>
      <c r="AQ58" s="57">
        <f ca="1">IFERROR(__xludf.DUMMYFUNCTION("IMPORTRANGE(""https://docs.google.com/spreadsheets/d/1vWPVBOAaZ6mHSI8yf95DNqHwTJ1cpeFsvqt6cxV34QA/edit?usp=sharing"",""ตราด!J681"")"),0)</f>
        <v>0</v>
      </c>
      <c r="AR58" s="57">
        <f ca="1">IFERROR(__xludf.DUMMYFUNCTION("IMPORTRANGE(""https://docs.google.com/spreadsheets/d/1vWPVBOAaZ6mHSI8yf95DNqHwTJ1cpeFsvqt6cxV34QA/edit?usp=sharing"",""ตราด!J682"")"),0)</f>
        <v>0</v>
      </c>
      <c r="AS58" s="57">
        <f ca="1">IFERROR(__xludf.DUMMYFUNCTION("IMPORTRANGE(""https://docs.google.com/spreadsheets/d/1vWPVBOAaZ6mHSI8yf95DNqHwTJ1cpeFsvqt6cxV34QA/edit?usp=sharing"",""ตราด!J683"")"),0)</f>
        <v>0</v>
      </c>
    </row>
    <row r="59" spans="1:45" ht="21" customHeight="1" x14ac:dyDescent="0.3">
      <c r="A59" s="54">
        <v>7</v>
      </c>
      <c r="B59" s="55" t="s">
        <v>80</v>
      </c>
      <c r="C59" s="56">
        <f t="shared" ca="1" si="60"/>
        <v>7800</v>
      </c>
      <c r="D59" s="57">
        <f ca="1">IFERROR(__xludf.DUMMYFUNCTION("IMPORTRANGE(""https://docs.google.com/spreadsheets/d/1phaeSb9lTGgzDpbvVqI9hfmOQQzUom07-HEvpbARzEg/edit?usp=sharing"",""นครนายก!L660"")"),7800)</f>
        <v>7800</v>
      </c>
      <c r="E59" s="64">
        <f ca="1">IFERROR(__xludf.DUMMYFUNCTION("IMPORTRANGE(""https://docs.google.com/spreadsheets/d/1phaeSb9lTGgzDpbvVqI9hfmOQQzUom07-HEvpbARzEg/edit?usp=sharing"",""นครนายก!L667"")"),0)</f>
        <v>0</v>
      </c>
      <c r="F59" s="64">
        <f ca="1">IFERROR(__xludf.DUMMYFUNCTION("IMPORTRANGE(""https://docs.google.com/spreadsheets/d/1phaeSb9lTGgzDpbvVqI9hfmOQQzUom07-HEvpbARzEg/edit?usp=sharing"",""นครนายก!M660"")"),7800)</f>
        <v>7800</v>
      </c>
      <c r="G59" s="64">
        <f ca="1">IFERROR(__xludf.DUMMYFUNCTION("IMPORTRANGE(""https://docs.google.com/spreadsheets/d/1phaeSb9lTGgzDpbvVqI9hfmOQQzUom07-HEvpbARzEg/edit?usp=sharing"",""นครนายก!M667"")"),0)</f>
        <v>0</v>
      </c>
      <c r="H59" s="58">
        <f t="shared" ca="1" si="27"/>
        <v>0</v>
      </c>
      <c r="I59" s="59">
        <f t="shared" ca="1" si="1"/>
        <v>0</v>
      </c>
      <c r="J59" s="60">
        <f t="shared" ca="1" si="61"/>
        <v>0</v>
      </c>
      <c r="K59" s="61">
        <f t="shared" ca="1" si="33"/>
        <v>0</v>
      </c>
      <c r="L59" s="61">
        <f t="shared" ca="1" si="34"/>
        <v>0</v>
      </c>
      <c r="M59" s="64">
        <f ca="1">IFERROR(__xludf.DUMMYFUNCTION("IMPORTRANGE(""https://docs.google.com/spreadsheets/d/1phaeSb9lTGgzDpbvVqI9hfmOQQzUom07-HEvpbARzEg/edit?usp=sharing"",""นครนายก!N661"")"),0)</f>
        <v>0</v>
      </c>
      <c r="N59" s="64">
        <f ca="1">IFERROR(__xludf.DUMMYFUNCTION("IMPORTRANGE(""https://docs.google.com/spreadsheets/d/1phaeSb9lTGgzDpbvVqI9hfmOQQzUom07-HEvpbARzEg/edit?usp=sharing"",""นครนายก!N662"")"),0)</f>
        <v>0</v>
      </c>
      <c r="O59" s="64">
        <f ca="1">IFERROR(__xludf.DUMMYFUNCTION("IMPORTRANGE(""https://docs.google.com/spreadsheets/d/1phaeSb9lTGgzDpbvVqI9hfmOQQzUom07-HEvpbARzEg/edit?usp=sharing"",""นครนายก!N663"")"),0)</f>
        <v>0</v>
      </c>
      <c r="P59" s="64">
        <f ca="1">IFERROR(__xludf.DUMMYFUNCTION("IMPORTRANGE(""https://docs.google.com/spreadsheets/d/1phaeSb9lTGgzDpbvVqI9hfmOQQzUom07-HEvpbARzEg/edit?usp=sharing"",""นครนายก!N664"")"),0)</f>
        <v>0</v>
      </c>
      <c r="Q59" s="62">
        <f ca="1">IFERROR(__xludf.DUMMYFUNCTION("IMPORTRANGE(""https://docs.google.com/spreadsheets/d/1phaeSb9lTGgzDpbvVqI9hfmOQQzUom07-HEvpbARzEg/edit?usp=sharing"",""นครนายก!N667"")"),0)</f>
        <v>0</v>
      </c>
      <c r="R59" s="62">
        <f t="shared" ca="1" si="36"/>
        <v>0</v>
      </c>
      <c r="S59" s="57">
        <f ca="1">IFERROR(__xludf.DUMMYFUNCTION("IMPORTRANGE(""https://docs.google.com/spreadsheets/d/1phaeSb9lTGgzDpbvVqI9hfmOQQzUom07-HEvpbARzEg/edit?usp=sharing"",""นครนายก!I669"")"),50)</f>
        <v>50</v>
      </c>
      <c r="T59" s="57">
        <f ca="1">IFERROR(__xludf.DUMMYFUNCTION("IMPORTRANGE(""https://docs.google.com/spreadsheets/d/1phaeSb9lTGgzDpbvVqI9hfmOQQzUom07-HEvpbARzEg/edit?usp=sharing"",""นครนายก!J669"")"),0)</f>
        <v>0</v>
      </c>
      <c r="U59" s="63">
        <f t="shared" ca="1" si="28"/>
        <v>0</v>
      </c>
      <c r="V59" s="57">
        <f ca="1">IFERROR(__xludf.DUMMYFUNCTION("IMPORTRANGE(""https://docs.google.com/spreadsheets/d/1phaeSb9lTGgzDpbvVqI9hfmOQQzUom07-HEvpbARzEg/edit?usp=sharing"",""นครนายก!I670"")"),3)</f>
        <v>3</v>
      </c>
      <c r="W59" s="57">
        <f ca="1">IFERROR(__xludf.DUMMYFUNCTION("IMPORTRANGE(""https://docs.google.com/spreadsheets/d/1phaeSb9lTGgzDpbvVqI9hfmOQQzUom07-HEvpbARzEg/edit?usp=sharing"",""นครนายก!J670"")"),3)</f>
        <v>3</v>
      </c>
      <c r="X59" s="63">
        <f t="shared" ca="1" si="29"/>
        <v>100</v>
      </c>
      <c r="Y59" s="57">
        <f ca="1">IFERROR(__xludf.DUMMYFUNCTION("IMPORTRANGE(""https://docs.google.com/spreadsheets/d/1phaeSb9lTGgzDpbvVqI9hfmOQQzUom07-HEvpbARzEg/edit?usp=sharing"",""นครนายก!I671"")"),3)</f>
        <v>3</v>
      </c>
      <c r="Z59" s="57">
        <f ca="1">IFERROR(__xludf.DUMMYFUNCTION("IMPORTRANGE(""https://docs.google.com/spreadsheets/d/1phaeSb9lTGgzDpbvVqI9hfmOQQzUom07-HEvpbARzEg/edit?usp=sharing"",""นครนายก!J671"")"),3)</f>
        <v>3</v>
      </c>
      <c r="AA59" s="63">
        <f t="shared" ca="1" si="30"/>
        <v>100</v>
      </c>
      <c r="AB59" s="57">
        <f ca="1">IFERROR(__xludf.DUMMYFUNCTION("IMPORTRANGE(""https://docs.google.com/spreadsheets/d/1phaeSb9lTGgzDpbvVqI9hfmOQQzUom07-HEvpbARzEg/edit?usp=sharing"",""นครนายก!J672"")"),142)</f>
        <v>142</v>
      </c>
      <c r="AC59" s="63">
        <f t="shared" ca="1" si="11"/>
        <v>284</v>
      </c>
      <c r="AD59" s="57">
        <f ca="1">IFERROR(__xludf.DUMMYFUNCTION("IMPORTRANGE(""https://docs.google.com/spreadsheets/d/1phaeSb9lTGgzDpbvVqI9hfmOQQzUom07-HEvpbARzEg/edit?usp=sharing"",""นครนายก!J673"")"),0)</f>
        <v>0</v>
      </c>
      <c r="AE59" s="63">
        <f t="shared" ca="1" si="12"/>
        <v>0</v>
      </c>
      <c r="AF59" s="63">
        <f ca="1">IFERROR(__xludf.DUMMYFUNCTION("IMPORTRANGE(""https://docs.google.com/spreadsheets/d/1phaeSb9lTGgzDpbvVqI9hfmOQQzUom07-HEvpbARzEg/edit?usp=sharing"",""นครนายก!J674"")"),0)</f>
        <v>0</v>
      </c>
      <c r="AG59" s="63">
        <f t="shared" ca="1" si="13"/>
        <v>0</v>
      </c>
      <c r="AH59" s="63">
        <f ca="1">IFERROR(__xludf.DUMMYFUNCTION("IMPORTRANGE(""https://docs.google.com/spreadsheets/d/1phaeSb9lTGgzDpbvVqI9hfmOQQzUom07-HEvpbARzEg/edit?usp=sharing"",""นครนายก!J675"")"),0)</f>
        <v>0</v>
      </c>
      <c r="AI59" s="63">
        <f t="shared" ca="1" si="21"/>
        <v>0</v>
      </c>
      <c r="AJ59" s="63">
        <f ca="1">IFERROR(__xludf.DUMMYFUNCTION("IMPORTRANGE(""https://docs.google.com/spreadsheets/d/1phaeSb9lTGgzDpbvVqI9hfmOQQzUom07-HEvpbARzEg/edit?usp=sharing"",""นครนายก!J676"")"),0)</f>
        <v>0</v>
      </c>
      <c r="AK59" s="63">
        <f ca="1">IFERROR(__xludf.DUMMYFUNCTION("IMPORTRANGE(""https://docs.google.com/spreadsheets/d/1phaeSb9lTGgzDpbvVqI9hfmOQQzUom07-HEvpbARzEg/edit?usp=sharing"",""นครนายก!J677"")"),0)</f>
        <v>0</v>
      </c>
      <c r="AL59" s="57">
        <f ca="1">IFERROR(__xludf.DUMMYFUNCTION("IMPORTRANGE(""https://docs.google.com/spreadsheets/d/1phaeSb9lTGgzDpbvVqI9hfmOQQzUom07-HEvpbARzEg/edit?usp=sharing"",""นครนายก!I678"")"),0)</f>
        <v>0</v>
      </c>
      <c r="AM59" s="57">
        <f ca="1">IFERROR(__xludf.DUMMYFUNCTION("IMPORTRANGE(""https://docs.google.com/spreadsheets/d/1phaeSb9lTGgzDpbvVqI9hfmOQQzUom07-HEvpbARzEg/edit?usp=sharing"",""นครนายก!J678"")"),0)</f>
        <v>0</v>
      </c>
      <c r="AN59" s="63">
        <f t="shared" ca="1" si="31"/>
        <v>0</v>
      </c>
      <c r="AO59" s="57">
        <f ca="1">IFERROR(__xludf.DUMMYFUNCTION("IMPORTRANGE(""https://docs.google.com/spreadsheets/d/1phaeSb9lTGgzDpbvVqI9hfmOQQzUom07-HEvpbARzEg/edit?usp=sharing"",""นครนายก!J679"")"),0)</f>
        <v>0</v>
      </c>
      <c r="AP59" s="57">
        <f ca="1">IFERROR(__xludf.DUMMYFUNCTION("IMPORTRANGE(""https://docs.google.com/spreadsheets/d/1phaeSb9lTGgzDpbvVqI9hfmOQQzUom07-HEvpbARzEg/edit?usp=sharing"",""นครนายก!J680"")"),0)</f>
        <v>0</v>
      </c>
      <c r="AQ59" s="57">
        <f ca="1">IFERROR(__xludf.DUMMYFUNCTION("IMPORTRANGE(""https://docs.google.com/spreadsheets/d/1phaeSb9lTGgzDpbvVqI9hfmOQQzUom07-HEvpbARzEg/edit?usp=sharing"",""นครนายก!J681"")"),0)</f>
        <v>0</v>
      </c>
      <c r="AR59" s="57">
        <f ca="1">IFERROR(__xludf.DUMMYFUNCTION("IMPORTRANGE(""https://docs.google.com/spreadsheets/d/1phaeSb9lTGgzDpbvVqI9hfmOQQzUom07-HEvpbARzEg/edit?usp=sharing"",""นครนายก!J682"")"),0)</f>
        <v>0</v>
      </c>
      <c r="AS59" s="57">
        <f ca="1">IFERROR(__xludf.DUMMYFUNCTION("IMPORTRANGE(""https://docs.google.com/spreadsheets/d/1phaeSb9lTGgzDpbvVqI9hfmOQQzUom07-HEvpbARzEg/edit?usp=sharing"",""นครนายก!J683"")"),0)</f>
        <v>0</v>
      </c>
    </row>
    <row r="60" spans="1:45" ht="21" customHeight="1" x14ac:dyDescent="0.3">
      <c r="A60" s="54">
        <v>8</v>
      </c>
      <c r="B60" s="55" t="s">
        <v>81</v>
      </c>
      <c r="C60" s="56">
        <f t="shared" ca="1" si="60"/>
        <v>0</v>
      </c>
      <c r="D60" s="57">
        <f ca="1">IFERROR(__xludf.DUMMYFUNCTION("IMPORTRANGE(""https://docs.google.com/spreadsheets/d/1tpwhWwkqkBeiSWCcfB5f2fbwPRbM9hHOEDSDHpl2MIc/edit?usp=sharing"",""นครปฐม!L660"")"),0)</f>
        <v>0</v>
      </c>
      <c r="E60" s="64">
        <f ca="1">IFERROR(__xludf.DUMMYFUNCTION("IMPORTRANGE(""https://docs.google.com/spreadsheets/d/1tpwhWwkqkBeiSWCcfB5f2fbwPRbM9hHOEDSDHpl2MIc/edit?usp=sharing"",""นครปฐม!L667"")"),0)</f>
        <v>0</v>
      </c>
      <c r="F60" s="64">
        <f ca="1">IFERROR(__xludf.DUMMYFUNCTION("IMPORTRANGE(""https://docs.google.com/spreadsheets/d/1tpwhWwkqkBeiSWCcfB5f2fbwPRbM9hHOEDSDHpl2MIc/edit?usp=sharing"",""นครปฐม!M660"")"),0)</f>
        <v>0</v>
      </c>
      <c r="G60" s="64">
        <f ca="1">IFERROR(__xludf.DUMMYFUNCTION("IMPORTRANGE(""https://docs.google.com/spreadsheets/d/1tpwhWwkqkBeiSWCcfB5f2fbwPRbM9hHOEDSDHpl2MIc/edit?usp=sharing"",""นครปฐม!M667"")"),0)</f>
        <v>0</v>
      </c>
      <c r="H60" s="58">
        <f t="shared" ca="1" si="27"/>
        <v>0</v>
      </c>
      <c r="I60" s="59">
        <f t="shared" ca="1" si="1"/>
        <v>0</v>
      </c>
      <c r="J60" s="60">
        <f t="shared" ca="1" si="61"/>
        <v>0</v>
      </c>
      <c r="K60" s="61">
        <f t="shared" ca="1" si="33"/>
        <v>0</v>
      </c>
      <c r="L60" s="61">
        <f t="shared" ca="1" si="34"/>
        <v>0</v>
      </c>
      <c r="M60" s="64">
        <f ca="1">IFERROR(__xludf.DUMMYFUNCTION("IMPORTRANGE(""https://docs.google.com/spreadsheets/d/1tpwhWwkqkBeiSWCcfB5f2fbwPRbM9hHOEDSDHpl2MIc/edit?usp=sharing"",""นครปฐม!N661"")"),0)</f>
        <v>0</v>
      </c>
      <c r="N60" s="64">
        <f ca="1">IFERROR(__xludf.DUMMYFUNCTION("IMPORTRANGE(""https://docs.google.com/spreadsheets/d/1tpwhWwkqkBeiSWCcfB5f2fbwPRbM9hHOEDSDHpl2MIc/edit?usp=sharing"",""นครปฐม!N662"")"),0)</f>
        <v>0</v>
      </c>
      <c r="O60" s="64">
        <f ca="1">IFERROR(__xludf.DUMMYFUNCTION("IMPORTRANGE(""https://docs.google.com/spreadsheets/d/1tpwhWwkqkBeiSWCcfB5f2fbwPRbM9hHOEDSDHpl2MIc/edit?usp=sharing"",""นครปฐม!N663"")"),0)</f>
        <v>0</v>
      </c>
      <c r="P60" s="64">
        <f ca="1">IFERROR(__xludf.DUMMYFUNCTION("IMPORTRANGE(""https://docs.google.com/spreadsheets/d/1tpwhWwkqkBeiSWCcfB5f2fbwPRbM9hHOEDSDHpl2MIc/edit?usp=sharing"",""นครปฐม!N664"")"),0)</f>
        <v>0</v>
      </c>
      <c r="Q60" s="62">
        <f ca="1">IFERROR(__xludf.DUMMYFUNCTION("IMPORTRANGE(""https://docs.google.com/spreadsheets/d/1tpwhWwkqkBeiSWCcfB5f2fbwPRbM9hHOEDSDHpl2MIc/edit?usp=sharing"",""นครปฐม!N667"")"),0)</f>
        <v>0</v>
      </c>
      <c r="R60" s="62">
        <f t="shared" ca="1" si="36"/>
        <v>0</v>
      </c>
      <c r="S60" s="57">
        <f ca="1">IFERROR(__xludf.DUMMYFUNCTION("IMPORTRANGE(""https://docs.google.com/spreadsheets/d/1tpwhWwkqkBeiSWCcfB5f2fbwPRbM9hHOEDSDHpl2MIc/edit?usp=sharing"",""นครปฐม!I669"")"),0)</f>
        <v>0</v>
      </c>
      <c r="T60" s="57">
        <f ca="1">IFERROR(__xludf.DUMMYFUNCTION("IMPORTRANGE(""https://docs.google.com/spreadsheets/d/1tpwhWwkqkBeiSWCcfB5f2fbwPRbM9hHOEDSDHpl2MIc/edit?usp=sharing"",""นครปฐม!J669"")"),0)</f>
        <v>0</v>
      </c>
      <c r="U60" s="63">
        <f t="shared" ca="1" si="28"/>
        <v>0</v>
      </c>
      <c r="V60" s="57">
        <f ca="1">IFERROR(__xludf.DUMMYFUNCTION("IMPORTRANGE(""https://docs.google.com/spreadsheets/d/1tpwhWwkqkBeiSWCcfB5f2fbwPRbM9hHOEDSDHpl2MIc/edit?usp=sharing"",""นครปฐม!I670"")"),0)</f>
        <v>0</v>
      </c>
      <c r="W60" s="57">
        <f ca="1">IFERROR(__xludf.DUMMYFUNCTION("IMPORTRANGE(""https://docs.google.com/spreadsheets/d/1tpwhWwkqkBeiSWCcfB5f2fbwPRbM9hHOEDSDHpl2MIc/edit?usp=sharing"",""นครปฐม!J670"")"),0)</f>
        <v>0</v>
      </c>
      <c r="X60" s="63">
        <f t="shared" ca="1" si="29"/>
        <v>0</v>
      </c>
      <c r="Y60" s="57">
        <f ca="1">IFERROR(__xludf.DUMMYFUNCTION("IMPORTRANGE(""https://docs.google.com/spreadsheets/d/1tpwhWwkqkBeiSWCcfB5f2fbwPRbM9hHOEDSDHpl2MIc/edit?usp=sharing"",""นครปฐม!I671"")"),0)</f>
        <v>0</v>
      </c>
      <c r="Z60" s="57">
        <f ca="1">IFERROR(__xludf.DUMMYFUNCTION("IMPORTRANGE(""https://docs.google.com/spreadsheets/d/1tpwhWwkqkBeiSWCcfB5f2fbwPRbM9hHOEDSDHpl2MIc/edit?usp=sharing"",""นครปฐม!J671"")"),0)</f>
        <v>0</v>
      </c>
      <c r="AA60" s="63">
        <f t="shared" ca="1" si="30"/>
        <v>0</v>
      </c>
      <c r="AB60" s="57">
        <f ca="1">IFERROR(__xludf.DUMMYFUNCTION("IMPORTRANGE(""https://docs.google.com/spreadsheets/d/1tpwhWwkqkBeiSWCcfB5f2fbwPRbM9hHOEDSDHpl2MIc/edit?usp=sharing"",""นครปฐม!J672"")"),0)</f>
        <v>0</v>
      </c>
      <c r="AC60" s="63">
        <f t="shared" ca="1" si="11"/>
        <v>0</v>
      </c>
      <c r="AD60" s="57">
        <f ca="1">IFERROR(__xludf.DUMMYFUNCTION("IMPORTRANGE(""https://docs.google.com/spreadsheets/d/1tpwhWwkqkBeiSWCcfB5f2fbwPRbM9hHOEDSDHpl2MIc/edit?usp=sharing"",""นครปฐม!J673"")"),0)</f>
        <v>0</v>
      </c>
      <c r="AE60" s="63">
        <f t="shared" ca="1" si="12"/>
        <v>0</v>
      </c>
      <c r="AF60" s="63">
        <f ca="1">IFERROR(__xludf.DUMMYFUNCTION("IMPORTRANGE(""https://docs.google.com/spreadsheets/d/1tpwhWwkqkBeiSWCcfB5f2fbwPRbM9hHOEDSDHpl2MIc/edit?usp=sharing"",""นครปฐม!J674"")"),0)</f>
        <v>0</v>
      </c>
      <c r="AG60" s="63">
        <f t="shared" ca="1" si="13"/>
        <v>0</v>
      </c>
      <c r="AH60" s="63">
        <f ca="1">IFERROR(__xludf.DUMMYFUNCTION("IMPORTRANGE(""https://docs.google.com/spreadsheets/d/1tpwhWwkqkBeiSWCcfB5f2fbwPRbM9hHOEDSDHpl2MIc/edit?usp=sharing"",""นครปฐม!J675"")"),0)</f>
        <v>0</v>
      </c>
      <c r="AI60" s="63">
        <f t="shared" ca="1" si="21"/>
        <v>0</v>
      </c>
      <c r="AJ60" s="63">
        <f ca="1">IFERROR(__xludf.DUMMYFUNCTION("IMPORTRANGE(""https://docs.google.com/spreadsheets/d/1tpwhWwkqkBeiSWCcfB5f2fbwPRbM9hHOEDSDHpl2MIc/edit?usp=sharing"",""นครปฐม!J676"")"),0)</f>
        <v>0</v>
      </c>
      <c r="AK60" s="63">
        <f ca="1">IFERROR(__xludf.DUMMYFUNCTION("IMPORTRANGE(""https://docs.google.com/spreadsheets/d/1tpwhWwkqkBeiSWCcfB5f2fbwPRbM9hHOEDSDHpl2MIc/edit?usp=sharing"",""นครปฐม!J677"")"),0)</f>
        <v>0</v>
      </c>
      <c r="AL60" s="57">
        <f ca="1">IFERROR(__xludf.DUMMYFUNCTION("IMPORTRANGE(""https://docs.google.com/spreadsheets/d/1tpwhWwkqkBeiSWCcfB5f2fbwPRbM9hHOEDSDHpl2MIc/edit?usp=sharing"",""นครปฐม!I678"")"),0)</f>
        <v>0</v>
      </c>
      <c r="AM60" s="57">
        <f ca="1">IFERROR(__xludf.DUMMYFUNCTION("IMPORTRANGE(""https://docs.google.com/spreadsheets/d/1tpwhWwkqkBeiSWCcfB5f2fbwPRbM9hHOEDSDHpl2MIc/edit?usp=sharing"",""นครปฐม!J678"")"),0)</f>
        <v>0</v>
      </c>
      <c r="AN60" s="63">
        <f t="shared" ca="1" si="31"/>
        <v>0</v>
      </c>
      <c r="AO60" s="57">
        <f ca="1">IFERROR(__xludf.DUMMYFUNCTION("IMPORTRANGE(""https://docs.google.com/spreadsheets/d/1tpwhWwkqkBeiSWCcfB5f2fbwPRbM9hHOEDSDHpl2MIc/edit?usp=sharing"",""นครปฐม!J679"")"),0)</f>
        <v>0</v>
      </c>
      <c r="AP60" s="57">
        <f ca="1">IFERROR(__xludf.DUMMYFUNCTION("IMPORTRANGE(""https://docs.google.com/spreadsheets/d/1tpwhWwkqkBeiSWCcfB5f2fbwPRbM9hHOEDSDHpl2MIc/edit?usp=sharing"",""นครปฐม!J680"")"),0)</f>
        <v>0</v>
      </c>
      <c r="AQ60" s="57">
        <f ca="1">IFERROR(__xludf.DUMMYFUNCTION("IMPORTRANGE(""https://docs.google.com/spreadsheets/d/1tpwhWwkqkBeiSWCcfB5f2fbwPRbM9hHOEDSDHpl2MIc/edit?usp=sharing"",""นครปฐม!J681"")"),0)</f>
        <v>0</v>
      </c>
      <c r="AR60" s="57">
        <f ca="1">IFERROR(__xludf.DUMMYFUNCTION("IMPORTRANGE(""https://docs.google.com/spreadsheets/d/1tpwhWwkqkBeiSWCcfB5f2fbwPRbM9hHOEDSDHpl2MIc/edit?usp=sharing"",""นครปฐม!J682"")"),0)</f>
        <v>0</v>
      </c>
      <c r="AS60" s="57">
        <f ca="1">IFERROR(__xludf.DUMMYFUNCTION("IMPORTRANGE(""https://docs.google.com/spreadsheets/d/1tpwhWwkqkBeiSWCcfB5f2fbwPRbM9hHOEDSDHpl2MIc/edit?usp=sharing"",""นครปฐม!J683"")"),0)</f>
        <v>0</v>
      </c>
    </row>
    <row r="61" spans="1:45" ht="21" customHeight="1" x14ac:dyDescent="0.3">
      <c r="A61" s="54">
        <v>9</v>
      </c>
      <c r="B61" s="55" t="s">
        <v>82</v>
      </c>
      <c r="C61" s="56">
        <f t="shared" ca="1" si="60"/>
        <v>0</v>
      </c>
      <c r="D61" s="57">
        <f ca="1">IFERROR(__xludf.DUMMYFUNCTION("IMPORTRANGE(""https://docs.google.com/spreadsheets/d/1fJJCVBkBnhriyv0Cp5ZFMr0I_yrfdEITNpb4zILJgUQ/edit?usp=sharing"",""ปทุมธานี!L660"")"),0)</f>
        <v>0</v>
      </c>
      <c r="E61" s="64">
        <f ca="1">IFERROR(__xludf.DUMMYFUNCTION("IMPORTRANGE(""https://docs.google.com/spreadsheets/d/1fJJCVBkBnhriyv0Cp5ZFMr0I_yrfdEITNpb4zILJgUQ/edit?usp=sharing"",""ปทุมธานี!L667"")"),0)</f>
        <v>0</v>
      </c>
      <c r="F61" s="64">
        <f ca="1">IFERROR(__xludf.DUMMYFUNCTION("IMPORTRANGE(""https://docs.google.com/spreadsheets/d/1fJJCVBkBnhriyv0Cp5ZFMr0I_yrfdEITNpb4zILJgUQ/edit?usp=sharing"",""ปทุมธานี!M660"")"),0)</f>
        <v>0</v>
      </c>
      <c r="G61" s="64">
        <f ca="1">IFERROR(__xludf.DUMMYFUNCTION("IMPORTRANGE(""https://docs.google.com/spreadsheets/d/1fJJCVBkBnhriyv0Cp5ZFMr0I_yrfdEITNpb4zILJgUQ/edit?usp=sharing"",""ปทุมธานี!M667"")"),0)</f>
        <v>0</v>
      </c>
      <c r="H61" s="58">
        <f t="shared" ca="1" si="27"/>
        <v>0</v>
      </c>
      <c r="I61" s="59">
        <f t="shared" ca="1" si="1"/>
        <v>0</v>
      </c>
      <c r="J61" s="60">
        <f t="shared" ca="1" si="61"/>
        <v>0</v>
      </c>
      <c r="K61" s="61">
        <f t="shared" ca="1" si="33"/>
        <v>0</v>
      </c>
      <c r="L61" s="61">
        <f t="shared" ca="1" si="34"/>
        <v>0</v>
      </c>
      <c r="M61" s="64">
        <f ca="1">IFERROR(__xludf.DUMMYFUNCTION("IMPORTRANGE(""https://docs.google.com/spreadsheets/d/1fJJCVBkBnhriyv0Cp5ZFMr0I_yrfdEITNpb4zILJgUQ/edit?usp=sharing"",""ปทุมธานี!N661"")"),0)</f>
        <v>0</v>
      </c>
      <c r="N61" s="64">
        <f ca="1">IFERROR(__xludf.DUMMYFUNCTION("IMPORTRANGE(""https://docs.google.com/spreadsheets/d/1fJJCVBkBnhriyv0Cp5ZFMr0I_yrfdEITNpb4zILJgUQ/edit?usp=sharing"",""ปทุมธานี!N662"")"),0)</f>
        <v>0</v>
      </c>
      <c r="O61" s="64">
        <f ca="1">IFERROR(__xludf.DUMMYFUNCTION("IMPORTRANGE(""https://docs.google.com/spreadsheets/d/1fJJCVBkBnhriyv0Cp5ZFMr0I_yrfdEITNpb4zILJgUQ/edit?usp=sharing"",""ปทุมธานี!N663"")"),0)</f>
        <v>0</v>
      </c>
      <c r="P61" s="64">
        <f ca="1">IFERROR(__xludf.DUMMYFUNCTION("IMPORTRANGE(""https://docs.google.com/spreadsheets/d/1fJJCVBkBnhriyv0Cp5ZFMr0I_yrfdEITNpb4zILJgUQ/edit?usp=sharing"",""ปทุมธานี!N664"")"),0)</f>
        <v>0</v>
      </c>
      <c r="Q61" s="62">
        <f ca="1">IFERROR(__xludf.DUMMYFUNCTION("IMPORTRANGE(""https://docs.google.com/spreadsheets/d/1fJJCVBkBnhriyv0Cp5ZFMr0I_yrfdEITNpb4zILJgUQ/edit?usp=sharing"",""ปทุมธานี!N667"")"),0)</f>
        <v>0</v>
      </c>
      <c r="R61" s="62">
        <f t="shared" ca="1" si="36"/>
        <v>0</v>
      </c>
      <c r="S61" s="57">
        <f ca="1">IFERROR(__xludf.DUMMYFUNCTION("IMPORTRANGE(""https://docs.google.com/spreadsheets/d/1fJJCVBkBnhriyv0Cp5ZFMr0I_yrfdEITNpb4zILJgUQ/edit?usp=sharing"",""ปทุมธานี!I669"")"),0)</f>
        <v>0</v>
      </c>
      <c r="T61" s="57">
        <f ca="1">IFERROR(__xludf.DUMMYFUNCTION("IMPORTRANGE(""https://docs.google.com/spreadsheets/d/1fJJCVBkBnhriyv0Cp5ZFMr0I_yrfdEITNpb4zILJgUQ/edit?usp=sharing"",""ปทุมธานี!J669"")"),0)</f>
        <v>0</v>
      </c>
      <c r="U61" s="63">
        <f t="shared" ca="1" si="28"/>
        <v>0</v>
      </c>
      <c r="V61" s="57">
        <f ca="1">IFERROR(__xludf.DUMMYFUNCTION("IMPORTRANGE(""https://docs.google.com/spreadsheets/d/1fJJCVBkBnhriyv0Cp5ZFMr0I_yrfdEITNpb4zILJgUQ/edit?usp=sharing"",""ปทุมธานี!I670"")"),0)</f>
        <v>0</v>
      </c>
      <c r="W61" s="57">
        <f ca="1">IFERROR(__xludf.DUMMYFUNCTION("IMPORTRANGE(""https://docs.google.com/spreadsheets/d/1fJJCVBkBnhriyv0Cp5ZFMr0I_yrfdEITNpb4zILJgUQ/edit?usp=sharing"",""ปทุมธานี!J670"")"),0)</f>
        <v>0</v>
      </c>
      <c r="X61" s="63">
        <f t="shared" ca="1" si="29"/>
        <v>0</v>
      </c>
      <c r="Y61" s="57">
        <f ca="1">IFERROR(__xludf.DUMMYFUNCTION("IMPORTRANGE(""https://docs.google.com/spreadsheets/d/1fJJCVBkBnhriyv0Cp5ZFMr0I_yrfdEITNpb4zILJgUQ/edit?usp=sharing"",""ปทุมธานี!I671"")"),0)</f>
        <v>0</v>
      </c>
      <c r="Z61" s="57">
        <f ca="1">IFERROR(__xludf.DUMMYFUNCTION("IMPORTRANGE(""https://docs.google.com/spreadsheets/d/1fJJCVBkBnhriyv0Cp5ZFMr0I_yrfdEITNpb4zILJgUQ/edit?usp=sharing"",""ปทุมธานี!J671"")"),0)</f>
        <v>0</v>
      </c>
      <c r="AA61" s="63">
        <f t="shared" ca="1" si="30"/>
        <v>0</v>
      </c>
      <c r="AB61" s="57">
        <f ca="1">IFERROR(__xludf.DUMMYFUNCTION("IMPORTRANGE(""https://docs.google.com/spreadsheets/d/1fJJCVBkBnhriyv0Cp5ZFMr0I_yrfdEITNpb4zILJgUQ/edit?usp=sharing"",""ปทุมธานี!J672"")"),0)</f>
        <v>0</v>
      </c>
      <c r="AC61" s="63">
        <f t="shared" ca="1" si="11"/>
        <v>0</v>
      </c>
      <c r="AD61" s="57">
        <f ca="1">IFERROR(__xludf.DUMMYFUNCTION("IMPORTRANGE(""https://docs.google.com/spreadsheets/d/1fJJCVBkBnhriyv0Cp5ZFMr0I_yrfdEITNpb4zILJgUQ/edit?usp=sharing"",""ปทุมธานี!J673"")"),0)</f>
        <v>0</v>
      </c>
      <c r="AE61" s="63">
        <f t="shared" ca="1" si="12"/>
        <v>0</v>
      </c>
      <c r="AF61" s="63">
        <f ca="1">IFERROR(__xludf.DUMMYFUNCTION("IMPORTRANGE(""https://docs.google.com/spreadsheets/d/1fJJCVBkBnhriyv0Cp5ZFMr0I_yrfdEITNpb4zILJgUQ/edit?usp=sharing"",""ปทุมธานี!J674"")"),0)</f>
        <v>0</v>
      </c>
      <c r="AG61" s="63">
        <f t="shared" ca="1" si="13"/>
        <v>0</v>
      </c>
      <c r="AH61" s="63">
        <f ca="1">IFERROR(__xludf.DUMMYFUNCTION("IMPORTRANGE(""https://docs.google.com/spreadsheets/d/1fJJCVBkBnhriyv0Cp5ZFMr0I_yrfdEITNpb4zILJgUQ/edit?usp=sharing"",""ปทุมธานี!J675"")"),0)</f>
        <v>0</v>
      </c>
      <c r="AI61" s="63">
        <f t="shared" ca="1" si="21"/>
        <v>0</v>
      </c>
      <c r="AJ61" s="63">
        <f ca="1">IFERROR(__xludf.DUMMYFUNCTION("IMPORTRANGE(""https://docs.google.com/spreadsheets/d/1fJJCVBkBnhriyv0Cp5ZFMr0I_yrfdEITNpb4zILJgUQ/edit?usp=sharing"",""ปทุมธานี!J676"")"),0)</f>
        <v>0</v>
      </c>
      <c r="AK61" s="63">
        <f ca="1">IFERROR(__xludf.DUMMYFUNCTION("IMPORTRANGE(""https://docs.google.com/spreadsheets/d/1fJJCVBkBnhriyv0Cp5ZFMr0I_yrfdEITNpb4zILJgUQ/edit?usp=sharing"",""ปทุมธานี!J677"")"),0)</f>
        <v>0</v>
      </c>
      <c r="AL61" s="57">
        <f ca="1">IFERROR(__xludf.DUMMYFUNCTION("IMPORTRANGE(""https://docs.google.com/spreadsheets/d/1fJJCVBkBnhriyv0Cp5ZFMr0I_yrfdEITNpb4zILJgUQ/edit?usp=sharing"",""ปทุมธานี!I678"")"),0)</f>
        <v>0</v>
      </c>
      <c r="AM61" s="57">
        <f ca="1">IFERROR(__xludf.DUMMYFUNCTION("IMPORTRANGE(""https://docs.google.com/spreadsheets/d/1fJJCVBkBnhriyv0Cp5ZFMr0I_yrfdEITNpb4zILJgUQ/edit?usp=sharing"",""ปทุมธานี!J678"")"),0)</f>
        <v>0</v>
      </c>
      <c r="AN61" s="63">
        <f t="shared" ca="1" si="31"/>
        <v>0</v>
      </c>
      <c r="AO61" s="57">
        <f ca="1">IFERROR(__xludf.DUMMYFUNCTION("IMPORTRANGE(""https://docs.google.com/spreadsheets/d/1fJJCVBkBnhriyv0Cp5ZFMr0I_yrfdEITNpb4zILJgUQ/edit?usp=sharing"",""ปทุมธานี!J679"")"),0)</f>
        <v>0</v>
      </c>
      <c r="AP61" s="57">
        <f ca="1">IFERROR(__xludf.DUMMYFUNCTION("IMPORTRANGE(""https://docs.google.com/spreadsheets/d/1fJJCVBkBnhriyv0Cp5ZFMr0I_yrfdEITNpb4zILJgUQ/edit?usp=sharing"",""ปทุมธานี!J680"")"),0)</f>
        <v>0</v>
      </c>
      <c r="AQ61" s="57">
        <f ca="1">IFERROR(__xludf.DUMMYFUNCTION("IMPORTRANGE(""https://docs.google.com/spreadsheets/d/1fJJCVBkBnhriyv0Cp5ZFMr0I_yrfdEITNpb4zILJgUQ/edit?usp=sharing"",""ปทุมธานี!J681"")"),0)</f>
        <v>0</v>
      </c>
      <c r="AR61" s="57">
        <f ca="1">IFERROR(__xludf.DUMMYFUNCTION("IMPORTRANGE(""https://docs.google.com/spreadsheets/d/1fJJCVBkBnhriyv0Cp5ZFMr0I_yrfdEITNpb4zILJgUQ/edit?usp=sharing"",""ปทุมธานี!J682"")"),0)</f>
        <v>0</v>
      </c>
      <c r="AS61" s="57">
        <f ca="1">IFERROR(__xludf.DUMMYFUNCTION("IMPORTRANGE(""https://docs.google.com/spreadsheets/d/1fJJCVBkBnhriyv0Cp5ZFMr0I_yrfdEITNpb4zILJgUQ/edit?usp=sharing"",""ปทุมธานี!J683"")"),0)</f>
        <v>0</v>
      </c>
    </row>
    <row r="62" spans="1:45" ht="21" customHeight="1" x14ac:dyDescent="0.3">
      <c r="A62" s="54">
        <v>10</v>
      </c>
      <c r="B62" s="55" t="s">
        <v>83</v>
      </c>
      <c r="C62" s="56">
        <f t="shared" ca="1" si="60"/>
        <v>0</v>
      </c>
      <c r="D62" s="57">
        <f ca="1">IFERROR(__xludf.DUMMYFUNCTION("IMPORTRANGE(""https://docs.google.com/spreadsheets/d/1W5Jj_S0gYw6wSO7QcMI02YgyOBDKYgmm0NSUk-AQEac/edit?usp=sharing"",""ประจวบคีรีขันธ์!L660"")"),0)</f>
        <v>0</v>
      </c>
      <c r="E62" s="64">
        <f ca="1">IFERROR(__xludf.DUMMYFUNCTION("IMPORTRANGE(""https://docs.google.com/spreadsheets/d/1W5Jj_S0gYw6wSO7QcMI02YgyOBDKYgmm0NSUk-AQEac/edit?usp=sharing"",""ประจวบคีรีขันธ์!L667"")"),0)</f>
        <v>0</v>
      </c>
      <c r="F62" s="64">
        <f ca="1">IFERROR(__xludf.DUMMYFUNCTION("IMPORTRANGE(""https://docs.google.com/spreadsheets/d/1W5Jj_S0gYw6wSO7QcMI02YgyOBDKYgmm0NSUk-AQEac/edit?usp=sharing"",""ประจวบคีรีขันธ์!M660"")"),0)</f>
        <v>0</v>
      </c>
      <c r="G62" s="64">
        <f ca="1">IFERROR(__xludf.DUMMYFUNCTION("IMPORTRANGE(""https://docs.google.com/spreadsheets/d/1W5Jj_S0gYw6wSO7QcMI02YgyOBDKYgmm0NSUk-AQEac/edit?usp=sharing"",""ประจวบคีรีขันธ์!M667"")"),0)</f>
        <v>0</v>
      </c>
      <c r="H62" s="58">
        <f t="shared" ca="1" si="27"/>
        <v>0</v>
      </c>
      <c r="I62" s="59">
        <f t="shared" ca="1" si="1"/>
        <v>0</v>
      </c>
      <c r="J62" s="60">
        <f t="shared" ca="1" si="61"/>
        <v>0</v>
      </c>
      <c r="K62" s="61">
        <f t="shared" ca="1" si="33"/>
        <v>0</v>
      </c>
      <c r="L62" s="61">
        <f t="shared" ca="1" si="34"/>
        <v>0</v>
      </c>
      <c r="M62" s="64">
        <f ca="1">IFERROR(__xludf.DUMMYFUNCTION("IMPORTRANGE(""https://docs.google.com/spreadsheets/d/1W5Jj_S0gYw6wSO7QcMI02YgyOBDKYgmm0NSUk-AQEac/edit?usp=sharing"",""ประจวบคีรีขันธ์!N661"")"),0)</f>
        <v>0</v>
      </c>
      <c r="N62" s="64">
        <f ca="1">IFERROR(__xludf.DUMMYFUNCTION("IMPORTRANGE(""https://docs.google.com/spreadsheets/d/1W5Jj_S0gYw6wSO7QcMI02YgyOBDKYgmm0NSUk-AQEac/edit?usp=sharing"",""ประจวบคีรีขันธ์!N662"")"),0)</f>
        <v>0</v>
      </c>
      <c r="O62" s="64">
        <f ca="1">IFERROR(__xludf.DUMMYFUNCTION("IMPORTRANGE(""https://docs.google.com/spreadsheets/d/1W5Jj_S0gYw6wSO7QcMI02YgyOBDKYgmm0NSUk-AQEac/edit?usp=sharing"",""ประจวบคีรีขันธ์!N663"")"),0)</f>
        <v>0</v>
      </c>
      <c r="P62" s="64">
        <f ca="1">IFERROR(__xludf.DUMMYFUNCTION("IMPORTRANGE(""https://docs.google.com/spreadsheets/d/1W5Jj_S0gYw6wSO7QcMI02YgyOBDKYgmm0NSUk-AQEac/edit?usp=sharing"",""ประจวบคีรีขันธ์!N664"")"),0)</f>
        <v>0</v>
      </c>
      <c r="Q62" s="62">
        <f ca="1">IFERROR(__xludf.DUMMYFUNCTION("IMPORTRANGE(""https://docs.google.com/spreadsheets/d/1W5Jj_S0gYw6wSO7QcMI02YgyOBDKYgmm0NSUk-AQEac/edit?usp=sharing"",""ประจวบคีรีขันธ์!N667"")"),0)</f>
        <v>0</v>
      </c>
      <c r="R62" s="62">
        <f t="shared" ca="1" si="36"/>
        <v>0</v>
      </c>
      <c r="S62" s="57">
        <f ca="1">IFERROR(__xludf.DUMMYFUNCTION("IMPORTRANGE(""https://docs.google.com/spreadsheets/d/1W5Jj_S0gYw6wSO7QcMI02YgyOBDKYgmm0NSUk-AQEac/edit?usp=sharing"",""ประจวบคีรีขันธ์!I669"")"),0)</f>
        <v>0</v>
      </c>
      <c r="T62" s="57">
        <f ca="1">IFERROR(__xludf.DUMMYFUNCTION("IMPORTRANGE(""https://docs.google.com/spreadsheets/d/1W5Jj_S0gYw6wSO7QcMI02YgyOBDKYgmm0NSUk-AQEac/edit?usp=sharing"",""ประจวบคีรีขันธ์!J669"")"),0)</f>
        <v>0</v>
      </c>
      <c r="U62" s="63">
        <f t="shared" ca="1" si="28"/>
        <v>0</v>
      </c>
      <c r="V62" s="57">
        <f ca="1">IFERROR(__xludf.DUMMYFUNCTION("IMPORTRANGE(""https://docs.google.com/spreadsheets/d/1W5Jj_S0gYw6wSO7QcMI02YgyOBDKYgmm0NSUk-AQEac/edit?usp=sharing"",""ประจวบคีรีขันธ์!I670"")"),0)</f>
        <v>0</v>
      </c>
      <c r="W62" s="57">
        <f ca="1">IFERROR(__xludf.DUMMYFUNCTION("IMPORTRANGE(""https://docs.google.com/spreadsheets/d/1W5Jj_S0gYw6wSO7QcMI02YgyOBDKYgmm0NSUk-AQEac/edit?usp=sharing"",""ประจวบคีรีขันธ์!J670"")"),0)</f>
        <v>0</v>
      </c>
      <c r="X62" s="63">
        <f t="shared" ca="1" si="29"/>
        <v>0</v>
      </c>
      <c r="Y62" s="57">
        <f ca="1">IFERROR(__xludf.DUMMYFUNCTION("IMPORTRANGE(""https://docs.google.com/spreadsheets/d/1W5Jj_S0gYw6wSO7QcMI02YgyOBDKYgmm0NSUk-AQEac/edit?usp=sharing"",""ประจวบคีรีขันธ์!I671"")"),0)</f>
        <v>0</v>
      </c>
      <c r="Z62" s="57">
        <f ca="1">IFERROR(__xludf.DUMMYFUNCTION("IMPORTRANGE(""https://docs.google.com/spreadsheets/d/1W5Jj_S0gYw6wSO7QcMI02YgyOBDKYgmm0NSUk-AQEac/edit?usp=sharing"",""ประจวบคีรีขันธ์!J671"")"),0)</f>
        <v>0</v>
      </c>
      <c r="AA62" s="63">
        <f t="shared" ca="1" si="30"/>
        <v>0</v>
      </c>
      <c r="AB62" s="57">
        <f ca="1">IFERROR(__xludf.DUMMYFUNCTION("IMPORTRANGE(""https://docs.google.com/spreadsheets/d/1W5Jj_S0gYw6wSO7QcMI02YgyOBDKYgmm0NSUk-AQEac/edit?usp=sharing"",""ประจวบคีรีขันธ์!J672"")"),0)</f>
        <v>0</v>
      </c>
      <c r="AC62" s="63">
        <f t="shared" ca="1" si="11"/>
        <v>0</v>
      </c>
      <c r="AD62" s="57">
        <f ca="1">IFERROR(__xludf.DUMMYFUNCTION("IMPORTRANGE(""https://docs.google.com/spreadsheets/d/1W5Jj_S0gYw6wSO7QcMI02YgyOBDKYgmm0NSUk-AQEac/edit?usp=sharing"",""ประจวบคีรีขันธ์!J673"")"),0)</f>
        <v>0</v>
      </c>
      <c r="AE62" s="63">
        <f t="shared" ca="1" si="12"/>
        <v>0</v>
      </c>
      <c r="AF62" s="63">
        <f ca="1">IFERROR(__xludf.DUMMYFUNCTION("IMPORTRANGE(""https://docs.google.com/spreadsheets/d/1W5Jj_S0gYw6wSO7QcMI02YgyOBDKYgmm0NSUk-AQEac/edit?usp=sharing"",""ประจวบคีรีขันธ์!J674"")"),0)</f>
        <v>0</v>
      </c>
      <c r="AG62" s="63">
        <f t="shared" ca="1" si="13"/>
        <v>0</v>
      </c>
      <c r="AH62" s="63">
        <f ca="1">IFERROR(__xludf.DUMMYFUNCTION("IMPORTRANGE(""https://docs.google.com/spreadsheets/d/1W5Jj_S0gYw6wSO7QcMI02YgyOBDKYgmm0NSUk-AQEac/edit?usp=sharing"",""ประจวบคีรีขันธ์!J675"")"),0)</f>
        <v>0</v>
      </c>
      <c r="AI62" s="63">
        <f t="shared" ca="1" si="21"/>
        <v>0</v>
      </c>
      <c r="AJ62" s="63">
        <f ca="1">IFERROR(__xludf.DUMMYFUNCTION("IMPORTRANGE(""https://docs.google.com/spreadsheets/d/1W5Jj_S0gYw6wSO7QcMI02YgyOBDKYgmm0NSUk-AQEac/edit?usp=sharing"",""ประจวบคีรีขันธ์!J676"")"),0)</f>
        <v>0</v>
      </c>
      <c r="AK62" s="63">
        <f ca="1">IFERROR(__xludf.DUMMYFUNCTION("IMPORTRANGE(""https://docs.google.com/spreadsheets/d/1W5Jj_S0gYw6wSO7QcMI02YgyOBDKYgmm0NSUk-AQEac/edit?usp=sharing"",""ประจวบคีรีขันธ์!J677"")"),0)</f>
        <v>0</v>
      </c>
      <c r="AL62" s="57">
        <f ca="1">IFERROR(__xludf.DUMMYFUNCTION("IMPORTRANGE(""https://docs.google.com/spreadsheets/d/1W5Jj_S0gYw6wSO7QcMI02YgyOBDKYgmm0NSUk-AQEac/edit?usp=sharing"",""ประจวบคีรีขันธ์!I678"")"),0)</f>
        <v>0</v>
      </c>
      <c r="AM62" s="57">
        <f ca="1">IFERROR(__xludf.DUMMYFUNCTION("IMPORTRANGE(""https://docs.google.com/spreadsheets/d/1W5Jj_S0gYw6wSO7QcMI02YgyOBDKYgmm0NSUk-AQEac/edit?usp=sharing"",""ประจวบคีรีขันธ์!J678"")"),0)</f>
        <v>0</v>
      </c>
      <c r="AN62" s="63">
        <f t="shared" ca="1" si="31"/>
        <v>0</v>
      </c>
      <c r="AO62" s="57">
        <f ca="1">IFERROR(__xludf.DUMMYFUNCTION("IMPORTRANGE(""https://docs.google.com/spreadsheets/d/1W5Jj_S0gYw6wSO7QcMI02YgyOBDKYgmm0NSUk-AQEac/edit?usp=sharing"",""ประจวบคีรีขันธ์!J679"")"),0)</f>
        <v>0</v>
      </c>
      <c r="AP62" s="57">
        <f ca="1">IFERROR(__xludf.DUMMYFUNCTION("IMPORTRANGE(""https://docs.google.com/spreadsheets/d/1W5Jj_S0gYw6wSO7QcMI02YgyOBDKYgmm0NSUk-AQEac/edit?usp=sharing"",""ประจวบคีรีขันธ์!J680"")"),0)</f>
        <v>0</v>
      </c>
      <c r="AQ62" s="57">
        <f ca="1">IFERROR(__xludf.DUMMYFUNCTION("IMPORTRANGE(""https://docs.google.com/spreadsheets/d/1W5Jj_S0gYw6wSO7QcMI02YgyOBDKYgmm0NSUk-AQEac/edit?usp=sharing"",""ประจวบคีรีขันธ์!J681"")"),0)</f>
        <v>0</v>
      </c>
      <c r="AR62" s="57">
        <f ca="1">IFERROR(__xludf.DUMMYFUNCTION("IMPORTRANGE(""https://docs.google.com/spreadsheets/d/1W5Jj_S0gYw6wSO7QcMI02YgyOBDKYgmm0NSUk-AQEac/edit?usp=sharing"",""ประจวบคีรีขันธ์!J682"")"),0)</f>
        <v>0</v>
      </c>
      <c r="AS62" s="57">
        <f ca="1">IFERROR(__xludf.DUMMYFUNCTION("IMPORTRANGE(""https://docs.google.com/spreadsheets/d/1W5Jj_S0gYw6wSO7QcMI02YgyOBDKYgmm0NSUk-AQEac/edit?usp=sharing"",""ประจวบคีรีขันธ์!J683"")"),0)</f>
        <v>0</v>
      </c>
    </row>
    <row r="63" spans="1:45" ht="21" customHeight="1" x14ac:dyDescent="0.3">
      <c r="A63" s="54">
        <v>11</v>
      </c>
      <c r="B63" s="55" t="s">
        <v>84</v>
      </c>
      <c r="C63" s="56">
        <f t="shared" ca="1" si="60"/>
        <v>9400</v>
      </c>
      <c r="D63" s="57">
        <f ca="1">IFERROR(__xludf.DUMMYFUNCTION("IMPORTRANGE(""https://docs.google.com/spreadsheets/d/1nYxRXgnCfTXtqUY1otYuTlnrzE0Tn-Y0YRsW5pkRVqo/edit?usp=sharing"",""ปราจีนบุรี!L660"")"),9400)</f>
        <v>9400</v>
      </c>
      <c r="E63" s="64">
        <f ca="1">IFERROR(__xludf.DUMMYFUNCTION("IMPORTRANGE(""https://docs.google.com/spreadsheets/d/1nYxRXgnCfTXtqUY1otYuTlnrzE0Tn-Y0YRsW5pkRVqo/edit?usp=sharing"",""ปราจีนบุรี!L667"")"),0)</f>
        <v>0</v>
      </c>
      <c r="F63" s="64">
        <f ca="1">IFERROR(__xludf.DUMMYFUNCTION("IMPORTRANGE(""https://docs.google.com/spreadsheets/d/1nYxRXgnCfTXtqUY1otYuTlnrzE0Tn-Y0YRsW5pkRVqo/edit?usp=sharing"",""ปราจีนบุรี!M660"")"),9400)</f>
        <v>9400</v>
      </c>
      <c r="G63" s="64">
        <f ca="1">IFERROR(__xludf.DUMMYFUNCTION("IMPORTRANGE(""https://docs.google.com/spreadsheets/d/1nYxRXgnCfTXtqUY1otYuTlnrzE0Tn-Y0YRsW5pkRVqo/edit?usp=sharing"",""ปราจีนบุรี!M667"")"),0)</f>
        <v>0</v>
      </c>
      <c r="H63" s="58">
        <f t="shared" ca="1" si="27"/>
        <v>3000</v>
      </c>
      <c r="I63" s="59">
        <f t="shared" ca="1" si="1"/>
        <v>31.914893617021278</v>
      </c>
      <c r="J63" s="60">
        <f t="shared" ca="1" si="61"/>
        <v>3000</v>
      </c>
      <c r="K63" s="61">
        <f t="shared" ca="1" si="33"/>
        <v>31.914893617021278</v>
      </c>
      <c r="L63" s="61">
        <f t="shared" ca="1" si="34"/>
        <v>31.914893617021278</v>
      </c>
      <c r="M63" s="64">
        <f ca="1">IFERROR(__xludf.DUMMYFUNCTION("IMPORTRANGE(""https://docs.google.com/spreadsheets/d/1nYxRXgnCfTXtqUY1otYuTlnrzE0Tn-Y0YRsW5pkRVqo/edit?usp=sharing"",""ปราจีนบุรี!N661"")"),0)</f>
        <v>0</v>
      </c>
      <c r="N63" s="64">
        <f ca="1">IFERROR(__xludf.DUMMYFUNCTION("IMPORTRANGE(""https://docs.google.com/spreadsheets/d/1nYxRXgnCfTXtqUY1otYuTlnrzE0Tn-Y0YRsW5pkRVqo/edit?usp=sharing"",""ปราจีนบุรี!N662"")"),0)</f>
        <v>0</v>
      </c>
      <c r="O63" s="64">
        <f ca="1">IFERROR(__xludf.DUMMYFUNCTION("IMPORTRANGE(""https://docs.google.com/spreadsheets/d/1nYxRXgnCfTXtqUY1otYuTlnrzE0Tn-Y0YRsW5pkRVqo/edit?usp=sharing"",""ปราจีนบุรี!N663"")"),0)</f>
        <v>0</v>
      </c>
      <c r="P63" s="64">
        <f ca="1">IFERROR(__xludf.DUMMYFUNCTION("IMPORTRANGE(""https://docs.google.com/spreadsheets/d/1nYxRXgnCfTXtqUY1otYuTlnrzE0Tn-Y0YRsW5pkRVqo/edit?usp=sharing"",""ปราจีนบุรี!N664"")"),3000)</f>
        <v>3000</v>
      </c>
      <c r="Q63" s="62">
        <f ca="1">IFERROR(__xludf.DUMMYFUNCTION("IMPORTRANGE(""https://docs.google.com/spreadsheets/d/1nYxRXgnCfTXtqUY1otYuTlnrzE0Tn-Y0YRsW5pkRVqo/edit?usp=sharing"",""ปราจีนบุรี!N667"")"),0)</f>
        <v>0</v>
      </c>
      <c r="R63" s="62">
        <f t="shared" ca="1" si="36"/>
        <v>0</v>
      </c>
      <c r="S63" s="57">
        <f ca="1">IFERROR(__xludf.DUMMYFUNCTION("IMPORTRANGE(""https://docs.google.com/spreadsheets/d/1nYxRXgnCfTXtqUY1otYuTlnrzE0Tn-Y0YRsW5pkRVqo/edit?usp=sharing"",""ปราจีนบุรี!I669"")"),50)</f>
        <v>50</v>
      </c>
      <c r="T63" s="57">
        <f ca="1">IFERROR(__xludf.DUMMYFUNCTION("IMPORTRANGE(""https://docs.google.com/spreadsheets/d/1nYxRXgnCfTXtqUY1otYuTlnrzE0Tn-Y0YRsW5pkRVqo/edit?usp=sharing"",""ปราจีนบุรี!J669"")"),0)</f>
        <v>0</v>
      </c>
      <c r="U63" s="63">
        <f t="shared" ca="1" si="28"/>
        <v>0</v>
      </c>
      <c r="V63" s="57">
        <f ca="1">IFERROR(__xludf.DUMMYFUNCTION("IMPORTRANGE(""https://docs.google.com/spreadsheets/d/1nYxRXgnCfTXtqUY1otYuTlnrzE0Tn-Y0YRsW5pkRVqo/edit?usp=sharing"",""ปราจีนบุรี!I670"")"),4)</f>
        <v>4</v>
      </c>
      <c r="W63" s="57">
        <f ca="1">IFERROR(__xludf.DUMMYFUNCTION("IMPORTRANGE(""https://docs.google.com/spreadsheets/d/1nYxRXgnCfTXtqUY1otYuTlnrzE0Tn-Y0YRsW5pkRVqo/edit?usp=sharing"",""ปราจีนบุรี!J670"")"),4)</f>
        <v>4</v>
      </c>
      <c r="X63" s="63">
        <f t="shared" ca="1" si="29"/>
        <v>100</v>
      </c>
      <c r="Y63" s="57">
        <f ca="1">IFERROR(__xludf.DUMMYFUNCTION("IMPORTRANGE(""https://docs.google.com/spreadsheets/d/1nYxRXgnCfTXtqUY1otYuTlnrzE0Tn-Y0YRsW5pkRVqo/edit?usp=sharing"",""ปราจีนบุรี!I671"")"),4)</f>
        <v>4</v>
      </c>
      <c r="Z63" s="57">
        <f ca="1">IFERROR(__xludf.DUMMYFUNCTION("IMPORTRANGE(""https://docs.google.com/spreadsheets/d/1nYxRXgnCfTXtqUY1otYuTlnrzE0Tn-Y0YRsW5pkRVqo/edit?usp=sharing"",""ปราจีนบุรี!J671"")"),4)</f>
        <v>4</v>
      </c>
      <c r="AA63" s="63">
        <f t="shared" ca="1" si="30"/>
        <v>100</v>
      </c>
      <c r="AB63" s="57">
        <f ca="1">IFERROR(__xludf.DUMMYFUNCTION("IMPORTRANGE(""https://docs.google.com/spreadsheets/d/1nYxRXgnCfTXtqUY1otYuTlnrzE0Tn-Y0YRsW5pkRVqo/edit?usp=sharing"",""ปราจีนบุรี!J672"")"),0)</f>
        <v>0</v>
      </c>
      <c r="AC63" s="63">
        <f t="shared" ca="1" si="11"/>
        <v>0</v>
      </c>
      <c r="AD63" s="57">
        <f ca="1">IFERROR(__xludf.DUMMYFUNCTION("IMPORTRANGE(""https://docs.google.com/spreadsheets/d/1nYxRXgnCfTXtqUY1otYuTlnrzE0Tn-Y0YRsW5pkRVqo/edit?usp=sharing"",""ปราจีนบุรี!J673"")"),0)</f>
        <v>0</v>
      </c>
      <c r="AE63" s="63">
        <f t="shared" ca="1" si="12"/>
        <v>0</v>
      </c>
      <c r="AF63" s="63">
        <f ca="1">IFERROR(__xludf.DUMMYFUNCTION("IMPORTRANGE(""https://docs.google.com/spreadsheets/d/1nYxRXgnCfTXtqUY1otYuTlnrzE0Tn-Y0YRsW5pkRVqo/edit?usp=sharing"",""ปราจีนบุรี!J674"")"),0)</f>
        <v>0</v>
      </c>
      <c r="AG63" s="63">
        <f t="shared" ca="1" si="13"/>
        <v>0</v>
      </c>
      <c r="AH63" s="63">
        <f ca="1">IFERROR(__xludf.DUMMYFUNCTION("IMPORTRANGE(""https://docs.google.com/spreadsheets/d/1nYxRXgnCfTXtqUY1otYuTlnrzE0Tn-Y0YRsW5pkRVqo/edit?usp=sharing"",""ปราจีนบุรี!J675"")"),0)</f>
        <v>0</v>
      </c>
      <c r="AI63" s="63">
        <f t="shared" ca="1" si="21"/>
        <v>0</v>
      </c>
      <c r="AJ63" s="63">
        <f ca="1">IFERROR(__xludf.DUMMYFUNCTION("IMPORTRANGE(""https://docs.google.com/spreadsheets/d/1nYxRXgnCfTXtqUY1otYuTlnrzE0Tn-Y0YRsW5pkRVqo/edit?usp=sharing"",""ปราจีนบุรี!J676"")"),0)</f>
        <v>0</v>
      </c>
      <c r="AK63" s="63">
        <f ca="1">IFERROR(__xludf.DUMMYFUNCTION("IMPORTRANGE(""https://docs.google.com/spreadsheets/d/1nYxRXgnCfTXtqUY1otYuTlnrzE0Tn-Y0YRsW5pkRVqo/edit?usp=sharing"",""ปราจีนบุรี!J677"")"),0)</f>
        <v>0</v>
      </c>
      <c r="AL63" s="57">
        <f ca="1">IFERROR(__xludf.DUMMYFUNCTION("IMPORTRANGE(""https://docs.google.com/spreadsheets/d/1nYxRXgnCfTXtqUY1otYuTlnrzE0Tn-Y0YRsW5pkRVqo/edit?usp=sharing"",""ปราจีนบุรี!I678"")"),0)</f>
        <v>0</v>
      </c>
      <c r="AM63" s="57">
        <f ca="1">IFERROR(__xludf.DUMMYFUNCTION("IMPORTRANGE(""https://docs.google.com/spreadsheets/d/1nYxRXgnCfTXtqUY1otYuTlnrzE0Tn-Y0YRsW5pkRVqo/edit?usp=sharing"",""ปราจีนบุรี!J678"")"),0)</f>
        <v>0</v>
      </c>
      <c r="AN63" s="63">
        <f t="shared" ca="1" si="31"/>
        <v>0</v>
      </c>
      <c r="AO63" s="57">
        <f ca="1">IFERROR(__xludf.DUMMYFUNCTION("IMPORTRANGE(""https://docs.google.com/spreadsheets/d/1nYxRXgnCfTXtqUY1otYuTlnrzE0Tn-Y0YRsW5pkRVqo/edit?usp=sharing"",""ปราจีนบุรี!J679"")"),0)</f>
        <v>0</v>
      </c>
      <c r="AP63" s="57">
        <f ca="1">IFERROR(__xludf.DUMMYFUNCTION("IMPORTRANGE(""https://docs.google.com/spreadsheets/d/1nYxRXgnCfTXtqUY1otYuTlnrzE0Tn-Y0YRsW5pkRVqo/edit?usp=sharing"",""ปราจีนบุรี!J680"")"),0)</f>
        <v>0</v>
      </c>
      <c r="AQ63" s="57">
        <f ca="1">IFERROR(__xludf.DUMMYFUNCTION("IMPORTRANGE(""https://docs.google.com/spreadsheets/d/1nYxRXgnCfTXtqUY1otYuTlnrzE0Tn-Y0YRsW5pkRVqo/edit?usp=sharing"",""ปราจีนบุรี!J681"")"),0)</f>
        <v>0</v>
      </c>
      <c r="AR63" s="57">
        <f ca="1">IFERROR(__xludf.DUMMYFUNCTION("IMPORTRANGE(""https://docs.google.com/spreadsheets/d/1nYxRXgnCfTXtqUY1otYuTlnrzE0Tn-Y0YRsW5pkRVqo/edit?usp=sharing"",""ปราจีนบุรี!J682"")"),0)</f>
        <v>0</v>
      </c>
      <c r="AS63" s="57">
        <f ca="1">IFERROR(__xludf.DUMMYFUNCTION("IMPORTRANGE(""https://docs.google.com/spreadsheets/d/1nYxRXgnCfTXtqUY1otYuTlnrzE0Tn-Y0YRsW5pkRVqo/edit?usp=sharing"",""ปราจีนบุรี!J683"")"),0)</f>
        <v>0</v>
      </c>
    </row>
    <row r="64" spans="1:45" ht="21" customHeight="1" x14ac:dyDescent="0.3">
      <c r="A64" s="54">
        <v>12</v>
      </c>
      <c r="B64" s="55" t="s">
        <v>85</v>
      </c>
      <c r="C64" s="56">
        <f t="shared" ca="1" si="60"/>
        <v>20700</v>
      </c>
      <c r="D64" s="57">
        <f ca="1">IFERROR(__xludf.DUMMYFUNCTION("IMPORTRANGE(""https://docs.google.com/spreadsheets/d/1nNHCLO8ZAXOMfQvxux7cf_hrzPAh8FAvaHq_ClKbZNo/edit?usp=sharing"",""พระนครศรีอยุธยา!L660"")"),20700)</f>
        <v>20700</v>
      </c>
      <c r="E64" s="64">
        <f ca="1">IFERROR(__xludf.DUMMYFUNCTION("IMPORTRANGE(""https://docs.google.com/spreadsheets/d/1nNHCLO8ZAXOMfQvxux7cf_hrzPAh8FAvaHq_ClKbZNo/edit?usp=sharing"",""พระนครศรีอยุธยา!L667"")"),0)</f>
        <v>0</v>
      </c>
      <c r="F64" s="64">
        <f ca="1">IFERROR(__xludf.DUMMYFUNCTION("IMPORTRANGE(""https://docs.google.com/spreadsheets/d/1nNHCLO8ZAXOMfQvxux7cf_hrzPAh8FAvaHq_ClKbZNo/edit?usp=sharing"",""พระนครศรีอยุธยา!M660"")"),20700)</f>
        <v>20700</v>
      </c>
      <c r="G64" s="64">
        <f ca="1">IFERROR(__xludf.DUMMYFUNCTION("IMPORTRANGE(""https://docs.google.com/spreadsheets/d/1nNHCLO8ZAXOMfQvxux7cf_hrzPAh8FAvaHq_ClKbZNo/edit?usp=sharing"",""พระนครศรีอยุธยา!M667"")"),0)</f>
        <v>0</v>
      </c>
      <c r="H64" s="58">
        <f t="shared" ca="1" si="27"/>
        <v>2573.1999999999998</v>
      </c>
      <c r="I64" s="59">
        <f t="shared" ca="1" si="1"/>
        <v>12.430917874396133</v>
      </c>
      <c r="J64" s="60">
        <f t="shared" ca="1" si="61"/>
        <v>2573.1999999999998</v>
      </c>
      <c r="K64" s="61">
        <f t="shared" ca="1" si="33"/>
        <v>12.430917874396133</v>
      </c>
      <c r="L64" s="61">
        <f t="shared" ca="1" si="34"/>
        <v>12.430917874396133</v>
      </c>
      <c r="M64" s="64">
        <f ca="1">IFERROR(__xludf.DUMMYFUNCTION("IMPORTRANGE(""https://docs.google.com/spreadsheets/d/1nNHCLO8ZAXOMfQvxux7cf_hrzPAh8FAvaHq_ClKbZNo/edit?usp=sharing"",""พระนครศรีอยุธยา!N661"")"),0)</f>
        <v>0</v>
      </c>
      <c r="N64" s="64">
        <f ca="1">IFERROR(__xludf.DUMMYFUNCTION("IMPORTRANGE(""https://docs.google.com/spreadsheets/d/1nNHCLO8ZAXOMfQvxux7cf_hrzPAh8FAvaHq_ClKbZNo/edit?usp=sharing"",""พระนครศรีอยุธยา!N662"")"),0)</f>
        <v>0</v>
      </c>
      <c r="O64" s="64">
        <f ca="1">IFERROR(__xludf.DUMMYFUNCTION("IMPORTRANGE(""https://docs.google.com/spreadsheets/d/1nNHCLO8ZAXOMfQvxux7cf_hrzPAh8FAvaHq_ClKbZNo/edit?usp=sharing"",""พระนครศรีอยุธยา!N663"")"),0)</f>
        <v>0</v>
      </c>
      <c r="P64" s="64">
        <f ca="1">IFERROR(__xludf.DUMMYFUNCTION("IMPORTRANGE(""https://docs.google.com/spreadsheets/d/1nNHCLO8ZAXOMfQvxux7cf_hrzPAh8FAvaHq_ClKbZNo/edit?usp=sharing"",""พระนครศรีอยุธยา!N664"")"),2573.2)</f>
        <v>2573.1999999999998</v>
      </c>
      <c r="Q64" s="62">
        <f ca="1">IFERROR(__xludf.DUMMYFUNCTION("IMPORTRANGE(""https://docs.google.com/spreadsheets/d/1nNHCLO8ZAXOMfQvxux7cf_hrzPAh8FAvaHq_ClKbZNo/edit?usp=sharing"",""พระนครศรีอยุธยา!N667"")"),0)</f>
        <v>0</v>
      </c>
      <c r="R64" s="62">
        <f t="shared" ca="1" si="36"/>
        <v>0</v>
      </c>
      <c r="S64" s="57">
        <f ca="1">IFERROR(__xludf.DUMMYFUNCTION("IMPORTRANGE(""https://docs.google.com/spreadsheets/d/1nNHCLO8ZAXOMfQvxux7cf_hrzPAh8FAvaHq_ClKbZNo/edit?usp=sharing"",""พระนครศรีอยุธยา!I669"")"),185)</f>
        <v>185</v>
      </c>
      <c r="T64" s="57">
        <f ca="1">IFERROR(__xludf.DUMMYFUNCTION("IMPORTRANGE(""https://docs.google.com/spreadsheets/d/1nNHCLO8ZAXOMfQvxux7cf_hrzPAh8FAvaHq_ClKbZNo/edit?usp=sharing"",""พระนครศรีอยุธยา!J669"")"),0)</f>
        <v>0</v>
      </c>
      <c r="U64" s="63">
        <f t="shared" ca="1" si="28"/>
        <v>0</v>
      </c>
      <c r="V64" s="57">
        <f ca="1">IFERROR(__xludf.DUMMYFUNCTION("IMPORTRANGE(""https://docs.google.com/spreadsheets/d/1nNHCLO8ZAXOMfQvxux7cf_hrzPAh8FAvaHq_ClKbZNo/edit?usp=sharing"",""พระนครศรีอยุธยา!I670"")"),6)</f>
        <v>6</v>
      </c>
      <c r="W64" s="57">
        <f ca="1">IFERROR(__xludf.DUMMYFUNCTION("IMPORTRANGE(""https://docs.google.com/spreadsheets/d/1nNHCLO8ZAXOMfQvxux7cf_hrzPAh8FAvaHq_ClKbZNo/edit?usp=sharing"",""พระนครศรีอยุธยา!J670"")"),6)</f>
        <v>6</v>
      </c>
      <c r="X64" s="63">
        <f t="shared" ca="1" si="29"/>
        <v>100</v>
      </c>
      <c r="Y64" s="57">
        <f ca="1">IFERROR(__xludf.DUMMYFUNCTION("IMPORTRANGE(""https://docs.google.com/spreadsheets/d/1nNHCLO8ZAXOMfQvxux7cf_hrzPAh8FAvaHq_ClKbZNo/edit?usp=sharing"",""พระนครศรีอยุธยา!I671"")"),6)</f>
        <v>6</v>
      </c>
      <c r="Z64" s="57">
        <f ca="1">IFERROR(__xludf.DUMMYFUNCTION("IMPORTRANGE(""https://docs.google.com/spreadsheets/d/1nNHCLO8ZAXOMfQvxux7cf_hrzPAh8FAvaHq_ClKbZNo/edit?usp=sharing"",""พระนครศรีอยุธยา!J671"")"),6)</f>
        <v>6</v>
      </c>
      <c r="AA64" s="63">
        <f t="shared" ca="1" si="30"/>
        <v>100</v>
      </c>
      <c r="AB64" s="57">
        <f ca="1">IFERROR(__xludf.DUMMYFUNCTION("IMPORTRANGE(""https://docs.google.com/spreadsheets/d/1nNHCLO8ZAXOMfQvxux7cf_hrzPAh8FAvaHq_ClKbZNo/edit?usp=sharing"",""พระนครศรีอยุธยา!J672"")"),224)</f>
        <v>224</v>
      </c>
      <c r="AC64" s="63">
        <f t="shared" ca="1" si="11"/>
        <v>121.08108108108108</v>
      </c>
      <c r="AD64" s="57">
        <f ca="1">IFERROR(__xludf.DUMMYFUNCTION("IMPORTRANGE(""https://docs.google.com/spreadsheets/d/1nNHCLO8ZAXOMfQvxux7cf_hrzPAh8FAvaHq_ClKbZNo/edit?usp=sharing"",""พระนครศรีอยุธยา!J673"")"),224)</f>
        <v>224</v>
      </c>
      <c r="AE64" s="63">
        <f t="shared" ca="1" si="12"/>
        <v>121.08108108108108</v>
      </c>
      <c r="AF64" s="63">
        <f ca="1">IFERROR(__xludf.DUMMYFUNCTION("IMPORTRANGE(""https://docs.google.com/spreadsheets/d/1nNHCLO8ZAXOMfQvxux7cf_hrzPAh8FAvaHq_ClKbZNo/edit?usp=sharing"",""พระนครศรีอยุธยา!J674"")"),0)</f>
        <v>0</v>
      </c>
      <c r="AG64" s="63">
        <f t="shared" ca="1" si="13"/>
        <v>0</v>
      </c>
      <c r="AH64" s="63">
        <f ca="1">IFERROR(__xludf.DUMMYFUNCTION("IMPORTRANGE(""https://docs.google.com/spreadsheets/d/1nNHCLO8ZAXOMfQvxux7cf_hrzPAh8FAvaHq_ClKbZNo/edit?usp=sharing"",""พระนครศรีอยุธยา!J675"")"),0)</f>
        <v>0</v>
      </c>
      <c r="AI64" s="63">
        <f t="shared" ca="1" si="21"/>
        <v>0</v>
      </c>
      <c r="AJ64" s="63">
        <f ca="1">IFERROR(__xludf.DUMMYFUNCTION("IMPORTRANGE(""https://docs.google.com/spreadsheets/d/1nNHCLO8ZAXOMfQvxux7cf_hrzPAh8FAvaHq_ClKbZNo/edit?usp=sharing"",""พระนครศรีอยุธยา!J676"")"),0)</f>
        <v>0</v>
      </c>
      <c r="AK64" s="63">
        <f ca="1">IFERROR(__xludf.DUMMYFUNCTION("IMPORTRANGE(""https://docs.google.com/spreadsheets/d/1nNHCLO8ZAXOMfQvxux7cf_hrzPAh8FAvaHq_ClKbZNo/edit?usp=sharing"",""พระนครศรีอยุธยา!J677"")"),0)</f>
        <v>0</v>
      </c>
      <c r="AL64" s="57">
        <f ca="1">IFERROR(__xludf.DUMMYFUNCTION("IMPORTRANGE(""https://docs.google.com/spreadsheets/d/1nNHCLO8ZAXOMfQvxux7cf_hrzPAh8FAvaHq_ClKbZNo/edit?usp=sharing"",""พระนครศรีอยุธยา!I678"")"),0)</f>
        <v>0</v>
      </c>
      <c r="AM64" s="57">
        <f ca="1">IFERROR(__xludf.DUMMYFUNCTION("IMPORTRANGE(""https://docs.google.com/spreadsheets/d/1nNHCLO8ZAXOMfQvxux7cf_hrzPAh8FAvaHq_ClKbZNo/edit?usp=sharing"",""พระนครศรีอยุธยา!J678"")"),136)</f>
        <v>136</v>
      </c>
      <c r="AN64" s="63">
        <f t="shared" ca="1" si="31"/>
        <v>0</v>
      </c>
      <c r="AO64" s="57">
        <f ca="1">IFERROR(__xludf.DUMMYFUNCTION("IMPORTRANGE(""https://docs.google.com/spreadsheets/d/1nNHCLO8ZAXOMfQvxux7cf_hrzPAh8FAvaHq_ClKbZNo/edit?usp=sharing"",""พระนครศรีอยุธยา!J679"")"),136)</f>
        <v>136</v>
      </c>
      <c r="AP64" s="57">
        <f ca="1">IFERROR(__xludf.DUMMYFUNCTION("IMPORTRANGE(""https://docs.google.com/spreadsheets/d/1nNHCLO8ZAXOMfQvxux7cf_hrzPAh8FAvaHq_ClKbZNo/edit?usp=sharing"",""พระนครศรีอยุธยา!J680"")"),136)</f>
        <v>136</v>
      </c>
      <c r="AQ64" s="57">
        <f ca="1">IFERROR(__xludf.DUMMYFUNCTION("IMPORTRANGE(""https://docs.google.com/spreadsheets/d/1nNHCLO8ZAXOMfQvxux7cf_hrzPAh8FAvaHq_ClKbZNo/edit?usp=sharing"",""พระนครศรีอยุธยา!J681"")"),0)</f>
        <v>0</v>
      </c>
      <c r="AR64" s="57">
        <f ca="1">IFERROR(__xludf.DUMMYFUNCTION("IMPORTRANGE(""https://docs.google.com/spreadsheets/d/1nNHCLO8ZAXOMfQvxux7cf_hrzPAh8FAvaHq_ClKbZNo/edit?usp=sharing"",""พระนครศรีอยุธยา!J682"")"),0)</f>
        <v>0</v>
      </c>
      <c r="AS64" s="57">
        <f ca="1">IFERROR(__xludf.DUMMYFUNCTION("IMPORTRANGE(""https://docs.google.com/spreadsheets/d/1nNHCLO8ZAXOMfQvxux7cf_hrzPAh8FAvaHq_ClKbZNo/edit?usp=sharing"",""พระนครศรีอยุธยา!J683"")"),0)</f>
        <v>0</v>
      </c>
    </row>
    <row r="65" spans="1:45" ht="21" customHeight="1" x14ac:dyDescent="0.3">
      <c r="A65" s="54">
        <v>13</v>
      </c>
      <c r="B65" s="55" t="s">
        <v>86</v>
      </c>
      <c r="C65" s="56">
        <f t="shared" ca="1" si="60"/>
        <v>9400</v>
      </c>
      <c r="D65" s="57">
        <f ca="1">IFERROR(__xludf.DUMMYFUNCTION("IMPORTRANGE(""https://docs.google.com/spreadsheets/d/1CdNicvf3i6yt4tJlCePe3V1Va76wYqW0QzMzTsaGRrA/edit?usp=sharing"",""เพชรบุรี!L660"")"),9400)</f>
        <v>9400</v>
      </c>
      <c r="E65" s="64">
        <f ca="1">IFERROR(__xludf.DUMMYFUNCTION("IMPORTRANGE(""https://docs.google.com/spreadsheets/d/1CdNicvf3i6yt4tJlCePe3V1Va76wYqW0QzMzTsaGRrA/edit?usp=sharing"",""เพชรบุรี!L667"")"),0)</f>
        <v>0</v>
      </c>
      <c r="F65" s="64">
        <f ca="1">IFERROR(__xludf.DUMMYFUNCTION("IMPORTRANGE(""https://docs.google.com/spreadsheets/d/1CdNicvf3i6yt4tJlCePe3V1Va76wYqW0QzMzTsaGRrA/edit?usp=sharing"",""เพชรบุรี!M660"")"),9400)</f>
        <v>9400</v>
      </c>
      <c r="G65" s="64">
        <f ca="1">IFERROR(__xludf.DUMMYFUNCTION("IMPORTRANGE(""https://docs.google.com/spreadsheets/d/1CdNicvf3i6yt4tJlCePe3V1Va76wYqW0QzMzTsaGRrA/edit?usp=sharing"",""เพชรบุรี!M667"")"),0)</f>
        <v>0</v>
      </c>
      <c r="H65" s="58">
        <f t="shared" ca="1" si="27"/>
        <v>4000</v>
      </c>
      <c r="I65" s="59">
        <f t="shared" ca="1" si="1"/>
        <v>42.553191489361701</v>
      </c>
      <c r="J65" s="60">
        <f t="shared" ca="1" si="61"/>
        <v>4000</v>
      </c>
      <c r="K65" s="61">
        <f t="shared" ca="1" si="33"/>
        <v>42.553191489361701</v>
      </c>
      <c r="L65" s="61">
        <f t="shared" ca="1" si="34"/>
        <v>42.553191489361701</v>
      </c>
      <c r="M65" s="64">
        <f ca="1">IFERROR(__xludf.DUMMYFUNCTION("IMPORTRANGE(""https://docs.google.com/spreadsheets/d/1CdNicvf3i6yt4tJlCePe3V1Va76wYqW0QzMzTsaGRrA/edit?usp=sharing"",""เพชรบุรี!N661"")"),0)</f>
        <v>0</v>
      </c>
      <c r="N65" s="64">
        <f ca="1">IFERROR(__xludf.DUMMYFUNCTION("IMPORTRANGE(""https://docs.google.com/spreadsheets/d/1CdNicvf3i6yt4tJlCePe3V1Va76wYqW0QzMzTsaGRrA/edit?usp=sharing"",""เพชรบุรี!N662"")"),0)</f>
        <v>0</v>
      </c>
      <c r="O65" s="64">
        <f ca="1">IFERROR(__xludf.DUMMYFUNCTION("IMPORTRANGE(""https://docs.google.com/spreadsheets/d/1CdNicvf3i6yt4tJlCePe3V1Va76wYqW0QzMzTsaGRrA/edit?usp=sharing"",""เพชรบุรี!N663"")"),0)</f>
        <v>0</v>
      </c>
      <c r="P65" s="64">
        <f ca="1">IFERROR(__xludf.DUMMYFUNCTION("IMPORTRANGE(""https://docs.google.com/spreadsheets/d/1CdNicvf3i6yt4tJlCePe3V1Va76wYqW0QzMzTsaGRrA/edit?usp=sharing"",""เพชรบุรี!N664"")"),4000)</f>
        <v>4000</v>
      </c>
      <c r="Q65" s="62">
        <f ca="1">IFERROR(__xludf.DUMMYFUNCTION("IMPORTRANGE(""https://docs.google.com/spreadsheets/d/1CdNicvf3i6yt4tJlCePe3V1Va76wYqW0QzMzTsaGRrA/edit?usp=sharing"",""เพชรบุรี!N667"")"),0)</f>
        <v>0</v>
      </c>
      <c r="R65" s="62">
        <f t="shared" ca="1" si="36"/>
        <v>0</v>
      </c>
      <c r="S65" s="57">
        <f ca="1">IFERROR(__xludf.DUMMYFUNCTION("IMPORTRANGE(""https://docs.google.com/spreadsheets/d/1CdNicvf3i6yt4tJlCePe3V1Va76wYqW0QzMzTsaGRrA/edit?usp=sharing"",""เพชรบุรี!I669"")"),50)</f>
        <v>50</v>
      </c>
      <c r="T65" s="57">
        <f ca="1">IFERROR(__xludf.DUMMYFUNCTION("IMPORTRANGE(""https://docs.google.com/spreadsheets/d/1CdNicvf3i6yt4tJlCePe3V1Va76wYqW0QzMzTsaGRrA/edit?usp=sharing"",""เพชรบุรี!J669"")"),0)</f>
        <v>0</v>
      </c>
      <c r="U65" s="63">
        <f t="shared" ca="1" si="28"/>
        <v>0</v>
      </c>
      <c r="V65" s="57">
        <f ca="1">IFERROR(__xludf.DUMMYFUNCTION("IMPORTRANGE(""https://docs.google.com/spreadsheets/d/1CdNicvf3i6yt4tJlCePe3V1Va76wYqW0QzMzTsaGRrA/edit?usp=sharing"",""เพชรบุรี!I670"")"),4)</f>
        <v>4</v>
      </c>
      <c r="W65" s="57">
        <f ca="1">IFERROR(__xludf.DUMMYFUNCTION("IMPORTRANGE(""https://docs.google.com/spreadsheets/d/1CdNicvf3i6yt4tJlCePe3V1Va76wYqW0QzMzTsaGRrA/edit?usp=sharing"",""เพชรบุรี!J670"")"),4)</f>
        <v>4</v>
      </c>
      <c r="X65" s="63">
        <f t="shared" ca="1" si="29"/>
        <v>100</v>
      </c>
      <c r="Y65" s="57">
        <f ca="1">IFERROR(__xludf.DUMMYFUNCTION("IMPORTRANGE(""https://docs.google.com/spreadsheets/d/1CdNicvf3i6yt4tJlCePe3V1Va76wYqW0QzMzTsaGRrA/edit?usp=sharing"",""เพชรบุรี!I671"")"),4)</f>
        <v>4</v>
      </c>
      <c r="Z65" s="57">
        <f ca="1">IFERROR(__xludf.DUMMYFUNCTION("IMPORTRANGE(""https://docs.google.com/spreadsheets/d/1CdNicvf3i6yt4tJlCePe3V1Va76wYqW0QzMzTsaGRrA/edit?usp=sharing"",""เพชรบุรี!J671"")"),4)</f>
        <v>4</v>
      </c>
      <c r="AA65" s="63">
        <f t="shared" ca="1" si="30"/>
        <v>100</v>
      </c>
      <c r="AB65" s="57">
        <f ca="1">IFERROR(__xludf.DUMMYFUNCTION("IMPORTRANGE(""https://docs.google.com/spreadsheets/d/1CdNicvf3i6yt4tJlCePe3V1Va76wYqW0QzMzTsaGRrA/edit?usp=sharing"",""เพชรบุรี!J672"")"),0)</f>
        <v>0</v>
      </c>
      <c r="AC65" s="63">
        <f t="shared" ca="1" si="11"/>
        <v>0</v>
      </c>
      <c r="AD65" s="57">
        <f ca="1">IFERROR(__xludf.DUMMYFUNCTION("IMPORTRANGE(""https://docs.google.com/spreadsheets/d/1CdNicvf3i6yt4tJlCePe3V1Va76wYqW0QzMzTsaGRrA/edit?usp=sharing"",""เพชรบุรี!J673"")"),0)</f>
        <v>0</v>
      </c>
      <c r="AE65" s="63">
        <f t="shared" ca="1" si="12"/>
        <v>0</v>
      </c>
      <c r="AF65" s="63">
        <f ca="1">IFERROR(__xludf.DUMMYFUNCTION("IMPORTRANGE(""https://docs.google.com/spreadsheets/d/1CdNicvf3i6yt4tJlCePe3V1Va76wYqW0QzMzTsaGRrA/edit?usp=sharing"",""เพชรบุรี!J674"")"),0)</f>
        <v>0</v>
      </c>
      <c r="AG65" s="63">
        <f t="shared" ca="1" si="13"/>
        <v>0</v>
      </c>
      <c r="AH65" s="63">
        <f ca="1">IFERROR(__xludf.DUMMYFUNCTION("IMPORTRANGE(""https://docs.google.com/spreadsheets/d/1CdNicvf3i6yt4tJlCePe3V1Va76wYqW0QzMzTsaGRrA/edit?usp=sharing"",""เพชรบุรี!J675"")"),0)</f>
        <v>0</v>
      </c>
      <c r="AI65" s="63">
        <f t="shared" ca="1" si="21"/>
        <v>0</v>
      </c>
      <c r="AJ65" s="63">
        <f ca="1">IFERROR(__xludf.DUMMYFUNCTION("IMPORTRANGE(""https://docs.google.com/spreadsheets/d/1CdNicvf3i6yt4tJlCePe3V1Va76wYqW0QzMzTsaGRrA/edit?usp=sharing"",""เพชรบุรี!J676"")"),0)</f>
        <v>0</v>
      </c>
      <c r="AK65" s="63">
        <f ca="1">IFERROR(__xludf.DUMMYFUNCTION("IMPORTRANGE(""https://docs.google.com/spreadsheets/d/1CdNicvf3i6yt4tJlCePe3V1Va76wYqW0QzMzTsaGRrA/edit?usp=sharing"",""เพชรบุรี!J677"")"),0)</f>
        <v>0</v>
      </c>
      <c r="AL65" s="57">
        <f ca="1">IFERROR(__xludf.DUMMYFUNCTION("IMPORTRANGE(""https://docs.google.com/spreadsheets/d/1CdNicvf3i6yt4tJlCePe3V1Va76wYqW0QzMzTsaGRrA/edit?usp=sharing"",""เพชรบุรี!I678"")"),0)</f>
        <v>0</v>
      </c>
      <c r="AM65" s="57">
        <f ca="1">IFERROR(__xludf.DUMMYFUNCTION("IMPORTRANGE(""https://docs.google.com/spreadsheets/d/1CdNicvf3i6yt4tJlCePe3V1Va76wYqW0QzMzTsaGRrA/edit?usp=sharing"",""เพชรบุรี!J678"")"),0)</f>
        <v>0</v>
      </c>
      <c r="AN65" s="63">
        <f t="shared" ca="1" si="31"/>
        <v>0</v>
      </c>
      <c r="AO65" s="57">
        <f ca="1">IFERROR(__xludf.DUMMYFUNCTION("IMPORTRANGE(""https://docs.google.com/spreadsheets/d/1CdNicvf3i6yt4tJlCePe3V1Va76wYqW0QzMzTsaGRrA/edit?usp=sharing"",""เพชรบุรี!J679"")"),0)</f>
        <v>0</v>
      </c>
      <c r="AP65" s="57">
        <f ca="1">IFERROR(__xludf.DUMMYFUNCTION("IMPORTRANGE(""https://docs.google.com/spreadsheets/d/1CdNicvf3i6yt4tJlCePe3V1Va76wYqW0QzMzTsaGRrA/edit?usp=sharing"",""เพชรบุรี!J680"")"),0)</f>
        <v>0</v>
      </c>
      <c r="AQ65" s="57">
        <f ca="1">IFERROR(__xludf.DUMMYFUNCTION("IMPORTRANGE(""https://docs.google.com/spreadsheets/d/1CdNicvf3i6yt4tJlCePe3V1Va76wYqW0QzMzTsaGRrA/edit?usp=sharing"",""เพชรบุรี!J681"")"),0)</f>
        <v>0</v>
      </c>
      <c r="AR65" s="57">
        <f ca="1">IFERROR(__xludf.DUMMYFUNCTION("IMPORTRANGE(""https://docs.google.com/spreadsheets/d/1CdNicvf3i6yt4tJlCePe3V1Va76wYqW0QzMzTsaGRrA/edit?usp=sharing"",""เพชรบุรี!J682"")"),0)</f>
        <v>0</v>
      </c>
      <c r="AS65" s="57">
        <f ca="1">IFERROR(__xludf.DUMMYFUNCTION("IMPORTRANGE(""https://docs.google.com/spreadsheets/d/1CdNicvf3i6yt4tJlCePe3V1Va76wYqW0QzMzTsaGRrA/edit?usp=sharing"",""เพชรบุรี!J683"")"),0)</f>
        <v>0</v>
      </c>
    </row>
    <row r="66" spans="1:45" ht="21" customHeight="1" x14ac:dyDescent="0.3">
      <c r="A66" s="54">
        <v>14</v>
      </c>
      <c r="B66" s="55" t="s">
        <v>87</v>
      </c>
      <c r="C66" s="56">
        <f t="shared" ca="1" si="60"/>
        <v>0</v>
      </c>
      <c r="D66" s="57">
        <f ca="1">IFERROR(__xludf.DUMMYFUNCTION("IMPORTRANGE(""https://docs.google.com/spreadsheets/d/1XiF77UIVHV0Kjc6xbXuOuJ10WgJYxd4p_22ngKVV5oM/edit?usp=sharing"",""ระยอง!L660"")"),0)</f>
        <v>0</v>
      </c>
      <c r="E66" s="64">
        <f ca="1">IFERROR(__xludf.DUMMYFUNCTION("IMPORTRANGE(""https://docs.google.com/spreadsheets/d/1XiF77UIVHV0Kjc6xbXuOuJ10WgJYxd4p_22ngKVV5oM/edit?usp=sharing"",""ระยอง!L667"")"),0)</f>
        <v>0</v>
      </c>
      <c r="F66" s="64">
        <f ca="1">IFERROR(__xludf.DUMMYFUNCTION("IMPORTRANGE(""https://docs.google.com/spreadsheets/d/1XiF77UIVHV0Kjc6xbXuOuJ10WgJYxd4p_22ngKVV5oM/edit?usp=sharing"",""ระยอง!M660"")"),0)</f>
        <v>0</v>
      </c>
      <c r="G66" s="64">
        <f ca="1">IFERROR(__xludf.DUMMYFUNCTION("IMPORTRANGE(""https://docs.google.com/spreadsheets/d/1XiF77UIVHV0Kjc6xbXuOuJ10WgJYxd4p_22ngKVV5oM/edit?usp=sharing"",""ระยอง!M667"")"),0)</f>
        <v>0</v>
      </c>
      <c r="H66" s="58">
        <f t="shared" ca="1" si="27"/>
        <v>0</v>
      </c>
      <c r="I66" s="59">
        <f t="shared" ca="1" si="1"/>
        <v>0</v>
      </c>
      <c r="J66" s="60">
        <f t="shared" ca="1" si="61"/>
        <v>0</v>
      </c>
      <c r="K66" s="61">
        <f t="shared" ca="1" si="33"/>
        <v>0</v>
      </c>
      <c r="L66" s="61">
        <f t="shared" ca="1" si="34"/>
        <v>0</v>
      </c>
      <c r="M66" s="64">
        <f ca="1">IFERROR(__xludf.DUMMYFUNCTION("IMPORTRANGE(""https://docs.google.com/spreadsheets/d/1XiF77UIVHV0Kjc6xbXuOuJ10WgJYxd4p_22ngKVV5oM/edit?usp=sharing"",""ระยอง!N661"")"),0)</f>
        <v>0</v>
      </c>
      <c r="N66" s="64">
        <f ca="1">IFERROR(__xludf.DUMMYFUNCTION("IMPORTRANGE(""https://docs.google.com/spreadsheets/d/1XiF77UIVHV0Kjc6xbXuOuJ10WgJYxd4p_22ngKVV5oM/edit?usp=sharing"",""ระยอง!N662"")"),0)</f>
        <v>0</v>
      </c>
      <c r="O66" s="64">
        <f ca="1">IFERROR(__xludf.DUMMYFUNCTION("IMPORTRANGE(""https://docs.google.com/spreadsheets/d/1XiF77UIVHV0Kjc6xbXuOuJ10WgJYxd4p_22ngKVV5oM/edit?usp=sharing"",""ระยอง!N663"")"),0)</f>
        <v>0</v>
      </c>
      <c r="P66" s="64">
        <f ca="1">IFERROR(__xludf.DUMMYFUNCTION("IMPORTRANGE(""https://docs.google.com/spreadsheets/d/1XiF77UIVHV0Kjc6xbXuOuJ10WgJYxd4p_22ngKVV5oM/edit?usp=sharing"",""ระยอง!N664"")"),0)</f>
        <v>0</v>
      </c>
      <c r="Q66" s="62">
        <f ca="1">IFERROR(__xludf.DUMMYFUNCTION("IMPORTRANGE(""https://docs.google.com/spreadsheets/d/1XiF77UIVHV0Kjc6xbXuOuJ10WgJYxd4p_22ngKVV5oM/edit?usp=sharing"",""ระยอง!N667"")"),0)</f>
        <v>0</v>
      </c>
      <c r="R66" s="62">
        <f t="shared" ca="1" si="36"/>
        <v>0</v>
      </c>
      <c r="S66" s="57">
        <f ca="1">IFERROR(__xludf.DUMMYFUNCTION("IMPORTRANGE(""https://docs.google.com/spreadsheets/d/1XiF77UIVHV0Kjc6xbXuOuJ10WgJYxd4p_22ngKVV5oM/edit?usp=sharing"",""ระยอง!I669"")"),0)</f>
        <v>0</v>
      </c>
      <c r="T66" s="57">
        <f ca="1">IFERROR(__xludf.DUMMYFUNCTION("IMPORTRANGE(""https://docs.google.com/spreadsheets/d/1XiF77UIVHV0Kjc6xbXuOuJ10WgJYxd4p_22ngKVV5oM/edit?usp=sharing"",""ระยอง!J669"")"),0)</f>
        <v>0</v>
      </c>
      <c r="U66" s="63">
        <f t="shared" ca="1" si="28"/>
        <v>0</v>
      </c>
      <c r="V66" s="57">
        <f ca="1">IFERROR(__xludf.DUMMYFUNCTION("IMPORTRANGE(""https://docs.google.com/spreadsheets/d/1XiF77UIVHV0Kjc6xbXuOuJ10WgJYxd4p_22ngKVV5oM/edit?usp=sharing"",""ระยอง!I670"")"),0)</f>
        <v>0</v>
      </c>
      <c r="W66" s="57">
        <f ca="1">IFERROR(__xludf.DUMMYFUNCTION("IMPORTRANGE(""https://docs.google.com/spreadsheets/d/1XiF77UIVHV0Kjc6xbXuOuJ10WgJYxd4p_22ngKVV5oM/edit?usp=sharing"",""ระยอง!J670"")"),0)</f>
        <v>0</v>
      </c>
      <c r="X66" s="63">
        <f t="shared" ca="1" si="29"/>
        <v>0</v>
      </c>
      <c r="Y66" s="57">
        <f ca="1">IFERROR(__xludf.DUMMYFUNCTION("IMPORTRANGE(""https://docs.google.com/spreadsheets/d/1XiF77UIVHV0Kjc6xbXuOuJ10WgJYxd4p_22ngKVV5oM/edit?usp=sharing"",""ระยอง!I671"")"),0)</f>
        <v>0</v>
      </c>
      <c r="Z66" s="57">
        <f ca="1">IFERROR(__xludf.DUMMYFUNCTION("IMPORTRANGE(""https://docs.google.com/spreadsheets/d/1XiF77UIVHV0Kjc6xbXuOuJ10WgJYxd4p_22ngKVV5oM/edit?usp=sharing"",""ระยอง!J671"")"),0)</f>
        <v>0</v>
      </c>
      <c r="AA66" s="63">
        <f t="shared" ca="1" si="30"/>
        <v>0</v>
      </c>
      <c r="AB66" s="57">
        <f ca="1">IFERROR(__xludf.DUMMYFUNCTION("IMPORTRANGE(""https://docs.google.com/spreadsheets/d/1XiF77UIVHV0Kjc6xbXuOuJ10WgJYxd4p_22ngKVV5oM/edit?usp=sharing"",""ระยอง!J672"")"),0)</f>
        <v>0</v>
      </c>
      <c r="AC66" s="63">
        <f t="shared" ca="1" si="11"/>
        <v>0</v>
      </c>
      <c r="AD66" s="57">
        <f ca="1">IFERROR(__xludf.DUMMYFUNCTION("IMPORTRANGE(""https://docs.google.com/spreadsheets/d/1XiF77UIVHV0Kjc6xbXuOuJ10WgJYxd4p_22ngKVV5oM/edit?usp=sharing"",""ระยอง!J673"")"),0)</f>
        <v>0</v>
      </c>
      <c r="AE66" s="63">
        <f t="shared" ca="1" si="12"/>
        <v>0</v>
      </c>
      <c r="AF66" s="63">
        <f ca="1">IFERROR(__xludf.DUMMYFUNCTION("IMPORTRANGE(""https://docs.google.com/spreadsheets/d/1XiF77UIVHV0Kjc6xbXuOuJ10WgJYxd4p_22ngKVV5oM/edit?usp=sharing"",""ระยอง!J674"")"),0)</f>
        <v>0</v>
      </c>
      <c r="AG66" s="63">
        <f t="shared" ca="1" si="13"/>
        <v>0</v>
      </c>
      <c r="AH66" s="63">
        <f ca="1">IFERROR(__xludf.DUMMYFUNCTION("IMPORTRANGE(""https://docs.google.com/spreadsheets/d/1XiF77UIVHV0Kjc6xbXuOuJ10WgJYxd4p_22ngKVV5oM/edit?usp=sharing"",""ระยอง!J675"")"),0)</f>
        <v>0</v>
      </c>
      <c r="AI66" s="63">
        <f t="shared" ca="1" si="21"/>
        <v>0</v>
      </c>
      <c r="AJ66" s="63">
        <f ca="1">IFERROR(__xludf.DUMMYFUNCTION("IMPORTRANGE(""https://docs.google.com/spreadsheets/d/1XiF77UIVHV0Kjc6xbXuOuJ10WgJYxd4p_22ngKVV5oM/edit?usp=sharing"",""ระยอง!J676"")"),0)</f>
        <v>0</v>
      </c>
      <c r="AK66" s="63">
        <f ca="1">IFERROR(__xludf.DUMMYFUNCTION("IMPORTRANGE(""https://docs.google.com/spreadsheets/d/1XiF77UIVHV0Kjc6xbXuOuJ10WgJYxd4p_22ngKVV5oM/edit?usp=sharing"",""ระยอง!J677"")"),0)</f>
        <v>0</v>
      </c>
      <c r="AL66" s="57">
        <f ca="1">IFERROR(__xludf.DUMMYFUNCTION("IMPORTRANGE(""https://docs.google.com/spreadsheets/d/1XiF77UIVHV0Kjc6xbXuOuJ10WgJYxd4p_22ngKVV5oM/edit?usp=sharing"",""ระยอง!I678"")"),0)</f>
        <v>0</v>
      </c>
      <c r="AM66" s="57">
        <f ca="1">IFERROR(__xludf.DUMMYFUNCTION("IMPORTRANGE(""https://docs.google.com/spreadsheets/d/1XiF77UIVHV0Kjc6xbXuOuJ10WgJYxd4p_22ngKVV5oM/edit?usp=sharing"",""ระยอง!J678"")"),0)</f>
        <v>0</v>
      </c>
      <c r="AN66" s="63">
        <f t="shared" ca="1" si="31"/>
        <v>0</v>
      </c>
      <c r="AO66" s="57">
        <f ca="1">IFERROR(__xludf.DUMMYFUNCTION("IMPORTRANGE(""https://docs.google.com/spreadsheets/d/1XiF77UIVHV0Kjc6xbXuOuJ10WgJYxd4p_22ngKVV5oM/edit?usp=sharing"",""ระยอง!J679"")"),0)</f>
        <v>0</v>
      </c>
      <c r="AP66" s="57">
        <f ca="1">IFERROR(__xludf.DUMMYFUNCTION("IMPORTRANGE(""https://docs.google.com/spreadsheets/d/1XiF77UIVHV0Kjc6xbXuOuJ10WgJYxd4p_22ngKVV5oM/edit?usp=sharing"",""ระยอง!J680"")"),0)</f>
        <v>0</v>
      </c>
      <c r="AQ66" s="57">
        <f ca="1">IFERROR(__xludf.DUMMYFUNCTION("IMPORTRANGE(""https://docs.google.com/spreadsheets/d/1XiF77UIVHV0Kjc6xbXuOuJ10WgJYxd4p_22ngKVV5oM/edit?usp=sharing"",""ระยอง!J681"")"),0)</f>
        <v>0</v>
      </c>
      <c r="AR66" s="57">
        <f ca="1">IFERROR(__xludf.DUMMYFUNCTION("IMPORTRANGE(""https://docs.google.com/spreadsheets/d/1XiF77UIVHV0Kjc6xbXuOuJ10WgJYxd4p_22ngKVV5oM/edit?usp=sharing"",""ระยอง!J682"")"),0)</f>
        <v>0</v>
      </c>
      <c r="AS66" s="57">
        <f ca="1">IFERROR(__xludf.DUMMYFUNCTION("IMPORTRANGE(""https://docs.google.com/spreadsheets/d/1XiF77UIVHV0Kjc6xbXuOuJ10WgJYxd4p_22ngKVV5oM/edit?usp=sharing"",""ระยอง!J683"")"),0)</f>
        <v>0</v>
      </c>
    </row>
    <row r="67" spans="1:45" ht="21" customHeight="1" x14ac:dyDescent="0.3">
      <c r="A67" s="54">
        <v>15</v>
      </c>
      <c r="B67" s="55" t="s">
        <v>88</v>
      </c>
      <c r="C67" s="56">
        <f t="shared" ca="1" si="60"/>
        <v>0</v>
      </c>
      <c r="D67" s="57">
        <f ca="1">IFERROR(__xludf.DUMMYFUNCTION("IMPORTRANGE(""https://docs.google.com/spreadsheets/d/1qU-W_9MCQD1pgIVXGEOjCFo9QqlmJywuebyGgaN92r8/edit?usp=sharing"",""ราชบุรี!L660"")"),0)</f>
        <v>0</v>
      </c>
      <c r="E67" s="64">
        <f ca="1">IFERROR(__xludf.DUMMYFUNCTION("IMPORTRANGE(""https://docs.google.com/spreadsheets/d/1qU-W_9MCQD1pgIVXGEOjCFo9QqlmJywuebyGgaN92r8/edit?usp=sharing"",""ราชบุรี!L667"")"),0)</f>
        <v>0</v>
      </c>
      <c r="F67" s="64">
        <f ca="1">IFERROR(__xludf.DUMMYFUNCTION("IMPORTRANGE(""https://docs.google.com/spreadsheets/d/1qU-W_9MCQD1pgIVXGEOjCFo9QqlmJywuebyGgaN92r8/edit?usp=sharing"",""ราชบุรี!M660"")"),0)</f>
        <v>0</v>
      </c>
      <c r="G67" s="64">
        <f ca="1">IFERROR(__xludf.DUMMYFUNCTION("IMPORTRANGE(""https://docs.google.com/spreadsheets/d/1qU-W_9MCQD1pgIVXGEOjCFo9QqlmJywuebyGgaN92r8/edit?usp=sharing"",""ราชบุรี!M667"")"),0)</f>
        <v>0</v>
      </c>
      <c r="H67" s="58">
        <f t="shared" ca="1" si="27"/>
        <v>0</v>
      </c>
      <c r="I67" s="59">
        <f t="shared" ca="1" si="1"/>
        <v>0</v>
      </c>
      <c r="J67" s="60">
        <f t="shared" ca="1" si="61"/>
        <v>0</v>
      </c>
      <c r="K67" s="61">
        <f t="shared" ca="1" si="33"/>
        <v>0</v>
      </c>
      <c r="L67" s="61">
        <f t="shared" ca="1" si="34"/>
        <v>0</v>
      </c>
      <c r="M67" s="64">
        <f ca="1">IFERROR(__xludf.DUMMYFUNCTION("IMPORTRANGE(""https://docs.google.com/spreadsheets/d/1qU-W_9MCQD1pgIVXGEOjCFo9QqlmJywuebyGgaN92r8/edit?usp=sharing"",""ราชบุรี!N661"")"),0)</f>
        <v>0</v>
      </c>
      <c r="N67" s="64">
        <f ca="1">IFERROR(__xludf.DUMMYFUNCTION("IMPORTRANGE(""https://docs.google.com/spreadsheets/d/1qU-W_9MCQD1pgIVXGEOjCFo9QqlmJywuebyGgaN92r8/edit?usp=sharing"",""ราชบุรี!N662"")"),0)</f>
        <v>0</v>
      </c>
      <c r="O67" s="64">
        <f ca="1">IFERROR(__xludf.DUMMYFUNCTION("IMPORTRANGE(""https://docs.google.com/spreadsheets/d/1qU-W_9MCQD1pgIVXGEOjCFo9QqlmJywuebyGgaN92r8/edit?usp=sharing"",""ราชบุรี!N663"")"),0)</f>
        <v>0</v>
      </c>
      <c r="P67" s="64">
        <f ca="1">IFERROR(__xludf.DUMMYFUNCTION("IMPORTRANGE(""https://docs.google.com/spreadsheets/d/1qU-W_9MCQD1pgIVXGEOjCFo9QqlmJywuebyGgaN92r8/edit?usp=sharing"",""ราชบุรี!N664"")"),0)</f>
        <v>0</v>
      </c>
      <c r="Q67" s="62">
        <f ca="1">IFERROR(__xludf.DUMMYFUNCTION("IMPORTRANGE(""https://docs.google.com/spreadsheets/d/1qU-W_9MCQD1pgIVXGEOjCFo9QqlmJywuebyGgaN92r8/edit?usp=sharing"",""ราชบุรี!N667"")"),0)</f>
        <v>0</v>
      </c>
      <c r="R67" s="62">
        <f t="shared" ca="1" si="36"/>
        <v>0</v>
      </c>
      <c r="S67" s="57">
        <f ca="1">IFERROR(__xludf.DUMMYFUNCTION("IMPORTRANGE(""https://docs.google.com/spreadsheets/d/1qU-W_9MCQD1pgIVXGEOjCFo9QqlmJywuebyGgaN92r8/edit?usp=sharing"",""ราชบุรี!I669"")"),0)</f>
        <v>0</v>
      </c>
      <c r="T67" s="57">
        <f ca="1">IFERROR(__xludf.DUMMYFUNCTION("IMPORTRANGE(""https://docs.google.com/spreadsheets/d/1qU-W_9MCQD1pgIVXGEOjCFo9QqlmJywuebyGgaN92r8/edit?usp=sharing"",""ราชบุรี!J669"")"),0)</f>
        <v>0</v>
      </c>
      <c r="U67" s="63">
        <f t="shared" ca="1" si="28"/>
        <v>0</v>
      </c>
      <c r="V67" s="57">
        <f ca="1">IFERROR(__xludf.DUMMYFUNCTION("IMPORTRANGE(""https://docs.google.com/spreadsheets/d/1qU-W_9MCQD1pgIVXGEOjCFo9QqlmJywuebyGgaN92r8/edit?usp=sharing"",""ราชบุรี!I670"")"),0)</f>
        <v>0</v>
      </c>
      <c r="W67" s="57">
        <f ca="1">IFERROR(__xludf.DUMMYFUNCTION("IMPORTRANGE(""https://docs.google.com/spreadsheets/d/1qU-W_9MCQD1pgIVXGEOjCFo9QqlmJywuebyGgaN92r8/edit?usp=sharing"",""ราชบุรี!J670"")"),0)</f>
        <v>0</v>
      </c>
      <c r="X67" s="63">
        <f t="shared" ca="1" si="29"/>
        <v>0</v>
      </c>
      <c r="Y67" s="57">
        <f ca="1">IFERROR(__xludf.DUMMYFUNCTION("IMPORTRANGE(""https://docs.google.com/spreadsheets/d/1qU-W_9MCQD1pgIVXGEOjCFo9QqlmJywuebyGgaN92r8/edit?usp=sharing"",""ราชบุรี!I671"")"),0)</f>
        <v>0</v>
      </c>
      <c r="Z67" s="57">
        <f ca="1">IFERROR(__xludf.DUMMYFUNCTION("IMPORTRANGE(""https://docs.google.com/spreadsheets/d/1qU-W_9MCQD1pgIVXGEOjCFo9QqlmJywuebyGgaN92r8/edit?usp=sharing"",""ราชบุรี!J671"")"),0)</f>
        <v>0</v>
      </c>
      <c r="AA67" s="63">
        <f t="shared" ca="1" si="30"/>
        <v>0</v>
      </c>
      <c r="AB67" s="57">
        <f ca="1">IFERROR(__xludf.DUMMYFUNCTION("IMPORTRANGE(""https://docs.google.com/spreadsheets/d/1qU-W_9MCQD1pgIVXGEOjCFo9QqlmJywuebyGgaN92r8/edit?usp=sharing"",""ราชบุรี!J672"")"),0)</f>
        <v>0</v>
      </c>
      <c r="AC67" s="63">
        <f t="shared" ca="1" si="11"/>
        <v>0</v>
      </c>
      <c r="AD67" s="57">
        <f ca="1">IFERROR(__xludf.DUMMYFUNCTION("IMPORTRANGE(""https://docs.google.com/spreadsheets/d/1qU-W_9MCQD1pgIVXGEOjCFo9QqlmJywuebyGgaN92r8/edit?usp=sharing"",""ราชบุรี!J673"")"),0)</f>
        <v>0</v>
      </c>
      <c r="AE67" s="63">
        <f t="shared" ca="1" si="12"/>
        <v>0</v>
      </c>
      <c r="AF67" s="63">
        <f ca="1">IFERROR(__xludf.DUMMYFUNCTION("IMPORTRANGE(""https://docs.google.com/spreadsheets/d/1qU-W_9MCQD1pgIVXGEOjCFo9QqlmJywuebyGgaN92r8/edit?usp=sharing"",""ราชบุรี!J674"")"),0)</f>
        <v>0</v>
      </c>
      <c r="AG67" s="63">
        <f t="shared" ca="1" si="13"/>
        <v>0</v>
      </c>
      <c r="AH67" s="63">
        <f ca="1">IFERROR(__xludf.DUMMYFUNCTION("IMPORTRANGE(""https://docs.google.com/spreadsheets/d/1qU-W_9MCQD1pgIVXGEOjCFo9QqlmJywuebyGgaN92r8/edit?usp=sharing"",""ราชบุรี!J675"")"),0)</f>
        <v>0</v>
      </c>
      <c r="AI67" s="63">
        <f t="shared" ca="1" si="21"/>
        <v>0</v>
      </c>
      <c r="AJ67" s="63">
        <f ca="1">IFERROR(__xludf.DUMMYFUNCTION("IMPORTRANGE(""https://docs.google.com/spreadsheets/d/1qU-W_9MCQD1pgIVXGEOjCFo9QqlmJywuebyGgaN92r8/edit?usp=sharing"",""ราชบุรี!J676"")"),0)</f>
        <v>0</v>
      </c>
      <c r="AK67" s="63">
        <f ca="1">IFERROR(__xludf.DUMMYFUNCTION("IMPORTRANGE(""https://docs.google.com/spreadsheets/d/1qU-W_9MCQD1pgIVXGEOjCFo9QqlmJywuebyGgaN92r8/edit?usp=sharing"",""ราชบุรี!J677"")"),0)</f>
        <v>0</v>
      </c>
      <c r="AL67" s="57">
        <f ca="1">IFERROR(__xludf.DUMMYFUNCTION("IMPORTRANGE(""https://docs.google.com/spreadsheets/d/1qU-W_9MCQD1pgIVXGEOjCFo9QqlmJywuebyGgaN92r8/edit?usp=sharing"",""ราชบุรี!I678"")"),0)</f>
        <v>0</v>
      </c>
      <c r="AM67" s="57">
        <f ca="1">IFERROR(__xludf.DUMMYFUNCTION("IMPORTRANGE(""https://docs.google.com/spreadsheets/d/1qU-W_9MCQD1pgIVXGEOjCFo9QqlmJywuebyGgaN92r8/edit?usp=sharing"",""ราชบุรี!J678"")"),0)</f>
        <v>0</v>
      </c>
      <c r="AN67" s="63">
        <f t="shared" ca="1" si="31"/>
        <v>0</v>
      </c>
      <c r="AO67" s="57">
        <f ca="1">IFERROR(__xludf.DUMMYFUNCTION("IMPORTRANGE(""https://docs.google.com/spreadsheets/d/1qU-W_9MCQD1pgIVXGEOjCFo9QqlmJywuebyGgaN92r8/edit?usp=sharing"",""ราชบุรี!J679"")"),0)</f>
        <v>0</v>
      </c>
      <c r="AP67" s="57">
        <f ca="1">IFERROR(__xludf.DUMMYFUNCTION("IMPORTRANGE(""https://docs.google.com/spreadsheets/d/1qU-W_9MCQD1pgIVXGEOjCFo9QqlmJywuebyGgaN92r8/edit?usp=sharing"",""ราชบุรี!J680"")"),0)</f>
        <v>0</v>
      </c>
      <c r="AQ67" s="57">
        <f ca="1">IFERROR(__xludf.DUMMYFUNCTION("IMPORTRANGE(""https://docs.google.com/spreadsheets/d/1qU-W_9MCQD1pgIVXGEOjCFo9QqlmJywuebyGgaN92r8/edit?usp=sharing"",""ราชบุรี!J681"")"),0)</f>
        <v>0</v>
      </c>
      <c r="AR67" s="57">
        <f ca="1">IFERROR(__xludf.DUMMYFUNCTION("IMPORTRANGE(""https://docs.google.com/spreadsheets/d/1qU-W_9MCQD1pgIVXGEOjCFo9QqlmJywuebyGgaN92r8/edit?usp=sharing"",""ราชบุรี!J682"")"),0)</f>
        <v>0</v>
      </c>
      <c r="AS67" s="57">
        <f ca="1">IFERROR(__xludf.DUMMYFUNCTION("IMPORTRANGE(""https://docs.google.com/spreadsheets/d/1qU-W_9MCQD1pgIVXGEOjCFo9QqlmJywuebyGgaN92r8/edit?usp=sharing"",""ราชบุรี!J683"")"),0)</f>
        <v>0</v>
      </c>
    </row>
    <row r="68" spans="1:45" ht="24" customHeight="1" x14ac:dyDescent="0.3">
      <c r="A68" s="54">
        <v>16</v>
      </c>
      <c r="B68" s="55" t="s">
        <v>89</v>
      </c>
      <c r="C68" s="56">
        <f t="shared" ca="1" si="60"/>
        <v>11000</v>
      </c>
      <c r="D68" s="57">
        <f ca="1">IFERROR(__xludf.DUMMYFUNCTION("IMPORTRANGE(""https://docs.google.com/spreadsheets/d/1xYFIxIM_CspAP5Q-5Zx_V0T_Ut3cjryrjd2hss28vGk/edit?usp=sharing"",""ลพบุรี!L660"")"),11000)</f>
        <v>11000</v>
      </c>
      <c r="E68" s="64">
        <f ca="1">IFERROR(__xludf.DUMMYFUNCTION("IMPORTRANGE(""https://docs.google.com/spreadsheets/d/1xYFIxIM_CspAP5Q-5Zx_V0T_Ut3cjryrjd2hss28vGk/edit?usp=sharing"",""ลพบุรี!L667"")"),0)</f>
        <v>0</v>
      </c>
      <c r="F68" s="64">
        <f ca="1">IFERROR(__xludf.DUMMYFUNCTION("IMPORTRANGE(""https://docs.google.com/spreadsheets/d/1xYFIxIM_CspAP5Q-5Zx_V0T_Ut3cjryrjd2hss28vGk/edit?usp=sharing"",""ลพบุรี!M660"")"),11000)</f>
        <v>11000</v>
      </c>
      <c r="G68" s="64">
        <f ca="1">IFERROR(__xludf.DUMMYFUNCTION("IMPORTRANGE(""https://docs.google.com/spreadsheets/d/1xYFIxIM_CspAP5Q-5Zx_V0T_Ut3cjryrjd2hss28vGk/edit?usp=sharing"",""ลพบุรี!M667"")"),0)</f>
        <v>0</v>
      </c>
      <c r="H68" s="58">
        <f t="shared" ca="1" si="27"/>
        <v>2500</v>
      </c>
      <c r="I68" s="59">
        <f t="shared" ca="1" si="1"/>
        <v>22.727272727272727</v>
      </c>
      <c r="J68" s="60">
        <f t="shared" ca="1" si="61"/>
        <v>2500</v>
      </c>
      <c r="K68" s="61">
        <f t="shared" ca="1" si="33"/>
        <v>22.727272727272727</v>
      </c>
      <c r="L68" s="61">
        <f t="shared" ca="1" si="34"/>
        <v>22.727272727272727</v>
      </c>
      <c r="M68" s="64">
        <f ca="1">IFERROR(__xludf.DUMMYFUNCTION("IMPORTRANGE(""https://docs.google.com/spreadsheets/d/1xYFIxIM_CspAP5Q-5Zx_V0T_Ut3cjryrjd2hss28vGk/edit?usp=sharing"",""ลพบุรี!N661"")"),0)</f>
        <v>0</v>
      </c>
      <c r="N68" s="64">
        <f ca="1">IFERROR(__xludf.DUMMYFUNCTION("IMPORTRANGE(""https://docs.google.com/spreadsheets/d/1xYFIxIM_CspAP5Q-5Zx_V0T_Ut3cjryrjd2hss28vGk/edit?usp=sharing"",""ลพบุรี!N662"")"),0)</f>
        <v>0</v>
      </c>
      <c r="O68" s="64">
        <f ca="1">IFERROR(__xludf.DUMMYFUNCTION("IMPORTRANGE(""https://docs.google.com/spreadsheets/d/1xYFIxIM_CspAP5Q-5Zx_V0T_Ut3cjryrjd2hss28vGk/edit?usp=sharing"",""ลพบุรี!N663"")"),0)</f>
        <v>0</v>
      </c>
      <c r="P68" s="64">
        <f ca="1">IFERROR(__xludf.DUMMYFUNCTION("IMPORTRANGE(""https://docs.google.com/spreadsheets/d/1xYFIxIM_CspAP5Q-5Zx_V0T_Ut3cjryrjd2hss28vGk/edit?usp=sharing"",""ลพบุรี!N664"")"),2500)</f>
        <v>2500</v>
      </c>
      <c r="Q68" s="62">
        <f ca="1">IFERROR(__xludf.DUMMYFUNCTION("IMPORTRANGE(""https://docs.google.com/spreadsheets/d/1xYFIxIM_CspAP5Q-5Zx_V0T_Ut3cjryrjd2hss28vGk/edit?usp=sharing"",""ลพบุรี!N667"")"),0)</f>
        <v>0</v>
      </c>
      <c r="R68" s="62">
        <f t="shared" ca="1" si="36"/>
        <v>0</v>
      </c>
      <c r="S68" s="57">
        <f ca="1">IFERROR(__xludf.DUMMYFUNCTION("IMPORTRANGE(""https://docs.google.com/spreadsheets/d/1xYFIxIM_CspAP5Q-5Zx_V0T_Ut3cjryrjd2hss28vGk/edit?usp=sharing"",""ลพบุรี!I669"")"),50)</f>
        <v>50</v>
      </c>
      <c r="T68" s="57">
        <f ca="1">IFERROR(__xludf.DUMMYFUNCTION("IMPORTRANGE(""https://docs.google.com/spreadsheets/d/1xYFIxIM_CspAP5Q-5Zx_V0T_Ut3cjryrjd2hss28vGk/edit?usp=sharing"",""ลพบุรี!J669"")"),0)</f>
        <v>0</v>
      </c>
      <c r="U68" s="63">
        <f t="shared" ca="1" si="28"/>
        <v>0</v>
      </c>
      <c r="V68" s="57">
        <f ca="1">IFERROR(__xludf.DUMMYFUNCTION("IMPORTRANGE(""https://docs.google.com/spreadsheets/d/1xYFIxIM_CspAP5Q-5Zx_V0T_Ut3cjryrjd2hss28vGk/edit?usp=sharing"",""ลพบุรี!I670"")"),5)</f>
        <v>5</v>
      </c>
      <c r="W68" s="57">
        <f ca="1">IFERROR(__xludf.DUMMYFUNCTION("IMPORTRANGE(""https://docs.google.com/spreadsheets/d/1xYFIxIM_CspAP5Q-5Zx_V0T_Ut3cjryrjd2hss28vGk/edit?usp=sharing"",""ลพบุรี!J670"")"),5)</f>
        <v>5</v>
      </c>
      <c r="X68" s="63">
        <f t="shared" ca="1" si="29"/>
        <v>100</v>
      </c>
      <c r="Y68" s="57">
        <f ca="1">IFERROR(__xludf.DUMMYFUNCTION("IMPORTRANGE(""https://docs.google.com/spreadsheets/d/1xYFIxIM_CspAP5Q-5Zx_V0T_Ut3cjryrjd2hss28vGk/edit?usp=sharing"",""ลพบุรี!I671"")"),5)</f>
        <v>5</v>
      </c>
      <c r="Z68" s="57">
        <f ca="1">IFERROR(__xludf.DUMMYFUNCTION("IMPORTRANGE(""https://docs.google.com/spreadsheets/d/1xYFIxIM_CspAP5Q-5Zx_V0T_Ut3cjryrjd2hss28vGk/edit?usp=sharing"",""ลพบุรี!J671"")"),5)</f>
        <v>5</v>
      </c>
      <c r="AA68" s="63">
        <f t="shared" ca="1" si="30"/>
        <v>100</v>
      </c>
      <c r="AB68" s="57">
        <f ca="1">IFERROR(__xludf.DUMMYFUNCTION("IMPORTRANGE(""https://docs.google.com/spreadsheets/d/1xYFIxIM_CspAP5Q-5Zx_V0T_Ut3cjryrjd2hss28vGk/edit?usp=sharing"",""ลพบุรี!J672"")"),0)</f>
        <v>0</v>
      </c>
      <c r="AC68" s="63">
        <f t="shared" ca="1" si="11"/>
        <v>0</v>
      </c>
      <c r="AD68" s="57">
        <f ca="1">IFERROR(__xludf.DUMMYFUNCTION("IMPORTRANGE(""https://docs.google.com/spreadsheets/d/1xYFIxIM_CspAP5Q-5Zx_V0T_Ut3cjryrjd2hss28vGk/edit?usp=sharing"",""ลพบุรี!J673"")"),0)</f>
        <v>0</v>
      </c>
      <c r="AE68" s="63">
        <f t="shared" ca="1" si="12"/>
        <v>0</v>
      </c>
      <c r="AF68" s="63">
        <f ca="1">IFERROR(__xludf.DUMMYFUNCTION("IMPORTRANGE(""https://docs.google.com/spreadsheets/d/1xYFIxIM_CspAP5Q-5Zx_V0T_Ut3cjryrjd2hss28vGk/edit?usp=sharing"",""ลพบุรี!J674"")"),0)</f>
        <v>0</v>
      </c>
      <c r="AG68" s="63">
        <f t="shared" ca="1" si="13"/>
        <v>0</v>
      </c>
      <c r="AH68" s="63">
        <f ca="1">IFERROR(__xludf.DUMMYFUNCTION("IMPORTRANGE(""https://docs.google.com/spreadsheets/d/1xYFIxIM_CspAP5Q-5Zx_V0T_Ut3cjryrjd2hss28vGk/edit?usp=sharing"",""ลพบุรี!J675"")"),0)</f>
        <v>0</v>
      </c>
      <c r="AI68" s="63">
        <f t="shared" ca="1" si="21"/>
        <v>0</v>
      </c>
      <c r="AJ68" s="63">
        <f ca="1">IFERROR(__xludf.DUMMYFUNCTION("IMPORTRANGE(""https://docs.google.com/spreadsheets/d/1xYFIxIM_CspAP5Q-5Zx_V0T_Ut3cjryrjd2hss28vGk/edit?usp=sharing"",""ลพบุรี!J676"")"),0)</f>
        <v>0</v>
      </c>
      <c r="AK68" s="63">
        <f ca="1">IFERROR(__xludf.DUMMYFUNCTION("IMPORTRANGE(""https://docs.google.com/spreadsheets/d/1xYFIxIM_CspAP5Q-5Zx_V0T_Ut3cjryrjd2hss28vGk/edit?usp=sharing"",""ลพบุรี!J677"")"),0)</f>
        <v>0</v>
      </c>
      <c r="AL68" s="57">
        <f ca="1">IFERROR(__xludf.DUMMYFUNCTION("IMPORTRANGE(""https://docs.google.com/spreadsheets/d/1xYFIxIM_CspAP5Q-5Zx_V0T_Ut3cjryrjd2hss28vGk/edit?usp=sharing"",""ลพบุรี!I678"")"),0)</f>
        <v>0</v>
      </c>
      <c r="AM68" s="57">
        <f ca="1">IFERROR(__xludf.DUMMYFUNCTION("IMPORTRANGE(""https://docs.google.com/spreadsheets/d/1xYFIxIM_CspAP5Q-5Zx_V0T_Ut3cjryrjd2hss28vGk/edit?usp=sharing"",""ลพบุรี!J678"")"),0)</f>
        <v>0</v>
      </c>
      <c r="AN68" s="63">
        <f t="shared" ca="1" si="31"/>
        <v>0</v>
      </c>
      <c r="AO68" s="57">
        <f ca="1">IFERROR(__xludf.DUMMYFUNCTION("IMPORTRANGE(""https://docs.google.com/spreadsheets/d/1xYFIxIM_CspAP5Q-5Zx_V0T_Ut3cjryrjd2hss28vGk/edit?usp=sharing"",""ลพบุรี!J679"")"),0)</f>
        <v>0</v>
      </c>
      <c r="AP68" s="57">
        <f ca="1">IFERROR(__xludf.DUMMYFUNCTION("IMPORTRANGE(""https://docs.google.com/spreadsheets/d/1xYFIxIM_CspAP5Q-5Zx_V0T_Ut3cjryrjd2hss28vGk/edit?usp=sharing"",""ลพบุรี!J680"")"),0)</f>
        <v>0</v>
      </c>
      <c r="AQ68" s="57">
        <f ca="1">IFERROR(__xludf.DUMMYFUNCTION("IMPORTRANGE(""https://docs.google.com/spreadsheets/d/1xYFIxIM_CspAP5Q-5Zx_V0T_Ut3cjryrjd2hss28vGk/edit?usp=sharing"",""ลพบุรี!J681"")"),0)</f>
        <v>0</v>
      </c>
      <c r="AR68" s="57">
        <f ca="1">IFERROR(__xludf.DUMMYFUNCTION("IMPORTRANGE(""https://docs.google.com/spreadsheets/d/1xYFIxIM_CspAP5Q-5Zx_V0T_Ut3cjryrjd2hss28vGk/edit?usp=sharing"",""ลพบุรี!J682"")"),0)</f>
        <v>0</v>
      </c>
      <c r="AS68" s="57">
        <f ca="1">IFERROR(__xludf.DUMMYFUNCTION("IMPORTRANGE(""https://docs.google.com/spreadsheets/d/1xYFIxIM_CspAP5Q-5Zx_V0T_Ut3cjryrjd2hss28vGk/edit?usp=sharing"",""ลพบุรี!J683"")"),0)</f>
        <v>0</v>
      </c>
    </row>
    <row r="69" spans="1:45" ht="21" customHeight="1" x14ac:dyDescent="0.3">
      <c r="A69" s="54">
        <v>17</v>
      </c>
      <c r="B69" s="55" t="s">
        <v>90</v>
      </c>
      <c r="C69" s="56">
        <f t="shared" ca="1" si="60"/>
        <v>12400</v>
      </c>
      <c r="D69" s="57">
        <f ca="1">IFERROR(__xludf.DUMMYFUNCTION("IMPORTRANGE(""https://docs.google.com/spreadsheets/d/11s9m3tKsCBdPWq6syhZm27eBGbKneDLZc75co106bio/edit?usp=sharing"",""สระแก้ว!L660"")"),12400)</f>
        <v>12400</v>
      </c>
      <c r="E69" s="64">
        <f ca="1">IFERROR(__xludf.DUMMYFUNCTION("IMPORTRANGE(""https://docs.google.com/spreadsheets/d/11s9m3tKsCBdPWq6syhZm27eBGbKneDLZc75co106bio/edit?usp=sharing"",""สระแก้ว!L667"")"),0)</f>
        <v>0</v>
      </c>
      <c r="F69" s="64">
        <f ca="1">IFERROR(__xludf.DUMMYFUNCTION("IMPORTRANGE(""https://docs.google.com/spreadsheets/d/11s9m3tKsCBdPWq6syhZm27eBGbKneDLZc75co106bio/edit?usp=sharing"",""สระแก้ว!M660"")"),12400)</f>
        <v>12400</v>
      </c>
      <c r="G69" s="64">
        <f ca="1">IFERROR(__xludf.DUMMYFUNCTION("IMPORTRANGE(""https://docs.google.com/spreadsheets/d/11s9m3tKsCBdPWq6syhZm27eBGbKneDLZc75co106bio/edit?usp=sharing"",""สระแก้ว!M667"")"),0)</f>
        <v>0</v>
      </c>
      <c r="H69" s="58">
        <f t="shared" ca="1" si="27"/>
        <v>3000</v>
      </c>
      <c r="I69" s="59">
        <f t="shared" ca="1" si="1"/>
        <v>24.193548387096776</v>
      </c>
      <c r="J69" s="60">
        <f t="shared" ca="1" si="61"/>
        <v>3000</v>
      </c>
      <c r="K69" s="61">
        <f t="shared" ca="1" si="33"/>
        <v>24.193548387096776</v>
      </c>
      <c r="L69" s="61">
        <f t="shared" ca="1" si="34"/>
        <v>24.193548387096776</v>
      </c>
      <c r="M69" s="64">
        <f ca="1">IFERROR(__xludf.DUMMYFUNCTION("IMPORTRANGE(""https://docs.google.com/spreadsheets/d/11s9m3tKsCBdPWq6syhZm27eBGbKneDLZc75co106bio/edit?usp=sharing"",""สระแก้ว!N661"")"),0)</f>
        <v>0</v>
      </c>
      <c r="N69" s="64">
        <f ca="1">IFERROR(__xludf.DUMMYFUNCTION("IMPORTRANGE(""https://docs.google.com/spreadsheets/d/11s9m3tKsCBdPWq6syhZm27eBGbKneDLZc75co106bio/edit?usp=sharing"",""สระแก้ว!N662"")"),0)</f>
        <v>0</v>
      </c>
      <c r="O69" s="64">
        <f ca="1">IFERROR(__xludf.DUMMYFUNCTION("IMPORTRANGE(""https://docs.google.com/spreadsheets/d/11s9m3tKsCBdPWq6syhZm27eBGbKneDLZc75co106bio/edit?usp=sharing"",""สระแก้ว!N663"")"),0)</f>
        <v>0</v>
      </c>
      <c r="P69" s="64">
        <f ca="1">IFERROR(__xludf.DUMMYFUNCTION("IMPORTRANGE(""https://docs.google.com/spreadsheets/d/11s9m3tKsCBdPWq6syhZm27eBGbKneDLZc75co106bio/edit?usp=sharing"",""สระแก้ว!N664"")"),3000)</f>
        <v>3000</v>
      </c>
      <c r="Q69" s="62">
        <f ca="1">IFERROR(__xludf.DUMMYFUNCTION("IMPORTRANGE(""https://docs.google.com/spreadsheets/d/11s9m3tKsCBdPWq6syhZm27eBGbKneDLZc75co106bio/edit?usp=sharing"",""สระแก้ว!N667"")"),0)</f>
        <v>0</v>
      </c>
      <c r="R69" s="62">
        <f t="shared" ca="1" si="36"/>
        <v>0</v>
      </c>
      <c r="S69" s="57">
        <f ca="1">IFERROR(__xludf.DUMMYFUNCTION("IMPORTRANGE(""https://docs.google.com/spreadsheets/d/11s9m3tKsCBdPWq6syhZm27eBGbKneDLZc75co106bio/edit?usp=sharing"",""สระแก้ว!I669"")"),100)</f>
        <v>100</v>
      </c>
      <c r="T69" s="57">
        <f ca="1">IFERROR(__xludf.DUMMYFUNCTION("IMPORTRANGE(""https://docs.google.com/spreadsheets/d/11s9m3tKsCBdPWq6syhZm27eBGbKneDLZc75co106bio/edit?usp=sharing"",""สระแก้ว!J669"")"),0)</f>
        <v>0</v>
      </c>
      <c r="U69" s="63">
        <f t="shared" ca="1" si="28"/>
        <v>0</v>
      </c>
      <c r="V69" s="57">
        <f ca="1">IFERROR(__xludf.DUMMYFUNCTION("IMPORTRANGE(""https://docs.google.com/spreadsheets/d/11s9m3tKsCBdPWq6syhZm27eBGbKneDLZc75co106bio/edit?usp=sharing"",""สระแก้ว!I670"")"),4)</f>
        <v>4</v>
      </c>
      <c r="W69" s="57">
        <f ca="1">IFERROR(__xludf.DUMMYFUNCTION("IMPORTRANGE(""https://docs.google.com/spreadsheets/d/11s9m3tKsCBdPWq6syhZm27eBGbKneDLZc75co106bio/edit?usp=sharing"",""สระแก้ว!J670"")"),4)</f>
        <v>4</v>
      </c>
      <c r="X69" s="63">
        <f t="shared" ca="1" si="29"/>
        <v>100</v>
      </c>
      <c r="Y69" s="57">
        <f ca="1">IFERROR(__xludf.DUMMYFUNCTION("IMPORTRANGE(""https://docs.google.com/spreadsheets/d/11s9m3tKsCBdPWq6syhZm27eBGbKneDLZc75co106bio/edit?usp=sharing"",""สระแก้ว!I671"")"),4)</f>
        <v>4</v>
      </c>
      <c r="Z69" s="57">
        <f ca="1">IFERROR(__xludf.DUMMYFUNCTION("IMPORTRANGE(""https://docs.google.com/spreadsheets/d/11s9m3tKsCBdPWq6syhZm27eBGbKneDLZc75co106bio/edit?usp=sharing"",""สระแก้ว!J671"")"),4)</f>
        <v>4</v>
      </c>
      <c r="AA69" s="63">
        <f t="shared" ca="1" si="30"/>
        <v>100</v>
      </c>
      <c r="AB69" s="57">
        <f ca="1">IFERROR(__xludf.DUMMYFUNCTION("IMPORTRANGE(""https://docs.google.com/spreadsheets/d/11s9m3tKsCBdPWq6syhZm27eBGbKneDLZc75co106bio/edit?usp=sharing"",""สระแก้ว!J672"")"),0)</f>
        <v>0</v>
      </c>
      <c r="AC69" s="63">
        <f t="shared" ca="1" si="11"/>
        <v>0</v>
      </c>
      <c r="AD69" s="57">
        <f ca="1">IFERROR(__xludf.DUMMYFUNCTION("IMPORTRANGE(""https://docs.google.com/spreadsheets/d/11s9m3tKsCBdPWq6syhZm27eBGbKneDLZc75co106bio/edit?usp=sharing"",""สระแก้ว!J673"")"),0)</f>
        <v>0</v>
      </c>
      <c r="AE69" s="63">
        <f t="shared" ca="1" si="12"/>
        <v>0</v>
      </c>
      <c r="AF69" s="63">
        <f ca="1">IFERROR(__xludf.DUMMYFUNCTION("IMPORTRANGE(""https://docs.google.com/spreadsheets/d/11s9m3tKsCBdPWq6syhZm27eBGbKneDLZc75co106bio/edit?usp=sharing"",""สระแก้ว!J674"")"),0)</f>
        <v>0</v>
      </c>
      <c r="AG69" s="63">
        <f t="shared" ca="1" si="13"/>
        <v>0</v>
      </c>
      <c r="AH69" s="63">
        <f ca="1">IFERROR(__xludf.DUMMYFUNCTION("IMPORTRANGE(""https://docs.google.com/spreadsheets/d/11s9m3tKsCBdPWq6syhZm27eBGbKneDLZc75co106bio/edit?usp=sharing"",""สระแก้ว!J675"")"),0)</f>
        <v>0</v>
      </c>
      <c r="AI69" s="63">
        <f t="shared" ca="1" si="21"/>
        <v>0</v>
      </c>
      <c r="AJ69" s="63">
        <f ca="1">IFERROR(__xludf.DUMMYFUNCTION("IMPORTRANGE(""https://docs.google.com/spreadsheets/d/11s9m3tKsCBdPWq6syhZm27eBGbKneDLZc75co106bio/edit?usp=sharing"",""สระแก้ว!J676"")"),0)</f>
        <v>0</v>
      </c>
      <c r="AK69" s="63">
        <f ca="1">IFERROR(__xludf.DUMMYFUNCTION("IMPORTRANGE(""https://docs.google.com/spreadsheets/d/11s9m3tKsCBdPWq6syhZm27eBGbKneDLZc75co106bio/edit?usp=sharing"",""สระแก้ว!J677"")"),0)</f>
        <v>0</v>
      </c>
      <c r="AL69" s="57">
        <f ca="1">IFERROR(__xludf.DUMMYFUNCTION("IMPORTRANGE(""https://docs.google.com/spreadsheets/d/11s9m3tKsCBdPWq6syhZm27eBGbKneDLZc75co106bio/edit?usp=sharing"",""สระแก้ว!I678"")"),0)</f>
        <v>0</v>
      </c>
      <c r="AM69" s="57">
        <f ca="1">IFERROR(__xludf.DUMMYFUNCTION("IMPORTRANGE(""https://docs.google.com/spreadsheets/d/11s9m3tKsCBdPWq6syhZm27eBGbKneDLZc75co106bio/edit?usp=sharing"",""สระแก้ว!J678"")"),0)</f>
        <v>0</v>
      </c>
      <c r="AN69" s="63">
        <f t="shared" ca="1" si="31"/>
        <v>0</v>
      </c>
      <c r="AO69" s="57">
        <f ca="1">IFERROR(__xludf.DUMMYFUNCTION("IMPORTRANGE(""https://docs.google.com/spreadsheets/d/11s9m3tKsCBdPWq6syhZm27eBGbKneDLZc75co106bio/edit?usp=sharing"",""สระแก้ว!J679"")"),0)</f>
        <v>0</v>
      </c>
      <c r="AP69" s="57">
        <f ca="1">IFERROR(__xludf.DUMMYFUNCTION("IMPORTRANGE(""https://docs.google.com/spreadsheets/d/11s9m3tKsCBdPWq6syhZm27eBGbKneDLZc75co106bio/edit?usp=sharing"",""สระแก้ว!J680"")"),0)</f>
        <v>0</v>
      </c>
      <c r="AQ69" s="57">
        <f ca="1">IFERROR(__xludf.DUMMYFUNCTION("IMPORTRANGE(""https://docs.google.com/spreadsheets/d/11s9m3tKsCBdPWq6syhZm27eBGbKneDLZc75co106bio/edit?usp=sharing"",""สระแก้ว!J681"")"),0)</f>
        <v>0</v>
      </c>
      <c r="AR69" s="57">
        <f ca="1">IFERROR(__xludf.DUMMYFUNCTION("IMPORTRANGE(""https://docs.google.com/spreadsheets/d/11s9m3tKsCBdPWq6syhZm27eBGbKneDLZc75co106bio/edit?usp=sharing"",""สระแก้ว!J682"")"),0)</f>
        <v>0</v>
      </c>
      <c r="AS69" s="57">
        <f ca="1">IFERROR(__xludf.DUMMYFUNCTION("IMPORTRANGE(""https://docs.google.com/spreadsheets/d/11s9m3tKsCBdPWq6syhZm27eBGbKneDLZc75co106bio/edit?usp=sharing"",""สระแก้ว!J683"")"),0)</f>
        <v>0</v>
      </c>
    </row>
    <row r="70" spans="1:45" ht="21" customHeight="1" x14ac:dyDescent="0.3">
      <c r="A70" s="54">
        <v>18</v>
      </c>
      <c r="B70" s="55" t="s">
        <v>91</v>
      </c>
      <c r="C70" s="56">
        <f t="shared" ca="1" si="60"/>
        <v>11000</v>
      </c>
      <c r="D70" s="57">
        <f ca="1">IFERROR(__xludf.DUMMYFUNCTION("IMPORTRANGE(""https://docs.google.com/spreadsheets/d/1Nn1EvsFPtXldgpgVb3Rcng2K2cls68LFQsBh2FyW0Bg/edit?usp=sharing"",""สระบุรี!L660"")"),11000)</f>
        <v>11000</v>
      </c>
      <c r="E70" s="64">
        <f ca="1">IFERROR(__xludf.DUMMYFUNCTION("IMPORTRANGE(""https://docs.google.com/spreadsheets/d/1Nn1EvsFPtXldgpgVb3Rcng2K2cls68LFQsBh2FyW0Bg/edit?usp=sharing"",""สระบุรี!L667"")"),0)</f>
        <v>0</v>
      </c>
      <c r="F70" s="64">
        <f ca="1">IFERROR(__xludf.DUMMYFUNCTION("IMPORTRANGE(""https://docs.google.com/spreadsheets/d/1Nn1EvsFPtXldgpgVb3Rcng2K2cls68LFQsBh2FyW0Bg/edit?usp=sharing"",""สระบุรี!M660"")"),11000)</f>
        <v>11000</v>
      </c>
      <c r="G70" s="64">
        <f ca="1">IFERROR(__xludf.DUMMYFUNCTION("IMPORTRANGE(""https://docs.google.com/spreadsheets/d/1Nn1EvsFPtXldgpgVb3Rcng2K2cls68LFQsBh2FyW0Bg/edit?usp=sharing"",""สระบุรี!M667"")"),0)</f>
        <v>0</v>
      </c>
      <c r="H70" s="58">
        <f t="shared" ca="1" si="27"/>
        <v>1980</v>
      </c>
      <c r="I70" s="59">
        <f t="shared" ca="1" si="1"/>
        <v>18</v>
      </c>
      <c r="J70" s="60">
        <f t="shared" ca="1" si="61"/>
        <v>1980</v>
      </c>
      <c r="K70" s="61">
        <f t="shared" ca="1" si="33"/>
        <v>18</v>
      </c>
      <c r="L70" s="61">
        <f t="shared" ca="1" si="34"/>
        <v>18</v>
      </c>
      <c r="M70" s="64">
        <f ca="1">IFERROR(__xludf.DUMMYFUNCTION("IMPORTRANGE(""https://docs.google.com/spreadsheets/d/1Nn1EvsFPtXldgpgVb3Rcng2K2cls68LFQsBh2FyW0Bg/edit?usp=sharing"",""สระบุรี!N661"")"),1500)</f>
        <v>1500</v>
      </c>
      <c r="N70" s="64">
        <f ca="1">IFERROR(__xludf.DUMMYFUNCTION("IMPORTRANGE(""https://docs.google.com/spreadsheets/d/1Nn1EvsFPtXldgpgVb3Rcng2K2cls68LFQsBh2FyW0Bg/edit?usp=sharing"",""สระบุรี!N662"")"),0)</f>
        <v>0</v>
      </c>
      <c r="O70" s="64">
        <f ca="1">IFERROR(__xludf.DUMMYFUNCTION("IMPORTRANGE(""https://docs.google.com/spreadsheets/d/1Nn1EvsFPtXldgpgVb3Rcng2K2cls68LFQsBh2FyW0Bg/edit?usp=sharing"",""สระบุรี!N663"")"),0)</f>
        <v>0</v>
      </c>
      <c r="P70" s="64">
        <f ca="1">IFERROR(__xludf.DUMMYFUNCTION("IMPORTRANGE(""https://docs.google.com/spreadsheets/d/1Nn1EvsFPtXldgpgVb3Rcng2K2cls68LFQsBh2FyW0Bg/edit?usp=sharing"",""สระบุรี!N664"")"),480)</f>
        <v>480</v>
      </c>
      <c r="Q70" s="62">
        <f ca="1">IFERROR(__xludf.DUMMYFUNCTION("IMPORTRANGE(""https://docs.google.com/spreadsheets/d/1Nn1EvsFPtXldgpgVb3Rcng2K2cls68LFQsBh2FyW0Bg/edit?usp=sharing"",""สระบุรี!N667"")"),0)</f>
        <v>0</v>
      </c>
      <c r="R70" s="62">
        <f t="shared" ca="1" si="36"/>
        <v>0</v>
      </c>
      <c r="S70" s="57">
        <f ca="1">IFERROR(__xludf.DUMMYFUNCTION("IMPORTRANGE(""https://docs.google.com/spreadsheets/d/1Nn1EvsFPtXldgpgVb3Rcng2K2cls68LFQsBh2FyW0Bg/edit?usp=sharing"",""สระบุรี!I669"")"),50)</f>
        <v>50</v>
      </c>
      <c r="T70" s="57">
        <f ca="1">IFERROR(__xludf.DUMMYFUNCTION("IMPORTRANGE(""https://docs.google.com/spreadsheets/d/1Nn1EvsFPtXldgpgVb3Rcng2K2cls68LFQsBh2FyW0Bg/edit?usp=sharing"",""สระบุรี!J669"")"),0)</f>
        <v>0</v>
      </c>
      <c r="U70" s="63">
        <f t="shared" ca="1" si="28"/>
        <v>0</v>
      </c>
      <c r="V70" s="57">
        <f ca="1">IFERROR(__xludf.DUMMYFUNCTION("IMPORTRANGE(""https://docs.google.com/spreadsheets/d/1Nn1EvsFPtXldgpgVb3Rcng2K2cls68LFQsBh2FyW0Bg/edit?usp=sharing"",""สระบุรี!I670"")"),5)</f>
        <v>5</v>
      </c>
      <c r="W70" s="57">
        <f ca="1">IFERROR(__xludf.DUMMYFUNCTION("IMPORTRANGE(""https://docs.google.com/spreadsheets/d/1Nn1EvsFPtXldgpgVb3Rcng2K2cls68LFQsBh2FyW0Bg/edit?usp=sharing"",""สระบุรี!J670"")"),5)</f>
        <v>5</v>
      </c>
      <c r="X70" s="63">
        <f t="shared" ca="1" si="29"/>
        <v>100</v>
      </c>
      <c r="Y70" s="57">
        <f ca="1">IFERROR(__xludf.DUMMYFUNCTION("IMPORTRANGE(""https://docs.google.com/spreadsheets/d/1Nn1EvsFPtXldgpgVb3Rcng2K2cls68LFQsBh2FyW0Bg/edit?usp=sharing"",""สระบุรี!I671"")"),5)</f>
        <v>5</v>
      </c>
      <c r="Z70" s="57">
        <f ca="1">IFERROR(__xludf.DUMMYFUNCTION("IMPORTRANGE(""https://docs.google.com/spreadsheets/d/1Nn1EvsFPtXldgpgVb3Rcng2K2cls68LFQsBh2FyW0Bg/edit?usp=sharing"",""สระบุรี!J671"")"),5)</f>
        <v>5</v>
      </c>
      <c r="AA70" s="63">
        <f t="shared" ca="1" si="30"/>
        <v>100</v>
      </c>
      <c r="AB70" s="57">
        <f ca="1">IFERROR(__xludf.DUMMYFUNCTION("IMPORTRANGE(""https://docs.google.com/spreadsheets/d/1Nn1EvsFPtXldgpgVb3Rcng2K2cls68LFQsBh2FyW0Bg/edit?usp=sharing"",""สระบุรี!J672"")"),0)</f>
        <v>0</v>
      </c>
      <c r="AC70" s="63">
        <f t="shared" ca="1" si="11"/>
        <v>0</v>
      </c>
      <c r="AD70" s="57">
        <f ca="1">IFERROR(__xludf.DUMMYFUNCTION("IMPORTRANGE(""https://docs.google.com/spreadsheets/d/1Nn1EvsFPtXldgpgVb3Rcng2K2cls68LFQsBh2FyW0Bg/edit?usp=sharing"",""สระบุรี!J673"")"),0)</f>
        <v>0</v>
      </c>
      <c r="AE70" s="63">
        <f t="shared" ca="1" si="12"/>
        <v>0</v>
      </c>
      <c r="AF70" s="63">
        <f ca="1">IFERROR(__xludf.DUMMYFUNCTION("IMPORTRANGE(""https://docs.google.com/spreadsheets/d/1Nn1EvsFPtXldgpgVb3Rcng2K2cls68LFQsBh2FyW0Bg/edit?usp=sharing"",""สระบุรี!J674"")"),0)</f>
        <v>0</v>
      </c>
      <c r="AG70" s="63">
        <f t="shared" ca="1" si="13"/>
        <v>0</v>
      </c>
      <c r="AH70" s="63">
        <f ca="1">IFERROR(__xludf.DUMMYFUNCTION("IMPORTRANGE(""https://docs.google.com/spreadsheets/d/1Nn1EvsFPtXldgpgVb3Rcng2K2cls68LFQsBh2FyW0Bg/edit?usp=sharing"",""สระบุรี!J675"")"),0)</f>
        <v>0</v>
      </c>
      <c r="AI70" s="63">
        <f t="shared" ca="1" si="21"/>
        <v>0</v>
      </c>
      <c r="AJ70" s="63">
        <f ca="1">IFERROR(__xludf.DUMMYFUNCTION("IMPORTRANGE(""https://docs.google.com/spreadsheets/d/1Nn1EvsFPtXldgpgVb3Rcng2K2cls68LFQsBh2FyW0Bg/edit?usp=sharing"",""สระบุรี!J676"")"),0)</f>
        <v>0</v>
      </c>
      <c r="AK70" s="63">
        <f ca="1">IFERROR(__xludf.DUMMYFUNCTION("IMPORTRANGE(""https://docs.google.com/spreadsheets/d/1Nn1EvsFPtXldgpgVb3Rcng2K2cls68LFQsBh2FyW0Bg/edit?usp=sharing"",""สระบุรี!J677"")"),0)</f>
        <v>0</v>
      </c>
      <c r="AL70" s="57">
        <f ca="1">IFERROR(__xludf.DUMMYFUNCTION("IMPORTRANGE(""https://docs.google.com/spreadsheets/d/1Nn1EvsFPtXldgpgVb3Rcng2K2cls68LFQsBh2FyW0Bg/edit?usp=sharing"",""สระบุรี!I678"")"),0)</f>
        <v>0</v>
      </c>
      <c r="AM70" s="57">
        <f ca="1">IFERROR(__xludf.DUMMYFUNCTION("IMPORTRANGE(""https://docs.google.com/spreadsheets/d/1Nn1EvsFPtXldgpgVb3Rcng2K2cls68LFQsBh2FyW0Bg/edit?usp=sharing"",""สระบุรี!J678"")"),0)</f>
        <v>0</v>
      </c>
      <c r="AN70" s="63">
        <f t="shared" ca="1" si="31"/>
        <v>0</v>
      </c>
      <c r="AO70" s="57">
        <f ca="1">IFERROR(__xludf.DUMMYFUNCTION("IMPORTRANGE(""https://docs.google.com/spreadsheets/d/1Nn1EvsFPtXldgpgVb3Rcng2K2cls68LFQsBh2FyW0Bg/edit?usp=sharing"",""สระบุรี!J679"")"),0)</f>
        <v>0</v>
      </c>
      <c r="AP70" s="57">
        <f ca="1">IFERROR(__xludf.DUMMYFUNCTION("IMPORTRANGE(""https://docs.google.com/spreadsheets/d/1Nn1EvsFPtXldgpgVb3Rcng2K2cls68LFQsBh2FyW0Bg/edit?usp=sharing"",""สระบุรี!J680"")"),0)</f>
        <v>0</v>
      </c>
      <c r="AQ70" s="57">
        <f ca="1">IFERROR(__xludf.DUMMYFUNCTION("IMPORTRANGE(""https://docs.google.com/spreadsheets/d/1Nn1EvsFPtXldgpgVb3Rcng2K2cls68LFQsBh2FyW0Bg/edit?usp=sharing"",""สระบุรี!J681"")"),0)</f>
        <v>0</v>
      </c>
      <c r="AR70" s="57">
        <f ca="1">IFERROR(__xludf.DUMMYFUNCTION("IMPORTRANGE(""https://docs.google.com/spreadsheets/d/1Nn1EvsFPtXldgpgVb3Rcng2K2cls68LFQsBh2FyW0Bg/edit?usp=sharing"",""สระบุรี!J682"")"),0)</f>
        <v>0</v>
      </c>
      <c r="AS70" s="57">
        <f ca="1">IFERROR(__xludf.DUMMYFUNCTION("IMPORTRANGE(""https://docs.google.com/spreadsheets/d/1Nn1EvsFPtXldgpgVb3Rcng2K2cls68LFQsBh2FyW0Bg/edit?usp=sharing"",""สระบุรี!J683"")"),0)</f>
        <v>0</v>
      </c>
    </row>
    <row r="71" spans="1:45" ht="21" customHeight="1" x14ac:dyDescent="0.3">
      <c r="A71" s="54">
        <v>19</v>
      </c>
      <c r="B71" s="55" t="s">
        <v>92</v>
      </c>
      <c r="C71" s="56">
        <f t="shared" ca="1" si="60"/>
        <v>12400</v>
      </c>
      <c r="D71" s="57">
        <f ca="1">IFERROR(__xludf.DUMMYFUNCTION("IMPORTRANGE(""https://docs.google.com/spreadsheets/d/149xufxukrnEciK3WPbNpHwUK8BKEJxp3UcBG3Al6dA4/edit?usp=sharing"",""สิงห์บุรี!L660"")"),12400)</f>
        <v>12400</v>
      </c>
      <c r="E71" s="64">
        <f ca="1">IFERROR(__xludf.DUMMYFUNCTION("IMPORTRANGE(""https://docs.google.com/spreadsheets/d/149xufxukrnEciK3WPbNpHwUK8BKEJxp3UcBG3Al6dA4/edit?usp=sharing"",""สิงห์บุรี!L667"")"),0)</f>
        <v>0</v>
      </c>
      <c r="F71" s="64">
        <f ca="1">IFERROR(__xludf.DUMMYFUNCTION("IMPORTRANGE(""https://docs.google.com/spreadsheets/d/149xufxukrnEciK3WPbNpHwUK8BKEJxp3UcBG3Al6dA4/edit?usp=sharing"",""สิงห์บุรี!M660"")"),12400)</f>
        <v>12400</v>
      </c>
      <c r="G71" s="64">
        <f ca="1">IFERROR(__xludf.DUMMYFUNCTION("IMPORTRANGE(""https://docs.google.com/spreadsheets/d/149xufxukrnEciK3WPbNpHwUK8BKEJxp3UcBG3Al6dA4/edit?usp=sharing"",""สิงห์บุรี!M667"")"),0)</f>
        <v>0</v>
      </c>
      <c r="H71" s="58">
        <f t="shared" ca="1" si="27"/>
        <v>19051</v>
      </c>
      <c r="I71" s="59">
        <f t="shared" ca="1" si="1"/>
        <v>153.63709677419354</v>
      </c>
      <c r="J71" s="60">
        <f t="shared" ca="1" si="61"/>
        <v>19051</v>
      </c>
      <c r="K71" s="61">
        <f t="shared" ca="1" si="33"/>
        <v>153.63709677419354</v>
      </c>
      <c r="L71" s="61">
        <f t="shared" ca="1" si="34"/>
        <v>153.63709677419354</v>
      </c>
      <c r="M71" s="64">
        <f ca="1">IFERROR(__xludf.DUMMYFUNCTION("IMPORTRANGE(""https://docs.google.com/spreadsheets/d/149xufxukrnEciK3WPbNpHwUK8BKEJxp3UcBG3Al6dA4/edit?usp=sharing"",""สิงห์บุรี!N661"")"),0)</f>
        <v>0</v>
      </c>
      <c r="N71" s="64">
        <f ca="1">IFERROR(__xludf.DUMMYFUNCTION("IMPORTRANGE(""https://docs.google.com/spreadsheets/d/149xufxukrnEciK3WPbNpHwUK8BKEJxp3UcBG3Al6dA4/edit?usp=sharing"",""สิงห์บุรี!N662"")"),0)</f>
        <v>0</v>
      </c>
      <c r="O71" s="64">
        <f ca="1">IFERROR(__xludf.DUMMYFUNCTION("IMPORTRANGE(""https://docs.google.com/spreadsheets/d/149xufxukrnEciK3WPbNpHwUK8BKEJxp3UcBG3Al6dA4/edit?usp=sharing"",""สิงห์บุรี!N663"")"),0)</f>
        <v>0</v>
      </c>
      <c r="P71" s="64">
        <f ca="1">IFERROR(__xludf.DUMMYFUNCTION("IMPORTRANGE(""https://docs.google.com/spreadsheets/d/149xufxukrnEciK3WPbNpHwUK8BKEJxp3UcBG3Al6dA4/edit?usp=sharing"",""สิงห์บุรี!N664"")"),19051)</f>
        <v>19051</v>
      </c>
      <c r="Q71" s="62">
        <f ca="1">IFERROR(__xludf.DUMMYFUNCTION("IMPORTRANGE(""https://docs.google.com/spreadsheets/d/149xufxukrnEciK3WPbNpHwUK8BKEJxp3UcBG3Al6dA4/edit?usp=sharing"",""สิงห์บุรี!N667"")"),0)</f>
        <v>0</v>
      </c>
      <c r="R71" s="62">
        <f t="shared" ca="1" si="36"/>
        <v>0</v>
      </c>
      <c r="S71" s="57">
        <f ca="1">IFERROR(__xludf.DUMMYFUNCTION("IMPORTRANGE(""https://docs.google.com/spreadsheets/d/149xufxukrnEciK3WPbNpHwUK8BKEJxp3UcBG3Al6dA4/edit?usp=sharing"",""สิงห์บุรี!I669"")"),100)</f>
        <v>100</v>
      </c>
      <c r="T71" s="57">
        <f ca="1">IFERROR(__xludf.DUMMYFUNCTION("IMPORTRANGE(""https://docs.google.com/spreadsheets/d/149xufxukrnEciK3WPbNpHwUK8BKEJxp3UcBG3Al6dA4/edit?usp=sharing"",""สิงห์บุรี!J669"")"),143)</f>
        <v>143</v>
      </c>
      <c r="U71" s="63">
        <f t="shared" ca="1" si="28"/>
        <v>143</v>
      </c>
      <c r="V71" s="57">
        <f ca="1">IFERROR(__xludf.DUMMYFUNCTION("IMPORTRANGE(""https://docs.google.com/spreadsheets/d/149xufxukrnEciK3WPbNpHwUK8BKEJxp3UcBG3Al6dA4/edit?usp=sharing"",""สิงห์บุรี!I670"")"),4)</f>
        <v>4</v>
      </c>
      <c r="W71" s="57">
        <f ca="1">IFERROR(__xludf.DUMMYFUNCTION("IMPORTRANGE(""https://docs.google.com/spreadsheets/d/149xufxukrnEciK3WPbNpHwUK8BKEJxp3UcBG3Al6dA4/edit?usp=sharing"",""สิงห์บุรี!J670"")"),4)</f>
        <v>4</v>
      </c>
      <c r="X71" s="63">
        <f t="shared" ca="1" si="29"/>
        <v>100</v>
      </c>
      <c r="Y71" s="57">
        <f ca="1">IFERROR(__xludf.DUMMYFUNCTION("IMPORTRANGE(""https://docs.google.com/spreadsheets/d/149xufxukrnEciK3WPbNpHwUK8BKEJxp3UcBG3Al6dA4/edit?usp=sharing"",""สิงห์บุรี!I671"")"),4)</f>
        <v>4</v>
      </c>
      <c r="Z71" s="57">
        <f ca="1">IFERROR(__xludf.DUMMYFUNCTION("IMPORTRANGE(""https://docs.google.com/spreadsheets/d/149xufxukrnEciK3WPbNpHwUK8BKEJxp3UcBG3Al6dA4/edit?usp=sharing"",""สิงห์บุรี!J671"")"),4)</f>
        <v>4</v>
      </c>
      <c r="AA71" s="63">
        <f t="shared" ca="1" si="30"/>
        <v>100</v>
      </c>
      <c r="AB71" s="57">
        <f ca="1">IFERROR(__xludf.DUMMYFUNCTION("IMPORTRANGE(""https://docs.google.com/spreadsheets/d/149xufxukrnEciK3WPbNpHwUK8BKEJxp3UcBG3Al6dA4/edit?usp=sharing"",""สิงห์บุรี!J672"")"),170)</f>
        <v>170</v>
      </c>
      <c r="AC71" s="63">
        <f t="shared" ca="1" si="11"/>
        <v>170</v>
      </c>
      <c r="AD71" s="57">
        <f ca="1">IFERROR(__xludf.DUMMYFUNCTION("IMPORTRANGE(""https://docs.google.com/spreadsheets/d/149xufxukrnEciK3WPbNpHwUK8BKEJxp3UcBG3Al6dA4/edit?usp=sharing"",""สิงห์บุรี!J673"")"),170)</f>
        <v>170</v>
      </c>
      <c r="AE71" s="63">
        <f t="shared" ca="1" si="12"/>
        <v>170</v>
      </c>
      <c r="AF71" s="63">
        <f ca="1">IFERROR(__xludf.DUMMYFUNCTION("IMPORTRANGE(""https://docs.google.com/spreadsheets/d/149xufxukrnEciK3WPbNpHwUK8BKEJxp3UcBG3Al6dA4/edit?usp=sharing"",""สิงห์บุรี!J674"")"),170)</f>
        <v>170</v>
      </c>
      <c r="AG71" s="63">
        <f t="shared" ca="1" si="13"/>
        <v>170</v>
      </c>
      <c r="AH71" s="63">
        <f ca="1">IFERROR(__xludf.DUMMYFUNCTION("IMPORTRANGE(""https://docs.google.com/spreadsheets/d/149xufxukrnEciK3WPbNpHwUK8BKEJxp3UcBG3Al6dA4/edit?usp=sharing"",""สิงห์บุรี!J675"")"),143)</f>
        <v>143</v>
      </c>
      <c r="AI71" s="63">
        <f t="shared" ca="1" si="21"/>
        <v>100</v>
      </c>
      <c r="AJ71" s="63">
        <f ca="1">IFERROR(__xludf.DUMMYFUNCTION("IMPORTRANGE(""https://docs.google.com/spreadsheets/d/149xufxukrnEciK3WPbNpHwUK8BKEJxp3UcBG3Al6dA4/edit?usp=sharing"",""สิงห์บุรี!J676"")"),0)</f>
        <v>0</v>
      </c>
      <c r="AK71" s="63">
        <f ca="1">IFERROR(__xludf.DUMMYFUNCTION("IMPORTRANGE(""https://docs.google.com/spreadsheets/d/149xufxukrnEciK3WPbNpHwUK8BKEJxp3UcBG3Al6dA4/edit?usp=sharing"",""สิงห์บุรี!J677"")"),143)</f>
        <v>143</v>
      </c>
      <c r="AL71" s="57">
        <f ca="1">IFERROR(__xludf.DUMMYFUNCTION("IMPORTRANGE(""https://docs.google.com/spreadsheets/d/149xufxukrnEciK3WPbNpHwUK8BKEJxp3UcBG3Al6dA4/edit?usp=sharing"",""สิงห์บุรี!I678"")"),0)</f>
        <v>0</v>
      </c>
      <c r="AM71" s="57">
        <f ca="1">IFERROR(__xludf.DUMMYFUNCTION("IMPORTRANGE(""https://docs.google.com/spreadsheets/d/149xufxukrnEciK3WPbNpHwUK8BKEJxp3UcBG3Al6dA4/edit?usp=sharing"",""สิงห์บุรี!J678"")"),0)</f>
        <v>0</v>
      </c>
      <c r="AN71" s="63">
        <f t="shared" ca="1" si="31"/>
        <v>0</v>
      </c>
      <c r="AO71" s="57">
        <f ca="1">IFERROR(__xludf.DUMMYFUNCTION("IMPORTRANGE(""https://docs.google.com/spreadsheets/d/149xufxukrnEciK3WPbNpHwUK8BKEJxp3UcBG3Al6dA4/edit?usp=sharing"",""สิงห์บุรี!J679"")"),0)</f>
        <v>0</v>
      </c>
      <c r="AP71" s="57">
        <f ca="1">IFERROR(__xludf.DUMMYFUNCTION("IMPORTRANGE(""https://docs.google.com/spreadsheets/d/149xufxukrnEciK3WPbNpHwUK8BKEJxp3UcBG3Al6dA4/edit?usp=sharing"",""สิงห์บุรี!J680"")"),0)</f>
        <v>0</v>
      </c>
      <c r="AQ71" s="57">
        <f ca="1">IFERROR(__xludf.DUMMYFUNCTION("IMPORTRANGE(""https://docs.google.com/spreadsheets/d/149xufxukrnEciK3WPbNpHwUK8BKEJxp3UcBG3Al6dA4/edit?usp=sharing"",""สิงห์บุรี!J681"")"),0)</f>
        <v>0</v>
      </c>
      <c r="AR71" s="57">
        <f ca="1">IFERROR(__xludf.DUMMYFUNCTION("IMPORTRANGE(""https://docs.google.com/spreadsheets/d/149xufxukrnEciK3WPbNpHwUK8BKEJxp3UcBG3Al6dA4/edit?usp=sharing"",""สิงห์บุรี!J682"")"),0)</f>
        <v>0</v>
      </c>
      <c r="AS71" s="57">
        <f ca="1">IFERROR(__xludf.DUMMYFUNCTION("IMPORTRANGE(""https://docs.google.com/spreadsheets/d/149xufxukrnEciK3WPbNpHwUK8BKEJxp3UcBG3Al6dA4/edit?usp=sharing"",""สิงห์บุรี!J683"")"),0)</f>
        <v>0</v>
      </c>
    </row>
    <row r="72" spans="1:45" ht="21" customHeight="1" x14ac:dyDescent="0.3">
      <c r="A72" s="54">
        <v>20</v>
      </c>
      <c r="B72" s="55" t="s">
        <v>93</v>
      </c>
      <c r="C72" s="56">
        <f t="shared" ca="1" si="60"/>
        <v>12400</v>
      </c>
      <c r="D72" s="57">
        <f ca="1">IFERROR(__xludf.DUMMYFUNCTION("IMPORTRANGE(""https://docs.google.com/spreadsheets/d/132g-zJpz2uMKimp17uOIx8A7o3w1Z25zwJyXnwsB56c/edit?usp=sharing"",""สุพรรณบุรี!L660"")"),12400)</f>
        <v>12400</v>
      </c>
      <c r="E72" s="64">
        <f ca="1">IFERROR(__xludf.DUMMYFUNCTION("IMPORTRANGE(""https://docs.google.com/spreadsheets/d/132g-zJpz2uMKimp17uOIx8A7o3w1Z25zwJyXnwsB56c/edit?usp=sharing"",""สุพรรณบุรี!L667"")"),0)</f>
        <v>0</v>
      </c>
      <c r="F72" s="64">
        <f ca="1">IFERROR(__xludf.DUMMYFUNCTION("IMPORTRANGE(""https://docs.google.com/spreadsheets/d/132g-zJpz2uMKimp17uOIx8A7o3w1Z25zwJyXnwsB56c/edit?usp=sharing"",""สุพรรณบุรี!M660"")"),12400)</f>
        <v>12400</v>
      </c>
      <c r="G72" s="64">
        <f ca="1">IFERROR(__xludf.DUMMYFUNCTION("IMPORTRANGE(""https://docs.google.com/spreadsheets/d/132g-zJpz2uMKimp17uOIx8A7o3w1Z25zwJyXnwsB56c/edit?usp=sharing"",""สุพรรณบุรี!M667"")"),0)</f>
        <v>0</v>
      </c>
      <c r="H72" s="58">
        <f t="shared" ca="1" si="27"/>
        <v>0</v>
      </c>
      <c r="I72" s="59">
        <f t="shared" ca="1" si="1"/>
        <v>0</v>
      </c>
      <c r="J72" s="60">
        <f t="shared" ca="1" si="61"/>
        <v>0</v>
      </c>
      <c r="K72" s="61">
        <f t="shared" ca="1" si="33"/>
        <v>0</v>
      </c>
      <c r="L72" s="61">
        <f t="shared" ca="1" si="34"/>
        <v>0</v>
      </c>
      <c r="M72" s="64">
        <f ca="1">IFERROR(__xludf.DUMMYFUNCTION("IMPORTRANGE(""https://docs.google.com/spreadsheets/d/132g-zJpz2uMKimp17uOIx8A7o3w1Z25zwJyXnwsB56c/edit?usp=sharing"",""สุพรรณบุรี!N661"")"),0)</f>
        <v>0</v>
      </c>
      <c r="N72" s="64">
        <f ca="1">IFERROR(__xludf.DUMMYFUNCTION("IMPORTRANGE(""https://docs.google.com/spreadsheets/d/132g-zJpz2uMKimp17uOIx8A7o3w1Z25zwJyXnwsB56c/edit?usp=sharing"",""สุพรรณบุรี!N662"")"),0)</f>
        <v>0</v>
      </c>
      <c r="O72" s="64">
        <f ca="1">IFERROR(__xludf.DUMMYFUNCTION("IMPORTRANGE(""https://docs.google.com/spreadsheets/d/132g-zJpz2uMKimp17uOIx8A7o3w1Z25zwJyXnwsB56c/edit?usp=sharing"",""สุพรรณบุรี!N663"")"),0)</f>
        <v>0</v>
      </c>
      <c r="P72" s="64">
        <f ca="1">IFERROR(__xludf.DUMMYFUNCTION("IMPORTRANGE(""https://docs.google.com/spreadsheets/d/132g-zJpz2uMKimp17uOIx8A7o3w1Z25zwJyXnwsB56c/edit?usp=sharing"",""สุพรรณบุรี!N664"")"),0)</f>
        <v>0</v>
      </c>
      <c r="Q72" s="62">
        <f ca="1">IFERROR(__xludf.DUMMYFUNCTION("IMPORTRANGE(""https://docs.google.com/spreadsheets/d/132g-zJpz2uMKimp17uOIx8A7o3w1Z25zwJyXnwsB56c/edit?usp=sharing"",""สุพรรณบุรี!N667"")"),0)</f>
        <v>0</v>
      </c>
      <c r="R72" s="62">
        <f t="shared" ca="1" si="36"/>
        <v>0</v>
      </c>
      <c r="S72" s="57">
        <f ca="1">IFERROR(__xludf.DUMMYFUNCTION("IMPORTRANGE(""https://docs.google.com/spreadsheets/d/132g-zJpz2uMKimp17uOIx8A7o3w1Z25zwJyXnwsB56c/edit?usp=sharing"",""สุพรรณบุรี!I669"")"),100)</f>
        <v>100</v>
      </c>
      <c r="T72" s="57">
        <f ca="1">IFERROR(__xludf.DUMMYFUNCTION("IMPORTRANGE(""https://docs.google.com/spreadsheets/d/132g-zJpz2uMKimp17uOIx8A7o3w1Z25zwJyXnwsB56c/edit?usp=sharing"",""สุพรรณบุรี!J669"")"),0)</f>
        <v>0</v>
      </c>
      <c r="U72" s="63">
        <f t="shared" ca="1" si="28"/>
        <v>0</v>
      </c>
      <c r="V72" s="57">
        <f ca="1">IFERROR(__xludf.DUMMYFUNCTION("IMPORTRANGE(""https://docs.google.com/spreadsheets/d/132g-zJpz2uMKimp17uOIx8A7o3w1Z25zwJyXnwsB56c/edit?usp=sharing"",""สุพรรณบุรี!I670"")"),4)</f>
        <v>4</v>
      </c>
      <c r="W72" s="57">
        <f ca="1">IFERROR(__xludf.DUMMYFUNCTION("IMPORTRANGE(""https://docs.google.com/spreadsheets/d/132g-zJpz2uMKimp17uOIx8A7o3w1Z25zwJyXnwsB56c/edit?usp=sharing"",""สุพรรณบุรี!J670"")"),4)</f>
        <v>4</v>
      </c>
      <c r="X72" s="63">
        <f t="shared" ca="1" si="29"/>
        <v>100</v>
      </c>
      <c r="Y72" s="57">
        <f ca="1">IFERROR(__xludf.DUMMYFUNCTION("IMPORTRANGE(""https://docs.google.com/spreadsheets/d/132g-zJpz2uMKimp17uOIx8A7o3w1Z25zwJyXnwsB56c/edit?usp=sharing"",""สุพรรณบุรี!I671"")"),4)</f>
        <v>4</v>
      </c>
      <c r="Z72" s="57">
        <f ca="1">IFERROR(__xludf.DUMMYFUNCTION("IMPORTRANGE(""https://docs.google.com/spreadsheets/d/132g-zJpz2uMKimp17uOIx8A7o3w1Z25zwJyXnwsB56c/edit?usp=sharing"",""สุพรรณบุรี!J671"")"),4)</f>
        <v>4</v>
      </c>
      <c r="AA72" s="63">
        <f t="shared" ca="1" si="30"/>
        <v>100</v>
      </c>
      <c r="AB72" s="57">
        <f ca="1">IFERROR(__xludf.DUMMYFUNCTION("IMPORTRANGE(""https://docs.google.com/spreadsheets/d/132g-zJpz2uMKimp17uOIx8A7o3w1Z25zwJyXnwsB56c/edit?usp=sharing"",""สุพรรณบุรี!J672"")"),0)</f>
        <v>0</v>
      </c>
      <c r="AC72" s="63">
        <f t="shared" ca="1" si="11"/>
        <v>0</v>
      </c>
      <c r="AD72" s="57">
        <f ca="1">IFERROR(__xludf.DUMMYFUNCTION("IMPORTRANGE(""https://docs.google.com/spreadsheets/d/132g-zJpz2uMKimp17uOIx8A7o3w1Z25zwJyXnwsB56c/edit?usp=sharing"",""สุพรรณบุรี!J673"")"),0)</f>
        <v>0</v>
      </c>
      <c r="AE72" s="63">
        <f t="shared" ca="1" si="12"/>
        <v>0</v>
      </c>
      <c r="AF72" s="63">
        <f ca="1">IFERROR(__xludf.DUMMYFUNCTION("IMPORTRANGE(""https://docs.google.com/spreadsheets/d/132g-zJpz2uMKimp17uOIx8A7o3w1Z25zwJyXnwsB56c/edit?usp=sharing"",""สุพรรณบุรี!J674"")"),0)</f>
        <v>0</v>
      </c>
      <c r="AG72" s="63">
        <f t="shared" ca="1" si="13"/>
        <v>0</v>
      </c>
      <c r="AH72" s="63">
        <f ca="1">IFERROR(__xludf.DUMMYFUNCTION("IMPORTRANGE(""https://docs.google.com/spreadsheets/d/132g-zJpz2uMKimp17uOIx8A7o3w1Z25zwJyXnwsB56c/edit?usp=sharing"",""สุพรรณบุรี!J675"")"),0)</f>
        <v>0</v>
      </c>
      <c r="AI72" s="63">
        <f t="shared" ca="1" si="21"/>
        <v>0</v>
      </c>
      <c r="AJ72" s="63">
        <f ca="1">IFERROR(__xludf.DUMMYFUNCTION("IMPORTRANGE(""https://docs.google.com/spreadsheets/d/132g-zJpz2uMKimp17uOIx8A7o3w1Z25zwJyXnwsB56c/edit?usp=sharing"",""สุพรรณบุรี!J676"")"),0)</f>
        <v>0</v>
      </c>
      <c r="AK72" s="63">
        <f ca="1">IFERROR(__xludf.DUMMYFUNCTION("IMPORTRANGE(""https://docs.google.com/spreadsheets/d/132g-zJpz2uMKimp17uOIx8A7o3w1Z25zwJyXnwsB56c/edit?usp=sharing"",""สุพรรณบุรี!J677"")"),0)</f>
        <v>0</v>
      </c>
      <c r="AL72" s="57">
        <f ca="1">IFERROR(__xludf.DUMMYFUNCTION("IMPORTRANGE(""https://docs.google.com/spreadsheets/d/132g-zJpz2uMKimp17uOIx8A7o3w1Z25zwJyXnwsB56c/edit?usp=sharing"",""สุพรรณบุรี!I678"")"),0)</f>
        <v>0</v>
      </c>
      <c r="AM72" s="57">
        <f ca="1">IFERROR(__xludf.DUMMYFUNCTION("IMPORTRANGE(""https://docs.google.com/spreadsheets/d/132g-zJpz2uMKimp17uOIx8A7o3w1Z25zwJyXnwsB56c/edit?usp=sharing"",""สุพรรณบุรี!J678"")"),0)</f>
        <v>0</v>
      </c>
      <c r="AN72" s="63">
        <f t="shared" ca="1" si="31"/>
        <v>0</v>
      </c>
      <c r="AO72" s="57">
        <f ca="1">IFERROR(__xludf.DUMMYFUNCTION("IMPORTRANGE(""https://docs.google.com/spreadsheets/d/132g-zJpz2uMKimp17uOIx8A7o3w1Z25zwJyXnwsB56c/edit?usp=sharing"",""สุพรรณบุรี!J679"")"),0)</f>
        <v>0</v>
      </c>
      <c r="AP72" s="57">
        <f ca="1">IFERROR(__xludf.DUMMYFUNCTION("IMPORTRANGE(""https://docs.google.com/spreadsheets/d/132g-zJpz2uMKimp17uOIx8A7o3w1Z25zwJyXnwsB56c/edit?usp=sharing"",""สุพรรณบุรี!J680"")"),0)</f>
        <v>0</v>
      </c>
      <c r="AQ72" s="57">
        <f ca="1">IFERROR(__xludf.DUMMYFUNCTION("IMPORTRANGE(""https://docs.google.com/spreadsheets/d/132g-zJpz2uMKimp17uOIx8A7o3w1Z25zwJyXnwsB56c/edit?usp=sharing"",""สุพรรณบุรี!J681"")"),0)</f>
        <v>0</v>
      </c>
      <c r="AR72" s="57">
        <f ca="1">IFERROR(__xludf.DUMMYFUNCTION("IMPORTRANGE(""https://docs.google.com/spreadsheets/d/132g-zJpz2uMKimp17uOIx8A7o3w1Z25zwJyXnwsB56c/edit?usp=sharing"",""สุพรรณบุรี!J682"")"),0)</f>
        <v>0</v>
      </c>
      <c r="AS72" s="57">
        <f ca="1">IFERROR(__xludf.DUMMYFUNCTION("IMPORTRANGE(""https://docs.google.com/spreadsheets/d/132g-zJpz2uMKimp17uOIx8A7o3w1Z25zwJyXnwsB56c/edit?usp=sharing"",""สุพรรณบุรี!J683"")"),0)</f>
        <v>0</v>
      </c>
    </row>
    <row r="73" spans="1:45" ht="21" customHeight="1" x14ac:dyDescent="0.3">
      <c r="A73" s="65">
        <v>21</v>
      </c>
      <c r="B73" s="66" t="s">
        <v>94</v>
      </c>
      <c r="C73" s="67">
        <f t="shared" ca="1" si="60"/>
        <v>12400</v>
      </c>
      <c r="D73" s="68">
        <f ca="1">IFERROR(__xludf.DUMMYFUNCTION("IMPORTRANGE(""https://docs.google.com/spreadsheets/d/12Q_U0nVnFdxDFwa0pej9xvx8ZvLC9Dpi_vRro_aiG5g/edit?usp=sharing"",""อ่างทอง!L660"")"),12400)</f>
        <v>12400</v>
      </c>
      <c r="E73" s="69">
        <f ca="1">IFERROR(__xludf.DUMMYFUNCTION("IMPORTRANGE(""https://docs.google.com/spreadsheets/d/12Q_U0nVnFdxDFwa0pej9xvx8ZvLC9Dpi_vRro_aiG5g/edit?usp=sharing"",""อ่างทอง!L667"")"),0)</f>
        <v>0</v>
      </c>
      <c r="F73" s="69">
        <f ca="1">IFERROR(__xludf.DUMMYFUNCTION("IMPORTRANGE(""https://docs.google.com/spreadsheets/d/12Q_U0nVnFdxDFwa0pej9xvx8ZvLC9Dpi_vRro_aiG5g/edit?usp=sharing"",""อ่างทอง!M660"")"),12400)</f>
        <v>12400</v>
      </c>
      <c r="G73" s="69">
        <f ca="1">IFERROR(__xludf.DUMMYFUNCTION("IMPORTRANGE(""https://docs.google.com/spreadsheets/d/12Q_U0nVnFdxDFwa0pej9xvx8ZvLC9Dpi_vRro_aiG5g/edit?usp=sharing"",""อ่างทอง!M667"")"),0)</f>
        <v>0</v>
      </c>
      <c r="H73" s="70">
        <f t="shared" ca="1" si="27"/>
        <v>2097</v>
      </c>
      <c r="I73" s="71">
        <f t="shared" ca="1" si="1"/>
        <v>16.911290322580644</v>
      </c>
      <c r="J73" s="72">
        <f t="shared" ca="1" si="61"/>
        <v>2097</v>
      </c>
      <c r="K73" s="73">
        <f t="shared" ca="1" si="33"/>
        <v>16.911290322580644</v>
      </c>
      <c r="L73" s="73">
        <f t="shared" ca="1" si="34"/>
        <v>16.911290322580644</v>
      </c>
      <c r="M73" s="69">
        <f ca="1">IFERROR(__xludf.DUMMYFUNCTION("IMPORTRANGE(""https://docs.google.com/spreadsheets/d/12Q_U0nVnFdxDFwa0pej9xvx8ZvLC9Dpi_vRro_aiG5g/edit?usp=sharing"",""อ่างทอง!N661"")"),0)</f>
        <v>0</v>
      </c>
      <c r="N73" s="69">
        <f ca="1">IFERROR(__xludf.DUMMYFUNCTION("IMPORTRANGE(""https://docs.google.com/spreadsheets/d/12Q_U0nVnFdxDFwa0pej9xvx8ZvLC9Dpi_vRro_aiG5g/edit?usp=sharing"",""อ่างทอง!N662"")"),0)</f>
        <v>0</v>
      </c>
      <c r="O73" s="69">
        <f ca="1">IFERROR(__xludf.DUMMYFUNCTION("IMPORTRANGE(""https://docs.google.com/spreadsheets/d/12Q_U0nVnFdxDFwa0pej9xvx8ZvLC9Dpi_vRro_aiG5g/edit?usp=sharing"",""อ่างทอง!N663"")"),0)</f>
        <v>0</v>
      </c>
      <c r="P73" s="69">
        <f ca="1">IFERROR(__xludf.DUMMYFUNCTION("IMPORTRANGE(""https://docs.google.com/spreadsheets/d/12Q_U0nVnFdxDFwa0pej9xvx8ZvLC9Dpi_vRro_aiG5g/edit?usp=sharing"",""อ่างทอง!N664"")"),2097)</f>
        <v>2097</v>
      </c>
      <c r="Q73" s="74">
        <f ca="1">IFERROR(__xludf.DUMMYFUNCTION("IMPORTRANGE(""https://docs.google.com/spreadsheets/d/12Q_U0nVnFdxDFwa0pej9xvx8ZvLC9Dpi_vRro_aiG5g/edit?usp=sharing"",""อ่างทอง!N667"")"),0)</f>
        <v>0</v>
      </c>
      <c r="R73" s="74">
        <f t="shared" ca="1" si="36"/>
        <v>0</v>
      </c>
      <c r="S73" s="68">
        <f ca="1">IFERROR(__xludf.DUMMYFUNCTION("IMPORTRANGE(""https://docs.google.com/spreadsheets/d/12Q_U0nVnFdxDFwa0pej9xvx8ZvLC9Dpi_vRro_aiG5g/edit?usp=sharing"",""อ่างทอง!I669"")"),100)</f>
        <v>100</v>
      </c>
      <c r="T73" s="68">
        <f ca="1">IFERROR(__xludf.DUMMYFUNCTION("IMPORTRANGE(""https://docs.google.com/spreadsheets/d/12Q_U0nVnFdxDFwa0pej9xvx8ZvLC9Dpi_vRro_aiG5g/edit?usp=sharing"",""อ่างทอง!J669"")"),0)</f>
        <v>0</v>
      </c>
      <c r="U73" s="75">
        <f t="shared" ca="1" si="28"/>
        <v>0</v>
      </c>
      <c r="V73" s="68">
        <f ca="1">IFERROR(__xludf.DUMMYFUNCTION("IMPORTRANGE(""https://docs.google.com/spreadsheets/d/12Q_U0nVnFdxDFwa0pej9xvx8ZvLC9Dpi_vRro_aiG5g/edit?usp=sharing"",""อ่างทอง!I670"")"),4)</f>
        <v>4</v>
      </c>
      <c r="W73" s="68">
        <f ca="1">IFERROR(__xludf.DUMMYFUNCTION("IMPORTRANGE(""https://docs.google.com/spreadsheets/d/12Q_U0nVnFdxDFwa0pej9xvx8ZvLC9Dpi_vRro_aiG5g/edit?usp=sharing"",""อ่างทอง!J670"")"),0)</f>
        <v>0</v>
      </c>
      <c r="X73" s="75">
        <f t="shared" ca="1" si="29"/>
        <v>0</v>
      </c>
      <c r="Y73" s="68">
        <f ca="1">IFERROR(__xludf.DUMMYFUNCTION("IMPORTRANGE(""https://docs.google.com/spreadsheets/d/12Q_U0nVnFdxDFwa0pej9xvx8ZvLC9Dpi_vRro_aiG5g/edit?usp=sharing"",""อ่างทอง!I671"")"),4)</f>
        <v>4</v>
      </c>
      <c r="Z73" s="68">
        <f ca="1">IFERROR(__xludf.DUMMYFUNCTION("IMPORTRANGE(""https://docs.google.com/spreadsheets/d/12Q_U0nVnFdxDFwa0pej9xvx8ZvLC9Dpi_vRro_aiG5g/edit?usp=sharing"",""อ่างทอง!J671"")"),0)</f>
        <v>0</v>
      </c>
      <c r="AA73" s="75">
        <f t="shared" ca="1" si="30"/>
        <v>0</v>
      </c>
      <c r="AB73" s="68">
        <f ca="1">IFERROR(__xludf.DUMMYFUNCTION("IMPORTRANGE(""https://docs.google.com/spreadsheets/d/12Q_U0nVnFdxDFwa0pej9xvx8ZvLC9Dpi_vRro_aiG5g/edit?usp=sharing"",""อ่างทอง!J672"")"),58.2)</f>
        <v>58.2</v>
      </c>
      <c r="AC73" s="75">
        <f t="shared" ca="1" si="11"/>
        <v>58.2</v>
      </c>
      <c r="AD73" s="68">
        <f ca="1">IFERROR(__xludf.DUMMYFUNCTION("IMPORTRANGE(""https://docs.google.com/spreadsheets/d/12Q_U0nVnFdxDFwa0pej9xvx8ZvLC9Dpi_vRro_aiG5g/edit?usp=sharing"",""อ่างทอง!J673"")"),47.38)</f>
        <v>47.38</v>
      </c>
      <c r="AE73" s="75">
        <f t="shared" ca="1" si="12"/>
        <v>47.38</v>
      </c>
      <c r="AF73" s="75">
        <f ca="1">IFERROR(__xludf.DUMMYFUNCTION("IMPORTRANGE(""https://docs.google.com/spreadsheets/d/12Q_U0nVnFdxDFwa0pej9xvx8ZvLC9Dpi_vRro_aiG5g/edit?usp=sharing"",""อ่างทอง!J674"")"),0)</f>
        <v>0</v>
      </c>
      <c r="AG73" s="75">
        <f t="shared" ca="1" si="13"/>
        <v>0</v>
      </c>
      <c r="AH73" s="75">
        <f ca="1">IFERROR(__xludf.DUMMYFUNCTION("IMPORTRANGE(""https://docs.google.com/spreadsheets/d/12Q_U0nVnFdxDFwa0pej9xvx8ZvLC9Dpi_vRro_aiG5g/edit?usp=sharing"",""อ่างทอง!J675"")"),0)</f>
        <v>0</v>
      </c>
      <c r="AI73" s="75">
        <f t="shared" ca="1" si="21"/>
        <v>0</v>
      </c>
      <c r="AJ73" s="75">
        <f ca="1">IFERROR(__xludf.DUMMYFUNCTION("IMPORTRANGE(""https://docs.google.com/spreadsheets/d/12Q_U0nVnFdxDFwa0pej9xvx8ZvLC9Dpi_vRro_aiG5g/edit?usp=sharing"",""อ่างทอง!J676"")"),0)</f>
        <v>0</v>
      </c>
      <c r="AK73" s="75">
        <f ca="1">IFERROR(__xludf.DUMMYFUNCTION("IMPORTRANGE(""https://docs.google.com/spreadsheets/d/12Q_U0nVnFdxDFwa0pej9xvx8ZvLC9Dpi_vRro_aiG5g/edit?usp=sharing"",""อ่างทอง!J677"")"),0)</f>
        <v>0</v>
      </c>
      <c r="AL73" s="68">
        <f ca="1">IFERROR(__xludf.DUMMYFUNCTION("IMPORTRANGE(""https://docs.google.com/spreadsheets/d/12Q_U0nVnFdxDFwa0pej9xvx8ZvLC9Dpi_vRro_aiG5g/edit?usp=sharing"",""อ่างทอง!I678"")"),0)</f>
        <v>0</v>
      </c>
      <c r="AM73" s="68">
        <f ca="1">IFERROR(__xludf.DUMMYFUNCTION("IMPORTRANGE(""https://docs.google.com/spreadsheets/d/12Q_U0nVnFdxDFwa0pej9xvx8ZvLC9Dpi_vRro_aiG5g/edit?usp=sharing"",""อ่างทอง!J678"")"),0)</f>
        <v>0</v>
      </c>
      <c r="AN73" s="75">
        <f t="shared" ca="1" si="31"/>
        <v>0</v>
      </c>
      <c r="AO73" s="68">
        <f ca="1">IFERROR(__xludf.DUMMYFUNCTION("IMPORTRANGE(""https://docs.google.com/spreadsheets/d/12Q_U0nVnFdxDFwa0pej9xvx8ZvLC9Dpi_vRro_aiG5g/edit?usp=sharing"",""อ่างทอง!J679"")"),0)</f>
        <v>0</v>
      </c>
      <c r="AP73" s="68">
        <f ca="1">IFERROR(__xludf.DUMMYFUNCTION("IMPORTRANGE(""https://docs.google.com/spreadsheets/d/12Q_U0nVnFdxDFwa0pej9xvx8ZvLC9Dpi_vRro_aiG5g/edit?usp=sharing"",""อ่างทอง!J680"")"),0)</f>
        <v>0</v>
      </c>
      <c r="AQ73" s="68">
        <f ca="1">IFERROR(__xludf.DUMMYFUNCTION("IMPORTRANGE(""https://docs.google.com/spreadsheets/d/12Q_U0nVnFdxDFwa0pej9xvx8ZvLC9Dpi_vRro_aiG5g/edit?usp=sharing"",""อ่างทอง!J681"")"),0)</f>
        <v>0</v>
      </c>
      <c r="AR73" s="68">
        <f ca="1">IFERROR(__xludf.DUMMYFUNCTION("IMPORTRANGE(""https://docs.google.com/spreadsheets/d/12Q_U0nVnFdxDFwa0pej9xvx8ZvLC9Dpi_vRro_aiG5g/edit?usp=sharing"",""อ่างทอง!J682"")"),0)</f>
        <v>0</v>
      </c>
      <c r="AS73" s="68">
        <f ca="1">IFERROR(__xludf.DUMMYFUNCTION("IMPORTRANGE(""https://docs.google.com/spreadsheets/d/12Q_U0nVnFdxDFwa0pej9xvx8ZvLC9Dpi_vRro_aiG5g/edit?usp=sharing"",""อ่างทอง!J683"")"),0)</f>
        <v>0</v>
      </c>
    </row>
    <row r="74" spans="1:45" ht="21" customHeight="1" x14ac:dyDescent="0.3">
      <c r="A74" s="177" t="s">
        <v>95</v>
      </c>
      <c r="B74" s="178"/>
      <c r="C74" s="76">
        <f t="shared" ref="C74:G74" ca="1" si="62">SUM(C75:C88)</f>
        <v>55000</v>
      </c>
      <c r="D74" s="34">
        <f t="shared" ca="1" si="62"/>
        <v>55000</v>
      </c>
      <c r="E74" s="34">
        <f t="shared" ca="1" si="62"/>
        <v>0</v>
      </c>
      <c r="F74" s="34">
        <f t="shared" ca="1" si="62"/>
        <v>55000</v>
      </c>
      <c r="G74" s="34">
        <f t="shared" ca="1" si="62"/>
        <v>0</v>
      </c>
      <c r="H74" s="34">
        <f t="shared" ca="1" si="27"/>
        <v>34976.400000000001</v>
      </c>
      <c r="I74" s="35">
        <f t="shared" ca="1" si="1"/>
        <v>63.593454545454549</v>
      </c>
      <c r="J74" s="34">
        <f ca="1">SUM(J75:J88)</f>
        <v>34976.400000000001</v>
      </c>
      <c r="K74" s="35">
        <f t="shared" ca="1" si="33"/>
        <v>63.593454545454549</v>
      </c>
      <c r="L74" s="35">
        <f t="shared" ca="1" si="34"/>
        <v>63.593454545454549</v>
      </c>
      <c r="M74" s="34">
        <f t="shared" ref="M74:Q74" ca="1" si="63">SUM(M75:M88)</f>
        <v>0</v>
      </c>
      <c r="N74" s="34">
        <f t="shared" ca="1" si="63"/>
        <v>0</v>
      </c>
      <c r="O74" s="34">
        <f t="shared" ca="1" si="63"/>
        <v>0</v>
      </c>
      <c r="P74" s="34">
        <f t="shared" ca="1" si="63"/>
        <v>34976.400000000001</v>
      </c>
      <c r="Q74" s="36">
        <f t="shared" ca="1" si="63"/>
        <v>0</v>
      </c>
      <c r="R74" s="36">
        <f t="shared" ca="1" si="36"/>
        <v>0</v>
      </c>
      <c r="S74" s="34">
        <f t="shared" ref="S74:T74" ca="1" si="64">SUM(S75:S88)</f>
        <v>250</v>
      </c>
      <c r="T74" s="34">
        <f t="shared" ca="1" si="64"/>
        <v>0</v>
      </c>
      <c r="U74" s="37">
        <f t="shared" ca="1" si="28"/>
        <v>0</v>
      </c>
      <c r="V74" s="34">
        <f t="shared" ref="V74:W74" ca="1" si="65">SUM(V75:V88)</f>
        <v>25</v>
      </c>
      <c r="W74" s="34">
        <f t="shared" ca="1" si="65"/>
        <v>25</v>
      </c>
      <c r="X74" s="37">
        <f t="shared" ca="1" si="29"/>
        <v>100</v>
      </c>
      <c r="Y74" s="34">
        <f t="shared" ref="Y74:Z74" ca="1" si="66">SUM(Y75:Y88)</f>
        <v>25</v>
      </c>
      <c r="Z74" s="34">
        <f t="shared" ca="1" si="66"/>
        <v>25</v>
      </c>
      <c r="AA74" s="37">
        <f t="shared" ca="1" si="30"/>
        <v>100</v>
      </c>
      <c r="AB74" s="34">
        <f ca="1">SUM(AB75:AB88)</f>
        <v>259</v>
      </c>
      <c r="AC74" s="37">
        <f t="shared" ca="1" si="11"/>
        <v>103.6</v>
      </c>
      <c r="AD74" s="34">
        <f ca="1">SUM(AD75:AD88)</f>
        <v>57</v>
      </c>
      <c r="AE74" s="37">
        <f t="shared" ca="1" si="12"/>
        <v>22.8</v>
      </c>
      <c r="AF74" s="37">
        <f ca="1">SUM(AF75:AF88)</f>
        <v>0</v>
      </c>
      <c r="AG74" s="37">
        <f t="shared" ca="1" si="13"/>
        <v>0</v>
      </c>
      <c r="AH74" s="37">
        <f ca="1">SUM(AH75:AH88)</f>
        <v>0</v>
      </c>
      <c r="AI74" s="37">
        <f t="shared" ca="1" si="21"/>
        <v>0</v>
      </c>
      <c r="AJ74" s="37">
        <f t="shared" ref="AJ74:AM74" ca="1" si="67">SUM(AJ75:AJ88)</f>
        <v>0</v>
      </c>
      <c r="AK74" s="37">
        <f t="shared" ca="1" si="67"/>
        <v>0</v>
      </c>
      <c r="AL74" s="34">
        <f t="shared" ca="1" si="67"/>
        <v>0</v>
      </c>
      <c r="AM74" s="34">
        <f t="shared" ca="1" si="67"/>
        <v>168.76</v>
      </c>
      <c r="AN74" s="37">
        <f t="shared" ca="1" si="31"/>
        <v>0</v>
      </c>
      <c r="AO74" s="34">
        <f t="shared" ref="AO74:AS74" ca="1" si="68">SUM(AO75:AO88)</f>
        <v>168.76</v>
      </c>
      <c r="AP74" s="34">
        <f t="shared" ca="1" si="68"/>
        <v>31.56</v>
      </c>
      <c r="AQ74" s="34">
        <f t="shared" ca="1" si="68"/>
        <v>137.19999999999999</v>
      </c>
      <c r="AR74" s="34">
        <f t="shared" ca="1" si="68"/>
        <v>0</v>
      </c>
      <c r="AS74" s="34">
        <f t="shared" ca="1" si="68"/>
        <v>0</v>
      </c>
    </row>
    <row r="75" spans="1:45" ht="21" customHeight="1" x14ac:dyDescent="0.3">
      <c r="A75" s="54">
        <v>1</v>
      </c>
      <c r="B75" s="55" t="s">
        <v>96</v>
      </c>
      <c r="C75" s="56">
        <f t="shared" ref="C75:C88" ca="1" si="69">D75+E75</f>
        <v>0</v>
      </c>
      <c r="D75" s="57">
        <f ca="1">IFERROR(__xludf.DUMMYFUNCTION("IMPORTRANGE(""https://docs.google.com/spreadsheets/d/1kC41EOXpGBFOW658Fs3oD8beYlym0-zO54WY-2Qnp9I/edit?usp=sharing"",""กระบี่!L660"")"),0)</f>
        <v>0</v>
      </c>
      <c r="E75" s="64">
        <f ca="1">IFERROR(__xludf.DUMMYFUNCTION("IMPORTRANGE(""https://docs.google.com/spreadsheets/d/1kC41EOXpGBFOW658Fs3oD8beYlym0-zO54WY-2Qnp9I/edit?usp=sharing"",""กระบี่!L667"")"),0)</f>
        <v>0</v>
      </c>
      <c r="F75" s="64">
        <f ca="1">IFERROR(__xludf.DUMMYFUNCTION("IMPORTRANGE(""https://docs.google.com/spreadsheets/d/1kC41EOXpGBFOW658Fs3oD8beYlym0-zO54WY-2Qnp9I/edit?usp=sharing"",""กระบี่!M660"")"),0)</f>
        <v>0</v>
      </c>
      <c r="G75" s="64">
        <f ca="1">IFERROR(__xludf.DUMMYFUNCTION("IMPORTRANGE(""https://docs.google.com/spreadsheets/d/1kC41EOXpGBFOW658Fs3oD8beYlym0-zO54WY-2Qnp9I/edit?usp=sharing"",""กระบี่!M667"")"),0)</f>
        <v>0</v>
      </c>
      <c r="H75" s="58">
        <f t="shared" ca="1" si="27"/>
        <v>0</v>
      </c>
      <c r="I75" s="59">
        <f t="shared" ca="1" si="1"/>
        <v>0</v>
      </c>
      <c r="J75" s="60">
        <f t="shared" ref="J75:J88" ca="1" si="70">M75+N75+O75+P75</f>
        <v>0</v>
      </c>
      <c r="K75" s="61">
        <f t="shared" ca="1" si="33"/>
        <v>0</v>
      </c>
      <c r="L75" s="61">
        <f t="shared" ca="1" si="34"/>
        <v>0</v>
      </c>
      <c r="M75" s="64">
        <f ca="1">IFERROR(__xludf.DUMMYFUNCTION("IMPORTRANGE(""https://docs.google.com/spreadsheets/d/1kC41EOXpGBFOW658Fs3oD8beYlym0-zO54WY-2Qnp9I/edit?usp=sharing"",""กระบี่!N661"")"),0)</f>
        <v>0</v>
      </c>
      <c r="N75" s="64">
        <f ca="1">IFERROR(__xludf.DUMMYFUNCTION("IMPORTRANGE(""https://docs.google.com/spreadsheets/d/1kC41EOXpGBFOW658Fs3oD8beYlym0-zO54WY-2Qnp9I/edit?usp=sharing"",""กระบี่!N662"")"),0)</f>
        <v>0</v>
      </c>
      <c r="O75" s="64">
        <f ca="1">IFERROR(__xludf.DUMMYFUNCTION("IMPORTRANGE(""https://docs.google.com/spreadsheets/d/1kC41EOXpGBFOW658Fs3oD8beYlym0-zO54WY-2Qnp9I/edit?usp=sharing"",""กระบี่!N663"")"),0)</f>
        <v>0</v>
      </c>
      <c r="P75" s="64">
        <f ca="1">IFERROR(__xludf.DUMMYFUNCTION("IMPORTRANGE(""https://docs.google.com/spreadsheets/d/1kC41EOXpGBFOW658Fs3oD8beYlym0-zO54WY-2Qnp9I/edit?usp=sharing"",""กระบี่!N664"")"),0)</f>
        <v>0</v>
      </c>
      <c r="Q75" s="62">
        <f ca="1">IFERROR(__xludf.DUMMYFUNCTION("IMPORTRANGE(""https://docs.google.com/spreadsheets/d/1kC41EOXpGBFOW658Fs3oD8beYlym0-zO54WY-2Qnp9I/edit?usp=sharing"",""กระบี่!N667"")"),0)</f>
        <v>0</v>
      </c>
      <c r="R75" s="62">
        <f t="shared" ca="1" si="36"/>
        <v>0</v>
      </c>
      <c r="S75" s="57">
        <f ca="1">IFERROR(__xludf.DUMMYFUNCTION("IMPORTRANGE(""https://docs.google.com/spreadsheets/d/1kC41EOXpGBFOW658Fs3oD8beYlym0-zO54WY-2Qnp9I/edit?usp=sharing"",""กระบี่!I669"")"),0)</f>
        <v>0</v>
      </c>
      <c r="T75" s="57">
        <f ca="1">IFERROR(__xludf.DUMMYFUNCTION("IMPORTRANGE(""https://docs.google.com/spreadsheets/d/1kC41EOXpGBFOW658Fs3oD8beYlym0-zO54WY-2Qnp9I/edit?usp=sharing"",""กระบี่!J669"")"),0)</f>
        <v>0</v>
      </c>
      <c r="U75" s="63">
        <f t="shared" ca="1" si="28"/>
        <v>0</v>
      </c>
      <c r="V75" s="57">
        <f ca="1">IFERROR(__xludf.DUMMYFUNCTION("IMPORTRANGE(""https://docs.google.com/spreadsheets/d/1kC41EOXpGBFOW658Fs3oD8beYlym0-zO54WY-2Qnp9I/edit?usp=sharing"",""กระบี่!I670"")"),0)</f>
        <v>0</v>
      </c>
      <c r="W75" s="57">
        <f ca="1">IFERROR(__xludf.DUMMYFUNCTION("IMPORTRANGE(""https://docs.google.com/spreadsheets/d/1kC41EOXpGBFOW658Fs3oD8beYlym0-zO54WY-2Qnp9I/edit?usp=sharing"",""กระบี่!J670"")"),0)</f>
        <v>0</v>
      </c>
      <c r="X75" s="63">
        <f t="shared" ca="1" si="29"/>
        <v>0</v>
      </c>
      <c r="Y75" s="57">
        <f ca="1">IFERROR(__xludf.DUMMYFUNCTION("IMPORTRANGE(""https://docs.google.com/spreadsheets/d/1kC41EOXpGBFOW658Fs3oD8beYlym0-zO54WY-2Qnp9I/edit?usp=sharing"",""กระบี่!I671"")"),0)</f>
        <v>0</v>
      </c>
      <c r="Z75" s="57">
        <f ca="1">IFERROR(__xludf.DUMMYFUNCTION("IMPORTRANGE(""https://docs.google.com/spreadsheets/d/1kC41EOXpGBFOW658Fs3oD8beYlym0-zO54WY-2Qnp9I/edit?usp=sharing"",""กระบี่!J671"")"),0)</f>
        <v>0</v>
      </c>
      <c r="AA75" s="63">
        <f t="shared" ca="1" si="30"/>
        <v>0</v>
      </c>
      <c r="AB75" s="57">
        <f ca="1">IFERROR(__xludf.DUMMYFUNCTION("IMPORTRANGE(""https://docs.google.com/spreadsheets/d/1kC41EOXpGBFOW658Fs3oD8beYlym0-zO54WY-2Qnp9I/edit?usp=sharing"",""กระบี่!J672"")"),0)</f>
        <v>0</v>
      </c>
      <c r="AC75" s="63">
        <f t="shared" ca="1" si="11"/>
        <v>0</v>
      </c>
      <c r="AD75" s="57">
        <f ca="1">IFERROR(__xludf.DUMMYFUNCTION("IMPORTRANGE(""https://docs.google.com/spreadsheets/d/1kC41EOXpGBFOW658Fs3oD8beYlym0-zO54WY-2Qnp9I/edit?usp=sharing"",""กระบี่!J673"")"),0)</f>
        <v>0</v>
      </c>
      <c r="AE75" s="63">
        <f t="shared" ca="1" si="12"/>
        <v>0</v>
      </c>
      <c r="AF75" s="63">
        <f ca="1">IFERROR(__xludf.DUMMYFUNCTION("IMPORTRANGE(""https://docs.google.com/spreadsheets/d/1kC41EOXpGBFOW658Fs3oD8beYlym0-zO54WY-2Qnp9I/edit?usp=sharing"",""กระบี่!J674"")"),0)</f>
        <v>0</v>
      </c>
      <c r="AG75" s="63">
        <f t="shared" ca="1" si="13"/>
        <v>0</v>
      </c>
      <c r="AH75" s="63">
        <f ca="1">IFERROR(__xludf.DUMMYFUNCTION("IMPORTRANGE(""https://docs.google.com/spreadsheets/d/1kC41EOXpGBFOW658Fs3oD8beYlym0-zO54WY-2Qnp9I/edit?usp=sharing"",""กระบี่!J675"")"),0)</f>
        <v>0</v>
      </c>
      <c r="AI75" s="63">
        <f t="shared" ca="1" si="21"/>
        <v>0</v>
      </c>
      <c r="AJ75" s="63">
        <f ca="1">IFERROR(__xludf.DUMMYFUNCTION("IMPORTRANGE(""https://docs.google.com/spreadsheets/d/1kC41EOXpGBFOW658Fs3oD8beYlym0-zO54WY-2Qnp9I/edit?usp=sharing"",""กระบี่!J676"")"),0)</f>
        <v>0</v>
      </c>
      <c r="AK75" s="63">
        <f ca="1">IFERROR(__xludf.DUMMYFUNCTION("IMPORTRANGE(""https://docs.google.com/spreadsheets/d/1kC41EOXpGBFOW658Fs3oD8beYlym0-zO54WY-2Qnp9I/edit?usp=sharing"",""กระบี่!J677"")"),0)</f>
        <v>0</v>
      </c>
      <c r="AL75" s="57">
        <f ca="1">IFERROR(__xludf.DUMMYFUNCTION("IMPORTRANGE(""https://docs.google.com/spreadsheets/d/1kC41EOXpGBFOW658Fs3oD8beYlym0-zO54WY-2Qnp9I/edit?usp=sharing"",""กระบี่!I678"")"),0)</f>
        <v>0</v>
      </c>
      <c r="AM75" s="57">
        <f ca="1">IFERROR(__xludf.DUMMYFUNCTION("IMPORTRANGE(""https://docs.google.com/spreadsheets/d/1kC41EOXpGBFOW658Fs3oD8beYlym0-zO54WY-2Qnp9I/edit?usp=sharing"",""กระบี่!J678"")"),0)</f>
        <v>0</v>
      </c>
      <c r="AN75" s="63">
        <f t="shared" ca="1" si="31"/>
        <v>0</v>
      </c>
      <c r="AO75" s="57">
        <f ca="1">IFERROR(__xludf.DUMMYFUNCTION("IMPORTRANGE(""https://docs.google.com/spreadsheets/d/1kC41EOXpGBFOW658Fs3oD8beYlym0-zO54WY-2Qnp9I/edit?usp=sharing"",""กระบี่!J679"")"),0)</f>
        <v>0</v>
      </c>
      <c r="AP75" s="57">
        <f ca="1">IFERROR(__xludf.DUMMYFUNCTION("IMPORTRANGE(""https://docs.google.com/spreadsheets/d/1kC41EOXpGBFOW658Fs3oD8beYlym0-zO54WY-2Qnp9I/edit?usp=sharing"",""กระบี่!J680"")"),0)</f>
        <v>0</v>
      </c>
      <c r="AQ75" s="57">
        <f ca="1">IFERROR(__xludf.DUMMYFUNCTION("IMPORTRANGE(""https://docs.google.com/spreadsheets/d/1kC41EOXpGBFOW658Fs3oD8beYlym0-zO54WY-2Qnp9I/edit?usp=sharing"",""กระบี่!J681"")"),0)</f>
        <v>0</v>
      </c>
      <c r="AR75" s="57">
        <f ca="1">IFERROR(__xludf.DUMMYFUNCTION("IMPORTRANGE(""https://docs.google.com/spreadsheets/d/1kC41EOXpGBFOW658Fs3oD8beYlym0-zO54WY-2Qnp9I/edit?usp=sharing"",""กระบี่!J682"")"),0)</f>
        <v>0</v>
      </c>
      <c r="AS75" s="57">
        <f ca="1">IFERROR(__xludf.DUMMYFUNCTION("IMPORTRANGE(""https://docs.google.com/spreadsheets/d/1kC41EOXpGBFOW658Fs3oD8beYlym0-zO54WY-2Qnp9I/edit?usp=sharing"",""กระบี่!J683"")"),0)</f>
        <v>0</v>
      </c>
    </row>
    <row r="76" spans="1:45" ht="21" customHeight="1" x14ac:dyDescent="0.3">
      <c r="A76" s="54">
        <v>2</v>
      </c>
      <c r="B76" s="55" t="s">
        <v>97</v>
      </c>
      <c r="C76" s="56">
        <f t="shared" ca="1" si="69"/>
        <v>0</v>
      </c>
      <c r="D76" s="57">
        <f ca="1">IFERROR(__xludf.DUMMYFUNCTION("IMPORTRANGE(""https://docs.google.com/spreadsheets/d/1FbzMZY_f3MDiEuK7RpCQKrilJ_kpX0Wm7QBZ1L7EjIU/edit?usp=sharing"",""ชุมพร!L660"")"),0)</f>
        <v>0</v>
      </c>
      <c r="E76" s="64">
        <f ca="1">IFERROR(__xludf.DUMMYFUNCTION("IMPORTRANGE(""https://docs.google.com/spreadsheets/d/1FbzMZY_f3MDiEuK7RpCQKrilJ_kpX0Wm7QBZ1L7EjIU/edit?usp=sharing"",""ชุมพร!L667"")"),0)</f>
        <v>0</v>
      </c>
      <c r="F76" s="64">
        <f ca="1">IFERROR(__xludf.DUMMYFUNCTION("IMPORTRANGE(""https://docs.google.com/spreadsheets/d/1FbzMZY_f3MDiEuK7RpCQKrilJ_kpX0Wm7QBZ1L7EjIU/edit?usp=sharing"",""ชุมพร!M660"")"),0)</f>
        <v>0</v>
      </c>
      <c r="G76" s="64">
        <f ca="1">IFERROR(__xludf.DUMMYFUNCTION("IMPORTRANGE(""https://docs.google.com/spreadsheets/d/1FbzMZY_f3MDiEuK7RpCQKrilJ_kpX0Wm7QBZ1L7EjIU/edit?usp=sharing"",""ชุมพร!M667"")"),0)</f>
        <v>0</v>
      </c>
      <c r="H76" s="58">
        <f t="shared" ca="1" si="27"/>
        <v>0</v>
      </c>
      <c r="I76" s="59">
        <f t="shared" ca="1" si="1"/>
        <v>0</v>
      </c>
      <c r="J76" s="60">
        <f t="shared" ca="1" si="70"/>
        <v>0</v>
      </c>
      <c r="K76" s="61">
        <f t="shared" ca="1" si="33"/>
        <v>0</v>
      </c>
      <c r="L76" s="61">
        <f t="shared" ca="1" si="34"/>
        <v>0</v>
      </c>
      <c r="M76" s="64">
        <f ca="1">IFERROR(__xludf.DUMMYFUNCTION("IMPORTRANGE(""https://docs.google.com/spreadsheets/d/1FbzMZY_f3MDiEuK7RpCQKrilJ_kpX0Wm7QBZ1L7EjIU/edit?usp=sharing"",""ชุมพร!N661"")"),0)</f>
        <v>0</v>
      </c>
      <c r="N76" s="64">
        <f ca="1">IFERROR(__xludf.DUMMYFUNCTION("IMPORTRANGE(""https://docs.google.com/spreadsheets/d/1FbzMZY_f3MDiEuK7RpCQKrilJ_kpX0Wm7QBZ1L7EjIU/edit?usp=sharing"",""ชุมพร!N662"")"),0)</f>
        <v>0</v>
      </c>
      <c r="O76" s="64">
        <f ca="1">IFERROR(__xludf.DUMMYFUNCTION("IMPORTRANGE(""https://docs.google.com/spreadsheets/d/1FbzMZY_f3MDiEuK7RpCQKrilJ_kpX0Wm7QBZ1L7EjIU/edit?usp=sharing"",""ชุมพร!N663"")"),0)</f>
        <v>0</v>
      </c>
      <c r="P76" s="64">
        <f ca="1">IFERROR(__xludf.DUMMYFUNCTION("IMPORTRANGE(""https://docs.google.com/spreadsheets/d/1FbzMZY_f3MDiEuK7RpCQKrilJ_kpX0Wm7QBZ1L7EjIU/edit?usp=sharing"",""ชุมพร!N664"")"),0)</f>
        <v>0</v>
      </c>
      <c r="Q76" s="62">
        <f ca="1">IFERROR(__xludf.DUMMYFUNCTION("IMPORTRANGE(""https://docs.google.com/spreadsheets/d/1FbzMZY_f3MDiEuK7RpCQKrilJ_kpX0Wm7QBZ1L7EjIU/edit?usp=sharing"",""ชุมพร!N667"")"),0)</f>
        <v>0</v>
      </c>
      <c r="R76" s="62">
        <f t="shared" ca="1" si="36"/>
        <v>0</v>
      </c>
      <c r="S76" s="57">
        <f ca="1">IFERROR(__xludf.DUMMYFUNCTION("IMPORTRANGE(""https://docs.google.com/spreadsheets/d/1FbzMZY_f3MDiEuK7RpCQKrilJ_kpX0Wm7QBZ1L7EjIU/edit?usp=sharing"",""ชุมพร!I669"")"),0)</f>
        <v>0</v>
      </c>
      <c r="T76" s="57">
        <f ca="1">IFERROR(__xludf.DUMMYFUNCTION("IMPORTRANGE(""https://docs.google.com/spreadsheets/d/1FbzMZY_f3MDiEuK7RpCQKrilJ_kpX0Wm7QBZ1L7EjIU/edit?usp=sharing"",""ชุมพร!J669"")"),0)</f>
        <v>0</v>
      </c>
      <c r="U76" s="63">
        <f t="shared" ca="1" si="28"/>
        <v>0</v>
      </c>
      <c r="V76" s="57">
        <f ca="1">IFERROR(__xludf.DUMMYFUNCTION("IMPORTRANGE(""https://docs.google.com/spreadsheets/d/1FbzMZY_f3MDiEuK7RpCQKrilJ_kpX0Wm7QBZ1L7EjIU/edit?usp=sharing"",""ชุมพร!I670"")"),0)</f>
        <v>0</v>
      </c>
      <c r="W76" s="57">
        <f ca="1">IFERROR(__xludf.DUMMYFUNCTION("IMPORTRANGE(""https://docs.google.com/spreadsheets/d/1FbzMZY_f3MDiEuK7RpCQKrilJ_kpX0Wm7QBZ1L7EjIU/edit?usp=sharing"",""ชุมพร!J670"")"),0)</f>
        <v>0</v>
      </c>
      <c r="X76" s="63">
        <f t="shared" ca="1" si="29"/>
        <v>0</v>
      </c>
      <c r="Y76" s="57">
        <f ca="1">IFERROR(__xludf.DUMMYFUNCTION("IMPORTRANGE(""https://docs.google.com/spreadsheets/d/1FbzMZY_f3MDiEuK7RpCQKrilJ_kpX0Wm7QBZ1L7EjIU/edit?usp=sharing"",""ชุมพร!I671"")"),0)</f>
        <v>0</v>
      </c>
      <c r="Z76" s="57">
        <f ca="1">IFERROR(__xludf.DUMMYFUNCTION("IMPORTRANGE(""https://docs.google.com/spreadsheets/d/1FbzMZY_f3MDiEuK7RpCQKrilJ_kpX0Wm7QBZ1L7EjIU/edit?usp=sharing"",""ชุมพร!J671"")"),0)</f>
        <v>0</v>
      </c>
      <c r="AA76" s="63">
        <f t="shared" ca="1" si="30"/>
        <v>0</v>
      </c>
      <c r="AB76" s="57">
        <f ca="1">IFERROR(__xludf.DUMMYFUNCTION("IMPORTRANGE(""https://docs.google.com/spreadsheets/d/1FbzMZY_f3MDiEuK7RpCQKrilJ_kpX0Wm7QBZ1L7EjIU/edit?usp=sharing"",""ชุมพร!J672"")"),0)</f>
        <v>0</v>
      </c>
      <c r="AC76" s="63">
        <f t="shared" ca="1" si="11"/>
        <v>0</v>
      </c>
      <c r="AD76" s="57">
        <f ca="1">IFERROR(__xludf.DUMMYFUNCTION("IMPORTRANGE(""https://docs.google.com/spreadsheets/d/1FbzMZY_f3MDiEuK7RpCQKrilJ_kpX0Wm7QBZ1L7EjIU/edit?usp=sharing"",""ชุมพร!J673"")"),0)</f>
        <v>0</v>
      </c>
      <c r="AE76" s="63">
        <f t="shared" ca="1" si="12"/>
        <v>0</v>
      </c>
      <c r="AF76" s="63">
        <f ca="1">IFERROR(__xludf.DUMMYFUNCTION("IMPORTRANGE(""https://docs.google.com/spreadsheets/d/1FbzMZY_f3MDiEuK7RpCQKrilJ_kpX0Wm7QBZ1L7EjIU/edit?usp=sharing"",""ชุมพร!J674"")"),0)</f>
        <v>0</v>
      </c>
      <c r="AG76" s="63">
        <f t="shared" ca="1" si="13"/>
        <v>0</v>
      </c>
      <c r="AH76" s="63">
        <f ca="1">IFERROR(__xludf.DUMMYFUNCTION("IMPORTRANGE(""https://docs.google.com/spreadsheets/d/1FbzMZY_f3MDiEuK7RpCQKrilJ_kpX0Wm7QBZ1L7EjIU/edit?usp=sharing"",""ชุมพร!J675"")"),0)</f>
        <v>0</v>
      </c>
      <c r="AI76" s="63">
        <f t="shared" ca="1" si="21"/>
        <v>0</v>
      </c>
      <c r="AJ76" s="63">
        <f ca="1">IFERROR(__xludf.DUMMYFUNCTION("IMPORTRANGE(""https://docs.google.com/spreadsheets/d/1FbzMZY_f3MDiEuK7RpCQKrilJ_kpX0Wm7QBZ1L7EjIU/edit?usp=sharing"",""ชุมพร!J676"")"),0)</f>
        <v>0</v>
      </c>
      <c r="AK76" s="63">
        <f ca="1">IFERROR(__xludf.DUMMYFUNCTION("IMPORTRANGE(""https://docs.google.com/spreadsheets/d/1FbzMZY_f3MDiEuK7RpCQKrilJ_kpX0Wm7QBZ1L7EjIU/edit?usp=sharing"",""ชุมพร!J677"")"),0)</f>
        <v>0</v>
      </c>
      <c r="AL76" s="57">
        <f ca="1">IFERROR(__xludf.DUMMYFUNCTION("IMPORTRANGE(""https://docs.google.com/spreadsheets/d/1FbzMZY_f3MDiEuK7RpCQKrilJ_kpX0Wm7QBZ1L7EjIU/edit?usp=sharing"",""ชุมพร!I678"")"),0)</f>
        <v>0</v>
      </c>
      <c r="AM76" s="57">
        <f ca="1">IFERROR(__xludf.DUMMYFUNCTION("IMPORTRANGE(""https://docs.google.com/spreadsheets/d/1FbzMZY_f3MDiEuK7RpCQKrilJ_kpX0Wm7QBZ1L7EjIU/edit?usp=sharing"",""ชุมพร!J678"")"),0)</f>
        <v>0</v>
      </c>
      <c r="AN76" s="63">
        <f t="shared" ca="1" si="31"/>
        <v>0</v>
      </c>
      <c r="AO76" s="57">
        <f ca="1">IFERROR(__xludf.DUMMYFUNCTION("IMPORTRANGE(""https://docs.google.com/spreadsheets/d/1FbzMZY_f3MDiEuK7RpCQKrilJ_kpX0Wm7QBZ1L7EjIU/edit?usp=sharing"",""ชุมพร!J679"")"),0)</f>
        <v>0</v>
      </c>
      <c r="AP76" s="57">
        <f ca="1">IFERROR(__xludf.DUMMYFUNCTION("IMPORTRANGE(""https://docs.google.com/spreadsheets/d/1FbzMZY_f3MDiEuK7RpCQKrilJ_kpX0Wm7QBZ1L7EjIU/edit?usp=sharing"",""ชุมพร!J680"")"),0)</f>
        <v>0</v>
      </c>
      <c r="AQ76" s="57">
        <f ca="1">IFERROR(__xludf.DUMMYFUNCTION("IMPORTRANGE(""https://docs.google.com/spreadsheets/d/1FbzMZY_f3MDiEuK7RpCQKrilJ_kpX0Wm7QBZ1L7EjIU/edit?usp=sharing"",""ชุมพร!J681"")"),0)</f>
        <v>0</v>
      </c>
      <c r="AR76" s="57">
        <f ca="1">IFERROR(__xludf.DUMMYFUNCTION("IMPORTRANGE(""https://docs.google.com/spreadsheets/d/1FbzMZY_f3MDiEuK7RpCQKrilJ_kpX0Wm7QBZ1L7EjIU/edit?usp=sharing"",""ชุมพร!J682"")"),0)</f>
        <v>0</v>
      </c>
      <c r="AS76" s="57">
        <f ca="1">IFERROR(__xludf.DUMMYFUNCTION("IMPORTRANGE(""https://docs.google.com/spreadsheets/d/1FbzMZY_f3MDiEuK7RpCQKrilJ_kpX0Wm7QBZ1L7EjIU/edit?usp=sharing"",""ชุมพร!J683"")"),0)</f>
        <v>0</v>
      </c>
    </row>
    <row r="77" spans="1:45" ht="21" customHeight="1" x14ac:dyDescent="0.3">
      <c r="A77" s="54">
        <v>3</v>
      </c>
      <c r="B77" s="55" t="s">
        <v>98</v>
      </c>
      <c r="C77" s="56">
        <f t="shared" ca="1" si="69"/>
        <v>0</v>
      </c>
      <c r="D77" s="57">
        <f ca="1">IFERROR(__xludf.DUMMYFUNCTION("IMPORTRANGE(""https://docs.google.com/spreadsheets/d/1v5sN-00LrXuhBxw4dkh2GrG_z4l5oAqOdJRBCsUyMaM/edit?usp=sharing"",""ตรัง!L660"")"),0)</f>
        <v>0</v>
      </c>
      <c r="E77" s="64">
        <f ca="1">IFERROR(__xludf.DUMMYFUNCTION("IMPORTRANGE(""https://docs.google.com/spreadsheets/d/1v5sN-00LrXuhBxw4dkh2GrG_z4l5oAqOdJRBCsUyMaM/edit?usp=sharing"",""ตรัง!L667"")"),0)</f>
        <v>0</v>
      </c>
      <c r="F77" s="64">
        <f ca="1">IFERROR(__xludf.DUMMYFUNCTION("IMPORTRANGE(""https://docs.google.com/spreadsheets/d/1v5sN-00LrXuhBxw4dkh2GrG_z4l5oAqOdJRBCsUyMaM/edit?usp=sharing"",""ตรัง!M660"")"),0)</f>
        <v>0</v>
      </c>
      <c r="G77" s="64">
        <f ca="1">IFERROR(__xludf.DUMMYFUNCTION("IMPORTRANGE(""https://docs.google.com/spreadsheets/d/1v5sN-00LrXuhBxw4dkh2GrG_z4l5oAqOdJRBCsUyMaM/edit?usp=sharing"",""ตรัง!M667"")"),0)</f>
        <v>0</v>
      </c>
      <c r="H77" s="58">
        <f t="shared" ca="1" si="27"/>
        <v>0</v>
      </c>
      <c r="I77" s="59">
        <f t="shared" ca="1" si="1"/>
        <v>0</v>
      </c>
      <c r="J77" s="60">
        <f t="shared" ca="1" si="70"/>
        <v>0</v>
      </c>
      <c r="K77" s="61">
        <f t="shared" ca="1" si="33"/>
        <v>0</v>
      </c>
      <c r="L77" s="61">
        <f t="shared" ca="1" si="34"/>
        <v>0</v>
      </c>
      <c r="M77" s="64">
        <f ca="1">IFERROR(__xludf.DUMMYFUNCTION("IMPORTRANGE(""https://docs.google.com/spreadsheets/d/1v5sN-00LrXuhBxw4dkh2GrG_z4l5oAqOdJRBCsUyMaM/edit?usp=sharing"",""ตรัง!N661"")"),0)</f>
        <v>0</v>
      </c>
      <c r="N77" s="64">
        <f ca="1">IFERROR(__xludf.DUMMYFUNCTION("IMPORTRANGE(""https://docs.google.com/spreadsheets/d/1v5sN-00LrXuhBxw4dkh2GrG_z4l5oAqOdJRBCsUyMaM/edit?usp=sharing"",""ตรัง!N662"")"),0)</f>
        <v>0</v>
      </c>
      <c r="O77" s="64">
        <f ca="1">IFERROR(__xludf.DUMMYFUNCTION("IMPORTRANGE(""https://docs.google.com/spreadsheets/d/1v5sN-00LrXuhBxw4dkh2GrG_z4l5oAqOdJRBCsUyMaM/edit?usp=sharing"",""ตรัง!N663"")"),0)</f>
        <v>0</v>
      </c>
      <c r="P77" s="64">
        <f ca="1">IFERROR(__xludf.DUMMYFUNCTION("IMPORTRANGE(""https://docs.google.com/spreadsheets/d/1v5sN-00LrXuhBxw4dkh2GrG_z4l5oAqOdJRBCsUyMaM/edit?usp=sharing"",""ตรัง!N664"")"),0)</f>
        <v>0</v>
      </c>
      <c r="Q77" s="62">
        <f ca="1">IFERROR(__xludf.DUMMYFUNCTION("IMPORTRANGE(""https://docs.google.com/spreadsheets/d/1v5sN-00LrXuhBxw4dkh2GrG_z4l5oAqOdJRBCsUyMaM/edit?usp=sharing"",""ตรัง!N667"")"),0)</f>
        <v>0</v>
      </c>
      <c r="R77" s="62">
        <f t="shared" ca="1" si="36"/>
        <v>0</v>
      </c>
      <c r="S77" s="57">
        <f ca="1">IFERROR(__xludf.DUMMYFUNCTION("IMPORTRANGE(""https://docs.google.com/spreadsheets/d/1v5sN-00LrXuhBxw4dkh2GrG_z4l5oAqOdJRBCsUyMaM/edit?usp=sharing"",""ตรัง!I669"")"),0)</f>
        <v>0</v>
      </c>
      <c r="T77" s="57">
        <f ca="1">IFERROR(__xludf.DUMMYFUNCTION("IMPORTRANGE(""https://docs.google.com/spreadsheets/d/1v5sN-00LrXuhBxw4dkh2GrG_z4l5oAqOdJRBCsUyMaM/edit?usp=sharing"",""ตรัง!J669"")"),0)</f>
        <v>0</v>
      </c>
      <c r="U77" s="63">
        <f t="shared" ca="1" si="28"/>
        <v>0</v>
      </c>
      <c r="V77" s="57">
        <f ca="1">IFERROR(__xludf.DUMMYFUNCTION("IMPORTRANGE(""https://docs.google.com/spreadsheets/d/1v5sN-00LrXuhBxw4dkh2GrG_z4l5oAqOdJRBCsUyMaM/edit?usp=sharing"",""ตรัง!I670"")"),0)</f>
        <v>0</v>
      </c>
      <c r="W77" s="57">
        <f ca="1">IFERROR(__xludf.DUMMYFUNCTION("IMPORTRANGE(""https://docs.google.com/spreadsheets/d/1v5sN-00LrXuhBxw4dkh2GrG_z4l5oAqOdJRBCsUyMaM/edit?usp=sharing"",""ตรัง!J670"")"),0)</f>
        <v>0</v>
      </c>
      <c r="X77" s="63">
        <f t="shared" ca="1" si="29"/>
        <v>0</v>
      </c>
      <c r="Y77" s="57">
        <f ca="1">IFERROR(__xludf.DUMMYFUNCTION("IMPORTRANGE(""https://docs.google.com/spreadsheets/d/1v5sN-00LrXuhBxw4dkh2GrG_z4l5oAqOdJRBCsUyMaM/edit?usp=sharing"",""ตรัง!I671"")"),0)</f>
        <v>0</v>
      </c>
      <c r="Z77" s="57">
        <f ca="1">IFERROR(__xludf.DUMMYFUNCTION("IMPORTRANGE(""https://docs.google.com/spreadsheets/d/1v5sN-00LrXuhBxw4dkh2GrG_z4l5oAqOdJRBCsUyMaM/edit?usp=sharing"",""ตรัง!J671"")"),0)</f>
        <v>0</v>
      </c>
      <c r="AA77" s="63">
        <f t="shared" ca="1" si="30"/>
        <v>0</v>
      </c>
      <c r="AB77" s="57">
        <f ca="1">IFERROR(__xludf.DUMMYFUNCTION("IMPORTRANGE(""https://docs.google.com/spreadsheets/d/1v5sN-00LrXuhBxw4dkh2GrG_z4l5oAqOdJRBCsUyMaM/edit?usp=sharing"",""ตรัง!J672"")"),0)</f>
        <v>0</v>
      </c>
      <c r="AC77" s="63">
        <f t="shared" ca="1" si="11"/>
        <v>0</v>
      </c>
      <c r="AD77" s="57">
        <f ca="1">IFERROR(__xludf.DUMMYFUNCTION("IMPORTRANGE(""https://docs.google.com/spreadsheets/d/1v5sN-00LrXuhBxw4dkh2GrG_z4l5oAqOdJRBCsUyMaM/edit?usp=sharing"",""ตรัง!J673"")"),0)</f>
        <v>0</v>
      </c>
      <c r="AE77" s="63">
        <f t="shared" ca="1" si="12"/>
        <v>0</v>
      </c>
      <c r="AF77" s="63">
        <f ca="1">IFERROR(__xludf.DUMMYFUNCTION("IMPORTRANGE(""https://docs.google.com/spreadsheets/d/1v5sN-00LrXuhBxw4dkh2GrG_z4l5oAqOdJRBCsUyMaM/edit?usp=sharing"",""ตรัง!J674"")"),0)</f>
        <v>0</v>
      </c>
      <c r="AG77" s="63">
        <f t="shared" ca="1" si="13"/>
        <v>0</v>
      </c>
      <c r="AH77" s="63">
        <f ca="1">IFERROR(__xludf.DUMMYFUNCTION("IMPORTRANGE(""https://docs.google.com/spreadsheets/d/1v5sN-00LrXuhBxw4dkh2GrG_z4l5oAqOdJRBCsUyMaM/edit?usp=sharing"",""ตรัง!J675"")"),0)</f>
        <v>0</v>
      </c>
      <c r="AI77" s="63">
        <f t="shared" ca="1" si="21"/>
        <v>0</v>
      </c>
      <c r="AJ77" s="63">
        <f ca="1">IFERROR(__xludf.DUMMYFUNCTION("IMPORTRANGE(""https://docs.google.com/spreadsheets/d/1v5sN-00LrXuhBxw4dkh2GrG_z4l5oAqOdJRBCsUyMaM/edit?usp=sharing"",""ตรัง!J676"")"),0)</f>
        <v>0</v>
      </c>
      <c r="AK77" s="63">
        <f ca="1">IFERROR(__xludf.DUMMYFUNCTION("IMPORTRANGE(""https://docs.google.com/spreadsheets/d/1v5sN-00LrXuhBxw4dkh2GrG_z4l5oAqOdJRBCsUyMaM/edit?usp=sharing"",""ตรัง!J677"")"),0)</f>
        <v>0</v>
      </c>
      <c r="AL77" s="57">
        <f ca="1">IFERROR(__xludf.DUMMYFUNCTION("IMPORTRANGE(""https://docs.google.com/spreadsheets/d/1v5sN-00LrXuhBxw4dkh2GrG_z4l5oAqOdJRBCsUyMaM/edit?usp=sharing"",""ตรัง!I678"")"),0)</f>
        <v>0</v>
      </c>
      <c r="AM77" s="57">
        <f ca="1">IFERROR(__xludf.DUMMYFUNCTION("IMPORTRANGE(""https://docs.google.com/spreadsheets/d/1v5sN-00LrXuhBxw4dkh2GrG_z4l5oAqOdJRBCsUyMaM/edit?usp=sharing"",""ตรัง!J678"")"),0)</f>
        <v>0</v>
      </c>
      <c r="AN77" s="63">
        <f t="shared" ca="1" si="31"/>
        <v>0</v>
      </c>
      <c r="AO77" s="57">
        <f ca="1">IFERROR(__xludf.DUMMYFUNCTION("IMPORTRANGE(""https://docs.google.com/spreadsheets/d/1v5sN-00LrXuhBxw4dkh2GrG_z4l5oAqOdJRBCsUyMaM/edit?usp=sharing"",""ตรัง!J679"")"),0)</f>
        <v>0</v>
      </c>
      <c r="AP77" s="57">
        <f ca="1">IFERROR(__xludf.DUMMYFUNCTION("IMPORTRANGE(""https://docs.google.com/spreadsheets/d/1v5sN-00LrXuhBxw4dkh2GrG_z4l5oAqOdJRBCsUyMaM/edit?usp=sharing"",""ตรัง!J680"")"),0)</f>
        <v>0</v>
      </c>
      <c r="AQ77" s="57">
        <f ca="1">IFERROR(__xludf.DUMMYFUNCTION("IMPORTRANGE(""https://docs.google.com/spreadsheets/d/1v5sN-00LrXuhBxw4dkh2GrG_z4l5oAqOdJRBCsUyMaM/edit?usp=sharing"",""ตรัง!J681"")"),0)</f>
        <v>0</v>
      </c>
      <c r="AR77" s="57">
        <f ca="1">IFERROR(__xludf.DUMMYFUNCTION("IMPORTRANGE(""https://docs.google.com/spreadsheets/d/1v5sN-00LrXuhBxw4dkh2GrG_z4l5oAqOdJRBCsUyMaM/edit?usp=sharing"",""ตรัง!J682"")"),0)</f>
        <v>0</v>
      </c>
      <c r="AS77" s="57">
        <f ca="1">IFERROR(__xludf.DUMMYFUNCTION("IMPORTRANGE(""https://docs.google.com/spreadsheets/d/1v5sN-00LrXuhBxw4dkh2GrG_z4l5oAqOdJRBCsUyMaM/edit?usp=sharing"",""ตรัง!J683"")"),0)</f>
        <v>0</v>
      </c>
    </row>
    <row r="78" spans="1:45" ht="21" customHeight="1" x14ac:dyDescent="0.3">
      <c r="A78" s="54">
        <v>4</v>
      </c>
      <c r="B78" s="55" t="s">
        <v>99</v>
      </c>
      <c r="C78" s="56">
        <f t="shared" ca="1" si="69"/>
        <v>0</v>
      </c>
      <c r="D78" s="57">
        <f ca="1">IFERROR(__xludf.DUMMYFUNCTION("IMPORTRANGE(""https://docs.google.com/spreadsheets/d/1T5rRTzFc79aSIvqnzkZNvwPstq829QYz_xALlO1Z0s8/edit?usp=sharing"",""นครศรีธรรมราช!L660"")"),0)</f>
        <v>0</v>
      </c>
      <c r="E78" s="64">
        <f ca="1">IFERROR(__xludf.DUMMYFUNCTION("IMPORTRANGE(""https://docs.google.com/spreadsheets/d/1T5rRTzFc79aSIvqnzkZNvwPstq829QYz_xALlO1Z0s8/edit?usp=sharing"",""นครศรีธรรมราช!L667"")"),0)</f>
        <v>0</v>
      </c>
      <c r="F78" s="64">
        <f ca="1">IFERROR(__xludf.DUMMYFUNCTION("IMPORTRANGE(""https://docs.google.com/spreadsheets/d/1T5rRTzFc79aSIvqnzkZNvwPstq829QYz_xALlO1Z0s8/edit?usp=sharing"",""นครศรีธรรมราช!M660"")"),0)</f>
        <v>0</v>
      </c>
      <c r="G78" s="64">
        <f ca="1">IFERROR(__xludf.DUMMYFUNCTION("IMPORTRANGE(""https://docs.google.com/spreadsheets/d/1T5rRTzFc79aSIvqnzkZNvwPstq829QYz_xALlO1Z0s8/edit?usp=sharing"",""นครศรีธรรมราช!M667"")"),0)</f>
        <v>0</v>
      </c>
      <c r="H78" s="58">
        <f t="shared" ca="1" si="27"/>
        <v>0</v>
      </c>
      <c r="I78" s="59">
        <f t="shared" ca="1" si="1"/>
        <v>0</v>
      </c>
      <c r="J78" s="60">
        <f t="shared" ca="1" si="70"/>
        <v>0</v>
      </c>
      <c r="K78" s="61">
        <f t="shared" ca="1" si="33"/>
        <v>0</v>
      </c>
      <c r="L78" s="61">
        <f t="shared" ca="1" si="34"/>
        <v>0</v>
      </c>
      <c r="M78" s="64">
        <f ca="1">IFERROR(__xludf.DUMMYFUNCTION("IMPORTRANGE(""https://docs.google.com/spreadsheets/d/1T5rRTzFc79aSIvqnzkZNvwPstq829QYz_xALlO1Z0s8/edit?usp=sharing"",""นครศรีธรรมราช!N661"")"),0)</f>
        <v>0</v>
      </c>
      <c r="N78" s="64">
        <f ca="1">IFERROR(__xludf.DUMMYFUNCTION("IMPORTRANGE(""https://docs.google.com/spreadsheets/d/1T5rRTzFc79aSIvqnzkZNvwPstq829QYz_xALlO1Z0s8/edit?usp=sharing"",""นครศรีธรรมราช!N662"")"),0)</f>
        <v>0</v>
      </c>
      <c r="O78" s="64">
        <f ca="1">IFERROR(__xludf.DUMMYFUNCTION("IMPORTRANGE(""https://docs.google.com/spreadsheets/d/1T5rRTzFc79aSIvqnzkZNvwPstq829QYz_xALlO1Z0s8/edit?usp=sharing"",""นครศรีธรรมราช!N663"")"),0)</f>
        <v>0</v>
      </c>
      <c r="P78" s="64">
        <f ca="1">IFERROR(__xludf.DUMMYFUNCTION("IMPORTRANGE(""https://docs.google.com/spreadsheets/d/1T5rRTzFc79aSIvqnzkZNvwPstq829QYz_xALlO1Z0s8/edit?usp=sharing"",""นครศรีธรรมราช!N664"")"),0)</f>
        <v>0</v>
      </c>
      <c r="Q78" s="62">
        <f ca="1">IFERROR(__xludf.DUMMYFUNCTION("IMPORTRANGE(""https://docs.google.com/spreadsheets/d/1T5rRTzFc79aSIvqnzkZNvwPstq829QYz_xALlO1Z0s8/edit?usp=sharing"",""นครศรีธรรมราช!N667"")"),0)</f>
        <v>0</v>
      </c>
      <c r="R78" s="62">
        <f t="shared" ca="1" si="36"/>
        <v>0</v>
      </c>
      <c r="S78" s="57">
        <f ca="1">IFERROR(__xludf.DUMMYFUNCTION("IMPORTRANGE(""https://docs.google.com/spreadsheets/d/1T5rRTzFc79aSIvqnzkZNvwPstq829QYz_xALlO1Z0s8/edit?usp=sharing"",""นครศรีธรรมราช!I669"")"),0)</f>
        <v>0</v>
      </c>
      <c r="T78" s="57">
        <f ca="1">IFERROR(__xludf.DUMMYFUNCTION("IMPORTRANGE(""https://docs.google.com/spreadsheets/d/1T5rRTzFc79aSIvqnzkZNvwPstq829QYz_xALlO1Z0s8/edit?usp=sharing"",""นครศรีธรรมราช!J669"")"),0)</f>
        <v>0</v>
      </c>
      <c r="U78" s="63">
        <f t="shared" ca="1" si="28"/>
        <v>0</v>
      </c>
      <c r="V78" s="57">
        <f ca="1">IFERROR(__xludf.DUMMYFUNCTION("IMPORTRANGE(""https://docs.google.com/spreadsheets/d/1T5rRTzFc79aSIvqnzkZNvwPstq829QYz_xALlO1Z0s8/edit?usp=sharing"",""นครศรีธรรมราช!I670"")"),0)</f>
        <v>0</v>
      </c>
      <c r="W78" s="57">
        <f ca="1">IFERROR(__xludf.DUMMYFUNCTION("IMPORTRANGE(""https://docs.google.com/spreadsheets/d/1T5rRTzFc79aSIvqnzkZNvwPstq829QYz_xALlO1Z0s8/edit?usp=sharing"",""นครศรีธรรมราช!J670"")"),0)</f>
        <v>0</v>
      </c>
      <c r="X78" s="63">
        <f t="shared" ca="1" si="29"/>
        <v>0</v>
      </c>
      <c r="Y78" s="57">
        <f ca="1">IFERROR(__xludf.DUMMYFUNCTION("IMPORTRANGE(""https://docs.google.com/spreadsheets/d/1T5rRTzFc79aSIvqnzkZNvwPstq829QYz_xALlO1Z0s8/edit?usp=sharing"",""นครศรีธรรมราช!I671"")"),0)</f>
        <v>0</v>
      </c>
      <c r="Z78" s="57">
        <f ca="1">IFERROR(__xludf.DUMMYFUNCTION("IMPORTRANGE(""https://docs.google.com/spreadsheets/d/1T5rRTzFc79aSIvqnzkZNvwPstq829QYz_xALlO1Z0s8/edit?usp=sharing"",""นครศรีธรรมราช!J671"")"),0)</f>
        <v>0</v>
      </c>
      <c r="AA78" s="63">
        <f t="shared" ca="1" si="30"/>
        <v>0</v>
      </c>
      <c r="AB78" s="57">
        <f ca="1">IFERROR(__xludf.DUMMYFUNCTION("IMPORTRANGE(""https://docs.google.com/spreadsheets/d/1T5rRTzFc79aSIvqnzkZNvwPstq829QYz_xALlO1Z0s8/edit?usp=sharing"",""นครศรีธรรมราช!J672"")"),0)</f>
        <v>0</v>
      </c>
      <c r="AC78" s="63">
        <f t="shared" ca="1" si="11"/>
        <v>0</v>
      </c>
      <c r="AD78" s="57">
        <f ca="1">IFERROR(__xludf.DUMMYFUNCTION("IMPORTRANGE(""https://docs.google.com/spreadsheets/d/1T5rRTzFc79aSIvqnzkZNvwPstq829QYz_xALlO1Z0s8/edit?usp=sharing"",""นครศรีธรรมราช!J673"")"),0)</f>
        <v>0</v>
      </c>
      <c r="AE78" s="63">
        <f t="shared" ca="1" si="12"/>
        <v>0</v>
      </c>
      <c r="AF78" s="63">
        <f ca="1">IFERROR(__xludf.DUMMYFUNCTION("IMPORTRANGE(""https://docs.google.com/spreadsheets/d/1T5rRTzFc79aSIvqnzkZNvwPstq829QYz_xALlO1Z0s8/edit?usp=sharing"",""นครศรีธรรมราช!J674"")"),0)</f>
        <v>0</v>
      </c>
      <c r="AG78" s="63">
        <f t="shared" ca="1" si="13"/>
        <v>0</v>
      </c>
      <c r="AH78" s="63">
        <f ca="1">IFERROR(__xludf.DUMMYFUNCTION("IMPORTRANGE(""https://docs.google.com/spreadsheets/d/1T5rRTzFc79aSIvqnzkZNvwPstq829QYz_xALlO1Z0s8/edit?usp=sharing"",""นครศรีธรรมราช!J675"")"),0)</f>
        <v>0</v>
      </c>
      <c r="AI78" s="63">
        <f t="shared" ca="1" si="21"/>
        <v>0</v>
      </c>
      <c r="AJ78" s="63">
        <f ca="1">IFERROR(__xludf.DUMMYFUNCTION("IMPORTRANGE(""https://docs.google.com/spreadsheets/d/1T5rRTzFc79aSIvqnzkZNvwPstq829QYz_xALlO1Z0s8/edit?usp=sharing"",""นครศรีธรรมราช!J676"")"),0)</f>
        <v>0</v>
      </c>
      <c r="AK78" s="63">
        <f ca="1">IFERROR(__xludf.DUMMYFUNCTION("IMPORTRANGE(""https://docs.google.com/spreadsheets/d/1T5rRTzFc79aSIvqnzkZNvwPstq829QYz_xALlO1Z0s8/edit?usp=sharing"",""นครศรีธรรมราช!J677"")"),0)</f>
        <v>0</v>
      </c>
      <c r="AL78" s="57">
        <f ca="1">IFERROR(__xludf.DUMMYFUNCTION("IMPORTRANGE(""https://docs.google.com/spreadsheets/d/1T5rRTzFc79aSIvqnzkZNvwPstq829QYz_xALlO1Z0s8/edit?usp=sharing"",""นครศรีธรรมราช!I678"")"),0)</f>
        <v>0</v>
      </c>
      <c r="AM78" s="57">
        <f ca="1">IFERROR(__xludf.DUMMYFUNCTION("IMPORTRANGE(""https://docs.google.com/spreadsheets/d/1T5rRTzFc79aSIvqnzkZNvwPstq829QYz_xALlO1Z0s8/edit?usp=sharing"",""นครศรีธรรมราช!J678"")"),0)</f>
        <v>0</v>
      </c>
      <c r="AN78" s="63">
        <f t="shared" ca="1" si="31"/>
        <v>0</v>
      </c>
      <c r="AO78" s="57">
        <f ca="1">IFERROR(__xludf.DUMMYFUNCTION("IMPORTRANGE(""https://docs.google.com/spreadsheets/d/1T5rRTzFc79aSIvqnzkZNvwPstq829QYz_xALlO1Z0s8/edit?usp=sharing"",""นครศรีธรรมราช!J679"")"),0)</f>
        <v>0</v>
      </c>
      <c r="AP78" s="57">
        <f ca="1">IFERROR(__xludf.DUMMYFUNCTION("IMPORTRANGE(""https://docs.google.com/spreadsheets/d/1T5rRTzFc79aSIvqnzkZNvwPstq829QYz_xALlO1Z0s8/edit?usp=sharing"",""นครศรีธรรมราช!J680"")"),0)</f>
        <v>0</v>
      </c>
      <c r="AQ78" s="57">
        <f ca="1">IFERROR(__xludf.DUMMYFUNCTION("IMPORTRANGE(""https://docs.google.com/spreadsheets/d/1T5rRTzFc79aSIvqnzkZNvwPstq829QYz_xALlO1Z0s8/edit?usp=sharing"",""นครศรีธรรมราช!J681"")"),0)</f>
        <v>0</v>
      </c>
      <c r="AR78" s="57">
        <f ca="1">IFERROR(__xludf.DUMMYFUNCTION("IMPORTRANGE(""https://docs.google.com/spreadsheets/d/1T5rRTzFc79aSIvqnzkZNvwPstq829QYz_xALlO1Z0s8/edit?usp=sharing"",""นครศรีธรรมราช!J682"")"),0)</f>
        <v>0</v>
      </c>
      <c r="AS78" s="57">
        <f ca="1">IFERROR(__xludf.DUMMYFUNCTION("IMPORTRANGE(""https://docs.google.com/spreadsheets/d/1T5rRTzFc79aSIvqnzkZNvwPstq829QYz_xALlO1Z0s8/edit?usp=sharing"",""นครศรีธรรมราช!J683"")"),0)</f>
        <v>0</v>
      </c>
    </row>
    <row r="79" spans="1:45" ht="21" customHeight="1" x14ac:dyDescent="0.3">
      <c r="A79" s="54">
        <v>5</v>
      </c>
      <c r="B79" s="55" t="s">
        <v>100</v>
      </c>
      <c r="C79" s="56">
        <f t="shared" ca="1" si="69"/>
        <v>11000</v>
      </c>
      <c r="D79" s="57">
        <f ca="1">IFERROR(__xludf.DUMMYFUNCTION("IMPORTRANGE(""https://docs.google.com/spreadsheets/d/1BeghqumK0IvCmRd2QOy6_afsZq7ZtAGrSnVJy2u7WmY/edit?usp=sharing"",""นราธิวาส!L660"")"),11000)</f>
        <v>11000</v>
      </c>
      <c r="E79" s="64">
        <f ca="1">IFERROR(__xludf.DUMMYFUNCTION("IMPORTRANGE(""https://docs.google.com/spreadsheets/d/1BeghqumK0IvCmRd2QOy6_afsZq7ZtAGrSnVJy2u7WmY/edit?usp=sharing"",""นราธิวาส!L667"")"),0)</f>
        <v>0</v>
      </c>
      <c r="F79" s="64">
        <f ca="1">IFERROR(__xludf.DUMMYFUNCTION("IMPORTRANGE(""https://docs.google.com/spreadsheets/d/1BeghqumK0IvCmRd2QOy6_afsZq7ZtAGrSnVJy2u7WmY/edit?usp=sharing"",""นราธิวาส!M660"")"),11000)</f>
        <v>11000</v>
      </c>
      <c r="G79" s="64">
        <f ca="1">IFERROR(__xludf.DUMMYFUNCTION("IMPORTRANGE(""https://docs.google.com/spreadsheets/d/1BeghqumK0IvCmRd2QOy6_afsZq7ZtAGrSnVJy2u7WmY/edit?usp=sharing"",""นราธิวาส!M667"")"),0)</f>
        <v>0</v>
      </c>
      <c r="H79" s="58">
        <f t="shared" ca="1" si="27"/>
        <v>11000</v>
      </c>
      <c r="I79" s="59">
        <f t="shared" ca="1" si="1"/>
        <v>100</v>
      </c>
      <c r="J79" s="60">
        <f t="shared" ca="1" si="70"/>
        <v>11000</v>
      </c>
      <c r="K79" s="61">
        <f t="shared" ca="1" si="33"/>
        <v>100</v>
      </c>
      <c r="L79" s="61">
        <f t="shared" ca="1" si="34"/>
        <v>100</v>
      </c>
      <c r="M79" s="64">
        <f ca="1">IFERROR(__xludf.DUMMYFUNCTION("IMPORTRANGE(""https://docs.google.com/spreadsheets/d/1BeghqumK0IvCmRd2QOy6_afsZq7ZtAGrSnVJy2u7WmY/edit?usp=sharing"",""นราธิวาส!N661"")"),0)</f>
        <v>0</v>
      </c>
      <c r="N79" s="64">
        <f ca="1">IFERROR(__xludf.DUMMYFUNCTION("IMPORTRANGE(""https://docs.google.com/spreadsheets/d/1BeghqumK0IvCmRd2QOy6_afsZq7ZtAGrSnVJy2u7WmY/edit?usp=sharing"",""นราธิวาส!N662"")"),0)</f>
        <v>0</v>
      </c>
      <c r="O79" s="64">
        <f ca="1">IFERROR(__xludf.DUMMYFUNCTION("IMPORTRANGE(""https://docs.google.com/spreadsheets/d/1BeghqumK0IvCmRd2QOy6_afsZq7ZtAGrSnVJy2u7WmY/edit?usp=sharing"",""นราธิวาส!N663"")"),0)</f>
        <v>0</v>
      </c>
      <c r="P79" s="64">
        <f ca="1">IFERROR(__xludf.DUMMYFUNCTION("IMPORTRANGE(""https://docs.google.com/spreadsheets/d/1BeghqumK0IvCmRd2QOy6_afsZq7ZtAGrSnVJy2u7WmY/edit?usp=sharing"",""นราธิวาส!N664"")"),11000)</f>
        <v>11000</v>
      </c>
      <c r="Q79" s="62">
        <f ca="1">IFERROR(__xludf.DUMMYFUNCTION("IMPORTRANGE(""https://docs.google.com/spreadsheets/d/1BeghqumK0IvCmRd2QOy6_afsZq7ZtAGrSnVJy2u7WmY/edit?usp=sharing"",""นราธิวาส!N667"")"),0)</f>
        <v>0</v>
      </c>
      <c r="R79" s="62">
        <f t="shared" ca="1" si="36"/>
        <v>0</v>
      </c>
      <c r="S79" s="57">
        <f ca="1">IFERROR(__xludf.DUMMYFUNCTION("IMPORTRANGE(""https://docs.google.com/spreadsheets/d/1BeghqumK0IvCmRd2QOy6_afsZq7ZtAGrSnVJy2u7WmY/edit?usp=sharing"",""นราธิวาส!I669"")"),50)</f>
        <v>50</v>
      </c>
      <c r="T79" s="57">
        <f ca="1">IFERROR(__xludf.DUMMYFUNCTION("IMPORTRANGE(""https://docs.google.com/spreadsheets/d/1BeghqumK0IvCmRd2QOy6_afsZq7ZtAGrSnVJy2u7WmY/edit?usp=sharing"",""นราธิวาส!J669"")"),0)</f>
        <v>0</v>
      </c>
      <c r="U79" s="63">
        <f t="shared" ca="1" si="28"/>
        <v>0</v>
      </c>
      <c r="V79" s="57">
        <f ca="1">IFERROR(__xludf.DUMMYFUNCTION("IMPORTRANGE(""https://docs.google.com/spreadsheets/d/1BeghqumK0IvCmRd2QOy6_afsZq7ZtAGrSnVJy2u7WmY/edit?usp=sharing"",""นราธิวาส!I670"")"),5)</f>
        <v>5</v>
      </c>
      <c r="W79" s="57">
        <f ca="1">IFERROR(__xludf.DUMMYFUNCTION("IMPORTRANGE(""https://docs.google.com/spreadsheets/d/1BeghqumK0IvCmRd2QOy6_afsZq7ZtAGrSnVJy2u7WmY/edit?usp=sharing"",""นราธิวาส!J670"")"),5)</f>
        <v>5</v>
      </c>
      <c r="X79" s="63">
        <f t="shared" ca="1" si="29"/>
        <v>100</v>
      </c>
      <c r="Y79" s="57">
        <f ca="1">IFERROR(__xludf.DUMMYFUNCTION("IMPORTRANGE(""https://docs.google.com/spreadsheets/d/1BeghqumK0IvCmRd2QOy6_afsZq7ZtAGrSnVJy2u7WmY/edit?usp=sharing"",""นราธิวาส!I671"")"),5)</f>
        <v>5</v>
      </c>
      <c r="Z79" s="57">
        <f ca="1">IFERROR(__xludf.DUMMYFUNCTION("IMPORTRANGE(""https://docs.google.com/spreadsheets/d/1BeghqumK0IvCmRd2QOy6_afsZq7ZtAGrSnVJy2u7WmY/edit?usp=sharing"",""นราธิวาส!J671"")"),5)</f>
        <v>5</v>
      </c>
      <c r="AA79" s="63">
        <f t="shared" ca="1" si="30"/>
        <v>100</v>
      </c>
      <c r="AB79" s="57">
        <f ca="1">IFERROR(__xludf.DUMMYFUNCTION("IMPORTRANGE(""https://docs.google.com/spreadsheets/d/1BeghqumK0IvCmRd2QOy6_afsZq7ZtAGrSnVJy2u7WmY/edit?usp=sharing"",""นราธิวาส!J672"")"),57)</f>
        <v>57</v>
      </c>
      <c r="AC79" s="63">
        <f t="shared" ca="1" si="11"/>
        <v>114</v>
      </c>
      <c r="AD79" s="57">
        <f ca="1">IFERROR(__xludf.DUMMYFUNCTION("IMPORTRANGE(""https://docs.google.com/spreadsheets/d/1BeghqumK0IvCmRd2QOy6_afsZq7ZtAGrSnVJy2u7WmY/edit?usp=sharing"",""นราธิวาส!J673"")"),57)</f>
        <v>57</v>
      </c>
      <c r="AE79" s="63">
        <f t="shared" ca="1" si="12"/>
        <v>114</v>
      </c>
      <c r="AF79" s="63">
        <f ca="1">IFERROR(__xludf.DUMMYFUNCTION("IMPORTRANGE(""https://docs.google.com/spreadsheets/d/1BeghqumK0IvCmRd2QOy6_afsZq7ZtAGrSnVJy2u7WmY/edit?usp=sharing"",""นราธิวาส!J674"")"),0)</f>
        <v>0</v>
      </c>
      <c r="AG79" s="63">
        <f t="shared" ca="1" si="13"/>
        <v>0</v>
      </c>
      <c r="AH79" s="63">
        <f ca="1">IFERROR(__xludf.DUMMYFUNCTION("IMPORTRANGE(""https://docs.google.com/spreadsheets/d/1BeghqumK0IvCmRd2QOy6_afsZq7ZtAGrSnVJy2u7WmY/edit?usp=sharing"",""นราธิวาส!J675"")"),0)</f>
        <v>0</v>
      </c>
      <c r="AI79" s="63">
        <f t="shared" ca="1" si="21"/>
        <v>0</v>
      </c>
      <c r="AJ79" s="63">
        <f ca="1">IFERROR(__xludf.DUMMYFUNCTION("IMPORTRANGE(""https://docs.google.com/spreadsheets/d/1BeghqumK0IvCmRd2QOy6_afsZq7ZtAGrSnVJy2u7WmY/edit?usp=sharing"",""นราธิวาส!J676"")"),0)</f>
        <v>0</v>
      </c>
      <c r="AK79" s="63">
        <f ca="1">IFERROR(__xludf.DUMMYFUNCTION("IMPORTRANGE(""https://docs.google.com/spreadsheets/d/1BeghqumK0IvCmRd2QOy6_afsZq7ZtAGrSnVJy2u7WmY/edit?usp=sharing"",""นราธิวาส!J677"")"),0)</f>
        <v>0</v>
      </c>
      <c r="AL79" s="57">
        <f ca="1">IFERROR(__xludf.DUMMYFUNCTION("IMPORTRANGE(""https://docs.google.com/spreadsheets/d/1BeghqumK0IvCmRd2QOy6_afsZq7ZtAGrSnVJy2u7WmY/edit?usp=sharing"",""นราธิวาส!I678"")"),0)</f>
        <v>0</v>
      </c>
      <c r="AM79" s="57">
        <f ca="1">IFERROR(__xludf.DUMMYFUNCTION("IMPORTRANGE(""https://docs.google.com/spreadsheets/d/1BeghqumK0IvCmRd2QOy6_afsZq7ZtAGrSnVJy2u7WmY/edit?usp=sharing"",""นราธิวาส!J678"")"),0)</f>
        <v>0</v>
      </c>
      <c r="AN79" s="63">
        <f t="shared" ca="1" si="31"/>
        <v>0</v>
      </c>
      <c r="AO79" s="57">
        <f ca="1">IFERROR(__xludf.DUMMYFUNCTION("IMPORTRANGE(""https://docs.google.com/spreadsheets/d/1BeghqumK0IvCmRd2QOy6_afsZq7ZtAGrSnVJy2u7WmY/edit?usp=sharing"",""นราธิวาส!J679"")"),0)</f>
        <v>0</v>
      </c>
      <c r="AP79" s="57">
        <f ca="1">IFERROR(__xludf.DUMMYFUNCTION("IMPORTRANGE(""https://docs.google.com/spreadsheets/d/1BeghqumK0IvCmRd2QOy6_afsZq7ZtAGrSnVJy2u7WmY/edit?usp=sharing"",""นราธิวาส!J680"")"),0)</f>
        <v>0</v>
      </c>
      <c r="AQ79" s="57">
        <f ca="1">IFERROR(__xludf.DUMMYFUNCTION("IMPORTRANGE(""https://docs.google.com/spreadsheets/d/1BeghqumK0IvCmRd2QOy6_afsZq7ZtAGrSnVJy2u7WmY/edit?usp=sharing"",""นราธิวาส!J681"")"),0)</f>
        <v>0</v>
      </c>
      <c r="AR79" s="57">
        <f ca="1">IFERROR(__xludf.DUMMYFUNCTION("IMPORTRANGE(""https://docs.google.com/spreadsheets/d/1BeghqumK0IvCmRd2QOy6_afsZq7ZtAGrSnVJy2u7WmY/edit?usp=sharing"",""นราธิวาส!J682"")"),0)</f>
        <v>0</v>
      </c>
      <c r="AS79" s="57">
        <f ca="1">IFERROR(__xludf.DUMMYFUNCTION("IMPORTRANGE(""https://docs.google.com/spreadsheets/d/1BeghqumK0IvCmRd2QOy6_afsZq7ZtAGrSnVJy2u7WmY/edit?usp=sharing"",""นราธิวาส!J683"")"),0)</f>
        <v>0</v>
      </c>
    </row>
    <row r="80" spans="1:45" ht="21" customHeight="1" x14ac:dyDescent="0.3">
      <c r="A80" s="54">
        <v>6</v>
      </c>
      <c r="B80" s="55" t="s">
        <v>101</v>
      </c>
      <c r="C80" s="56">
        <f t="shared" ca="1" si="69"/>
        <v>11000</v>
      </c>
      <c r="D80" s="57">
        <f ca="1">IFERROR(__xludf.DUMMYFUNCTION("IMPORTRANGE(""https://docs.google.com/spreadsheets/d/1IwnW3-jjRf74MCLW-6PiFwMUffRQXZwZA7YM609NmRc/edit?usp=sharing"",""ปัตตานี!L660"")"),11000)</f>
        <v>11000</v>
      </c>
      <c r="E80" s="64">
        <f ca="1">IFERROR(__xludf.DUMMYFUNCTION("IMPORTRANGE(""https://docs.google.com/spreadsheets/d/1IwnW3-jjRf74MCLW-6PiFwMUffRQXZwZA7YM609NmRc/edit?usp=sharing"",""ปัตตานี!L667"")"),0)</f>
        <v>0</v>
      </c>
      <c r="F80" s="64">
        <f ca="1">IFERROR(__xludf.DUMMYFUNCTION("IMPORTRANGE(""https://docs.google.com/spreadsheets/d/1IwnW3-jjRf74MCLW-6PiFwMUffRQXZwZA7YM609NmRc/edit?usp=sharing"",""ปัตตานี!M660"")"),11000)</f>
        <v>11000</v>
      </c>
      <c r="G80" s="64">
        <f ca="1">IFERROR(__xludf.DUMMYFUNCTION("IMPORTRANGE(""https://docs.google.com/spreadsheets/d/1IwnW3-jjRf74MCLW-6PiFwMUffRQXZwZA7YM609NmRc/edit?usp=sharing"",""ปัตตานี!M667"")"),0)</f>
        <v>0</v>
      </c>
      <c r="H80" s="58">
        <f t="shared" ca="1" si="27"/>
        <v>6616</v>
      </c>
      <c r="I80" s="59">
        <f t="shared" ca="1" si="1"/>
        <v>60.145454545454548</v>
      </c>
      <c r="J80" s="60">
        <f t="shared" ca="1" si="70"/>
        <v>6616</v>
      </c>
      <c r="K80" s="61">
        <f t="shared" ca="1" si="33"/>
        <v>60.145454545454548</v>
      </c>
      <c r="L80" s="61">
        <f t="shared" ca="1" si="34"/>
        <v>60.145454545454548</v>
      </c>
      <c r="M80" s="64">
        <f ca="1">IFERROR(__xludf.DUMMYFUNCTION("IMPORTRANGE(""https://docs.google.com/spreadsheets/d/1IwnW3-jjRf74MCLW-6PiFwMUffRQXZwZA7YM609NmRc/edit?usp=sharing"",""ปัตตานี!N661"")"),0)</f>
        <v>0</v>
      </c>
      <c r="N80" s="64">
        <f ca="1">IFERROR(__xludf.DUMMYFUNCTION("IMPORTRANGE(""https://docs.google.com/spreadsheets/d/1IwnW3-jjRf74MCLW-6PiFwMUffRQXZwZA7YM609NmRc/edit?usp=sharing"",""ปัตตานี!N662"")"),0)</f>
        <v>0</v>
      </c>
      <c r="O80" s="64">
        <f ca="1">IFERROR(__xludf.DUMMYFUNCTION("IMPORTRANGE(""https://docs.google.com/spreadsheets/d/1IwnW3-jjRf74MCLW-6PiFwMUffRQXZwZA7YM609NmRc/edit?usp=sharing"",""ปัตตานี!N663"")"),0)</f>
        <v>0</v>
      </c>
      <c r="P80" s="64">
        <f ca="1">IFERROR(__xludf.DUMMYFUNCTION("IMPORTRANGE(""https://docs.google.com/spreadsheets/d/1IwnW3-jjRf74MCLW-6PiFwMUffRQXZwZA7YM609NmRc/edit?usp=sharing"",""ปัตตานี!N664"")"),6616)</f>
        <v>6616</v>
      </c>
      <c r="Q80" s="62">
        <f ca="1">IFERROR(__xludf.DUMMYFUNCTION("IMPORTRANGE(""https://docs.google.com/spreadsheets/d/1IwnW3-jjRf74MCLW-6PiFwMUffRQXZwZA7YM609NmRc/edit?usp=sharing"",""ปัตตานี!N667"")"),0)</f>
        <v>0</v>
      </c>
      <c r="R80" s="62">
        <f t="shared" ca="1" si="36"/>
        <v>0</v>
      </c>
      <c r="S80" s="57">
        <f ca="1">IFERROR(__xludf.DUMMYFUNCTION("IMPORTRANGE(""https://docs.google.com/spreadsheets/d/1IwnW3-jjRf74MCLW-6PiFwMUffRQXZwZA7YM609NmRc/edit?usp=sharing"",""ปัตตานี!I669"")"),50)</f>
        <v>50</v>
      </c>
      <c r="T80" s="57">
        <f ca="1">IFERROR(__xludf.DUMMYFUNCTION("IMPORTRANGE(""https://docs.google.com/spreadsheets/d/1IwnW3-jjRf74MCLW-6PiFwMUffRQXZwZA7YM609NmRc/edit?usp=sharing"",""ปัตตานี!J669"")"),0)</f>
        <v>0</v>
      </c>
      <c r="U80" s="63">
        <f t="shared" ca="1" si="28"/>
        <v>0</v>
      </c>
      <c r="V80" s="57">
        <f ca="1">IFERROR(__xludf.DUMMYFUNCTION("IMPORTRANGE(""https://docs.google.com/spreadsheets/d/1IwnW3-jjRf74MCLW-6PiFwMUffRQXZwZA7YM609NmRc/edit?usp=sharing"",""ปัตตานี!I670"")"),5)</f>
        <v>5</v>
      </c>
      <c r="W80" s="57">
        <f ca="1">IFERROR(__xludf.DUMMYFUNCTION("IMPORTRANGE(""https://docs.google.com/spreadsheets/d/1IwnW3-jjRf74MCLW-6PiFwMUffRQXZwZA7YM609NmRc/edit?usp=sharing"",""ปัตตานี!J670"")"),5)</f>
        <v>5</v>
      </c>
      <c r="X80" s="63">
        <f t="shared" ca="1" si="29"/>
        <v>100</v>
      </c>
      <c r="Y80" s="57">
        <f ca="1">IFERROR(__xludf.DUMMYFUNCTION("IMPORTRANGE(""https://docs.google.com/spreadsheets/d/1IwnW3-jjRf74MCLW-6PiFwMUffRQXZwZA7YM609NmRc/edit?usp=sharing"",""ปัตตานี!I671"")"),5)</f>
        <v>5</v>
      </c>
      <c r="Z80" s="57">
        <f ca="1">IFERROR(__xludf.DUMMYFUNCTION("IMPORTRANGE(""https://docs.google.com/spreadsheets/d/1IwnW3-jjRf74MCLW-6PiFwMUffRQXZwZA7YM609NmRc/edit?usp=sharing"",""ปัตตานี!J671"")"),5)</f>
        <v>5</v>
      </c>
      <c r="AA80" s="63">
        <f t="shared" ca="1" si="30"/>
        <v>100</v>
      </c>
      <c r="AB80" s="57">
        <f ca="1">IFERROR(__xludf.DUMMYFUNCTION("IMPORTRANGE(""https://docs.google.com/spreadsheets/d/1IwnW3-jjRf74MCLW-6PiFwMUffRQXZwZA7YM609NmRc/edit?usp=sharing"",""ปัตตานี!J672"")"),0)</f>
        <v>0</v>
      </c>
      <c r="AC80" s="63">
        <f t="shared" ca="1" si="11"/>
        <v>0</v>
      </c>
      <c r="AD80" s="57">
        <f ca="1">IFERROR(__xludf.DUMMYFUNCTION("IMPORTRANGE(""https://docs.google.com/spreadsheets/d/1IwnW3-jjRf74MCLW-6PiFwMUffRQXZwZA7YM609NmRc/edit?usp=sharing"",""ปัตตานี!J673"")"),0)</f>
        <v>0</v>
      </c>
      <c r="AE80" s="63">
        <f t="shared" ca="1" si="12"/>
        <v>0</v>
      </c>
      <c r="AF80" s="63">
        <f ca="1">IFERROR(__xludf.DUMMYFUNCTION("IMPORTRANGE(""https://docs.google.com/spreadsheets/d/1IwnW3-jjRf74MCLW-6PiFwMUffRQXZwZA7YM609NmRc/edit?usp=sharing"",""ปัตตานี!J674"")"),0)</f>
        <v>0</v>
      </c>
      <c r="AG80" s="63">
        <f t="shared" ca="1" si="13"/>
        <v>0</v>
      </c>
      <c r="AH80" s="63">
        <f ca="1">IFERROR(__xludf.DUMMYFUNCTION("IMPORTRANGE(""https://docs.google.com/spreadsheets/d/1IwnW3-jjRf74MCLW-6PiFwMUffRQXZwZA7YM609NmRc/edit?usp=sharing"",""ปัตตานี!J675"")"),0)</f>
        <v>0</v>
      </c>
      <c r="AI80" s="63">
        <f t="shared" ca="1" si="21"/>
        <v>0</v>
      </c>
      <c r="AJ80" s="63">
        <f ca="1">IFERROR(__xludf.DUMMYFUNCTION("IMPORTRANGE(""https://docs.google.com/spreadsheets/d/1IwnW3-jjRf74MCLW-6PiFwMUffRQXZwZA7YM609NmRc/edit?usp=sharing"",""ปัตตานี!J676"")"),0)</f>
        <v>0</v>
      </c>
      <c r="AK80" s="63">
        <f ca="1">IFERROR(__xludf.DUMMYFUNCTION("IMPORTRANGE(""https://docs.google.com/spreadsheets/d/1IwnW3-jjRf74MCLW-6PiFwMUffRQXZwZA7YM609NmRc/edit?usp=sharing"",""ปัตตานี!J677"")"),0)</f>
        <v>0</v>
      </c>
      <c r="AL80" s="57">
        <f ca="1">IFERROR(__xludf.DUMMYFUNCTION("IMPORTRANGE(""https://docs.google.com/spreadsheets/d/1IwnW3-jjRf74MCLW-6PiFwMUffRQXZwZA7YM609NmRc/edit?usp=sharing"",""ปัตตานี!I678"")"),0)</f>
        <v>0</v>
      </c>
      <c r="AM80" s="57">
        <f ca="1">IFERROR(__xludf.DUMMYFUNCTION("IMPORTRANGE(""https://docs.google.com/spreadsheets/d/1IwnW3-jjRf74MCLW-6PiFwMUffRQXZwZA7YM609NmRc/edit?usp=sharing"",""ปัตตานี!J678"")"),0)</f>
        <v>0</v>
      </c>
      <c r="AN80" s="63">
        <f t="shared" ca="1" si="31"/>
        <v>0</v>
      </c>
      <c r="AO80" s="57">
        <f ca="1">IFERROR(__xludf.DUMMYFUNCTION("IMPORTRANGE(""https://docs.google.com/spreadsheets/d/1IwnW3-jjRf74MCLW-6PiFwMUffRQXZwZA7YM609NmRc/edit?usp=sharing"",""ปัตตานี!J679"")"),0)</f>
        <v>0</v>
      </c>
      <c r="AP80" s="57">
        <f ca="1">IFERROR(__xludf.DUMMYFUNCTION("IMPORTRANGE(""https://docs.google.com/spreadsheets/d/1IwnW3-jjRf74MCLW-6PiFwMUffRQXZwZA7YM609NmRc/edit?usp=sharing"",""ปัตตานี!J680"")"),0)</f>
        <v>0</v>
      </c>
      <c r="AQ80" s="57">
        <f ca="1">IFERROR(__xludf.DUMMYFUNCTION("IMPORTRANGE(""https://docs.google.com/spreadsheets/d/1IwnW3-jjRf74MCLW-6PiFwMUffRQXZwZA7YM609NmRc/edit?usp=sharing"",""ปัตตานี!J681"")"),0)</f>
        <v>0</v>
      </c>
      <c r="AR80" s="57">
        <f ca="1">IFERROR(__xludf.DUMMYFUNCTION("IMPORTRANGE(""https://docs.google.com/spreadsheets/d/1IwnW3-jjRf74MCLW-6PiFwMUffRQXZwZA7YM609NmRc/edit?usp=sharing"",""ปัตตานี!J682"")"),0)</f>
        <v>0</v>
      </c>
      <c r="AS80" s="57">
        <f ca="1">IFERROR(__xludf.DUMMYFUNCTION("IMPORTRANGE(""https://docs.google.com/spreadsheets/d/1IwnW3-jjRf74MCLW-6PiFwMUffRQXZwZA7YM609NmRc/edit?usp=sharing"",""ปัตตานี!J683"")"),0)</f>
        <v>0</v>
      </c>
    </row>
    <row r="81" spans="1:45" ht="21" customHeight="1" x14ac:dyDescent="0.3">
      <c r="A81" s="54">
        <v>7</v>
      </c>
      <c r="B81" s="55" t="s">
        <v>102</v>
      </c>
      <c r="C81" s="56">
        <f t="shared" ca="1" si="69"/>
        <v>0</v>
      </c>
      <c r="D81" s="57">
        <f ca="1">IFERROR(__xludf.DUMMYFUNCTION("IMPORTRANGE(""https://docs.google.com/spreadsheets/d/1vl4QWbWdFruual5o_wdo6ZSqXZ_it806oja4CctTLKs/edit?usp=sharing"",""พังงา!L660"")"),0)</f>
        <v>0</v>
      </c>
      <c r="E81" s="64">
        <f ca="1">IFERROR(__xludf.DUMMYFUNCTION("IMPORTRANGE(""https://docs.google.com/spreadsheets/d/1vl4QWbWdFruual5o_wdo6ZSqXZ_it806oja4CctTLKs/edit?usp=sharing"",""พังงา!L667"")"),0)</f>
        <v>0</v>
      </c>
      <c r="F81" s="64">
        <f ca="1">IFERROR(__xludf.DUMMYFUNCTION("IMPORTRANGE(""https://docs.google.com/spreadsheets/d/1vl4QWbWdFruual5o_wdo6ZSqXZ_it806oja4CctTLKs/edit?usp=sharing"",""พังงา!M660"")"),0)</f>
        <v>0</v>
      </c>
      <c r="G81" s="64">
        <f ca="1">IFERROR(__xludf.DUMMYFUNCTION("IMPORTRANGE(""https://docs.google.com/spreadsheets/d/1vl4QWbWdFruual5o_wdo6ZSqXZ_it806oja4CctTLKs/edit?usp=sharing"",""พังงา!M667"")"),0)</f>
        <v>0</v>
      </c>
      <c r="H81" s="58">
        <f t="shared" ca="1" si="27"/>
        <v>0</v>
      </c>
      <c r="I81" s="59">
        <f t="shared" ca="1" si="1"/>
        <v>0</v>
      </c>
      <c r="J81" s="60">
        <f t="shared" ca="1" si="70"/>
        <v>0</v>
      </c>
      <c r="K81" s="61">
        <f t="shared" ca="1" si="33"/>
        <v>0</v>
      </c>
      <c r="L81" s="61">
        <f t="shared" ca="1" si="34"/>
        <v>0</v>
      </c>
      <c r="M81" s="64">
        <f ca="1">IFERROR(__xludf.DUMMYFUNCTION("IMPORTRANGE(""https://docs.google.com/spreadsheets/d/1vl4QWbWdFruual5o_wdo6ZSqXZ_it806oja4CctTLKs/edit?usp=sharing"",""พังงา!N661"")"),0)</f>
        <v>0</v>
      </c>
      <c r="N81" s="64">
        <f ca="1">IFERROR(__xludf.DUMMYFUNCTION("IMPORTRANGE(""https://docs.google.com/spreadsheets/d/1vl4QWbWdFruual5o_wdo6ZSqXZ_it806oja4CctTLKs/edit?usp=sharing"",""พังงา!N662"")"),0)</f>
        <v>0</v>
      </c>
      <c r="O81" s="64">
        <f ca="1">IFERROR(__xludf.DUMMYFUNCTION("IMPORTRANGE(""https://docs.google.com/spreadsheets/d/1vl4QWbWdFruual5o_wdo6ZSqXZ_it806oja4CctTLKs/edit?usp=sharing"",""พังงา!N663"")"),0)</f>
        <v>0</v>
      </c>
      <c r="P81" s="64">
        <f ca="1">IFERROR(__xludf.DUMMYFUNCTION("IMPORTRANGE(""https://docs.google.com/spreadsheets/d/1vl4QWbWdFruual5o_wdo6ZSqXZ_it806oja4CctTLKs/edit?usp=sharing"",""พังงา!N664"")"),0)</f>
        <v>0</v>
      </c>
      <c r="Q81" s="62">
        <f ca="1">IFERROR(__xludf.DUMMYFUNCTION("IMPORTRANGE(""https://docs.google.com/spreadsheets/d/1vl4QWbWdFruual5o_wdo6ZSqXZ_it806oja4CctTLKs/edit?usp=sharing"",""พังงา!N667"")"),0)</f>
        <v>0</v>
      </c>
      <c r="R81" s="62">
        <f t="shared" ca="1" si="36"/>
        <v>0</v>
      </c>
      <c r="S81" s="57">
        <f ca="1">IFERROR(__xludf.DUMMYFUNCTION("IMPORTRANGE(""https://docs.google.com/spreadsheets/d/1vl4QWbWdFruual5o_wdo6ZSqXZ_it806oja4CctTLKs/edit?usp=sharing"",""พังงา!I669"")"),0)</f>
        <v>0</v>
      </c>
      <c r="T81" s="57">
        <f ca="1">IFERROR(__xludf.DUMMYFUNCTION("IMPORTRANGE(""https://docs.google.com/spreadsheets/d/1vl4QWbWdFruual5o_wdo6ZSqXZ_it806oja4CctTLKs/edit?usp=sharing"",""พังงา!J669"")"),0)</f>
        <v>0</v>
      </c>
      <c r="U81" s="63">
        <f t="shared" ca="1" si="28"/>
        <v>0</v>
      </c>
      <c r="V81" s="57">
        <f ca="1">IFERROR(__xludf.DUMMYFUNCTION("IMPORTRANGE(""https://docs.google.com/spreadsheets/d/1vl4QWbWdFruual5o_wdo6ZSqXZ_it806oja4CctTLKs/edit?usp=sharing"",""พังงา!I670"")"),0)</f>
        <v>0</v>
      </c>
      <c r="W81" s="57">
        <f ca="1">IFERROR(__xludf.DUMMYFUNCTION("IMPORTRANGE(""https://docs.google.com/spreadsheets/d/1vl4QWbWdFruual5o_wdo6ZSqXZ_it806oja4CctTLKs/edit?usp=sharing"",""พังงา!J670"")"),0)</f>
        <v>0</v>
      </c>
      <c r="X81" s="63">
        <f t="shared" ca="1" si="29"/>
        <v>0</v>
      </c>
      <c r="Y81" s="57">
        <f ca="1">IFERROR(__xludf.DUMMYFUNCTION("IMPORTRANGE(""https://docs.google.com/spreadsheets/d/1vl4QWbWdFruual5o_wdo6ZSqXZ_it806oja4CctTLKs/edit?usp=sharing"",""พังงา!I671"")"),0)</f>
        <v>0</v>
      </c>
      <c r="Z81" s="57">
        <f ca="1">IFERROR(__xludf.DUMMYFUNCTION("IMPORTRANGE(""https://docs.google.com/spreadsheets/d/1vl4QWbWdFruual5o_wdo6ZSqXZ_it806oja4CctTLKs/edit?usp=sharing"",""พังงา!J671"")"),0)</f>
        <v>0</v>
      </c>
      <c r="AA81" s="63">
        <f t="shared" ca="1" si="30"/>
        <v>0</v>
      </c>
      <c r="AB81" s="57">
        <f ca="1">IFERROR(__xludf.DUMMYFUNCTION("IMPORTRANGE(""https://docs.google.com/spreadsheets/d/1vl4QWbWdFruual5o_wdo6ZSqXZ_it806oja4CctTLKs/edit?usp=sharing"",""พังงา!J672"")"),0)</f>
        <v>0</v>
      </c>
      <c r="AC81" s="63">
        <f t="shared" ca="1" si="11"/>
        <v>0</v>
      </c>
      <c r="AD81" s="57">
        <f ca="1">IFERROR(__xludf.DUMMYFUNCTION("IMPORTRANGE(""https://docs.google.com/spreadsheets/d/1vl4QWbWdFruual5o_wdo6ZSqXZ_it806oja4CctTLKs/edit?usp=sharing"",""พังงา!J673"")"),0)</f>
        <v>0</v>
      </c>
      <c r="AE81" s="63">
        <f t="shared" ca="1" si="12"/>
        <v>0</v>
      </c>
      <c r="AF81" s="63">
        <f ca="1">IFERROR(__xludf.DUMMYFUNCTION("IMPORTRANGE(""https://docs.google.com/spreadsheets/d/1vl4QWbWdFruual5o_wdo6ZSqXZ_it806oja4CctTLKs/edit?usp=sharing"",""พังงา!J674"")"),0)</f>
        <v>0</v>
      </c>
      <c r="AG81" s="63">
        <f t="shared" ca="1" si="13"/>
        <v>0</v>
      </c>
      <c r="AH81" s="63">
        <f ca="1">IFERROR(__xludf.DUMMYFUNCTION("IMPORTRANGE(""https://docs.google.com/spreadsheets/d/1vl4QWbWdFruual5o_wdo6ZSqXZ_it806oja4CctTLKs/edit?usp=sharing"",""พังงา!J675"")"),0)</f>
        <v>0</v>
      </c>
      <c r="AI81" s="63">
        <f t="shared" ca="1" si="21"/>
        <v>0</v>
      </c>
      <c r="AJ81" s="63">
        <f ca="1">IFERROR(__xludf.DUMMYFUNCTION("IMPORTRANGE(""https://docs.google.com/spreadsheets/d/1vl4QWbWdFruual5o_wdo6ZSqXZ_it806oja4CctTLKs/edit?usp=sharing"",""พังงา!J676"")"),0)</f>
        <v>0</v>
      </c>
      <c r="AK81" s="63">
        <f ca="1">IFERROR(__xludf.DUMMYFUNCTION("IMPORTRANGE(""https://docs.google.com/spreadsheets/d/1vl4QWbWdFruual5o_wdo6ZSqXZ_it806oja4CctTLKs/edit?usp=sharing"",""พังงา!J677"")"),0)</f>
        <v>0</v>
      </c>
      <c r="AL81" s="57">
        <f ca="1">IFERROR(__xludf.DUMMYFUNCTION("IMPORTRANGE(""https://docs.google.com/spreadsheets/d/1vl4QWbWdFruual5o_wdo6ZSqXZ_it806oja4CctTLKs/edit?usp=sharing"",""พังงา!I678"")"),0)</f>
        <v>0</v>
      </c>
      <c r="AM81" s="57">
        <f ca="1">IFERROR(__xludf.DUMMYFUNCTION("IMPORTRANGE(""https://docs.google.com/spreadsheets/d/1vl4QWbWdFruual5o_wdo6ZSqXZ_it806oja4CctTLKs/edit?usp=sharing"",""พังงา!J678"")"),0)</f>
        <v>0</v>
      </c>
      <c r="AN81" s="63">
        <f t="shared" ca="1" si="31"/>
        <v>0</v>
      </c>
      <c r="AO81" s="57">
        <f ca="1">IFERROR(__xludf.DUMMYFUNCTION("IMPORTRANGE(""https://docs.google.com/spreadsheets/d/1vl4QWbWdFruual5o_wdo6ZSqXZ_it806oja4CctTLKs/edit?usp=sharing"",""พังงา!J679"")"),0)</f>
        <v>0</v>
      </c>
      <c r="AP81" s="57">
        <f ca="1">IFERROR(__xludf.DUMMYFUNCTION("IMPORTRANGE(""https://docs.google.com/spreadsheets/d/1vl4QWbWdFruual5o_wdo6ZSqXZ_it806oja4CctTLKs/edit?usp=sharing"",""พังงา!J680"")"),0)</f>
        <v>0</v>
      </c>
      <c r="AQ81" s="57">
        <f ca="1">IFERROR(__xludf.DUMMYFUNCTION("IMPORTRANGE(""https://docs.google.com/spreadsheets/d/1vl4QWbWdFruual5o_wdo6ZSqXZ_it806oja4CctTLKs/edit?usp=sharing"",""พังงา!J681"")"),0)</f>
        <v>0</v>
      </c>
      <c r="AR81" s="57">
        <f ca="1">IFERROR(__xludf.DUMMYFUNCTION("IMPORTRANGE(""https://docs.google.com/spreadsheets/d/1vl4QWbWdFruual5o_wdo6ZSqXZ_it806oja4CctTLKs/edit?usp=sharing"",""พังงา!J682"")"),0)</f>
        <v>0</v>
      </c>
      <c r="AS81" s="57">
        <f ca="1">IFERROR(__xludf.DUMMYFUNCTION("IMPORTRANGE(""https://docs.google.com/spreadsheets/d/1vl4QWbWdFruual5o_wdo6ZSqXZ_it806oja4CctTLKs/edit?usp=sharing"",""พังงา!J683"")"),0)</f>
        <v>0</v>
      </c>
    </row>
    <row r="82" spans="1:45" ht="21" customHeight="1" x14ac:dyDescent="0.3">
      <c r="A82" s="54">
        <v>8</v>
      </c>
      <c r="B82" s="55" t="s">
        <v>103</v>
      </c>
      <c r="C82" s="56">
        <f t="shared" ca="1" si="69"/>
        <v>11000</v>
      </c>
      <c r="D82" s="57">
        <f ca="1">IFERROR(__xludf.DUMMYFUNCTION("IMPORTRANGE(""https://docs.google.com/spreadsheets/d/1b6QssHQp2FoAPSMKHOy273KNzAomaIKhtdlvuZ_zDNE/edit?usp=sharing"",""พัทลุง!L660"")"),11000)</f>
        <v>11000</v>
      </c>
      <c r="E82" s="64">
        <f ca="1">IFERROR(__xludf.DUMMYFUNCTION("IMPORTRANGE(""https://docs.google.com/spreadsheets/d/1b6QssHQp2FoAPSMKHOy273KNzAomaIKhtdlvuZ_zDNE/edit?usp=sharing"",""พัทลุง!L667"")"),0)</f>
        <v>0</v>
      </c>
      <c r="F82" s="64">
        <f ca="1">IFERROR(__xludf.DUMMYFUNCTION("IMPORTRANGE(""https://docs.google.com/spreadsheets/d/1b6QssHQp2FoAPSMKHOy273KNzAomaIKhtdlvuZ_zDNE/edit?usp=sharing"",""พัทลุง!M660"")"),11000)</f>
        <v>11000</v>
      </c>
      <c r="G82" s="64">
        <f ca="1">IFERROR(__xludf.DUMMYFUNCTION("IMPORTRANGE(""https://docs.google.com/spreadsheets/d/1b6QssHQp2FoAPSMKHOy273KNzAomaIKhtdlvuZ_zDNE/edit?usp=sharing"",""พัทลุง!M667"")"),0)</f>
        <v>0</v>
      </c>
      <c r="H82" s="58">
        <f t="shared" ca="1" si="27"/>
        <v>4240.3999999999996</v>
      </c>
      <c r="I82" s="59">
        <f t="shared" ca="1" si="1"/>
        <v>38.549090909090907</v>
      </c>
      <c r="J82" s="60">
        <f t="shared" ca="1" si="70"/>
        <v>4240.3999999999996</v>
      </c>
      <c r="K82" s="61">
        <f t="shared" ca="1" si="33"/>
        <v>38.549090909090907</v>
      </c>
      <c r="L82" s="61">
        <f t="shared" ca="1" si="34"/>
        <v>38.549090909090907</v>
      </c>
      <c r="M82" s="64">
        <f ca="1">IFERROR(__xludf.DUMMYFUNCTION("IMPORTRANGE(""https://docs.google.com/spreadsheets/d/1b6QssHQp2FoAPSMKHOy273KNzAomaIKhtdlvuZ_zDNE/edit?usp=sharing"",""พัทลุง!N661"")"),0)</f>
        <v>0</v>
      </c>
      <c r="N82" s="64">
        <f ca="1">IFERROR(__xludf.DUMMYFUNCTION("IMPORTRANGE(""https://docs.google.com/spreadsheets/d/1b6QssHQp2FoAPSMKHOy273KNzAomaIKhtdlvuZ_zDNE/edit?usp=sharing"",""พัทลุง!N662"")"),0)</f>
        <v>0</v>
      </c>
      <c r="O82" s="64">
        <f ca="1">IFERROR(__xludf.DUMMYFUNCTION("IMPORTRANGE(""https://docs.google.com/spreadsheets/d/1b6QssHQp2FoAPSMKHOy273KNzAomaIKhtdlvuZ_zDNE/edit?usp=sharing"",""พัทลุง!N663"")"),0)</f>
        <v>0</v>
      </c>
      <c r="P82" s="64">
        <f ca="1">IFERROR(__xludf.DUMMYFUNCTION("IMPORTRANGE(""https://docs.google.com/spreadsheets/d/1b6QssHQp2FoAPSMKHOy273KNzAomaIKhtdlvuZ_zDNE/edit?usp=sharing"",""พัทลุง!N664"")"),4240.4)</f>
        <v>4240.3999999999996</v>
      </c>
      <c r="Q82" s="62">
        <f ca="1">IFERROR(__xludf.DUMMYFUNCTION("IMPORTRANGE(""https://docs.google.com/spreadsheets/d/1b6QssHQp2FoAPSMKHOy273KNzAomaIKhtdlvuZ_zDNE/edit?usp=sharing"",""พัทลุง!N667"")"),0)</f>
        <v>0</v>
      </c>
      <c r="R82" s="62">
        <f t="shared" ca="1" si="36"/>
        <v>0</v>
      </c>
      <c r="S82" s="57">
        <f ca="1">IFERROR(__xludf.DUMMYFUNCTION("IMPORTRANGE(""https://docs.google.com/spreadsheets/d/1b6QssHQp2FoAPSMKHOy273KNzAomaIKhtdlvuZ_zDNE/edit?usp=sharing"",""พัทลุง!I669"")"),50)</f>
        <v>50</v>
      </c>
      <c r="T82" s="57">
        <f ca="1">IFERROR(__xludf.DUMMYFUNCTION("IMPORTRANGE(""https://docs.google.com/spreadsheets/d/1b6QssHQp2FoAPSMKHOy273KNzAomaIKhtdlvuZ_zDNE/edit?usp=sharing"",""พัทลุง!J669"")"),0)</f>
        <v>0</v>
      </c>
      <c r="U82" s="63">
        <f t="shared" ca="1" si="28"/>
        <v>0</v>
      </c>
      <c r="V82" s="57">
        <f ca="1">IFERROR(__xludf.DUMMYFUNCTION("IMPORTRANGE(""https://docs.google.com/spreadsheets/d/1b6QssHQp2FoAPSMKHOy273KNzAomaIKhtdlvuZ_zDNE/edit?usp=sharing"",""พัทลุง!I670"")"),5)</f>
        <v>5</v>
      </c>
      <c r="W82" s="57">
        <f ca="1">IFERROR(__xludf.DUMMYFUNCTION("IMPORTRANGE(""https://docs.google.com/spreadsheets/d/1b6QssHQp2FoAPSMKHOy273KNzAomaIKhtdlvuZ_zDNE/edit?usp=sharing"",""พัทลุง!J670"")"),5)</f>
        <v>5</v>
      </c>
      <c r="X82" s="63">
        <f t="shared" ca="1" si="29"/>
        <v>100</v>
      </c>
      <c r="Y82" s="57">
        <f ca="1">IFERROR(__xludf.DUMMYFUNCTION("IMPORTRANGE(""https://docs.google.com/spreadsheets/d/1b6QssHQp2FoAPSMKHOy273KNzAomaIKhtdlvuZ_zDNE/edit?usp=sharing"",""พัทลุง!I671"")"),5)</f>
        <v>5</v>
      </c>
      <c r="Z82" s="57">
        <f ca="1">IFERROR(__xludf.DUMMYFUNCTION("IMPORTRANGE(""https://docs.google.com/spreadsheets/d/1b6QssHQp2FoAPSMKHOy273KNzAomaIKhtdlvuZ_zDNE/edit?usp=sharing"",""พัทลุง!J671"")"),5)</f>
        <v>5</v>
      </c>
      <c r="AA82" s="63">
        <f t="shared" ca="1" si="30"/>
        <v>100</v>
      </c>
      <c r="AB82" s="57">
        <f ca="1">IFERROR(__xludf.DUMMYFUNCTION("IMPORTRANGE(""https://docs.google.com/spreadsheets/d/1b6QssHQp2FoAPSMKHOy273KNzAomaIKhtdlvuZ_zDNE/edit?usp=sharing"",""พัทลุง!J672"")"),0)</f>
        <v>0</v>
      </c>
      <c r="AC82" s="63">
        <f t="shared" ca="1" si="11"/>
        <v>0</v>
      </c>
      <c r="AD82" s="57">
        <f ca="1">IFERROR(__xludf.DUMMYFUNCTION("IMPORTRANGE(""https://docs.google.com/spreadsheets/d/1b6QssHQp2FoAPSMKHOy273KNzAomaIKhtdlvuZ_zDNE/edit?usp=sharing"",""พัทลุง!J673"")"),0)</f>
        <v>0</v>
      </c>
      <c r="AE82" s="63">
        <f t="shared" ca="1" si="12"/>
        <v>0</v>
      </c>
      <c r="AF82" s="63">
        <f ca="1">IFERROR(__xludf.DUMMYFUNCTION("IMPORTRANGE(""https://docs.google.com/spreadsheets/d/1b6QssHQp2FoAPSMKHOy273KNzAomaIKhtdlvuZ_zDNE/edit?usp=sharing"",""พัทลุง!J674"")"),0)</f>
        <v>0</v>
      </c>
      <c r="AG82" s="63">
        <f t="shared" ca="1" si="13"/>
        <v>0</v>
      </c>
      <c r="AH82" s="63">
        <f ca="1">IFERROR(__xludf.DUMMYFUNCTION("IMPORTRANGE(""https://docs.google.com/spreadsheets/d/1b6QssHQp2FoAPSMKHOy273KNzAomaIKhtdlvuZ_zDNE/edit?usp=sharing"",""พัทลุง!J675"")"),0)</f>
        <v>0</v>
      </c>
      <c r="AI82" s="63">
        <f t="shared" ca="1" si="21"/>
        <v>0</v>
      </c>
      <c r="AJ82" s="63">
        <f ca="1">IFERROR(__xludf.DUMMYFUNCTION("IMPORTRANGE(""https://docs.google.com/spreadsheets/d/1b6QssHQp2FoAPSMKHOy273KNzAomaIKhtdlvuZ_zDNE/edit?usp=sharing"",""พัทลุง!J676"")"),0)</f>
        <v>0</v>
      </c>
      <c r="AK82" s="63">
        <f ca="1">IFERROR(__xludf.DUMMYFUNCTION("IMPORTRANGE(""https://docs.google.com/spreadsheets/d/1b6QssHQp2FoAPSMKHOy273KNzAomaIKhtdlvuZ_zDNE/edit?usp=sharing"",""พัทลุง!J677"")"),0)</f>
        <v>0</v>
      </c>
      <c r="AL82" s="57">
        <f ca="1">IFERROR(__xludf.DUMMYFUNCTION("IMPORTRANGE(""https://docs.google.com/spreadsheets/d/1b6QssHQp2FoAPSMKHOy273KNzAomaIKhtdlvuZ_zDNE/edit?usp=sharing"",""พัทลุง!I678"")"),0)</f>
        <v>0</v>
      </c>
      <c r="AM82" s="57">
        <f ca="1">IFERROR(__xludf.DUMMYFUNCTION("IMPORTRANGE(""https://docs.google.com/spreadsheets/d/1b6QssHQp2FoAPSMKHOy273KNzAomaIKhtdlvuZ_zDNE/edit?usp=sharing"",""พัทลุง!J678"")"),0)</f>
        <v>0</v>
      </c>
      <c r="AN82" s="63">
        <f t="shared" ca="1" si="31"/>
        <v>0</v>
      </c>
      <c r="AO82" s="57">
        <f ca="1">IFERROR(__xludf.DUMMYFUNCTION("IMPORTRANGE(""https://docs.google.com/spreadsheets/d/1b6QssHQp2FoAPSMKHOy273KNzAomaIKhtdlvuZ_zDNE/edit?usp=sharing"",""พัทลุง!J679"")"),0)</f>
        <v>0</v>
      </c>
      <c r="AP82" s="57">
        <f ca="1">IFERROR(__xludf.DUMMYFUNCTION("IMPORTRANGE(""https://docs.google.com/spreadsheets/d/1b6QssHQp2FoAPSMKHOy273KNzAomaIKhtdlvuZ_zDNE/edit?usp=sharing"",""พัทลุง!J680"")"),0)</f>
        <v>0</v>
      </c>
      <c r="AQ82" s="57">
        <f ca="1">IFERROR(__xludf.DUMMYFUNCTION("IMPORTRANGE(""https://docs.google.com/spreadsheets/d/1b6QssHQp2FoAPSMKHOy273KNzAomaIKhtdlvuZ_zDNE/edit?usp=sharing"",""พัทลุง!J681"")"),0)</f>
        <v>0</v>
      </c>
      <c r="AR82" s="57">
        <f ca="1">IFERROR(__xludf.DUMMYFUNCTION("IMPORTRANGE(""https://docs.google.com/spreadsheets/d/1b6QssHQp2FoAPSMKHOy273KNzAomaIKhtdlvuZ_zDNE/edit?usp=sharing"",""พัทลุง!J682"")"),0)</f>
        <v>0</v>
      </c>
      <c r="AS82" s="57">
        <f ca="1">IFERROR(__xludf.DUMMYFUNCTION("IMPORTRANGE(""https://docs.google.com/spreadsheets/d/1b6QssHQp2FoAPSMKHOy273KNzAomaIKhtdlvuZ_zDNE/edit?usp=sharing"",""พัทลุง!J683"")"),0)</f>
        <v>0</v>
      </c>
    </row>
    <row r="83" spans="1:45" ht="21" customHeight="1" x14ac:dyDescent="0.3">
      <c r="A83" s="54">
        <v>9</v>
      </c>
      <c r="B83" s="55" t="s">
        <v>104</v>
      </c>
      <c r="C83" s="56">
        <f t="shared" ca="1" si="69"/>
        <v>0</v>
      </c>
      <c r="D83" s="57">
        <f ca="1">IFERROR(__xludf.DUMMYFUNCTION("IMPORTRANGE(""https://docs.google.com/spreadsheets/d/1o7UZe4_OqlqtLDHrj01Z2YFRSZDf1DMy1n3XViHaxRc/edit?usp=sharing"",""ภูเก็ต!L660"")"),0)</f>
        <v>0</v>
      </c>
      <c r="E83" s="64">
        <f ca="1">IFERROR(__xludf.DUMMYFUNCTION("IMPORTRANGE(""https://docs.google.com/spreadsheets/d/1o7UZe4_OqlqtLDHrj01Z2YFRSZDf1DMy1n3XViHaxRc/edit?usp=sharing"",""ภูเก็ต!L667"")"),0)</f>
        <v>0</v>
      </c>
      <c r="F83" s="64">
        <f ca="1">IFERROR(__xludf.DUMMYFUNCTION("IMPORTRANGE(""https://docs.google.com/spreadsheets/d/1o7UZe4_OqlqtLDHrj01Z2YFRSZDf1DMy1n3XViHaxRc/edit?usp=sharing"",""ภูเก็ต!M660"")"),0)</f>
        <v>0</v>
      </c>
      <c r="G83" s="64">
        <f ca="1">IFERROR(__xludf.DUMMYFUNCTION("IMPORTRANGE(""https://docs.google.com/spreadsheets/d/1o7UZe4_OqlqtLDHrj01Z2YFRSZDf1DMy1n3XViHaxRc/edit?usp=sharing"",""ภูเก็ต!M667"")"),0)</f>
        <v>0</v>
      </c>
      <c r="H83" s="58">
        <f t="shared" ca="1" si="27"/>
        <v>0</v>
      </c>
      <c r="I83" s="59">
        <f t="shared" ca="1" si="1"/>
        <v>0</v>
      </c>
      <c r="J83" s="60">
        <f t="shared" ca="1" si="70"/>
        <v>0</v>
      </c>
      <c r="K83" s="61">
        <f t="shared" ca="1" si="33"/>
        <v>0</v>
      </c>
      <c r="L83" s="61">
        <f t="shared" ca="1" si="34"/>
        <v>0</v>
      </c>
      <c r="M83" s="64">
        <f ca="1">IFERROR(__xludf.DUMMYFUNCTION("IMPORTRANGE(""https://docs.google.com/spreadsheets/d/1o7UZe4_OqlqtLDHrj01Z2YFRSZDf1DMy1n3XViHaxRc/edit?usp=sharing"",""ภูเก็ต!N661"")"),0)</f>
        <v>0</v>
      </c>
      <c r="N83" s="64">
        <f ca="1">IFERROR(__xludf.DUMMYFUNCTION("IMPORTRANGE(""https://docs.google.com/spreadsheets/d/1o7UZe4_OqlqtLDHrj01Z2YFRSZDf1DMy1n3XViHaxRc/edit?usp=sharing"",""ภูเก็ต!N662"")"),0)</f>
        <v>0</v>
      </c>
      <c r="O83" s="64">
        <f ca="1">IFERROR(__xludf.DUMMYFUNCTION("IMPORTRANGE(""https://docs.google.com/spreadsheets/d/1o7UZe4_OqlqtLDHrj01Z2YFRSZDf1DMy1n3XViHaxRc/edit?usp=sharing"",""ภูเก็ต!N663"")"),0)</f>
        <v>0</v>
      </c>
      <c r="P83" s="64">
        <f ca="1">IFERROR(__xludf.DUMMYFUNCTION("IMPORTRANGE(""https://docs.google.com/spreadsheets/d/1o7UZe4_OqlqtLDHrj01Z2YFRSZDf1DMy1n3XViHaxRc/edit?usp=sharing"",""ภูเก็ต!N664"")"),0)</f>
        <v>0</v>
      </c>
      <c r="Q83" s="62">
        <f ca="1">IFERROR(__xludf.DUMMYFUNCTION("IMPORTRANGE(""https://docs.google.com/spreadsheets/d/1o7UZe4_OqlqtLDHrj01Z2YFRSZDf1DMy1n3XViHaxRc/edit?usp=sharing"",""ภูเก็ต!N667"")"),0)</f>
        <v>0</v>
      </c>
      <c r="R83" s="62">
        <f t="shared" ca="1" si="36"/>
        <v>0</v>
      </c>
      <c r="S83" s="57">
        <f ca="1">IFERROR(__xludf.DUMMYFUNCTION("IMPORTRANGE(""https://docs.google.com/spreadsheets/d/1o7UZe4_OqlqtLDHrj01Z2YFRSZDf1DMy1n3XViHaxRc/edit?usp=sharing"",""ภูเก็ต!I669"")"),0)</f>
        <v>0</v>
      </c>
      <c r="T83" s="57">
        <f ca="1">IFERROR(__xludf.DUMMYFUNCTION("IMPORTRANGE(""https://docs.google.com/spreadsheets/d/1o7UZe4_OqlqtLDHrj01Z2YFRSZDf1DMy1n3XViHaxRc/edit?usp=sharing"",""ภูเก็ต!J669"")"),0)</f>
        <v>0</v>
      </c>
      <c r="U83" s="63">
        <f t="shared" ca="1" si="28"/>
        <v>0</v>
      </c>
      <c r="V83" s="57">
        <f ca="1">IFERROR(__xludf.DUMMYFUNCTION("IMPORTRANGE(""https://docs.google.com/spreadsheets/d/1o7UZe4_OqlqtLDHrj01Z2YFRSZDf1DMy1n3XViHaxRc/edit?usp=sharing"",""ภูเก็ต!I670"")"),0)</f>
        <v>0</v>
      </c>
      <c r="W83" s="57">
        <f ca="1">IFERROR(__xludf.DUMMYFUNCTION("IMPORTRANGE(""https://docs.google.com/spreadsheets/d/1o7UZe4_OqlqtLDHrj01Z2YFRSZDf1DMy1n3XViHaxRc/edit?usp=sharing"",""ภูเก็ต!J670"")"),0)</f>
        <v>0</v>
      </c>
      <c r="X83" s="63">
        <f t="shared" ca="1" si="29"/>
        <v>0</v>
      </c>
      <c r="Y83" s="57">
        <f ca="1">IFERROR(__xludf.DUMMYFUNCTION("IMPORTRANGE(""https://docs.google.com/spreadsheets/d/1o7UZe4_OqlqtLDHrj01Z2YFRSZDf1DMy1n3XViHaxRc/edit?usp=sharing"",""ภูเก็ต!I671"")"),0)</f>
        <v>0</v>
      </c>
      <c r="Z83" s="57">
        <f ca="1">IFERROR(__xludf.DUMMYFUNCTION("IMPORTRANGE(""https://docs.google.com/spreadsheets/d/1o7UZe4_OqlqtLDHrj01Z2YFRSZDf1DMy1n3XViHaxRc/edit?usp=sharing"",""ภูเก็ต!J671"")"),0)</f>
        <v>0</v>
      </c>
      <c r="AA83" s="63">
        <f t="shared" ca="1" si="30"/>
        <v>0</v>
      </c>
      <c r="AB83" s="57">
        <f ca="1">IFERROR(__xludf.DUMMYFUNCTION("IMPORTRANGE(""https://docs.google.com/spreadsheets/d/1o7UZe4_OqlqtLDHrj01Z2YFRSZDf1DMy1n3XViHaxRc/edit?usp=sharing"",""ภูเก็ต!J672"")"),0)</f>
        <v>0</v>
      </c>
      <c r="AC83" s="63">
        <f t="shared" ca="1" si="11"/>
        <v>0</v>
      </c>
      <c r="AD83" s="57">
        <f ca="1">IFERROR(__xludf.DUMMYFUNCTION("IMPORTRANGE(""https://docs.google.com/spreadsheets/d/1o7UZe4_OqlqtLDHrj01Z2YFRSZDf1DMy1n3XViHaxRc/edit?usp=sharing"",""ภูเก็ต!J673"")"),0)</f>
        <v>0</v>
      </c>
      <c r="AE83" s="63">
        <f t="shared" ca="1" si="12"/>
        <v>0</v>
      </c>
      <c r="AF83" s="63">
        <f ca="1">IFERROR(__xludf.DUMMYFUNCTION("IMPORTRANGE(""https://docs.google.com/spreadsheets/d/1o7UZe4_OqlqtLDHrj01Z2YFRSZDf1DMy1n3XViHaxRc/edit?usp=sharing"",""ภูเก็ต!J674"")"),0)</f>
        <v>0</v>
      </c>
      <c r="AG83" s="63">
        <f t="shared" ca="1" si="13"/>
        <v>0</v>
      </c>
      <c r="AH83" s="63">
        <f ca="1">IFERROR(__xludf.DUMMYFUNCTION("IMPORTRANGE(""https://docs.google.com/spreadsheets/d/1o7UZe4_OqlqtLDHrj01Z2YFRSZDf1DMy1n3XViHaxRc/edit?usp=sharing"",""ภูเก็ต!J675"")"),0)</f>
        <v>0</v>
      </c>
      <c r="AI83" s="63">
        <f t="shared" ca="1" si="21"/>
        <v>0</v>
      </c>
      <c r="AJ83" s="63">
        <f ca="1">IFERROR(__xludf.DUMMYFUNCTION("IMPORTRANGE(""https://docs.google.com/spreadsheets/d/1o7UZe4_OqlqtLDHrj01Z2YFRSZDf1DMy1n3XViHaxRc/edit?usp=sharing"",""ภูเก็ต!J676"")"),0)</f>
        <v>0</v>
      </c>
      <c r="AK83" s="63">
        <f ca="1">IFERROR(__xludf.DUMMYFUNCTION("IMPORTRANGE(""https://docs.google.com/spreadsheets/d/1o7UZe4_OqlqtLDHrj01Z2YFRSZDf1DMy1n3XViHaxRc/edit?usp=sharing"",""ภูเก็ต!J677"")"),0)</f>
        <v>0</v>
      </c>
      <c r="AL83" s="57">
        <f ca="1">IFERROR(__xludf.DUMMYFUNCTION("IMPORTRANGE(""https://docs.google.com/spreadsheets/d/1o7UZe4_OqlqtLDHrj01Z2YFRSZDf1DMy1n3XViHaxRc/edit?usp=sharing"",""ภูเก็ต!I678"")"),0)</f>
        <v>0</v>
      </c>
      <c r="AM83" s="57">
        <f ca="1">IFERROR(__xludf.DUMMYFUNCTION("IMPORTRANGE(""https://docs.google.com/spreadsheets/d/1o7UZe4_OqlqtLDHrj01Z2YFRSZDf1DMy1n3XViHaxRc/edit?usp=sharing"",""ภูเก็ต!J678"")"),0)</f>
        <v>0</v>
      </c>
      <c r="AN83" s="63">
        <f t="shared" ca="1" si="31"/>
        <v>0</v>
      </c>
      <c r="AO83" s="57">
        <f ca="1">IFERROR(__xludf.DUMMYFUNCTION("IMPORTRANGE(""https://docs.google.com/spreadsheets/d/1o7UZe4_OqlqtLDHrj01Z2YFRSZDf1DMy1n3XViHaxRc/edit?usp=sharing"",""ภูเก็ต!J679"")"),0)</f>
        <v>0</v>
      </c>
      <c r="AP83" s="57">
        <f ca="1">IFERROR(__xludf.DUMMYFUNCTION("IMPORTRANGE(""https://docs.google.com/spreadsheets/d/1o7UZe4_OqlqtLDHrj01Z2YFRSZDf1DMy1n3XViHaxRc/edit?usp=sharing"",""ภูเก็ต!J680"")"),0)</f>
        <v>0</v>
      </c>
      <c r="AQ83" s="57">
        <f ca="1">IFERROR(__xludf.DUMMYFUNCTION("IMPORTRANGE(""https://docs.google.com/spreadsheets/d/1o7UZe4_OqlqtLDHrj01Z2YFRSZDf1DMy1n3XViHaxRc/edit?usp=sharing"",""ภูเก็ต!J681"")"),0)</f>
        <v>0</v>
      </c>
      <c r="AR83" s="57">
        <f ca="1">IFERROR(__xludf.DUMMYFUNCTION("IMPORTRANGE(""https://docs.google.com/spreadsheets/d/1o7UZe4_OqlqtLDHrj01Z2YFRSZDf1DMy1n3XViHaxRc/edit?usp=sharing"",""ภูเก็ต!J682"")"),0)</f>
        <v>0</v>
      </c>
      <c r="AS83" s="57">
        <f ca="1">IFERROR(__xludf.DUMMYFUNCTION("IMPORTRANGE(""https://docs.google.com/spreadsheets/d/1o7UZe4_OqlqtLDHrj01Z2YFRSZDf1DMy1n3XViHaxRc/edit?usp=sharing"",""ภูเก็ต!J683"")"),0)</f>
        <v>0</v>
      </c>
    </row>
    <row r="84" spans="1:45" ht="21" customHeight="1" x14ac:dyDescent="0.3">
      <c r="A84" s="54">
        <v>10</v>
      </c>
      <c r="B84" s="55" t="s">
        <v>105</v>
      </c>
      <c r="C84" s="56">
        <f t="shared" ca="1" si="69"/>
        <v>9400</v>
      </c>
      <c r="D84" s="57">
        <f ca="1">IFERROR(__xludf.DUMMYFUNCTION("IMPORTRANGE(""https://docs.google.com/spreadsheets/d/1ctPm1vUzcUCPuOj9-eoHUD85PqINFqUB0TjdSWmR5-c/edit?usp=sharing"",""ยะลา!L660"")"),9400)</f>
        <v>9400</v>
      </c>
      <c r="E84" s="64">
        <f ca="1">IFERROR(__xludf.DUMMYFUNCTION("IMPORTRANGE(""https://docs.google.com/spreadsheets/d/1ctPm1vUzcUCPuOj9-eoHUD85PqINFqUB0TjdSWmR5-c/edit?usp=sharing"",""ยะลา!L667"")"),0)</f>
        <v>0</v>
      </c>
      <c r="F84" s="64">
        <f ca="1">IFERROR(__xludf.DUMMYFUNCTION("IMPORTRANGE(""https://docs.google.com/spreadsheets/d/1ctPm1vUzcUCPuOj9-eoHUD85PqINFqUB0TjdSWmR5-c/edit?usp=sharing"",""ยะลา!M660"")"),9400)</f>
        <v>9400</v>
      </c>
      <c r="G84" s="64">
        <f ca="1">IFERROR(__xludf.DUMMYFUNCTION("IMPORTRANGE(""https://docs.google.com/spreadsheets/d/1ctPm1vUzcUCPuOj9-eoHUD85PqINFqUB0TjdSWmR5-c/edit?usp=sharing"",""ยะลา!M667"")"),0)</f>
        <v>0</v>
      </c>
      <c r="H84" s="58">
        <f t="shared" ca="1" si="27"/>
        <v>7020</v>
      </c>
      <c r="I84" s="59">
        <f t="shared" ca="1" si="1"/>
        <v>74.680851063829792</v>
      </c>
      <c r="J84" s="60">
        <f t="shared" ca="1" si="70"/>
        <v>7020</v>
      </c>
      <c r="K84" s="61">
        <f t="shared" ca="1" si="33"/>
        <v>74.680851063829792</v>
      </c>
      <c r="L84" s="61">
        <f t="shared" ca="1" si="34"/>
        <v>74.680851063829792</v>
      </c>
      <c r="M84" s="64">
        <f ca="1">IFERROR(__xludf.DUMMYFUNCTION("IMPORTRANGE(""https://docs.google.com/spreadsheets/d/1ctPm1vUzcUCPuOj9-eoHUD85PqINFqUB0TjdSWmR5-c/edit?usp=sharing"",""ยะลา!N661"")"),0)</f>
        <v>0</v>
      </c>
      <c r="N84" s="64">
        <f ca="1">IFERROR(__xludf.DUMMYFUNCTION("IMPORTRANGE(""https://docs.google.com/spreadsheets/d/1ctPm1vUzcUCPuOj9-eoHUD85PqINFqUB0TjdSWmR5-c/edit?usp=sharing"",""ยะลา!N662"")"),0)</f>
        <v>0</v>
      </c>
      <c r="O84" s="64">
        <f ca="1">IFERROR(__xludf.DUMMYFUNCTION("IMPORTRANGE(""https://docs.google.com/spreadsheets/d/1ctPm1vUzcUCPuOj9-eoHUD85PqINFqUB0TjdSWmR5-c/edit?usp=sharing"",""ยะลา!N663"")"),0)</f>
        <v>0</v>
      </c>
      <c r="P84" s="64">
        <f ca="1">IFERROR(__xludf.DUMMYFUNCTION("IMPORTRANGE(""https://docs.google.com/spreadsheets/d/1ctPm1vUzcUCPuOj9-eoHUD85PqINFqUB0TjdSWmR5-c/edit?usp=sharing"",""ยะลา!N664"")"),7020)</f>
        <v>7020</v>
      </c>
      <c r="Q84" s="62">
        <f ca="1">IFERROR(__xludf.DUMMYFUNCTION("IMPORTRANGE(""https://docs.google.com/spreadsheets/d/1ctPm1vUzcUCPuOj9-eoHUD85PqINFqUB0TjdSWmR5-c/edit?usp=sharing"",""ยะลา!N667"")"),0)</f>
        <v>0</v>
      </c>
      <c r="R84" s="62">
        <f t="shared" ca="1" si="36"/>
        <v>0</v>
      </c>
      <c r="S84" s="57">
        <f ca="1">IFERROR(__xludf.DUMMYFUNCTION("IMPORTRANGE(""https://docs.google.com/spreadsheets/d/1ctPm1vUzcUCPuOj9-eoHUD85PqINFqUB0TjdSWmR5-c/edit?usp=sharing"",""ยะลา!I669"")"),50)</f>
        <v>50</v>
      </c>
      <c r="T84" s="57">
        <f ca="1">IFERROR(__xludf.DUMMYFUNCTION("IMPORTRANGE(""https://docs.google.com/spreadsheets/d/1ctPm1vUzcUCPuOj9-eoHUD85PqINFqUB0TjdSWmR5-c/edit?usp=sharing"",""ยะลา!J669"")"),0)</f>
        <v>0</v>
      </c>
      <c r="U84" s="63">
        <f t="shared" ca="1" si="28"/>
        <v>0</v>
      </c>
      <c r="V84" s="57">
        <f ca="1">IFERROR(__xludf.DUMMYFUNCTION("IMPORTRANGE(""https://docs.google.com/spreadsheets/d/1ctPm1vUzcUCPuOj9-eoHUD85PqINFqUB0TjdSWmR5-c/edit?usp=sharing"",""ยะลา!I670"")"),4)</f>
        <v>4</v>
      </c>
      <c r="W84" s="57">
        <f ca="1">IFERROR(__xludf.DUMMYFUNCTION("IMPORTRANGE(""https://docs.google.com/spreadsheets/d/1ctPm1vUzcUCPuOj9-eoHUD85PqINFqUB0TjdSWmR5-c/edit?usp=sharing"",""ยะลา!J670"")"),4)</f>
        <v>4</v>
      </c>
      <c r="X84" s="63">
        <f t="shared" ca="1" si="29"/>
        <v>100</v>
      </c>
      <c r="Y84" s="57">
        <f ca="1">IFERROR(__xludf.DUMMYFUNCTION("IMPORTRANGE(""https://docs.google.com/spreadsheets/d/1ctPm1vUzcUCPuOj9-eoHUD85PqINFqUB0TjdSWmR5-c/edit?usp=sharing"",""ยะลา!I671"")"),4)</f>
        <v>4</v>
      </c>
      <c r="Z84" s="57">
        <f ca="1">IFERROR(__xludf.DUMMYFUNCTION("IMPORTRANGE(""https://docs.google.com/spreadsheets/d/1ctPm1vUzcUCPuOj9-eoHUD85PqINFqUB0TjdSWmR5-c/edit?usp=sharing"",""ยะลา!J671"")"),4)</f>
        <v>4</v>
      </c>
      <c r="AA84" s="63">
        <f t="shared" ca="1" si="30"/>
        <v>100</v>
      </c>
      <c r="AB84" s="57">
        <f ca="1">IFERROR(__xludf.DUMMYFUNCTION("IMPORTRANGE(""https://docs.google.com/spreadsheets/d/1ctPm1vUzcUCPuOj9-eoHUD85PqINFqUB0TjdSWmR5-c/edit?usp=sharing"",""ยะลา!J672"")"),202)</f>
        <v>202</v>
      </c>
      <c r="AC84" s="63">
        <f t="shared" ca="1" si="11"/>
        <v>404</v>
      </c>
      <c r="AD84" s="57">
        <f ca="1">IFERROR(__xludf.DUMMYFUNCTION("IMPORTRANGE(""https://docs.google.com/spreadsheets/d/1ctPm1vUzcUCPuOj9-eoHUD85PqINFqUB0TjdSWmR5-c/edit?usp=sharing"",""ยะลา!J673"")"),0)</f>
        <v>0</v>
      </c>
      <c r="AE84" s="63">
        <f t="shared" ca="1" si="12"/>
        <v>0</v>
      </c>
      <c r="AF84" s="63">
        <f ca="1">IFERROR(__xludf.DUMMYFUNCTION("IMPORTRANGE(""https://docs.google.com/spreadsheets/d/1ctPm1vUzcUCPuOj9-eoHUD85PqINFqUB0TjdSWmR5-c/edit?usp=sharing"",""ยะลา!J674"")"),0)</f>
        <v>0</v>
      </c>
      <c r="AG84" s="63">
        <f t="shared" ca="1" si="13"/>
        <v>0</v>
      </c>
      <c r="AH84" s="63">
        <f ca="1">IFERROR(__xludf.DUMMYFUNCTION("IMPORTRANGE(""https://docs.google.com/spreadsheets/d/1ctPm1vUzcUCPuOj9-eoHUD85PqINFqUB0TjdSWmR5-c/edit?usp=sharing"",""ยะลา!J675"")"),0)</f>
        <v>0</v>
      </c>
      <c r="AI84" s="63">
        <f t="shared" ca="1" si="21"/>
        <v>0</v>
      </c>
      <c r="AJ84" s="63">
        <f ca="1">IFERROR(__xludf.DUMMYFUNCTION("IMPORTRANGE(""https://docs.google.com/spreadsheets/d/1ctPm1vUzcUCPuOj9-eoHUD85PqINFqUB0TjdSWmR5-c/edit?usp=sharing"",""ยะลา!J676"")"),0)</f>
        <v>0</v>
      </c>
      <c r="AK84" s="63">
        <f ca="1">IFERROR(__xludf.DUMMYFUNCTION("IMPORTRANGE(""https://docs.google.com/spreadsheets/d/1ctPm1vUzcUCPuOj9-eoHUD85PqINFqUB0TjdSWmR5-c/edit?usp=sharing"",""ยะลา!J677"")"),0)</f>
        <v>0</v>
      </c>
      <c r="AL84" s="57">
        <f ca="1">IFERROR(__xludf.DUMMYFUNCTION("IMPORTRANGE(""https://docs.google.com/spreadsheets/d/1ctPm1vUzcUCPuOj9-eoHUD85PqINFqUB0TjdSWmR5-c/edit?usp=sharing"",""ยะลา!I678"")"),0)</f>
        <v>0</v>
      </c>
      <c r="AM84" s="57">
        <f ca="1">IFERROR(__xludf.DUMMYFUNCTION("IMPORTRANGE(""https://docs.google.com/spreadsheets/d/1ctPm1vUzcUCPuOj9-eoHUD85PqINFqUB0TjdSWmR5-c/edit?usp=sharing"",""ยะลา!J678"")"),0)</f>
        <v>0</v>
      </c>
      <c r="AN84" s="63">
        <f t="shared" ca="1" si="31"/>
        <v>0</v>
      </c>
      <c r="AO84" s="57">
        <f ca="1">IFERROR(__xludf.DUMMYFUNCTION("IMPORTRANGE(""https://docs.google.com/spreadsheets/d/1ctPm1vUzcUCPuOj9-eoHUD85PqINFqUB0TjdSWmR5-c/edit?usp=sharing"",""ยะลา!J679"")"),0)</f>
        <v>0</v>
      </c>
      <c r="AP84" s="57">
        <f ca="1">IFERROR(__xludf.DUMMYFUNCTION("IMPORTRANGE(""https://docs.google.com/spreadsheets/d/1ctPm1vUzcUCPuOj9-eoHUD85PqINFqUB0TjdSWmR5-c/edit?usp=sharing"",""ยะลา!J680"")"),0)</f>
        <v>0</v>
      </c>
      <c r="AQ84" s="57">
        <f ca="1">IFERROR(__xludf.DUMMYFUNCTION("IMPORTRANGE(""https://docs.google.com/spreadsheets/d/1ctPm1vUzcUCPuOj9-eoHUD85PqINFqUB0TjdSWmR5-c/edit?usp=sharing"",""ยะลา!J681"")"),0)</f>
        <v>0</v>
      </c>
      <c r="AR84" s="57">
        <f ca="1">IFERROR(__xludf.DUMMYFUNCTION("IMPORTRANGE(""https://docs.google.com/spreadsheets/d/1ctPm1vUzcUCPuOj9-eoHUD85PqINFqUB0TjdSWmR5-c/edit?usp=sharing"",""ยะลา!J682"")"),0)</f>
        <v>0</v>
      </c>
      <c r="AS84" s="57">
        <f ca="1">IFERROR(__xludf.DUMMYFUNCTION("IMPORTRANGE(""https://docs.google.com/spreadsheets/d/1ctPm1vUzcUCPuOj9-eoHUD85PqINFqUB0TjdSWmR5-c/edit?usp=sharing"",""ยะลา!J683"")"),0)</f>
        <v>0</v>
      </c>
    </row>
    <row r="85" spans="1:45" ht="21" customHeight="1" x14ac:dyDescent="0.3">
      <c r="A85" s="54">
        <v>11</v>
      </c>
      <c r="B85" s="55" t="s">
        <v>106</v>
      </c>
      <c r="C85" s="56">
        <f t="shared" ca="1" si="69"/>
        <v>0</v>
      </c>
      <c r="D85" s="57">
        <f ca="1">IFERROR(__xludf.DUMMYFUNCTION("IMPORTRANGE(""https://docs.google.com/spreadsheets/d/1YiDIE7Klmt8osgdapRqYWNr7iPGFSsiJqq46S7PYRE0/edit?usp=sharing"",""ระนอง!L660"")"),0)</f>
        <v>0</v>
      </c>
      <c r="E85" s="64">
        <f ca="1">IFERROR(__xludf.DUMMYFUNCTION("IMPORTRANGE(""https://docs.google.com/spreadsheets/d/1YiDIE7Klmt8osgdapRqYWNr7iPGFSsiJqq46S7PYRE0/edit?usp=sharing"",""ระนอง!L667"")"),0)</f>
        <v>0</v>
      </c>
      <c r="F85" s="64">
        <f ca="1">IFERROR(__xludf.DUMMYFUNCTION("IMPORTRANGE(""https://docs.google.com/spreadsheets/d/1YiDIE7Klmt8osgdapRqYWNr7iPGFSsiJqq46S7PYRE0/edit?usp=sharing"",""ระนอง!M660"")"),0)</f>
        <v>0</v>
      </c>
      <c r="G85" s="64">
        <f ca="1">IFERROR(__xludf.DUMMYFUNCTION("IMPORTRANGE(""https://docs.google.com/spreadsheets/d/1YiDIE7Klmt8osgdapRqYWNr7iPGFSsiJqq46S7PYRE0/edit?usp=sharing"",""ระนอง!M667"")"),0)</f>
        <v>0</v>
      </c>
      <c r="H85" s="58">
        <f t="shared" ca="1" si="27"/>
        <v>0</v>
      </c>
      <c r="I85" s="59">
        <f t="shared" ca="1" si="1"/>
        <v>0</v>
      </c>
      <c r="J85" s="60">
        <f t="shared" ca="1" si="70"/>
        <v>0</v>
      </c>
      <c r="K85" s="61">
        <f t="shared" ca="1" si="33"/>
        <v>0</v>
      </c>
      <c r="L85" s="61">
        <f t="shared" ca="1" si="34"/>
        <v>0</v>
      </c>
      <c r="M85" s="64">
        <f ca="1">IFERROR(__xludf.DUMMYFUNCTION("IMPORTRANGE(""https://docs.google.com/spreadsheets/d/1YiDIE7Klmt8osgdapRqYWNr7iPGFSsiJqq46S7PYRE0/edit?usp=sharing"",""ระนอง!N661"")"),0)</f>
        <v>0</v>
      </c>
      <c r="N85" s="64">
        <f ca="1">IFERROR(__xludf.DUMMYFUNCTION("IMPORTRANGE(""https://docs.google.com/spreadsheets/d/1YiDIE7Klmt8osgdapRqYWNr7iPGFSsiJqq46S7PYRE0/edit?usp=sharing"",""ระนอง!N662"")"),0)</f>
        <v>0</v>
      </c>
      <c r="O85" s="64">
        <f ca="1">IFERROR(__xludf.DUMMYFUNCTION("IMPORTRANGE(""https://docs.google.com/spreadsheets/d/1YiDIE7Klmt8osgdapRqYWNr7iPGFSsiJqq46S7PYRE0/edit?usp=sharing"",""ระนอง!N663"")"),0)</f>
        <v>0</v>
      </c>
      <c r="P85" s="64">
        <f ca="1">IFERROR(__xludf.DUMMYFUNCTION("IMPORTRANGE(""https://docs.google.com/spreadsheets/d/1YiDIE7Klmt8osgdapRqYWNr7iPGFSsiJqq46S7PYRE0/edit?usp=sharing"",""ระนอง!N664"")"),0)</f>
        <v>0</v>
      </c>
      <c r="Q85" s="62">
        <f ca="1">IFERROR(__xludf.DUMMYFUNCTION("IMPORTRANGE(""https://docs.google.com/spreadsheets/d/1YiDIE7Klmt8osgdapRqYWNr7iPGFSsiJqq46S7PYRE0/edit?usp=sharing"",""ระนอง!N667"")"),0)</f>
        <v>0</v>
      </c>
      <c r="R85" s="62">
        <f t="shared" ca="1" si="36"/>
        <v>0</v>
      </c>
      <c r="S85" s="57">
        <f ca="1">IFERROR(__xludf.DUMMYFUNCTION("IMPORTRANGE(""https://docs.google.com/spreadsheets/d/1YiDIE7Klmt8osgdapRqYWNr7iPGFSsiJqq46S7PYRE0/edit?usp=sharing"",""ระนอง!I669"")"),0)</f>
        <v>0</v>
      </c>
      <c r="T85" s="57">
        <f ca="1">IFERROR(__xludf.DUMMYFUNCTION("IMPORTRANGE(""https://docs.google.com/spreadsheets/d/1YiDIE7Klmt8osgdapRqYWNr7iPGFSsiJqq46S7PYRE0/edit?usp=sharing"",""ระนอง!J669"")"),0)</f>
        <v>0</v>
      </c>
      <c r="U85" s="63">
        <f t="shared" ca="1" si="28"/>
        <v>0</v>
      </c>
      <c r="V85" s="57">
        <f ca="1">IFERROR(__xludf.DUMMYFUNCTION("IMPORTRANGE(""https://docs.google.com/spreadsheets/d/1YiDIE7Klmt8osgdapRqYWNr7iPGFSsiJqq46S7PYRE0/edit?usp=sharing"",""ระนอง!I670"")"),0)</f>
        <v>0</v>
      </c>
      <c r="W85" s="57">
        <f ca="1">IFERROR(__xludf.DUMMYFUNCTION("IMPORTRANGE(""https://docs.google.com/spreadsheets/d/1YiDIE7Klmt8osgdapRqYWNr7iPGFSsiJqq46S7PYRE0/edit?usp=sharing"",""ระนอง!J670"")"),0)</f>
        <v>0</v>
      </c>
      <c r="X85" s="63">
        <f t="shared" ca="1" si="29"/>
        <v>0</v>
      </c>
      <c r="Y85" s="57">
        <f ca="1">IFERROR(__xludf.DUMMYFUNCTION("IMPORTRANGE(""https://docs.google.com/spreadsheets/d/1YiDIE7Klmt8osgdapRqYWNr7iPGFSsiJqq46S7PYRE0/edit?usp=sharing"",""ระนอง!I671"")"),0)</f>
        <v>0</v>
      </c>
      <c r="Z85" s="57">
        <f ca="1">IFERROR(__xludf.DUMMYFUNCTION("IMPORTRANGE(""https://docs.google.com/spreadsheets/d/1YiDIE7Klmt8osgdapRqYWNr7iPGFSsiJqq46S7PYRE0/edit?usp=sharing"",""ระนอง!J671"")"),0)</f>
        <v>0</v>
      </c>
      <c r="AA85" s="63">
        <f t="shared" ca="1" si="30"/>
        <v>0</v>
      </c>
      <c r="AB85" s="57">
        <f ca="1">IFERROR(__xludf.DUMMYFUNCTION("IMPORTRANGE(""https://docs.google.com/spreadsheets/d/1YiDIE7Klmt8osgdapRqYWNr7iPGFSsiJqq46S7PYRE0/edit?usp=sharing"",""ระนอง!J672"")"),0)</f>
        <v>0</v>
      </c>
      <c r="AC85" s="63">
        <f t="shared" ca="1" si="11"/>
        <v>0</v>
      </c>
      <c r="AD85" s="57">
        <f ca="1">IFERROR(__xludf.DUMMYFUNCTION("IMPORTRANGE(""https://docs.google.com/spreadsheets/d/1YiDIE7Klmt8osgdapRqYWNr7iPGFSsiJqq46S7PYRE0/edit?usp=sharing"",""ระนอง!J673"")"),0)</f>
        <v>0</v>
      </c>
      <c r="AE85" s="63">
        <f t="shared" ca="1" si="12"/>
        <v>0</v>
      </c>
      <c r="AF85" s="63">
        <f ca="1">IFERROR(__xludf.DUMMYFUNCTION("IMPORTRANGE(""https://docs.google.com/spreadsheets/d/1YiDIE7Klmt8osgdapRqYWNr7iPGFSsiJqq46S7PYRE0/edit?usp=sharing"",""ระนอง!J674"")"),0)</f>
        <v>0</v>
      </c>
      <c r="AG85" s="63">
        <f t="shared" ca="1" si="13"/>
        <v>0</v>
      </c>
      <c r="AH85" s="63">
        <f ca="1">IFERROR(__xludf.DUMMYFUNCTION("IMPORTRANGE(""https://docs.google.com/spreadsheets/d/1YiDIE7Klmt8osgdapRqYWNr7iPGFSsiJqq46S7PYRE0/edit?usp=sharing"",""ระนอง!J675"")"),0)</f>
        <v>0</v>
      </c>
      <c r="AI85" s="63">
        <f t="shared" ca="1" si="21"/>
        <v>0</v>
      </c>
      <c r="AJ85" s="63">
        <f ca="1">IFERROR(__xludf.DUMMYFUNCTION("IMPORTRANGE(""https://docs.google.com/spreadsheets/d/1YiDIE7Klmt8osgdapRqYWNr7iPGFSsiJqq46S7PYRE0/edit?usp=sharing"",""ระนอง!J676"")"),0)</f>
        <v>0</v>
      </c>
      <c r="AK85" s="63">
        <f ca="1">IFERROR(__xludf.DUMMYFUNCTION("IMPORTRANGE(""https://docs.google.com/spreadsheets/d/1YiDIE7Klmt8osgdapRqYWNr7iPGFSsiJqq46S7PYRE0/edit?usp=sharing"",""ระนอง!J677"")"),0)</f>
        <v>0</v>
      </c>
      <c r="AL85" s="57">
        <f ca="1">IFERROR(__xludf.DUMMYFUNCTION("IMPORTRANGE(""https://docs.google.com/spreadsheets/d/1YiDIE7Klmt8osgdapRqYWNr7iPGFSsiJqq46S7PYRE0/edit?usp=sharing"",""ระนอง!I678"")"),0)</f>
        <v>0</v>
      </c>
      <c r="AM85" s="57">
        <f ca="1">IFERROR(__xludf.DUMMYFUNCTION("IMPORTRANGE(""https://docs.google.com/spreadsheets/d/1YiDIE7Klmt8osgdapRqYWNr7iPGFSsiJqq46S7PYRE0/edit?usp=sharing"",""ระนอง!J678"")"),0)</f>
        <v>0</v>
      </c>
      <c r="AN85" s="63">
        <f t="shared" ca="1" si="31"/>
        <v>0</v>
      </c>
      <c r="AO85" s="57">
        <f ca="1">IFERROR(__xludf.DUMMYFUNCTION("IMPORTRANGE(""https://docs.google.com/spreadsheets/d/1YiDIE7Klmt8osgdapRqYWNr7iPGFSsiJqq46S7PYRE0/edit?usp=sharing"",""ระนอง!J679"")"),0)</f>
        <v>0</v>
      </c>
      <c r="AP85" s="57">
        <f ca="1">IFERROR(__xludf.DUMMYFUNCTION("IMPORTRANGE(""https://docs.google.com/spreadsheets/d/1YiDIE7Klmt8osgdapRqYWNr7iPGFSsiJqq46S7PYRE0/edit?usp=sharing"",""ระนอง!J680"")"),0)</f>
        <v>0</v>
      </c>
      <c r="AQ85" s="57">
        <f ca="1">IFERROR(__xludf.DUMMYFUNCTION("IMPORTRANGE(""https://docs.google.com/spreadsheets/d/1YiDIE7Klmt8osgdapRqYWNr7iPGFSsiJqq46S7PYRE0/edit?usp=sharing"",""ระนอง!J681"")"),0)</f>
        <v>0</v>
      </c>
      <c r="AR85" s="57">
        <f ca="1">IFERROR(__xludf.DUMMYFUNCTION("IMPORTRANGE(""https://docs.google.com/spreadsheets/d/1YiDIE7Klmt8osgdapRqYWNr7iPGFSsiJqq46S7PYRE0/edit?usp=sharing"",""ระนอง!J682"")"),0)</f>
        <v>0</v>
      </c>
      <c r="AS85" s="57">
        <f ca="1">IFERROR(__xludf.DUMMYFUNCTION("IMPORTRANGE(""https://docs.google.com/spreadsheets/d/1YiDIE7Klmt8osgdapRqYWNr7iPGFSsiJqq46S7PYRE0/edit?usp=sharing"",""ระนอง!J683"")"),0)</f>
        <v>0</v>
      </c>
    </row>
    <row r="86" spans="1:45" ht="24" customHeight="1" x14ac:dyDescent="0.3">
      <c r="A86" s="54">
        <v>12</v>
      </c>
      <c r="B86" s="55" t="s">
        <v>107</v>
      </c>
      <c r="C86" s="56">
        <f t="shared" ca="1" si="69"/>
        <v>12600</v>
      </c>
      <c r="D86" s="57">
        <f ca="1">IFERROR(__xludf.DUMMYFUNCTION("IMPORTRANGE(""https://docs.google.com/spreadsheets/d/16o_4B-V7AWw_6E93bSpXj_XxVv1oVQctk-B6z1dNEWU/edit?usp=sharing"",""สงขลา!L660"")"),12600)</f>
        <v>12600</v>
      </c>
      <c r="E86" s="64">
        <f ca="1">IFERROR(__xludf.DUMMYFUNCTION("IMPORTRANGE(""https://docs.google.com/spreadsheets/d/16o_4B-V7AWw_6E93bSpXj_XxVv1oVQctk-B6z1dNEWU/edit?usp=sharing"",""สงขลา!L667"")"),0)</f>
        <v>0</v>
      </c>
      <c r="F86" s="64">
        <f ca="1">IFERROR(__xludf.DUMMYFUNCTION("IMPORTRANGE(""https://docs.google.com/spreadsheets/d/16o_4B-V7AWw_6E93bSpXj_XxVv1oVQctk-B6z1dNEWU/edit?usp=sharing"",""สงขลา!M660"")"),12600)</f>
        <v>12600</v>
      </c>
      <c r="G86" s="64">
        <f ca="1">IFERROR(__xludf.DUMMYFUNCTION("IMPORTRANGE(""https://docs.google.com/spreadsheets/d/16o_4B-V7AWw_6E93bSpXj_XxVv1oVQctk-B6z1dNEWU/edit?usp=sharing"",""สงขลา!M667"")"),0)</f>
        <v>0</v>
      </c>
      <c r="H86" s="58">
        <f t="shared" ca="1" si="27"/>
        <v>6100</v>
      </c>
      <c r="I86" s="59">
        <f t="shared" ca="1" si="1"/>
        <v>48.412698412698411</v>
      </c>
      <c r="J86" s="60">
        <f t="shared" ca="1" si="70"/>
        <v>6100</v>
      </c>
      <c r="K86" s="61">
        <f t="shared" ca="1" si="33"/>
        <v>48.412698412698411</v>
      </c>
      <c r="L86" s="61">
        <f t="shared" ca="1" si="34"/>
        <v>48.412698412698411</v>
      </c>
      <c r="M86" s="64">
        <f ca="1">IFERROR(__xludf.DUMMYFUNCTION("IMPORTRANGE(""https://docs.google.com/spreadsheets/d/16o_4B-V7AWw_6E93bSpXj_XxVv1oVQctk-B6z1dNEWU/edit?usp=sharing"",""สงขลา!N661"")"),0)</f>
        <v>0</v>
      </c>
      <c r="N86" s="64">
        <f ca="1">IFERROR(__xludf.DUMMYFUNCTION("IMPORTRANGE(""https://docs.google.com/spreadsheets/d/16o_4B-V7AWw_6E93bSpXj_XxVv1oVQctk-B6z1dNEWU/edit?usp=sharing"",""สงขลา!N662"")"),0)</f>
        <v>0</v>
      </c>
      <c r="O86" s="64">
        <f ca="1">IFERROR(__xludf.DUMMYFUNCTION("IMPORTRANGE(""https://docs.google.com/spreadsheets/d/16o_4B-V7AWw_6E93bSpXj_XxVv1oVQctk-B6z1dNEWU/edit?usp=sharing"",""สงขลา!N663"")"),0)</f>
        <v>0</v>
      </c>
      <c r="P86" s="64">
        <f ca="1">IFERROR(__xludf.DUMMYFUNCTION("IMPORTRANGE(""https://docs.google.com/spreadsheets/d/16o_4B-V7AWw_6E93bSpXj_XxVv1oVQctk-B6z1dNEWU/edit?usp=sharing"",""สงขลา!N664"")"),6100)</f>
        <v>6100</v>
      </c>
      <c r="Q86" s="62">
        <f ca="1">IFERROR(__xludf.DUMMYFUNCTION("IMPORTRANGE(""https://docs.google.com/spreadsheets/d/16o_4B-V7AWw_6E93bSpXj_XxVv1oVQctk-B6z1dNEWU/edit?usp=sharing"",""สงขลา!N667"")"),0)</f>
        <v>0</v>
      </c>
      <c r="R86" s="62">
        <f t="shared" ca="1" si="36"/>
        <v>0</v>
      </c>
      <c r="S86" s="57">
        <f ca="1">IFERROR(__xludf.DUMMYFUNCTION("IMPORTRANGE(""https://docs.google.com/spreadsheets/d/16o_4B-V7AWw_6E93bSpXj_XxVv1oVQctk-B6z1dNEWU/edit?usp=sharing"",""สงขลา!I669"")"),50)</f>
        <v>50</v>
      </c>
      <c r="T86" s="57">
        <f ca="1">IFERROR(__xludf.DUMMYFUNCTION("IMPORTRANGE(""https://docs.google.com/spreadsheets/d/16o_4B-V7AWw_6E93bSpXj_XxVv1oVQctk-B6z1dNEWU/edit?usp=sharing"",""สงขลา!J669"")"),0)</f>
        <v>0</v>
      </c>
      <c r="U86" s="63">
        <f t="shared" ca="1" si="28"/>
        <v>0</v>
      </c>
      <c r="V86" s="57">
        <f ca="1">IFERROR(__xludf.DUMMYFUNCTION("IMPORTRANGE(""https://docs.google.com/spreadsheets/d/16o_4B-V7AWw_6E93bSpXj_XxVv1oVQctk-B6z1dNEWU/edit?usp=sharing"",""สงขลา!I670"")"),6)</f>
        <v>6</v>
      </c>
      <c r="W86" s="57">
        <f ca="1">IFERROR(__xludf.DUMMYFUNCTION("IMPORTRANGE(""https://docs.google.com/spreadsheets/d/16o_4B-V7AWw_6E93bSpXj_XxVv1oVQctk-B6z1dNEWU/edit?usp=sharing"",""สงขลา!J670"")"),6)</f>
        <v>6</v>
      </c>
      <c r="X86" s="63">
        <f t="shared" ca="1" si="29"/>
        <v>100</v>
      </c>
      <c r="Y86" s="57">
        <f ca="1">IFERROR(__xludf.DUMMYFUNCTION("IMPORTRANGE(""https://docs.google.com/spreadsheets/d/16o_4B-V7AWw_6E93bSpXj_XxVv1oVQctk-B6z1dNEWU/edit?usp=sharing"",""สงขลา!I671"")"),6)</f>
        <v>6</v>
      </c>
      <c r="Z86" s="57">
        <f ca="1">IFERROR(__xludf.DUMMYFUNCTION("IMPORTRANGE(""https://docs.google.com/spreadsheets/d/16o_4B-V7AWw_6E93bSpXj_XxVv1oVQctk-B6z1dNEWU/edit?usp=sharing"",""สงขลา!J671"")"),6)</f>
        <v>6</v>
      </c>
      <c r="AA86" s="63">
        <f t="shared" ca="1" si="30"/>
        <v>100</v>
      </c>
      <c r="AB86" s="57">
        <f ca="1">IFERROR(__xludf.DUMMYFUNCTION("IMPORTRANGE(""https://docs.google.com/spreadsheets/d/16o_4B-V7AWw_6E93bSpXj_XxVv1oVQctk-B6z1dNEWU/edit?usp=sharing"",""สงขลา!J672"")"),0)</f>
        <v>0</v>
      </c>
      <c r="AC86" s="63">
        <f t="shared" ca="1" si="11"/>
        <v>0</v>
      </c>
      <c r="AD86" s="57">
        <f ca="1">IFERROR(__xludf.DUMMYFUNCTION("IMPORTRANGE(""https://docs.google.com/spreadsheets/d/16o_4B-V7AWw_6E93bSpXj_XxVv1oVQctk-B6z1dNEWU/edit?usp=sharing"",""สงขลา!J673"")"),0)</f>
        <v>0</v>
      </c>
      <c r="AE86" s="63">
        <f t="shared" ca="1" si="12"/>
        <v>0</v>
      </c>
      <c r="AF86" s="63">
        <f ca="1">IFERROR(__xludf.DUMMYFUNCTION("IMPORTRANGE(""https://docs.google.com/spreadsheets/d/16o_4B-V7AWw_6E93bSpXj_XxVv1oVQctk-B6z1dNEWU/edit?usp=sharing"",""สงขลา!J674"")"),0)</f>
        <v>0</v>
      </c>
      <c r="AG86" s="63">
        <f t="shared" ca="1" si="13"/>
        <v>0</v>
      </c>
      <c r="AH86" s="63">
        <f ca="1">IFERROR(__xludf.DUMMYFUNCTION("IMPORTRANGE(""https://docs.google.com/spreadsheets/d/16o_4B-V7AWw_6E93bSpXj_XxVv1oVQctk-B6z1dNEWU/edit?usp=sharing"",""สงขลา!J675"")"),0)</f>
        <v>0</v>
      </c>
      <c r="AI86" s="63">
        <f t="shared" ca="1" si="21"/>
        <v>0</v>
      </c>
      <c r="AJ86" s="63">
        <f ca="1">IFERROR(__xludf.DUMMYFUNCTION("IMPORTRANGE(""https://docs.google.com/spreadsheets/d/16o_4B-V7AWw_6E93bSpXj_XxVv1oVQctk-B6z1dNEWU/edit?usp=sharing"",""สงขลา!J676"")"),0)</f>
        <v>0</v>
      </c>
      <c r="AK86" s="63">
        <f ca="1">IFERROR(__xludf.DUMMYFUNCTION("IMPORTRANGE(""https://docs.google.com/spreadsheets/d/16o_4B-V7AWw_6E93bSpXj_XxVv1oVQctk-B6z1dNEWU/edit?usp=sharing"",""สงขลา!J677"")"),0)</f>
        <v>0</v>
      </c>
      <c r="AL86" s="57">
        <f ca="1">IFERROR(__xludf.DUMMYFUNCTION("IMPORTRANGE(""https://docs.google.com/spreadsheets/d/16o_4B-V7AWw_6E93bSpXj_XxVv1oVQctk-B6z1dNEWU/edit?usp=sharing"",""สงขลา!I678"")"),0)</f>
        <v>0</v>
      </c>
      <c r="AM86" s="57">
        <f ca="1">IFERROR(__xludf.DUMMYFUNCTION("IMPORTRANGE(""https://docs.google.com/spreadsheets/d/16o_4B-V7AWw_6E93bSpXj_XxVv1oVQctk-B6z1dNEWU/edit?usp=sharing"",""สงขลา!J678"")"),168.76)</f>
        <v>168.76</v>
      </c>
      <c r="AN86" s="63">
        <f t="shared" ca="1" si="31"/>
        <v>0</v>
      </c>
      <c r="AO86" s="57">
        <f ca="1">IFERROR(__xludf.DUMMYFUNCTION("IMPORTRANGE(""https://docs.google.com/spreadsheets/d/16o_4B-V7AWw_6E93bSpXj_XxVv1oVQctk-B6z1dNEWU/edit?usp=sharing"",""สงขลา!J679"")"),168.76)</f>
        <v>168.76</v>
      </c>
      <c r="AP86" s="57">
        <f ca="1">IFERROR(__xludf.DUMMYFUNCTION("IMPORTRANGE(""https://docs.google.com/spreadsheets/d/16o_4B-V7AWw_6E93bSpXj_XxVv1oVQctk-B6z1dNEWU/edit?usp=sharing"",""สงขลา!J680"")"),31.56)</f>
        <v>31.56</v>
      </c>
      <c r="AQ86" s="57">
        <f ca="1">IFERROR(__xludf.DUMMYFUNCTION("IMPORTRANGE(""https://docs.google.com/spreadsheets/d/16o_4B-V7AWw_6E93bSpXj_XxVv1oVQctk-B6z1dNEWU/edit?usp=sharing"",""สงขลา!J681"")"),137.2)</f>
        <v>137.19999999999999</v>
      </c>
      <c r="AR86" s="57">
        <f ca="1">IFERROR(__xludf.DUMMYFUNCTION("IMPORTRANGE(""https://docs.google.com/spreadsheets/d/16o_4B-V7AWw_6E93bSpXj_XxVv1oVQctk-B6z1dNEWU/edit?usp=sharing"",""สงขลา!J682"")"),0)</f>
        <v>0</v>
      </c>
      <c r="AS86" s="57">
        <f ca="1">IFERROR(__xludf.DUMMYFUNCTION("IMPORTRANGE(""https://docs.google.com/spreadsheets/d/16o_4B-V7AWw_6E93bSpXj_XxVv1oVQctk-B6z1dNEWU/edit?usp=sharing"",""สงขลา!J683"")"),0)</f>
        <v>0</v>
      </c>
    </row>
    <row r="87" spans="1:45" ht="24" customHeight="1" x14ac:dyDescent="0.3">
      <c r="A87" s="54">
        <v>13</v>
      </c>
      <c r="B87" s="55" t="s">
        <v>108</v>
      </c>
      <c r="C87" s="56">
        <f t="shared" ca="1" si="69"/>
        <v>0</v>
      </c>
      <c r="D87" s="57">
        <f ca="1">IFERROR(__xludf.DUMMYFUNCTION("IMPORTRANGE(""https://docs.google.com/spreadsheets/d/16cywr71Fj4fA5OGRHsZh30ZG2gwJhMAQv69oVBzYHv0/edit?usp=sharing"",""สตูล!L660"")"),0)</f>
        <v>0</v>
      </c>
      <c r="E87" s="64">
        <f ca="1">IFERROR(__xludf.DUMMYFUNCTION("IMPORTRANGE(""https://docs.google.com/spreadsheets/d/16cywr71Fj4fA5OGRHsZh30ZG2gwJhMAQv69oVBzYHv0/edit?usp=sharing"",""สตูล!L667"")"),0)</f>
        <v>0</v>
      </c>
      <c r="F87" s="64">
        <f ca="1">IFERROR(__xludf.DUMMYFUNCTION("IMPORTRANGE(""https://docs.google.com/spreadsheets/d/16cywr71Fj4fA5OGRHsZh30ZG2gwJhMAQv69oVBzYHv0/edit?usp=sharing"",""สตูล!M660"")"),0)</f>
        <v>0</v>
      </c>
      <c r="G87" s="64">
        <f ca="1">IFERROR(__xludf.DUMMYFUNCTION("IMPORTRANGE(""https://docs.google.com/spreadsheets/d/16cywr71Fj4fA5OGRHsZh30ZG2gwJhMAQv69oVBzYHv0/edit?usp=sharing"",""สตูล!M667"")"),0)</f>
        <v>0</v>
      </c>
      <c r="H87" s="58">
        <f t="shared" ca="1" si="27"/>
        <v>0</v>
      </c>
      <c r="I87" s="59">
        <f t="shared" ca="1" si="1"/>
        <v>0</v>
      </c>
      <c r="J87" s="60">
        <f t="shared" ca="1" si="70"/>
        <v>0</v>
      </c>
      <c r="K87" s="61">
        <f t="shared" ca="1" si="33"/>
        <v>0</v>
      </c>
      <c r="L87" s="61">
        <f t="shared" ca="1" si="34"/>
        <v>0</v>
      </c>
      <c r="M87" s="64">
        <f ca="1">IFERROR(__xludf.DUMMYFUNCTION("IMPORTRANGE(""https://docs.google.com/spreadsheets/d/16cywr71Fj4fA5OGRHsZh30ZG2gwJhMAQv69oVBzYHv0/edit?usp=sharing"",""สตูล!N661"")"),0)</f>
        <v>0</v>
      </c>
      <c r="N87" s="64">
        <f ca="1">IFERROR(__xludf.DUMMYFUNCTION("IMPORTRANGE(""https://docs.google.com/spreadsheets/d/16cywr71Fj4fA5OGRHsZh30ZG2gwJhMAQv69oVBzYHv0/edit?usp=sharing"",""สตูล!N662"")"),0)</f>
        <v>0</v>
      </c>
      <c r="O87" s="64">
        <f ca="1">IFERROR(__xludf.DUMMYFUNCTION("IMPORTRANGE(""https://docs.google.com/spreadsheets/d/16cywr71Fj4fA5OGRHsZh30ZG2gwJhMAQv69oVBzYHv0/edit?usp=sharing"",""สตูล!N663"")"),0)</f>
        <v>0</v>
      </c>
      <c r="P87" s="64">
        <f ca="1">IFERROR(__xludf.DUMMYFUNCTION("IMPORTRANGE(""https://docs.google.com/spreadsheets/d/16cywr71Fj4fA5OGRHsZh30ZG2gwJhMAQv69oVBzYHv0/edit?usp=sharing"",""สตูล!N664"")"),0)</f>
        <v>0</v>
      </c>
      <c r="Q87" s="62">
        <f ca="1">IFERROR(__xludf.DUMMYFUNCTION("IMPORTRANGE(""https://docs.google.com/spreadsheets/d/16cywr71Fj4fA5OGRHsZh30ZG2gwJhMAQv69oVBzYHv0/edit?usp=sharing"",""สตูล!N667"")"),0)</f>
        <v>0</v>
      </c>
      <c r="R87" s="62">
        <f t="shared" ca="1" si="36"/>
        <v>0</v>
      </c>
      <c r="S87" s="57">
        <f ca="1">IFERROR(__xludf.DUMMYFUNCTION("IMPORTRANGE(""https://docs.google.com/spreadsheets/d/16cywr71Fj4fA5OGRHsZh30ZG2gwJhMAQv69oVBzYHv0/edit?usp=sharing"",""สตูล!I669"")"),0)</f>
        <v>0</v>
      </c>
      <c r="T87" s="57">
        <f ca="1">IFERROR(__xludf.DUMMYFUNCTION("IMPORTRANGE(""https://docs.google.com/spreadsheets/d/16cywr71Fj4fA5OGRHsZh30ZG2gwJhMAQv69oVBzYHv0/edit?usp=sharing"",""สตูล!J669"")"),0)</f>
        <v>0</v>
      </c>
      <c r="U87" s="63">
        <f t="shared" ca="1" si="28"/>
        <v>0</v>
      </c>
      <c r="V87" s="57">
        <f ca="1">IFERROR(__xludf.DUMMYFUNCTION("IMPORTRANGE(""https://docs.google.com/spreadsheets/d/16cywr71Fj4fA5OGRHsZh30ZG2gwJhMAQv69oVBzYHv0/edit?usp=sharing"",""สตูล!I670"")"),0)</f>
        <v>0</v>
      </c>
      <c r="W87" s="57">
        <f ca="1">IFERROR(__xludf.DUMMYFUNCTION("IMPORTRANGE(""https://docs.google.com/spreadsheets/d/16cywr71Fj4fA5OGRHsZh30ZG2gwJhMAQv69oVBzYHv0/edit?usp=sharing"",""สตูล!J670"")"),0)</f>
        <v>0</v>
      </c>
      <c r="X87" s="63">
        <f t="shared" ca="1" si="29"/>
        <v>0</v>
      </c>
      <c r="Y87" s="57">
        <f ca="1">IFERROR(__xludf.DUMMYFUNCTION("IMPORTRANGE(""https://docs.google.com/spreadsheets/d/16cywr71Fj4fA5OGRHsZh30ZG2gwJhMAQv69oVBzYHv0/edit?usp=sharing"",""สตูล!I671"")"),0)</f>
        <v>0</v>
      </c>
      <c r="Z87" s="57">
        <f ca="1">IFERROR(__xludf.DUMMYFUNCTION("IMPORTRANGE(""https://docs.google.com/spreadsheets/d/16cywr71Fj4fA5OGRHsZh30ZG2gwJhMAQv69oVBzYHv0/edit?usp=sharing"",""สตูล!J671"")"),0)</f>
        <v>0</v>
      </c>
      <c r="AA87" s="63">
        <f t="shared" ca="1" si="30"/>
        <v>0</v>
      </c>
      <c r="AB87" s="57">
        <f ca="1">IFERROR(__xludf.DUMMYFUNCTION("IMPORTRANGE(""https://docs.google.com/spreadsheets/d/16cywr71Fj4fA5OGRHsZh30ZG2gwJhMAQv69oVBzYHv0/edit?usp=sharing"",""สตูล!J672"")"),0)</f>
        <v>0</v>
      </c>
      <c r="AC87" s="63">
        <f t="shared" ca="1" si="11"/>
        <v>0</v>
      </c>
      <c r="AD87" s="57">
        <f ca="1">IFERROR(__xludf.DUMMYFUNCTION("IMPORTRANGE(""https://docs.google.com/spreadsheets/d/16cywr71Fj4fA5OGRHsZh30ZG2gwJhMAQv69oVBzYHv0/edit?usp=sharing"",""สตูล!J673"")"),0)</f>
        <v>0</v>
      </c>
      <c r="AE87" s="63">
        <f t="shared" ca="1" si="12"/>
        <v>0</v>
      </c>
      <c r="AF87" s="63">
        <f ca="1">IFERROR(__xludf.DUMMYFUNCTION("IMPORTRANGE(""https://docs.google.com/spreadsheets/d/16cywr71Fj4fA5OGRHsZh30ZG2gwJhMAQv69oVBzYHv0/edit?usp=sharing"",""สตูล!J674"")"),0)</f>
        <v>0</v>
      </c>
      <c r="AG87" s="63">
        <f t="shared" ca="1" si="13"/>
        <v>0</v>
      </c>
      <c r="AH87" s="63">
        <f ca="1">IFERROR(__xludf.DUMMYFUNCTION("IMPORTRANGE(""https://docs.google.com/spreadsheets/d/16cywr71Fj4fA5OGRHsZh30ZG2gwJhMAQv69oVBzYHv0/edit?usp=sharing"",""สตูล!J675"")"),0)</f>
        <v>0</v>
      </c>
      <c r="AI87" s="63">
        <f t="shared" ca="1" si="21"/>
        <v>0</v>
      </c>
      <c r="AJ87" s="63">
        <f ca="1">IFERROR(__xludf.DUMMYFUNCTION("IMPORTRANGE(""https://docs.google.com/spreadsheets/d/16cywr71Fj4fA5OGRHsZh30ZG2gwJhMAQv69oVBzYHv0/edit?usp=sharing"",""สตูล!J676"")"),0)</f>
        <v>0</v>
      </c>
      <c r="AK87" s="63">
        <f ca="1">IFERROR(__xludf.DUMMYFUNCTION("IMPORTRANGE(""https://docs.google.com/spreadsheets/d/16cywr71Fj4fA5OGRHsZh30ZG2gwJhMAQv69oVBzYHv0/edit?usp=sharing"",""สตูล!J677"")"),0)</f>
        <v>0</v>
      </c>
      <c r="AL87" s="57">
        <f ca="1">IFERROR(__xludf.DUMMYFUNCTION("IMPORTRANGE(""https://docs.google.com/spreadsheets/d/16cywr71Fj4fA5OGRHsZh30ZG2gwJhMAQv69oVBzYHv0/edit?usp=sharing"",""สตูล!I678"")"),0)</f>
        <v>0</v>
      </c>
      <c r="AM87" s="57">
        <f ca="1">IFERROR(__xludf.DUMMYFUNCTION("IMPORTRANGE(""https://docs.google.com/spreadsheets/d/16cywr71Fj4fA5OGRHsZh30ZG2gwJhMAQv69oVBzYHv0/edit?usp=sharing"",""สตูล!J678"")"),0)</f>
        <v>0</v>
      </c>
      <c r="AN87" s="63">
        <f t="shared" ca="1" si="31"/>
        <v>0</v>
      </c>
      <c r="AO87" s="57">
        <f ca="1">IFERROR(__xludf.DUMMYFUNCTION("IMPORTRANGE(""https://docs.google.com/spreadsheets/d/16cywr71Fj4fA5OGRHsZh30ZG2gwJhMAQv69oVBzYHv0/edit?usp=sharing"",""สตูล!J679"")"),0)</f>
        <v>0</v>
      </c>
      <c r="AP87" s="57">
        <f ca="1">IFERROR(__xludf.DUMMYFUNCTION("IMPORTRANGE(""https://docs.google.com/spreadsheets/d/16cywr71Fj4fA5OGRHsZh30ZG2gwJhMAQv69oVBzYHv0/edit?usp=sharing"",""สตูล!J680"")"),0)</f>
        <v>0</v>
      </c>
      <c r="AQ87" s="57">
        <f ca="1">IFERROR(__xludf.DUMMYFUNCTION("IMPORTRANGE(""https://docs.google.com/spreadsheets/d/16cywr71Fj4fA5OGRHsZh30ZG2gwJhMAQv69oVBzYHv0/edit?usp=sharing"",""สตูล!J681"")"),0)</f>
        <v>0</v>
      </c>
      <c r="AR87" s="57">
        <f ca="1">IFERROR(__xludf.DUMMYFUNCTION("IMPORTRANGE(""https://docs.google.com/spreadsheets/d/16cywr71Fj4fA5OGRHsZh30ZG2gwJhMAQv69oVBzYHv0/edit?usp=sharing"",""สตูล!J682"")"),0)</f>
        <v>0</v>
      </c>
      <c r="AS87" s="57">
        <f ca="1">IFERROR(__xludf.DUMMYFUNCTION("IMPORTRANGE(""https://docs.google.com/spreadsheets/d/16cywr71Fj4fA5OGRHsZh30ZG2gwJhMAQv69oVBzYHv0/edit?usp=sharing"",""สตูล!J683"")"),0)</f>
        <v>0</v>
      </c>
    </row>
    <row r="88" spans="1:45" ht="24" customHeight="1" x14ac:dyDescent="0.3">
      <c r="A88" s="65">
        <v>14</v>
      </c>
      <c r="B88" s="66" t="s">
        <v>109</v>
      </c>
      <c r="C88" s="67">
        <f t="shared" ca="1" si="69"/>
        <v>0</v>
      </c>
      <c r="D88" s="68">
        <f ca="1">IFERROR(__xludf.DUMMYFUNCTION("IMPORTRANGE(""https://docs.google.com/spreadsheets/d/1vO9Sws6kMtrVtyvrAJptINXjK8TFBoX9xLYOVK_C8bQ/edit?usp=sharing"",""สุราษฎร์ธานี!L660"")"),0)</f>
        <v>0</v>
      </c>
      <c r="E88" s="69">
        <f ca="1">IFERROR(__xludf.DUMMYFUNCTION("IMPORTRANGE(""https://docs.google.com/spreadsheets/d/1vO9Sws6kMtrVtyvrAJptINXjK8TFBoX9xLYOVK_C8bQ/edit?usp=sharing"",""สุราษฎร์ธานี!L667"")"),0)</f>
        <v>0</v>
      </c>
      <c r="F88" s="69">
        <f ca="1">IFERROR(__xludf.DUMMYFUNCTION("IMPORTRANGE(""https://docs.google.com/spreadsheets/d/1vO9Sws6kMtrVtyvrAJptINXjK8TFBoX9xLYOVK_C8bQ/edit?usp=sharing"",""สุราษฎร์ธานี!M660"")"),0)</f>
        <v>0</v>
      </c>
      <c r="G88" s="69">
        <f ca="1">IFERROR(__xludf.DUMMYFUNCTION("IMPORTRANGE(""https://docs.google.com/spreadsheets/d/1vO9Sws6kMtrVtyvrAJptINXjK8TFBoX9xLYOVK_C8bQ/edit?usp=sharing"",""สุราษฎร์ธานี!M667"")"),0)</f>
        <v>0</v>
      </c>
      <c r="H88" s="70">
        <f t="shared" ca="1" si="27"/>
        <v>0</v>
      </c>
      <c r="I88" s="71">
        <f t="shared" ca="1" si="1"/>
        <v>0</v>
      </c>
      <c r="J88" s="72">
        <f t="shared" ca="1" si="70"/>
        <v>0</v>
      </c>
      <c r="K88" s="73">
        <f t="shared" ca="1" si="33"/>
        <v>0</v>
      </c>
      <c r="L88" s="73">
        <f t="shared" ca="1" si="34"/>
        <v>0</v>
      </c>
      <c r="M88" s="69">
        <f ca="1">IFERROR(__xludf.DUMMYFUNCTION("IMPORTRANGE(""https://docs.google.com/spreadsheets/d/1vO9Sws6kMtrVtyvrAJptINXjK8TFBoX9xLYOVK_C8bQ/edit?usp=sharing"",""สุราษฎร์ธานี!N661"")"),0)</f>
        <v>0</v>
      </c>
      <c r="N88" s="69">
        <f ca="1">IFERROR(__xludf.DUMMYFUNCTION("IMPORTRANGE(""https://docs.google.com/spreadsheets/d/1vO9Sws6kMtrVtyvrAJptINXjK8TFBoX9xLYOVK_C8bQ/edit?usp=sharing"",""สุราษฎร์ธานี!N662"")"),0)</f>
        <v>0</v>
      </c>
      <c r="O88" s="69">
        <f ca="1">IFERROR(__xludf.DUMMYFUNCTION("IMPORTRANGE(""https://docs.google.com/spreadsheets/d/1vO9Sws6kMtrVtyvrAJptINXjK8TFBoX9xLYOVK_C8bQ/edit?usp=sharing"",""สุราษฎร์ธานี!N663"")"),0)</f>
        <v>0</v>
      </c>
      <c r="P88" s="69">
        <f ca="1">IFERROR(__xludf.DUMMYFUNCTION("IMPORTRANGE(""https://docs.google.com/spreadsheets/d/1vO9Sws6kMtrVtyvrAJptINXjK8TFBoX9xLYOVK_C8bQ/edit?usp=sharing"",""สุราษฎร์ธานี!N664"")"),0)</f>
        <v>0</v>
      </c>
      <c r="Q88" s="74">
        <f ca="1">IFERROR(__xludf.DUMMYFUNCTION("IMPORTRANGE(""https://docs.google.com/spreadsheets/d/1vO9Sws6kMtrVtyvrAJptINXjK8TFBoX9xLYOVK_C8bQ/edit?usp=sharing"",""สุราษฎร์ธานี!N667"")"),0)</f>
        <v>0</v>
      </c>
      <c r="R88" s="74">
        <f t="shared" ca="1" si="36"/>
        <v>0</v>
      </c>
      <c r="S88" s="68">
        <f ca="1">IFERROR(__xludf.DUMMYFUNCTION("IMPORTRANGE(""https://docs.google.com/spreadsheets/d/1vO9Sws6kMtrVtyvrAJptINXjK8TFBoX9xLYOVK_C8bQ/edit?usp=sharing"",""สุราษฎร์ธานี!I669"")"),0)</f>
        <v>0</v>
      </c>
      <c r="T88" s="68">
        <f ca="1">IFERROR(__xludf.DUMMYFUNCTION("IMPORTRANGE(""https://docs.google.com/spreadsheets/d/1vO9Sws6kMtrVtyvrAJptINXjK8TFBoX9xLYOVK_C8bQ/edit?usp=sharing"",""สุราษฎร์ธานี!J669"")"),0)</f>
        <v>0</v>
      </c>
      <c r="U88" s="75">
        <f t="shared" ca="1" si="28"/>
        <v>0</v>
      </c>
      <c r="V88" s="68">
        <f ca="1">IFERROR(__xludf.DUMMYFUNCTION("IMPORTRANGE(""https://docs.google.com/spreadsheets/d/1vO9Sws6kMtrVtyvrAJptINXjK8TFBoX9xLYOVK_C8bQ/edit?usp=sharing"",""สุราษฎร์ธานี!I670"")"),0)</f>
        <v>0</v>
      </c>
      <c r="W88" s="68">
        <f ca="1">IFERROR(__xludf.DUMMYFUNCTION("IMPORTRANGE(""https://docs.google.com/spreadsheets/d/1vO9Sws6kMtrVtyvrAJptINXjK8TFBoX9xLYOVK_C8bQ/edit?usp=sharing"",""สุราษฎร์ธานี!J670"")"),0)</f>
        <v>0</v>
      </c>
      <c r="X88" s="75">
        <f t="shared" ca="1" si="29"/>
        <v>0</v>
      </c>
      <c r="Y88" s="68">
        <f ca="1">IFERROR(__xludf.DUMMYFUNCTION("IMPORTRANGE(""https://docs.google.com/spreadsheets/d/1vO9Sws6kMtrVtyvrAJptINXjK8TFBoX9xLYOVK_C8bQ/edit?usp=sharing"",""สุราษฎร์ธานี!I671"")"),0)</f>
        <v>0</v>
      </c>
      <c r="Z88" s="68">
        <f ca="1">IFERROR(__xludf.DUMMYFUNCTION("IMPORTRANGE(""https://docs.google.com/spreadsheets/d/1vO9Sws6kMtrVtyvrAJptINXjK8TFBoX9xLYOVK_C8bQ/edit?usp=sharing"",""สุราษฎร์ธานี!J671"")"),0)</f>
        <v>0</v>
      </c>
      <c r="AA88" s="75">
        <f t="shared" ca="1" si="30"/>
        <v>0</v>
      </c>
      <c r="AB88" s="68">
        <f ca="1">IFERROR(__xludf.DUMMYFUNCTION("IMPORTRANGE(""https://docs.google.com/spreadsheets/d/1vO9Sws6kMtrVtyvrAJptINXjK8TFBoX9xLYOVK_C8bQ/edit?usp=sharing"",""สุราษฎร์ธานี!J672"")"),0)</f>
        <v>0</v>
      </c>
      <c r="AC88" s="75">
        <f t="shared" ca="1" si="11"/>
        <v>0</v>
      </c>
      <c r="AD88" s="68">
        <f ca="1">IFERROR(__xludf.DUMMYFUNCTION("IMPORTRANGE(""https://docs.google.com/spreadsheets/d/1vO9Sws6kMtrVtyvrAJptINXjK8TFBoX9xLYOVK_C8bQ/edit?usp=sharing"",""สุราษฎร์ธานี!J673"")"),0)</f>
        <v>0</v>
      </c>
      <c r="AE88" s="75">
        <f t="shared" ca="1" si="12"/>
        <v>0</v>
      </c>
      <c r="AF88" s="75">
        <f ca="1">IFERROR(__xludf.DUMMYFUNCTION("IMPORTRANGE(""https://docs.google.com/spreadsheets/d/1vO9Sws6kMtrVtyvrAJptINXjK8TFBoX9xLYOVK_C8bQ/edit?usp=sharing"",""สุราษฎร์ธานี!J674"")"),0)</f>
        <v>0</v>
      </c>
      <c r="AG88" s="75">
        <f t="shared" ca="1" si="13"/>
        <v>0</v>
      </c>
      <c r="AH88" s="75">
        <f ca="1">IFERROR(__xludf.DUMMYFUNCTION("IMPORTRANGE(""https://docs.google.com/spreadsheets/d/1vO9Sws6kMtrVtyvrAJptINXjK8TFBoX9xLYOVK_C8bQ/edit?usp=sharing"",""สุราษฎร์ธานี!J675"")"),0)</f>
        <v>0</v>
      </c>
      <c r="AI88" s="75">
        <f t="shared" ca="1" si="21"/>
        <v>0</v>
      </c>
      <c r="AJ88" s="75">
        <f ca="1">IFERROR(__xludf.DUMMYFUNCTION("IMPORTRANGE(""https://docs.google.com/spreadsheets/d/1vO9Sws6kMtrVtyvrAJptINXjK8TFBoX9xLYOVK_C8bQ/edit?usp=sharing"",""สุราษฎร์ธานี!J676"")"),0)</f>
        <v>0</v>
      </c>
      <c r="AK88" s="75">
        <f ca="1">IFERROR(__xludf.DUMMYFUNCTION("IMPORTRANGE(""https://docs.google.com/spreadsheets/d/1vO9Sws6kMtrVtyvrAJptINXjK8TFBoX9xLYOVK_C8bQ/edit?usp=sharing"",""สุราษฎร์ธานี!J677"")"),0)</f>
        <v>0</v>
      </c>
      <c r="AL88" s="68">
        <f ca="1">IFERROR(__xludf.DUMMYFUNCTION("IMPORTRANGE(""https://docs.google.com/spreadsheets/d/1vO9Sws6kMtrVtyvrAJptINXjK8TFBoX9xLYOVK_C8bQ/edit?usp=sharing"",""สุราษฎร์ธานี!I678"")"),0)</f>
        <v>0</v>
      </c>
      <c r="AM88" s="68">
        <f ca="1">IFERROR(__xludf.DUMMYFUNCTION("IMPORTRANGE(""https://docs.google.com/spreadsheets/d/1vO9Sws6kMtrVtyvrAJptINXjK8TFBoX9xLYOVK_C8bQ/edit?usp=sharing"",""สุราษฎร์ธานี!J678"")"),0)</f>
        <v>0</v>
      </c>
      <c r="AN88" s="75">
        <f t="shared" ca="1" si="31"/>
        <v>0</v>
      </c>
      <c r="AO88" s="68">
        <f ca="1">IFERROR(__xludf.DUMMYFUNCTION("IMPORTRANGE(""https://docs.google.com/spreadsheets/d/1vO9Sws6kMtrVtyvrAJptINXjK8TFBoX9xLYOVK_C8bQ/edit?usp=sharing"",""สุราษฎร์ธานี!J679"")"),0)</f>
        <v>0</v>
      </c>
      <c r="AP88" s="68">
        <f ca="1">IFERROR(__xludf.DUMMYFUNCTION("IMPORTRANGE(""https://docs.google.com/spreadsheets/d/1vO9Sws6kMtrVtyvrAJptINXjK8TFBoX9xLYOVK_C8bQ/edit?usp=sharing"",""สุราษฎร์ธานี!J680"")"),0)</f>
        <v>0</v>
      </c>
      <c r="AQ88" s="68">
        <f ca="1">IFERROR(__xludf.DUMMYFUNCTION("IMPORTRANGE(""https://docs.google.com/spreadsheets/d/1vO9Sws6kMtrVtyvrAJptINXjK8TFBoX9xLYOVK_C8bQ/edit?usp=sharing"",""สุราษฎร์ธานี!J681"")"),0)</f>
        <v>0</v>
      </c>
      <c r="AR88" s="68">
        <f ca="1">IFERROR(__xludf.DUMMYFUNCTION("IMPORTRANGE(""https://docs.google.com/spreadsheets/d/1vO9Sws6kMtrVtyvrAJptINXjK8TFBoX9xLYOVK_C8bQ/edit?usp=sharing"",""สุราษฎร์ธานี!J682"")"),0)</f>
        <v>0</v>
      </c>
      <c r="AS88" s="68">
        <f ca="1">IFERROR(__xludf.DUMMYFUNCTION("IMPORTRANGE(""https://docs.google.com/spreadsheets/d/1vO9Sws6kMtrVtyvrAJptINXjK8TFBoX9xLYOVK_C8bQ/edit?usp=sharing"",""สุราษฎร์ธานี!J683"")"),0)</f>
        <v>0</v>
      </c>
    </row>
    <row r="89" spans="1:45" ht="21" hidden="1" customHeight="1" x14ac:dyDescent="0.3">
      <c r="A89" s="187" t="s">
        <v>110</v>
      </c>
      <c r="B89" s="178"/>
      <c r="C89" s="77">
        <f>+C90+C91+C92+C93+C94+C95+C96+C97+C98+C99+C100+C101+C102+C103</f>
        <v>0</v>
      </c>
      <c r="D89" s="43"/>
      <c r="E89" s="43"/>
      <c r="F89" s="43"/>
      <c r="G89" s="43"/>
      <c r="H89" s="40">
        <f t="shared" si="27"/>
        <v>0</v>
      </c>
      <c r="I89" s="41">
        <f t="shared" si="1"/>
        <v>0</v>
      </c>
      <c r="J89" s="40">
        <f>+J90+J91+J92+J93+J94+J95+J96+J97+J98+J99+J100+J101+J102+J103</f>
        <v>0</v>
      </c>
      <c r="K89" s="43"/>
      <c r="L89" s="43"/>
      <c r="M89" s="43"/>
      <c r="N89" s="43"/>
      <c r="O89" s="43"/>
      <c r="P89" s="43"/>
      <c r="Q89" s="78"/>
      <c r="R89" s="78">
        <f t="shared" si="36"/>
        <v>0</v>
      </c>
      <c r="S89" s="43"/>
      <c r="T89" s="43"/>
      <c r="U89" s="44"/>
      <c r="V89" s="43"/>
      <c r="W89" s="43"/>
      <c r="X89" s="44"/>
      <c r="Y89" s="43"/>
      <c r="Z89" s="43"/>
      <c r="AA89" s="44"/>
      <c r="AB89" s="43"/>
      <c r="AC89" s="43"/>
      <c r="AD89" s="43"/>
      <c r="AE89" s="43"/>
      <c r="AF89" s="43"/>
      <c r="AG89" s="44"/>
      <c r="AH89" s="43"/>
      <c r="AI89" s="44"/>
      <c r="AJ89" s="43"/>
      <c r="AK89" s="43"/>
      <c r="AL89" s="43"/>
      <c r="AM89" s="43"/>
      <c r="AN89" s="44"/>
      <c r="AO89" s="43"/>
      <c r="AP89" s="43"/>
      <c r="AQ89" s="43"/>
      <c r="AR89" s="43"/>
      <c r="AS89" s="43"/>
    </row>
    <row r="90" spans="1:45" ht="24" hidden="1" customHeight="1" x14ac:dyDescent="0.3">
      <c r="A90" s="54">
        <v>1</v>
      </c>
      <c r="B90" s="55" t="s">
        <v>111</v>
      </c>
      <c r="C90" s="56">
        <f t="shared" ref="C90:C103" si="71">D90+E90</f>
        <v>0</v>
      </c>
      <c r="D90" s="57">
        <v>0</v>
      </c>
      <c r="E90" s="64">
        <v>0</v>
      </c>
      <c r="F90" s="79"/>
      <c r="G90" s="79"/>
      <c r="H90" s="58">
        <f t="shared" si="27"/>
        <v>0</v>
      </c>
      <c r="I90" s="59">
        <f t="shared" si="1"/>
        <v>0</v>
      </c>
      <c r="J90" s="60">
        <f t="shared" ref="J90:J103" si="72">M90+N90+O90+P90</f>
        <v>0</v>
      </c>
      <c r="K90" s="80"/>
      <c r="L90" s="80"/>
      <c r="M90" s="64">
        <v>0</v>
      </c>
      <c r="N90" s="64">
        <v>0</v>
      </c>
      <c r="O90" s="64">
        <v>0</v>
      </c>
      <c r="P90" s="64">
        <v>0</v>
      </c>
      <c r="Q90" s="62">
        <v>0</v>
      </c>
      <c r="R90" s="62">
        <f t="shared" si="36"/>
        <v>0</v>
      </c>
      <c r="S90" s="79"/>
      <c r="T90" s="79"/>
      <c r="U90" s="81"/>
      <c r="V90" s="79"/>
      <c r="W90" s="79"/>
      <c r="X90" s="81"/>
      <c r="Y90" s="79"/>
      <c r="Z90" s="79"/>
      <c r="AA90" s="81"/>
      <c r="AB90" s="79"/>
      <c r="AC90" s="79"/>
      <c r="AD90" s="79"/>
      <c r="AE90" s="79"/>
      <c r="AF90" s="79"/>
      <c r="AG90" s="81"/>
      <c r="AH90" s="79"/>
      <c r="AI90" s="81"/>
      <c r="AJ90" s="79"/>
      <c r="AK90" s="79"/>
      <c r="AL90" s="79"/>
      <c r="AM90" s="79"/>
      <c r="AN90" s="81"/>
      <c r="AO90" s="79"/>
      <c r="AP90" s="79"/>
      <c r="AQ90" s="79"/>
      <c r="AR90" s="79"/>
      <c r="AS90" s="79"/>
    </row>
    <row r="91" spans="1:45" ht="24" hidden="1" customHeight="1" x14ac:dyDescent="0.3">
      <c r="A91" s="54">
        <v>2</v>
      </c>
      <c r="B91" s="55" t="s">
        <v>112</v>
      </c>
      <c r="C91" s="56">
        <f t="shared" si="71"/>
        <v>0</v>
      </c>
      <c r="D91" s="57">
        <v>0</v>
      </c>
      <c r="E91" s="64">
        <v>0</v>
      </c>
      <c r="F91" s="79"/>
      <c r="G91" s="79"/>
      <c r="H91" s="58">
        <f t="shared" si="27"/>
        <v>0</v>
      </c>
      <c r="I91" s="59">
        <f t="shared" si="1"/>
        <v>0</v>
      </c>
      <c r="J91" s="60">
        <f t="shared" si="72"/>
        <v>0</v>
      </c>
      <c r="K91" s="80"/>
      <c r="L91" s="80"/>
      <c r="M91" s="64">
        <v>0</v>
      </c>
      <c r="N91" s="64">
        <v>0</v>
      </c>
      <c r="O91" s="64">
        <v>0</v>
      </c>
      <c r="P91" s="64">
        <v>0</v>
      </c>
      <c r="Q91" s="62">
        <v>0</v>
      </c>
      <c r="R91" s="62">
        <f t="shared" si="36"/>
        <v>0</v>
      </c>
      <c r="S91" s="79"/>
      <c r="T91" s="79"/>
      <c r="U91" s="81"/>
      <c r="V91" s="79"/>
      <c r="W91" s="79"/>
      <c r="X91" s="81"/>
      <c r="Y91" s="79"/>
      <c r="Z91" s="79"/>
      <c r="AA91" s="81"/>
      <c r="AB91" s="79"/>
      <c r="AC91" s="79"/>
      <c r="AD91" s="79"/>
      <c r="AE91" s="79"/>
      <c r="AF91" s="79"/>
      <c r="AG91" s="81"/>
      <c r="AH91" s="79"/>
      <c r="AI91" s="81"/>
      <c r="AJ91" s="79"/>
      <c r="AK91" s="79"/>
      <c r="AL91" s="79"/>
      <c r="AM91" s="79"/>
      <c r="AN91" s="81"/>
      <c r="AO91" s="79"/>
      <c r="AP91" s="79"/>
      <c r="AQ91" s="79"/>
      <c r="AR91" s="79"/>
      <c r="AS91" s="79"/>
    </row>
    <row r="92" spans="1:45" ht="24" hidden="1" customHeight="1" x14ac:dyDescent="0.3">
      <c r="A92" s="54">
        <v>3</v>
      </c>
      <c r="B92" s="55" t="s">
        <v>113</v>
      </c>
      <c r="C92" s="56">
        <f t="shared" si="71"/>
        <v>0</v>
      </c>
      <c r="D92" s="57">
        <v>0</v>
      </c>
      <c r="E92" s="64">
        <v>0</v>
      </c>
      <c r="F92" s="79"/>
      <c r="G92" s="79"/>
      <c r="H92" s="58">
        <f t="shared" si="27"/>
        <v>0</v>
      </c>
      <c r="I92" s="59">
        <f t="shared" si="1"/>
        <v>0</v>
      </c>
      <c r="J92" s="60">
        <f t="shared" si="72"/>
        <v>0</v>
      </c>
      <c r="K92" s="80"/>
      <c r="L92" s="80"/>
      <c r="M92" s="64">
        <v>0</v>
      </c>
      <c r="N92" s="64">
        <v>0</v>
      </c>
      <c r="O92" s="64">
        <v>0</v>
      </c>
      <c r="P92" s="64">
        <v>0</v>
      </c>
      <c r="Q92" s="62">
        <v>0</v>
      </c>
      <c r="R92" s="62">
        <f t="shared" si="36"/>
        <v>0</v>
      </c>
      <c r="S92" s="79"/>
      <c r="T92" s="79"/>
      <c r="U92" s="81"/>
      <c r="V92" s="79"/>
      <c r="W92" s="79"/>
      <c r="X92" s="81"/>
      <c r="Y92" s="79"/>
      <c r="Z92" s="79"/>
      <c r="AA92" s="81"/>
      <c r="AB92" s="79"/>
      <c r="AC92" s="79"/>
      <c r="AD92" s="79"/>
      <c r="AE92" s="79"/>
      <c r="AF92" s="79"/>
      <c r="AG92" s="81"/>
      <c r="AH92" s="79"/>
      <c r="AI92" s="81"/>
      <c r="AJ92" s="79"/>
      <c r="AK92" s="79"/>
      <c r="AL92" s="79"/>
      <c r="AM92" s="79"/>
      <c r="AN92" s="81"/>
      <c r="AO92" s="79"/>
      <c r="AP92" s="79"/>
      <c r="AQ92" s="79"/>
      <c r="AR92" s="79"/>
      <c r="AS92" s="79"/>
    </row>
    <row r="93" spans="1:45" ht="24" hidden="1" customHeight="1" x14ac:dyDescent="0.3">
      <c r="A93" s="54">
        <f t="shared" ref="A93:A103" si="73">+A92+1</f>
        <v>4</v>
      </c>
      <c r="B93" s="55" t="s">
        <v>114</v>
      </c>
      <c r="C93" s="56">
        <f t="shared" si="71"/>
        <v>0</v>
      </c>
      <c r="D93" s="57">
        <v>0</v>
      </c>
      <c r="E93" s="64">
        <v>0</v>
      </c>
      <c r="F93" s="79"/>
      <c r="G93" s="79"/>
      <c r="H93" s="58">
        <f t="shared" si="27"/>
        <v>0</v>
      </c>
      <c r="I93" s="59">
        <f t="shared" si="1"/>
        <v>0</v>
      </c>
      <c r="J93" s="60">
        <f t="shared" si="72"/>
        <v>0</v>
      </c>
      <c r="K93" s="80"/>
      <c r="L93" s="80"/>
      <c r="M93" s="64">
        <v>0</v>
      </c>
      <c r="N93" s="64">
        <v>0</v>
      </c>
      <c r="O93" s="64">
        <v>0</v>
      </c>
      <c r="P93" s="64">
        <v>0</v>
      </c>
      <c r="Q93" s="62">
        <v>0</v>
      </c>
      <c r="R93" s="62">
        <f t="shared" si="36"/>
        <v>0</v>
      </c>
      <c r="S93" s="79"/>
      <c r="T93" s="79"/>
      <c r="U93" s="81"/>
      <c r="V93" s="79"/>
      <c r="W93" s="79"/>
      <c r="X93" s="81"/>
      <c r="Y93" s="79"/>
      <c r="Z93" s="79"/>
      <c r="AA93" s="81"/>
      <c r="AB93" s="79"/>
      <c r="AC93" s="79"/>
      <c r="AD93" s="79"/>
      <c r="AE93" s="79"/>
      <c r="AF93" s="79"/>
      <c r="AG93" s="81"/>
      <c r="AH93" s="79"/>
      <c r="AI93" s="81"/>
      <c r="AJ93" s="79"/>
      <c r="AK93" s="79"/>
      <c r="AL93" s="79"/>
      <c r="AM93" s="79"/>
      <c r="AN93" s="81"/>
      <c r="AO93" s="79"/>
      <c r="AP93" s="79"/>
      <c r="AQ93" s="79"/>
      <c r="AR93" s="79"/>
      <c r="AS93" s="79"/>
    </row>
    <row r="94" spans="1:45" ht="24" hidden="1" customHeight="1" x14ac:dyDescent="0.3">
      <c r="A94" s="54">
        <f t="shared" si="73"/>
        <v>5</v>
      </c>
      <c r="B94" s="55" t="s">
        <v>115</v>
      </c>
      <c r="C94" s="56">
        <f t="shared" si="71"/>
        <v>0</v>
      </c>
      <c r="D94" s="57">
        <v>0</v>
      </c>
      <c r="E94" s="64">
        <v>0</v>
      </c>
      <c r="F94" s="79"/>
      <c r="G94" s="79"/>
      <c r="H94" s="58">
        <f t="shared" si="27"/>
        <v>0</v>
      </c>
      <c r="I94" s="59">
        <f t="shared" si="1"/>
        <v>0</v>
      </c>
      <c r="J94" s="60">
        <f t="shared" si="72"/>
        <v>0</v>
      </c>
      <c r="K94" s="80"/>
      <c r="L94" s="80"/>
      <c r="M94" s="64">
        <v>0</v>
      </c>
      <c r="N94" s="64">
        <v>0</v>
      </c>
      <c r="O94" s="64">
        <v>0</v>
      </c>
      <c r="P94" s="64">
        <v>0</v>
      </c>
      <c r="Q94" s="62">
        <v>0</v>
      </c>
      <c r="R94" s="62">
        <f t="shared" si="36"/>
        <v>0</v>
      </c>
      <c r="S94" s="79"/>
      <c r="T94" s="79"/>
      <c r="U94" s="81"/>
      <c r="V94" s="79"/>
      <c r="W94" s="79"/>
      <c r="X94" s="81"/>
      <c r="Y94" s="79"/>
      <c r="Z94" s="79"/>
      <c r="AA94" s="81"/>
      <c r="AB94" s="79"/>
      <c r="AC94" s="79"/>
      <c r="AD94" s="79"/>
      <c r="AE94" s="79"/>
      <c r="AF94" s="79"/>
      <c r="AG94" s="81"/>
      <c r="AH94" s="79"/>
      <c r="AI94" s="81"/>
      <c r="AJ94" s="79"/>
      <c r="AK94" s="79"/>
      <c r="AL94" s="79"/>
      <c r="AM94" s="79"/>
      <c r="AN94" s="81"/>
      <c r="AO94" s="79"/>
      <c r="AP94" s="79"/>
      <c r="AQ94" s="79"/>
      <c r="AR94" s="79"/>
      <c r="AS94" s="79"/>
    </row>
    <row r="95" spans="1:45" ht="24" hidden="1" customHeight="1" x14ac:dyDescent="0.3">
      <c r="A95" s="54">
        <f t="shared" si="73"/>
        <v>6</v>
      </c>
      <c r="B95" s="55" t="s">
        <v>116</v>
      </c>
      <c r="C95" s="56">
        <f t="shared" si="71"/>
        <v>0</v>
      </c>
      <c r="D95" s="57">
        <v>0</v>
      </c>
      <c r="E95" s="64">
        <v>0</v>
      </c>
      <c r="F95" s="79"/>
      <c r="G95" s="79"/>
      <c r="H95" s="58">
        <f t="shared" si="27"/>
        <v>0</v>
      </c>
      <c r="I95" s="59">
        <f t="shared" si="1"/>
        <v>0</v>
      </c>
      <c r="J95" s="60">
        <f t="shared" si="72"/>
        <v>0</v>
      </c>
      <c r="K95" s="80"/>
      <c r="L95" s="80"/>
      <c r="M95" s="64">
        <v>0</v>
      </c>
      <c r="N95" s="64">
        <v>0</v>
      </c>
      <c r="O95" s="64">
        <v>0</v>
      </c>
      <c r="P95" s="64">
        <v>0</v>
      </c>
      <c r="Q95" s="62">
        <v>0</v>
      </c>
      <c r="R95" s="62">
        <f t="shared" si="36"/>
        <v>0</v>
      </c>
      <c r="S95" s="79"/>
      <c r="T95" s="79"/>
      <c r="U95" s="81"/>
      <c r="V95" s="79"/>
      <c r="W95" s="79"/>
      <c r="X95" s="81"/>
      <c r="Y95" s="79"/>
      <c r="Z95" s="79"/>
      <c r="AA95" s="81"/>
      <c r="AB95" s="79"/>
      <c r="AC95" s="79"/>
      <c r="AD95" s="79"/>
      <c r="AE95" s="79"/>
      <c r="AF95" s="79"/>
      <c r="AG95" s="81"/>
      <c r="AH95" s="79"/>
      <c r="AI95" s="81"/>
      <c r="AJ95" s="79"/>
      <c r="AK95" s="79"/>
      <c r="AL95" s="79"/>
      <c r="AM95" s="79"/>
      <c r="AN95" s="81"/>
      <c r="AO95" s="79"/>
      <c r="AP95" s="79"/>
      <c r="AQ95" s="79"/>
      <c r="AR95" s="79"/>
      <c r="AS95" s="79"/>
    </row>
    <row r="96" spans="1:45" ht="24" hidden="1" customHeight="1" x14ac:dyDescent="0.3">
      <c r="A96" s="54">
        <f t="shared" si="73"/>
        <v>7</v>
      </c>
      <c r="B96" s="55" t="s">
        <v>117</v>
      </c>
      <c r="C96" s="56">
        <f t="shared" si="71"/>
        <v>0</v>
      </c>
      <c r="D96" s="57">
        <v>0</v>
      </c>
      <c r="E96" s="64">
        <v>0</v>
      </c>
      <c r="F96" s="79"/>
      <c r="G96" s="79"/>
      <c r="H96" s="58">
        <f t="shared" si="27"/>
        <v>0</v>
      </c>
      <c r="I96" s="59">
        <f t="shared" si="1"/>
        <v>0</v>
      </c>
      <c r="J96" s="60">
        <f t="shared" si="72"/>
        <v>0</v>
      </c>
      <c r="K96" s="80"/>
      <c r="L96" s="80"/>
      <c r="M96" s="64">
        <v>0</v>
      </c>
      <c r="N96" s="64">
        <v>0</v>
      </c>
      <c r="O96" s="64">
        <v>0</v>
      </c>
      <c r="P96" s="64">
        <v>0</v>
      </c>
      <c r="Q96" s="62">
        <v>0</v>
      </c>
      <c r="R96" s="62">
        <f t="shared" si="36"/>
        <v>0</v>
      </c>
      <c r="S96" s="79"/>
      <c r="T96" s="79"/>
      <c r="U96" s="81"/>
      <c r="V96" s="79"/>
      <c r="W96" s="79"/>
      <c r="X96" s="81"/>
      <c r="Y96" s="79"/>
      <c r="Z96" s="79"/>
      <c r="AA96" s="81"/>
      <c r="AB96" s="79"/>
      <c r="AC96" s="79"/>
      <c r="AD96" s="79"/>
      <c r="AE96" s="79"/>
      <c r="AF96" s="79"/>
      <c r="AG96" s="81"/>
      <c r="AH96" s="79"/>
      <c r="AI96" s="81"/>
      <c r="AJ96" s="79"/>
      <c r="AK96" s="79"/>
      <c r="AL96" s="79"/>
      <c r="AM96" s="79"/>
      <c r="AN96" s="81"/>
      <c r="AO96" s="79"/>
      <c r="AP96" s="79"/>
      <c r="AQ96" s="79"/>
      <c r="AR96" s="79"/>
      <c r="AS96" s="79"/>
    </row>
    <row r="97" spans="1:45" ht="24" hidden="1" customHeight="1" x14ac:dyDescent="0.3">
      <c r="A97" s="54">
        <f t="shared" si="73"/>
        <v>8</v>
      </c>
      <c r="B97" s="55" t="s">
        <v>118</v>
      </c>
      <c r="C97" s="56">
        <f t="shared" si="71"/>
        <v>0</v>
      </c>
      <c r="D97" s="57">
        <v>0</v>
      </c>
      <c r="E97" s="64">
        <v>0</v>
      </c>
      <c r="F97" s="79"/>
      <c r="G97" s="79"/>
      <c r="H97" s="58">
        <f t="shared" si="27"/>
        <v>0</v>
      </c>
      <c r="I97" s="59">
        <f t="shared" si="1"/>
        <v>0</v>
      </c>
      <c r="J97" s="60">
        <f t="shared" si="72"/>
        <v>0</v>
      </c>
      <c r="K97" s="80"/>
      <c r="L97" s="80"/>
      <c r="M97" s="64">
        <v>0</v>
      </c>
      <c r="N97" s="64">
        <v>0</v>
      </c>
      <c r="O97" s="64">
        <v>0</v>
      </c>
      <c r="P97" s="64">
        <v>0</v>
      </c>
      <c r="Q97" s="62">
        <v>0</v>
      </c>
      <c r="R97" s="62">
        <f t="shared" si="36"/>
        <v>0</v>
      </c>
      <c r="S97" s="79"/>
      <c r="T97" s="79"/>
      <c r="U97" s="81"/>
      <c r="V97" s="79"/>
      <c r="W97" s="79"/>
      <c r="X97" s="81"/>
      <c r="Y97" s="79"/>
      <c r="Z97" s="79"/>
      <c r="AA97" s="81"/>
      <c r="AB97" s="79"/>
      <c r="AC97" s="79"/>
      <c r="AD97" s="79"/>
      <c r="AE97" s="79"/>
      <c r="AF97" s="79"/>
      <c r="AG97" s="81"/>
      <c r="AH97" s="79"/>
      <c r="AI97" s="81"/>
      <c r="AJ97" s="79"/>
      <c r="AK97" s="79"/>
      <c r="AL97" s="79"/>
      <c r="AM97" s="79"/>
      <c r="AN97" s="81"/>
      <c r="AO97" s="79"/>
      <c r="AP97" s="79"/>
      <c r="AQ97" s="79"/>
      <c r="AR97" s="79"/>
      <c r="AS97" s="79"/>
    </row>
    <row r="98" spans="1:45" ht="24" hidden="1" customHeight="1" x14ac:dyDescent="0.3">
      <c r="A98" s="54">
        <f t="shared" si="73"/>
        <v>9</v>
      </c>
      <c r="B98" s="55" t="s">
        <v>119</v>
      </c>
      <c r="C98" s="56">
        <f t="shared" si="71"/>
        <v>0</v>
      </c>
      <c r="D98" s="57">
        <v>0</v>
      </c>
      <c r="E98" s="64">
        <v>0</v>
      </c>
      <c r="F98" s="79"/>
      <c r="G98" s="79"/>
      <c r="H98" s="58">
        <f t="shared" si="27"/>
        <v>0</v>
      </c>
      <c r="I98" s="59">
        <f t="shared" si="1"/>
        <v>0</v>
      </c>
      <c r="J98" s="60">
        <f t="shared" si="72"/>
        <v>0</v>
      </c>
      <c r="K98" s="80"/>
      <c r="L98" s="80"/>
      <c r="M98" s="64">
        <v>0</v>
      </c>
      <c r="N98" s="64">
        <v>0</v>
      </c>
      <c r="O98" s="64">
        <v>0</v>
      </c>
      <c r="P98" s="64">
        <v>0</v>
      </c>
      <c r="Q98" s="62">
        <v>0</v>
      </c>
      <c r="R98" s="62">
        <f t="shared" si="36"/>
        <v>0</v>
      </c>
      <c r="S98" s="79"/>
      <c r="T98" s="79"/>
      <c r="U98" s="81"/>
      <c r="V98" s="79"/>
      <c r="W98" s="79"/>
      <c r="X98" s="81"/>
      <c r="Y98" s="79"/>
      <c r="Z98" s="79"/>
      <c r="AA98" s="81"/>
      <c r="AB98" s="79"/>
      <c r="AC98" s="79"/>
      <c r="AD98" s="79"/>
      <c r="AE98" s="79"/>
      <c r="AF98" s="79"/>
      <c r="AG98" s="81"/>
      <c r="AH98" s="79"/>
      <c r="AI98" s="81"/>
      <c r="AJ98" s="79"/>
      <c r="AK98" s="79"/>
      <c r="AL98" s="79"/>
      <c r="AM98" s="79"/>
      <c r="AN98" s="81"/>
      <c r="AO98" s="79"/>
      <c r="AP98" s="79"/>
      <c r="AQ98" s="79"/>
      <c r="AR98" s="79"/>
      <c r="AS98" s="79"/>
    </row>
    <row r="99" spans="1:45" ht="24" hidden="1" customHeight="1" x14ac:dyDescent="0.3">
      <c r="A99" s="54">
        <f t="shared" si="73"/>
        <v>10</v>
      </c>
      <c r="B99" s="55" t="s">
        <v>120</v>
      </c>
      <c r="C99" s="56">
        <f t="shared" si="71"/>
        <v>0</v>
      </c>
      <c r="D99" s="57">
        <v>0</v>
      </c>
      <c r="E99" s="64">
        <v>0</v>
      </c>
      <c r="F99" s="79"/>
      <c r="G99" s="79"/>
      <c r="H99" s="58">
        <f t="shared" si="27"/>
        <v>0</v>
      </c>
      <c r="I99" s="59">
        <f t="shared" si="1"/>
        <v>0</v>
      </c>
      <c r="J99" s="60">
        <f t="shared" si="72"/>
        <v>0</v>
      </c>
      <c r="K99" s="80"/>
      <c r="L99" s="80"/>
      <c r="M99" s="64">
        <v>0</v>
      </c>
      <c r="N99" s="64">
        <v>0</v>
      </c>
      <c r="O99" s="64">
        <v>0</v>
      </c>
      <c r="P99" s="64">
        <v>0</v>
      </c>
      <c r="Q99" s="62">
        <v>0</v>
      </c>
      <c r="R99" s="62">
        <f t="shared" si="36"/>
        <v>0</v>
      </c>
      <c r="S99" s="79"/>
      <c r="T99" s="79"/>
      <c r="U99" s="81"/>
      <c r="V99" s="79"/>
      <c r="W99" s="79"/>
      <c r="X99" s="81"/>
      <c r="Y99" s="79"/>
      <c r="Z99" s="79"/>
      <c r="AA99" s="81"/>
      <c r="AB99" s="79"/>
      <c r="AC99" s="79"/>
      <c r="AD99" s="79"/>
      <c r="AE99" s="79"/>
      <c r="AF99" s="79"/>
      <c r="AG99" s="81"/>
      <c r="AH99" s="79"/>
      <c r="AI99" s="81"/>
      <c r="AJ99" s="79"/>
      <c r="AK99" s="79"/>
      <c r="AL99" s="79"/>
      <c r="AM99" s="79"/>
      <c r="AN99" s="81"/>
      <c r="AO99" s="79"/>
      <c r="AP99" s="79"/>
      <c r="AQ99" s="79"/>
      <c r="AR99" s="79"/>
      <c r="AS99" s="79"/>
    </row>
    <row r="100" spans="1:45" ht="24" hidden="1" customHeight="1" x14ac:dyDescent="0.3">
      <c r="A100" s="54">
        <f t="shared" si="73"/>
        <v>11</v>
      </c>
      <c r="B100" s="55" t="s">
        <v>121</v>
      </c>
      <c r="C100" s="56">
        <f t="shared" si="71"/>
        <v>0</v>
      </c>
      <c r="D100" s="57">
        <v>0</v>
      </c>
      <c r="E100" s="64">
        <v>0</v>
      </c>
      <c r="F100" s="79"/>
      <c r="G100" s="79"/>
      <c r="H100" s="58">
        <f t="shared" si="27"/>
        <v>0</v>
      </c>
      <c r="I100" s="59">
        <f t="shared" si="1"/>
        <v>0</v>
      </c>
      <c r="J100" s="60">
        <f t="shared" si="72"/>
        <v>0</v>
      </c>
      <c r="K100" s="80"/>
      <c r="L100" s="80"/>
      <c r="M100" s="64">
        <v>0</v>
      </c>
      <c r="N100" s="64">
        <v>0</v>
      </c>
      <c r="O100" s="64">
        <v>0</v>
      </c>
      <c r="P100" s="64">
        <v>0</v>
      </c>
      <c r="Q100" s="62">
        <v>0</v>
      </c>
      <c r="R100" s="62">
        <f t="shared" si="36"/>
        <v>0</v>
      </c>
      <c r="S100" s="79"/>
      <c r="T100" s="79"/>
      <c r="U100" s="81"/>
      <c r="V100" s="79"/>
      <c r="W100" s="79"/>
      <c r="X100" s="81"/>
      <c r="Y100" s="79"/>
      <c r="Z100" s="79"/>
      <c r="AA100" s="81"/>
      <c r="AB100" s="79"/>
      <c r="AC100" s="79"/>
      <c r="AD100" s="79"/>
      <c r="AE100" s="79"/>
      <c r="AF100" s="79"/>
      <c r="AG100" s="81"/>
      <c r="AH100" s="79"/>
      <c r="AI100" s="81"/>
      <c r="AJ100" s="79"/>
      <c r="AK100" s="79"/>
      <c r="AL100" s="79"/>
      <c r="AM100" s="79"/>
      <c r="AN100" s="81"/>
      <c r="AO100" s="79"/>
      <c r="AP100" s="79"/>
      <c r="AQ100" s="79"/>
      <c r="AR100" s="79"/>
      <c r="AS100" s="79"/>
    </row>
    <row r="101" spans="1:45" ht="24" hidden="1" customHeight="1" x14ac:dyDescent="0.3">
      <c r="A101" s="54">
        <f t="shared" si="73"/>
        <v>12</v>
      </c>
      <c r="B101" s="55" t="s">
        <v>122</v>
      </c>
      <c r="C101" s="56">
        <f t="shared" si="71"/>
        <v>0</v>
      </c>
      <c r="D101" s="57">
        <v>0</v>
      </c>
      <c r="E101" s="64">
        <v>0</v>
      </c>
      <c r="F101" s="79"/>
      <c r="G101" s="79"/>
      <c r="H101" s="58">
        <f t="shared" si="27"/>
        <v>0</v>
      </c>
      <c r="I101" s="59">
        <f t="shared" si="1"/>
        <v>0</v>
      </c>
      <c r="J101" s="60">
        <f t="shared" si="72"/>
        <v>0</v>
      </c>
      <c r="K101" s="80"/>
      <c r="L101" s="80"/>
      <c r="M101" s="64">
        <v>0</v>
      </c>
      <c r="N101" s="64">
        <v>0</v>
      </c>
      <c r="O101" s="64">
        <v>0</v>
      </c>
      <c r="P101" s="64">
        <v>0</v>
      </c>
      <c r="Q101" s="62">
        <v>0</v>
      </c>
      <c r="R101" s="62">
        <f t="shared" si="36"/>
        <v>0</v>
      </c>
      <c r="S101" s="79"/>
      <c r="T101" s="79"/>
      <c r="U101" s="81"/>
      <c r="V101" s="79"/>
      <c r="W101" s="79"/>
      <c r="X101" s="81"/>
      <c r="Y101" s="79"/>
      <c r="Z101" s="79"/>
      <c r="AA101" s="81"/>
      <c r="AB101" s="79"/>
      <c r="AC101" s="79"/>
      <c r="AD101" s="79"/>
      <c r="AE101" s="79"/>
      <c r="AF101" s="79"/>
      <c r="AG101" s="81"/>
      <c r="AH101" s="79"/>
      <c r="AI101" s="81"/>
      <c r="AJ101" s="79"/>
      <c r="AK101" s="79"/>
      <c r="AL101" s="79"/>
      <c r="AM101" s="79"/>
      <c r="AN101" s="81"/>
      <c r="AO101" s="79"/>
      <c r="AP101" s="79"/>
      <c r="AQ101" s="79"/>
      <c r="AR101" s="79"/>
      <c r="AS101" s="79"/>
    </row>
    <row r="102" spans="1:45" ht="24" hidden="1" customHeight="1" x14ac:dyDescent="0.3">
      <c r="A102" s="54">
        <f t="shared" si="73"/>
        <v>13</v>
      </c>
      <c r="B102" s="55" t="s">
        <v>123</v>
      </c>
      <c r="C102" s="56">
        <f t="shared" si="71"/>
        <v>0</v>
      </c>
      <c r="D102" s="57">
        <v>0</v>
      </c>
      <c r="E102" s="64">
        <v>0</v>
      </c>
      <c r="F102" s="79"/>
      <c r="G102" s="79"/>
      <c r="H102" s="58">
        <f t="shared" si="27"/>
        <v>0</v>
      </c>
      <c r="I102" s="59">
        <f t="shared" si="1"/>
        <v>0</v>
      </c>
      <c r="J102" s="60">
        <f t="shared" si="72"/>
        <v>0</v>
      </c>
      <c r="K102" s="80"/>
      <c r="L102" s="80"/>
      <c r="M102" s="64">
        <v>0</v>
      </c>
      <c r="N102" s="64">
        <v>0</v>
      </c>
      <c r="O102" s="64">
        <v>0</v>
      </c>
      <c r="P102" s="64">
        <v>0</v>
      </c>
      <c r="Q102" s="62">
        <v>0</v>
      </c>
      <c r="R102" s="62">
        <f t="shared" si="36"/>
        <v>0</v>
      </c>
      <c r="S102" s="79"/>
      <c r="T102" s="79"/>
      <c r="U102" s="81"/>
      <c r="V102" s="79"/>
      <c r="W102" s="79"/>
      <c r="X102" s="81"/>
      <c r="Y102" s="79"/>
      <c r="Z102" s="79"/>
      <c r="AA102" s="81"/>
      <c r="AB102" s="79"/>
      <c r="AC102" s="79"/>
      <c r="AD102" s="79"/>
      <c r="AE102" s="79"/>
      <c r="AF102" s="79"/>
      <c r="AG102" s="81"/>
      <c r="AH102" s="79"/>
      <c r="AI102" s="81"/>
      <c r="AJ102" s="79"/>
      <c r="AK102" s="79"/>
      <c r="AL102" s="79"/>
      <c r="AM102" s="79"/>
      <c r="AN102" s="81"/>
      <c r="AO102" s="79"/>
      <c r="AP102" s="79"/>
      <c r="AQ102" s="79"/>
      <c r="AR102" s="79"/>
      <c r="AS102" s="79"/>
    </row>
    <row r="103" spans="1:45" ht="24" hidden="1" customHeight="1" x14ac:dyDescent="0.3">
      <c r="A103" s="65">
        <f t="shared" si="73"/>
        <v>14</v>
      </c>
      <c r="B103" s="66" t="s">
        <v>124</v>
      </c>
      <c r="C103" s="67">
        <f t="shared" si="71"/>
        <v>0</v>
      </c>
      <c r="D103" s="68">
        <v>0</v>
      </c>
      <c r="E103" s="69">
        <v>0</v>
      </c>
      <c r="F103" s="82"/>
      <c r="G103" s="82"/>
      <c r="H103" s="70">
        <f t="shared" si="27"/>
        <v>0</v>
      </c>
      <c r="I103" s="71">
        <f t="shared" si="1"/>
        <v>0</v>
      </c>
      <c r="J103" s="72">
        <f t="shared" si="72"/>
        <v>0</v>
      </c>
      <c r="K103" s="83"/>
      <c r="L103" s="83"/>
      <c r="M103" s="69">
        <v>0</v>
      </c>
      <c r="N103" s="69">
        <v>0</v>
      </c>
      <c r="O103" s="69">
        <v>0</v>
      </c>
      <c r="P103" s="69">
        <v>0</v>
      </c>
      <c r="Q103" s="74">
        <v>0</v>
      </c>
      <c r="R103" s="74">
        <f t="shared" si="36"/>
        <v>0</v>
      </c>
      <c r="S103" s="82"/>
      <c r="T103" s="82"/>
      <c r="U103" s="84"/>
      <c r="V103" s="82"/>
      <c r="W103" s="82"/>
      <c r="X103" s="84"/>
      <c r="Y103" s="82"/>
      <c r="Z103" s="82"/>
      <c r="AA103" s="84"/>
      <c r="AB103" s="82"/>
      <c r="AC103" s="82"/>
      <c r="AD103" s="82"/>
      <c r="AE103" s="82"/>
      <c r="AF103" s="82"/>
      <c r="AG103" s="84"/>
      <c r="AH103" s="82"/>
      <c r="AI103" s="84"/>
      <c r="AJ103" s="82"/>
      <c r="AK103" s="82"/>
      <c r="AL103" s="82"/>
      <c r="AM103" s="82"/>
      <c r="AN103" s="84"/>
      <c r="AO103" s="82"/>
      <c r="AP103" s="82"/>
      <c r="AQ103" s="82"/>
      <c r="AR103" s="82"/>
      <c r="AS103" s="82"/>
    </row>
    <row r="104" spans="1:45" ht="21" hidden="1" customHeight="1" x14ac:dyDescent="0.3">
      <c r="A104" s="187" t="s">
        <v>125</v>
      </c>
      <c r="B104" s="178"/>
      <c r="C104" s="77">
        <f>SUM(C105:C116)</f>
        <v>0</v>
      </c>
      <c r="D104" s="43"/>
      <c r="E104" s="43"/>
      <c r="F104" s="43"/>
      <c r="G104" s="43"/>
      <c r="H104" s="40">
        <f t="shared" si="27"/>
        <v>0</v>
      </c>
      <c r="I104" s="41">
        <f t="shared" si="1"/>
        <v>0</v>
      </c>
      <c r="J104" s="40">
        <f>SUM(J105:J116)</f>
        <v>0</v>
      </c>
      <c r="K104" s="43"/>
      <c r="L104" s="43"/>
      <c r="M104" s="43"/>
      <c r="N104" s="43"/>
      <c r="O104" s="43"/>
      <c r="P104" s="43"/>
      <c r="Q104" s="43"/>
      <c r="R104" s="40">
        <f t="shared" si="36"/>
        <v>0</v>
      </c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</row>
    <row r="105" spans="1:45" ht="24" hidden="1" customHeight="1" x14ac:dyDescent="0.3">
      <c r="A105" s="54">
        <v>1</v>
      </c>
      <c r="B105" s="85" t="s">
        <v>126</v>
      </c>
      <c r="C105" s="56">
        <f t="shared" ref="C105:C116" si="74">D105+E105</f>
        <v>0</v>
      </c>
      <c r="D105" s="57">
        <v>0</v>
      </c>
      <c r="E105" s="64">
        <v>0</v>
      </c>
      <c r="F105" s="79"/>
      <c r="G105" s="79"/>
      <c r="H105" s="58">
        <f t="shared" si="27"/>
        <v>0</v>
      </c>
      <c r="I105" s="59">
        <f t="shared" si="1"/>
        <v>0</v>
      </c>
      <c r="J105" s="60">
        <f t="shared" ref="J105:J116" si="75">M105+N105+O105+P105</f>
        <v>0</v>
      </c>
      <c r="K105" s="80"/>
      <c r="L105" s="80"/>
      <c r="M105" s="64">
        <v>0</v>
      </c>
      <c r="N105" s="64">
        <v>0</v>
      </c>
      <c r="O105" s="64">
        <v>0</v>
      </c>
      <c r="P105" s="64">
        <v>0</v>
      </c>
      <c r="Q105" s="62">
        <v>0</v>
      </c>
      <c r="R105" s="62">
        <f t="shared" si="36"/>
        <v>0</v>
      </c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79"/>
      <c r="AF105" s="79"/>
      <c r="AG105" s="79"/>
      <c r="AH105" s="79"/>
      <c r="AI105" s="79"/>
      <c r="AJ105" s="79"/>
      <c r="AK105" s="79"/>
      <c r="AL105" s="79"/>
      <c r="AM105" s="79"/>
      <c r="AN105" s="79"/>
      <c r="AO105" s="79"/>
      <c r="AP105" s="79"/>
      <c r="AQ105" s="79"/>
      <c r="AR105" s="79"/>
      <c r="AS105" s="79"/>
    </row>
    <row r="106" spans="1:45" ht="24" hidden="1" customHeight="1" x14ac:dyDescent="0.3">
      <c r="A106" s="54">
        <v>2</v>
      </c>
      <c r="B106" s="85" t="s">
        <v>127</v>
      </c>
      <c r="C106" s="56">
        <f t="shared" si="74"/>
        <v>0</v>
      </c>
      <c r="D106" s="57">
        <v>0</v>
      </c>
      <c r="E106" s="64">
        <v>0</v>
      </c>
      <c r="F106" s="79"/>
      <c r="G106" s="79"/>
      <c r="H106" s="58">
        <f t="shared" si="27"/>
        <v>0</v>
      </c>
      <c r="I106" s="59">
        <f t="shared" si="1"/>
        <v>0</v>
      </c>
      <c r="J106" s="60">
        <f t="shared" si="75"/>
        <v>0</v>
      </c>
      <c r="K106" s="80"/>
      <c r="L106" s="80"/>
      <c r="M106" s="64">
        <v>0</v>
      </c>
      <c r="N106" s="64">
        <v>0</v>
      </c>
      <c r="O106" s="64">
        <v>0</v>
      </c>
      <c r="P106" s="64">
        <v>0</v>
      </c>
      <c r="Q106" s="62">
        <v>0</v>
      </c>
      <c r="R106" s="62">
        <f t="shared" si="36"/>
        <v>0</v>
      </c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79"/>
      <c r="AM106" s="79"/>
      <c r="AN106" s="79"/>
      <c r="AO106" s="79"/>
      <c r="AP106" s="79"/>
      <c r="AQ106" s="79"/>
      <c r="AR106" s="79"/>
      <c r="AS106" s="79"/>
    </row>
    <row r="107" spans="1:45" ht="24" hidden="1" customHeight="1" x14ac:dyDescent="0.3">
      <c r="A107" s="54">
        <v>3</v>
      </c>
      <c r="B107" s="85" t="s">
        <v>128</v>
      </c>
      <c r="C107" s="56">
        <f t="shared" si="74"/>
        <v>0</v>
      </c>
      <c r="D107" s="57">
        <v>0</v>
      </c>
      <c r="E107" s="64">
        <v>0</v>
      </c>
      <c r="F107" s="79"/>
      <c r="G107" s="79"/>
      <c r="H107" s="58">
        <f t="shared" si="27"/>
        <v>0</v>
      </c>
      <c r="I107" s="59">
        <f t="shared" si="1"/>
        <v>0</v>
      </c>
      <c r="J107" s="60">
        <f t="shared" si="75"/>
        <v>0</v>
      </c>
      <c r="K107" s="80"/>
      <c r="L107" s="80"/>
      <c r="M107" s="64">
        <v>0</v>
      </c>
      <c r="N107" s="64">
        <v>0</v>
      </c>
      <c r="O107" s="64">
        <v>0</v>
      </c>
      <c r="P107" s="64">
        <v>0</v>
      </c>
      <c r="Q107" s="62">
        <v>0</v>
      </c>
      <c r="R107" s="62">
        <f t="shared" si="36"/>
        <v>0</v>
      </c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</row>
    <row r="108" spans="1:45" ht="24" hidden="1" customHeight="1" x14ac:dyDescent="0.3">
      <c r="A108" s="86">
        <v>4</v>
      </c>
      <c r="B108" s="85" t="s">
        <v>129</v>
      </c>
      <c r="C108" s="56">
        <f t="shared" si="74"/>
        <v>0</v>
      </c>
      <c r="D108" s="57">
        <v>0</v>
      </c>
      <c r="E108" s="64">
        <v>0</v>
      </c>
      <c r="F108" s="79"/>
      <c r="G108" s="79"/>
      <c r="H108" s="58">
        <f t="shared" si="27"/>
        <v>0</v>
      </c>
      <c r="I108" s="59">
        <f t="shared" si="1"/>
        <v>0</v>
      </c>
      <c r="J108" s="60">
        <f t="shared" si="75"/>
        <v>0</v>
      </c>
      <c r="K108" s="80"/>
      <c r="L108" s="80"/>
      <c r="M108" s="64">
        <v>0</v>
      </c>
      <c r="N108" s="64">
        <v>0</v>
      </c>
      <c r="O108" s="64">
        <v>0</v>
      </c>
      <c r="P108" s="64">
        <v>0</v>
      </c>
      <c r="Q108" s="62">
        <v>0</v>
      </c>
      <c r="R108" s="62">
        <f t="shared" si="36"/>
        <v>0</v>
      </c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</row>
    <row r="109" spans="1:45" ht="24" hidden="1" customHeight="1" x14ac:dyDescent="0.3">
      <c r="A109" s="86">
        <v>5</v>
      </c>
      <c r="B109" s="85" t="s">
        <v>130</v>
      </c>
      <c r="C109" s="56">
        <f t="shared" si="74"/>
        <v>0</v>
      </c>
      <c r="D109" s="57">
        <v>0</v>
      </c>
      <c r="E109" s="64">
        <v>0</v>
      </c>
      <c r="F109" s="79"/>
      <c r="G109" s="79"/>
      <c r="H109" s="58">
        <f t="shared" si="27"/>
        <v>0</v>
      </c>
      <c r="I109" s="59">
        <f t="shared" si="1"/>
        <v>0</v>
      </c>
      <c r="J109" s="60">
        <f t="shared" si="75"/>
        <v>0</v>
      </c>
      <c r="K109" s="80"/>
      <c r="L109" s="80"/>
      <c r="M109" s="64">
        <v>0</v>
      </c>
      <c r="N109" s="64">
        <v>0</v>
      </c>
      <c r="O109" s="64">
        <v>0</v>
      </c>
      <c r="P109" s="64">
        <v>0</v>
      </c>
      <c r="Q109" s="62">
        <v>0</v>
      </c>
      <c r="R109" s="62">
        <f t="shared" si="36"/>
        <v>0</v>
      </c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79"/>
      <c r="AF109" s="79"/>
      <c r="AG109" s="79"/>
      <c r="AH109" s="79"/>
      <c r="AI109" s="79"/>
      <c r="AJ109" s="79"/>
      <c r="AK109" s="79"/>
      <c r="AL109" s="79"/>
      <c r="AM109" s="79"/>
      <c r="AN109" s="79"/>
      <c r="AO109" s="79"/>
      <c r="AP109" s="79"/>
      <c r="AQ109" s="79"/>
      <c r="AR109" s="79"/>
      <c r="AS109" s="79"/>
    </row>
    <row r="110" spans="1:45" ht="24" hidden="1" customHeight="1" x14ac:dyDescent="0.3">
      <c r="A110" s="86">
        <v>6</v>
      </c>
      <c r="B110" s="85" t="s">
        <v>131</v>
      </c>
      <c r="C110" s="56">
        <f t="shared" si="74"/>
        <v>0</v>
      </c>
      <c r="D110" s="57">
        <v>0</v>
      </c>
      <c r="E110" s="64">
        <v>0</v>
      </c>
      <c r="F110" s="79"/>
      <c r="G110" s="79"/>
      <c r="H110" s="58">
        <f t="shared" si="27"/>
        <v>0</v>
      </c>
      <c r="I110" s="59">
        <f t="shared" si="1"/>
        <v>0</v>
      </c>
      <c r="J110" s="60">
        <f t="shared" si="75"/>
        <v>0</v>
      </c>
      <c r="K110" s="80"/>
      <c r="L110" s="80"/>
      <c r="M110" s="64">
        <v>0</v>
      </c>
      <c r="N110" s="64">
        <v>0</v>
      </c>
      <c r="O110" s="64">
        <v>0</v>
      </c>
      <c r="P110" s="64">
        <v>0</v>
      </c>
      <c r="Q110" s="62">
        <v>0</v>
      </c>
      <c r="R110" s="62">
        <f t="shared" si="36"/>
        <v>0</v>
      </c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  <c r="AP110" s="79"/>
      <c r="AQ110" s="79"/>
      <c r="AR110" s="79"/>
      <c r="AS110" s="79"/>
    </row>
    <row r="111" spans="1:45" ht="24" hidden="1" customHeight="1" x14ac:dyDescent="0.3">
      <c r="A111" s="86">
        <v>7</v>
      </c>
      <c r="B111" s="85" t="s">
        <v>132</v>
      </c>
      <c r="C111" s="56">
        <f t="shared" si="74"/>
        <v>0</v>
      </c>
      <c r="D111" s="57">
        <v>0</v>
      </c>
      <c r="E111" s="64">
        <v>0</v>
      </c>
      <c r="F111" s="79"/>
      <c r="G111" s="79"/>
      <c r="H111" s="58">
        <f t="shared" si="27"/>
        <v>0</v>
      </c>
      <c r="I111" s="59">
        <f t="shared" si="1"/>
        <v>0</v>
      </c>
      <c r="J111" s="60">
        <f t="shared" si="75"/>
        <v>0</v>
      </c>
      <c r="K111" s="80"/>
      <c r="L111" s="80"/>
      <c r="M111" s="64">
        <v>0</v>
      </c>
      <c r="N111" s="64">
        <v>0</v>
      </c>
      <c r="O111" s="64">
        <v>0</v>
      </c>
      <c r="P111" s="64">
        <v>0</v>
      </c>
      <c r="Q111" s="62">
        <v>0</v>
      </c>
      <c r="R111" s="62">
        <f t="shared" si="36"/>
        <v>0</v>
      </c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79"/>
      <c r="AL111" s="79"/>
      <c r="AM111" s="79"/>
      <c r="AN111" s="79"/>
      <c r="AO111" s="79"/>
      <c r="AP111" s="79"/>
      <c r="AQ111" s="79"/>
      <c r="AR111" s="79"/>
      <c r="AS111" s="79"/>
    </row>
    <row r="112" spans="1:45" ht="24" hidden="1" customHeight="1" x14ac:dyDescent="0.3">
      <c r="A112" s="86">
        <v>8</v>
      </c>
      <c r="B112" s="85" t="s">
        <v>133</v>
      </c>
      <c r="C112" s="56">
        <f t="shared" si="74"/>
        <v>0</v>
      </c>
      <c r="D112" s="57">
        <v>0</v>
      </c>
      <c r="E112" s="64">
        <v>0</v>
      </c>
      <c r="F112" s="79"/>
      <c r="G112" s="79"/>
      <c r="H112" s="58">
        <f t="shared" si="27"/>
        <v>0</v>
      </c>
      <c r="I112" s="59">
        <f t="shared" si="1"/>
        <v>0</v>
      </c>
      <c r="J112" s="60">
        <f t="shared" si="75"/>
        <v>0</v>
      </c>
      <c r="K112" s="80"/>
      <c r="L112" s="80"/>
      <c r="M112" s="64">
        <v>0</v>
      </c>
      <c r="N112" s="64">
        <v>0</v>
      </c>
      <c r="O112" s="64">
        <v>0</v>
      </c>
      <c r="P112" s="64">
        <v>0</v>
      </c>
      <c r="Q112" s="62">
        <v>0</v>
      </c>
      <c r="R112" s="62">
        <f t="shared" si="36"/>
        <v>0</v>
      </c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</row>
    <row r="113" spans="1:45" ht="24" hidden="1" customHeight="1" x14ac:dyDescent="0.3">
      <c r="A113" s="86">
        <v>9</v>
      </c>
      <c r="B113" s="85" t="s">
        <v>134</v>
      </c>
      <c r="C113" s="56">
        <f t="shared" si="74"/>
        <v>0</v>
      </c>
      <c r="D113" s="57">
        <v>0</v>
      </c>
      <c r="E113" s="64">
        <v>0</v>
      </c>
      <c r="F113" s="79"/>
      <c r="G113" s="79"/>
      <c r="H113" s="58">
        <f t="shared" si="27"/>
        <v>0</v>
      </c>
      <c r="I113" s="59">
        <f t="shared" si="1"/>
        <v>0</v>
      </c>
      <c r="J113" s="60">
        <f t="shared" si="75"/>
        <v>0</v>
      </c>
      <c r="K113" s="80"/>
      <c r="L113" s="80"/>
      <c r="M113" s="64">
        <v>0</v>
      </c>
      <c r="N113" s="64">
        <v>0</v>
      </c>
      <c r="O113" s="64">
        <v>0</v>
      </c>
      <c r="P113" s="64">
        <v>0</v>
      </c>
      <c r="Q113" s="62">
        <v>0</v>
      </c>
      <c r="R113" s="62">
        <f t="shared" si="36"/>
        <v>0</v>
      </c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79"/>
      <c r="AF113" s="79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  <c r="AQ113" s="79"/>
      <c r="AR113" s="79"/>
      <c r="AS113" s="79"/>
    </row>
    <row r="114" spans="1:45" ht="24" hidden="1" customHeight="1" x14ac:dyDescent="0.3">
      <c r="A114" s="86">
        <v>10</v>
      </c>
      <c r="B114" s="85" t="s">
        <v>135</v>
      </c>
      <c r="C114" s="56">
        <f t="shared" si="74"/>
        <v>0</v>
      </c>
      <c r="D114" s="57">
        <v>0</v>
      </c>
      <c r="E114" s="64">
        <v>0</v>
      </c>
      <c r="F114" s="79"/>
      <c r="G114" s="79"/>
      <c r="H114" s="58">
        <f t="shared" si="27"/>
        <v>0</v>
      </c>
      <c r="I114" s="59">
        <f t="shared" si="1"/>
        <v>0</v>
      </c>
      <c r="J114" s="60">
        <f t="shared" si="75"/>
        <v>0</v>
      </c>
      <c r="K114" s="80"/>
      <c r="L114" s="80"/>
      <c r="M114" s="64">
        <v>0</v>
      </c>
      <c r="N114" s="64">
        <v>0</v>
      </c>
      <c r="O114" s="64">
        <v>0</v>
      </c>
      <c r="P114" s="64">
        <v>0</v>
      </c>
      <c r="Q114" s="62">
        <v>0</v>
      </c>
      <c r="R114" s="62">
        <f t="shared" si="36"/>
        <v>0</v>
      </c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79"/>
      <c r="AL114" s="79"/>
      <c r="AM114" s="79"/>
      <c r="AN114" s="79"/>
      <c r="AO114" s="79"/>
      <c r="AP114" s="79"/>
      <c r="AQ114" s="79"/>
      <c r="AR114" s="79"/>
      <c r="AS114" s="79"/>
    </row>
    <row r="115" spans="1:45" ht="24" hidden="1" customHeight="1" x14ac:dyDescent="0.3">
      <c r="A115" s="86">
        <v>11</v>
      </c>
      <c r="B115" s="85" t="s">
        <v>136</v>
      </c>
      <c r="C115" s="56">
        <f t="shared" si="74"/>
        <v>0</v>
      </c>
      <c r="D115" s="57">
        <v>0</v>
      </c>
      <c r="E115" s="64">
        <v>0</v>
      </c>
      <c r="F115" s="79"/>
      <c r="G115" s="79"/>
      <c r="H115" s="58">
        <f t="shared" si="27"/>
        <v>0</v>
      </c>
      <c r="I115" s="59">
        <f t="shared" si="1"/>
        <v>0</v>
      </c>
      <c r="J115" s="60">
        <f t="shared" si="75"/>
        <v>0</v>
      </c>
      <c r="K115" s="80"/>
      <c r="L115" s="80"/>
      <c r="M115" s="64">
        <v>0</v>
      </c>
      <c r="N115" s="64">
        <v>0</v>
      </c>
      <c r="O115" s="64">
        <v>0</v>
      </c>
      <c r="P115" s="64">
        <v>0</v>
      </c>
      <c r="Q115" s="62">
        <v>0</v>
      </c>
      <c r="R115" s="62">
        <f t="shared" si="36"/>
        <v>0</v>
      </c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  <c r="AH115" s="79"/>
      <c r="AI115" s="79"/>
      <c r="AJ115" s="79"/>
      <c r="AK115" s="79"/>
      <c r="AL115" s="79"/>
      <c r="AM115" s="79"/>
      <c r="AN115" s="79"/>
      <c r="AO115" s="79"/>
      <c r="AP115" s="79"/>
      <c r="AQ115" s="79"/>
      <c r="AR115" s="79"/>
      <c r="AS115" s="79"/>
    </row>
    <row r="116" spans="1:45" ht="24" hidden="1" customHeight="1" x14ac:dyDescent="0.3">
      <c r="A116" s="86">
        <v>12</v>
      </c>
      <c r="B116" s="85" t="s">
        <v>137</v>
      </c>
      <c r="C116" s="56">
        <f t="shared" si="74"/>
        <v>0</v>
      </c>
      <c r="D116" s="57">
        <v>0</v>
      </c>
      <c r="E116" s="64">
        <v>0</v>
      </c>
      <c r="F116" s="79"/>
      <c r="G116" s="79"/>
      <c r="H116" s="58">
        <f t="shared" si="27"/>
        <v>0</v>
      </c>
      <c r="I116" s="59">
        <f t="shared" si="1"/>
        <v>0</v>
      </c>
      <c r="J116" s="60">
        <f t="shared" si="75"/>
        <v>0</v>
      </c>
      <c r="K116" s="80"/>
      <c r="L116" s="80"/>
      <c r="M116" s="64">
        <v>0</v>
      </c>
      <c r="N116" s="64">
        <v>0</v>
      </c>
      <c r="O116" s="64">
        <v>0</v>
      </c>
      <c r="P116" s="64">
        <v>0</v>
      </c>
      <c r="Q116" s="62">
        <v>0</v>
      </c>
      <c r="R116" s="62">
        <f t="shared" si="36"/>
        <v>0</v>
      </c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</row>
    <row r="117" spans="1:45" ht="24" customHeight="1" x14ac:dyDescent="0.2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8"/>
      <c r="N117" s="88"/>
      <c r="O117" s="8"/>
      <c r="P117" s="8"/>
      <c r="Q117" s="89"/>
      <c r="R117" s="89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</row>
    <row r="118" spans="1:45" ht="24" customHeight="1" x14ac:dyDescent="0.2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8"/>
      <c r="N118" s="88"/>
      <c r="O118" s="8"/>
      <c r="P118" s="8"/>
      <c r="Q118" s="89"/>
      <c r="R118" s="89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</row>
    <row r="119" spans="1:45" ht="24" customHeight="1" x14ac:dyDescent="0.2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8"/>
      <c r="N119" s="88"/>
      <c r="O119" s="8"/>
      <c r="P119" s="8"/>
      <c r="Q119" s="89"/>
      <c r="R119" s="89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</row>
    <row r="120" spans="1:45" ht="24" customHeight="1" x14ac:dyDescent="0.2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8"/>
      <c r="N120" s="88"/>
      <c r="O120" s="8"/>
      <c r="P120" s="8"/>
      <c r="Q120" s="89"/>
      <c r="R120" s="89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</row>
    <row r="121" spans="1:45" ht="24" customHeight="1" x14ac:dyDescent="0.2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8"/>
      <c r="N121" s="88"/>
      <c r="O121" s="8"/>
      <c r="P121" s="8"/>
      <c r="Q121" s="89"/>
      <c r="R121" s="89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</row>
    <row r="122" spans="1:45" ht="24" customHeight="1" x14ac:dyDescent="0.2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8"/>
      <c r="N122" s="88"/>
      <c r="O122" s="8"/>
      <c r="P122" s="8"/>
      <c r="Q122" s="89"/>
      <c r="R122" s="89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</row>
    <row r="123" spans="1:45" ht="24" customHeight="1" x14ac:dyDescent="0.2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8"/>
      <c r="N123" s="88"/>
      <c r="O123" s="8"/>
      <c r="P123" s="8"/>
      <c r="Q123" s="89"/>
      <c r="R123" s="89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</row>
    <row r="124" spans="1:45" ht="24" customHeight="1" x14ac:dyDescent="0.2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8"/>
      <c r="N124" s="88"/>
      <c r="O124" s="8"/>
      <c r="P124" s="8"/>
      <c r="Q124" s="89"/>
      <c r="R124" s="89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</row>
    <row r="125" spans="1:45" ht="24" customHeight="1" x14ac:dyDescent="0.2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8"/>
      <c r="N125" s="88"/>
      <c r="O125" s="8"/>
      <c r="P125" s="8"/>
      <c r="Q125" s="89"/>
      <c r="R125" s="89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</row>
    <row r="126" spans="1:45" ht="24" customHeight="1" x14ac:dyDescent="0.2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8"/>
      <c r="N126" s="88"/>
      <c r="O126" s="8"/>
      <c r="P126" s="8"/>
      <c r="Q126" s="89"/>
      <c r="R126" s="89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</row>
    <row r="127" spans="1:45" ht="24" customHeight="1" x14ac:dyDescent="0.2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8"/>
      <c r="N127" s="88"/>
      <c r="O127" s="8"/>
      <c r="P127" s="8"/>
      <c r="Q127" s="89"/>
      <c r="R127" s="89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</row>
    <row r="128" spans="1:45" ht="24" customHeight="1" x14ac:dyDescent="0.2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8"/>
      <c r="N128" s="88"/>
      <c r="O128" s="8"/>
      <c r="P128" s="8"/>
      <c r="Q128" s="89"/>
      <c r="R128" s="89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</row>
    <row r="129" spans="1:45" ht="24" customHeight="1" x14ac:dyDescent="0.2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8"/>
      <c r="N129" s="88"/>
      <c r="O129" s="8"/>
      <c r="P129" s="8"/>
      <c r="Q129" s="89"/>
      <c r="R129" s="89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</row>
    <row r="130" spans="1:45" ht="24" customHeight="1" x14ac:dyDescent="0.2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8"/>
      <c r="N130" s="88"/>
      <c r="O130" s="8"/>
      <c r="P130" s="8"/>
      <c r="Q130" s="89"/>
      <c r="R130" s="89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</row>
    <row r="131" spans="1:45" ht="24" customHeight="1" x14ac:dyDescent="0.2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8"/>
      <c r="N131" s="88"/>
      <c r="O131" s="8"/>
      <c r="P131" s="8"/>
      <c r="Q131" s="89"/>
      <c r="R131" s="89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</row>
    <row r="132" spans="1:45" ht="24" customHeight="1" x14ac:dyDescent="0.2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8"/>
      <c r="N132" s="88"/>
      <c r="O132" s="8"/>
      <c r="P132" s="8"/>
      <c r="Q132" s="89"/>
      <c r="R132" s="89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</row>
    <row r="133" spans="1:45" ht="24" customHeight="1" x14ac:dyDescent="0.2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8"/>
      <c r="N133" s="88"/>
      <c r="O133" s="8"/>
      <c r="P133" s="8"/>
      <c r="Q133" s="89"/>
      <c r="R133" s="89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</row>
    <row r="134" spans="1:45" ht="24" customHeight="1" x14ac:dyDescent="0.2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8"/>
      <c r="N134" s="88"/>
      <c r="O134" s="8"/>
      <c r="P134" s="8"/>
      <c r="Q134" s="89"/>
      <c r="R134" s="89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</row>
    <row r="135" spans="1:45" ht="24" customHeight="1" x14ac:dyDescent="0.2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8"/>
      <c r="N135" s="88"/>
      <c r="O135" s="8"/>
      <c r="P135" s="8"/>
      <c r="Q135" s="89"/>
      <c r="R135" s="89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</row>
    <row r="136" spans="1:45" ht="24" customHeight="1" x14ac:dyDescent="0.2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8"/>
      <c r="N136" s="88"/>
      <c r="O136" s="8"/>
      <c r="P136" s="8"/>
      <c r="Q136" s="89"/>
      <c r="R136" s="89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</row>
    <row r="137" spans="1:45" ht="24" customHeight="1" x14ac:dyDescent="0.2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8"/>
      <c r="N137" s="88"/>
      <c r="O137" s="8"/>
      <c r="P137" s="8"/>
      <c r="Q137" s="89"/>
      <c r="R137" s="89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</row>
    <row r="138" spans="1:45" ht="24" customHeight="1" x14ac:dyDescent="0.2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8"/>
      <c r="N138" s="88"/>
      <c r="O138" s="8"/>
      <c r="P138" s="8"/>
      <c r="Q138" s="89"/>
      <c r="R138" s="89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</row>
    <row r="139" spans="1:45" ht="24" customHeight="1" x14ac:dyDescent="0.2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8"/>
      <c r="N139" s="88"/>
      <c r="O139" s="8"/>
      <c r="P139" s="8"/>
      <c r="Q139" s="89"/>
      <c r="R139" s="89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</row>
    <row r="140" spans="1:45" ht="24" customHeight="1" x14ac:dyDescent="0.2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8"/>
      <c r="N140" s="88"/>
      <c r="O140" s="8"/>
      <c r="P140" s="8"/>
      <c r="Q140" s="89"/>
      <c r="R140" s="89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</row>
    <row r="141" spans="1:45" ht="24" customHeight="1" x14ac:dyDescent="0.2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8"/>
      <c r="N141" s="88"/>
      <c r="O141" s="8"/>
      <c r="P141" s="8"/>
      <c r="Q141" s="89"/>
      <c r="R141" s="89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</row>
    <row r="142" spans="1:45" ht="24" customHeight="1" x14ac:dyDescent="0.2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8"/>
      <c r="N142" s="88"/>
      <c r="O142" s="8"/>
      <c r="P142" s="8"/>
      <c r="Q142" s="89"/>
      <c r="R142" s="89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</row>
    <row r="143" spans="1:45" ht="24" customHeight="1" x14ac:dyDescent="0.2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8"/>
      <c r="N143" s="88"/>
      <c r="O143" s="8"/>
      <c r="P143" s="8"/>
      <c r="Q143" s="89"/>
      <c r="R143" s="89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</row>
    <row r="144" spans="1:45" ht="24" customHeight="1" x14ac:dyDescent="0.2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8"/>
      <c r="N144" s="88"/>
      <c r="O144" s="8"/>
      <c r="P144" s="8"/>
      <c r="Q144" s="89"/>
      <c r="R144" s="89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</row>
    <row r="145" spans="1:45" ht="24" customHeight="1" x14ac:dyDescent="0.2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8"/>
      <c r="N145" s="88"/>
      <c r="O145" s="8"/>
      <c r="P145" s="8"/>
      <c r="Q145" s="89"/>
      <c r="R145" s="89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</row>
    <row r="146" spans="1:45" ht="24" customHeight="1" x14ac:dyDescent="0.2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8"/>
      <c r="N146" s="88"/>
      <c r="O146" s="8"/>
      <c r="P146" s="8"/>
      <c r="Q146" s="89"/>
      <c r="R146" s="89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</row>
    <row r="147" spans="1:45" ht="24" customHeight="1" x14ac:dyDescent="0.2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8"/>
      <c r="N147" s="88"/>
      <c r="O147" s="8"/>
      <c r="P147" s="8"/>
      <c r="Q147" s="89"/>
      <c r="R147" s="89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</row>
    <row r="148" spans="1:45" ht="24" customHeight="1" x14ac:dyDescent="0.2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8"/>
      <c r="N148" s="88"/>
      <c r="O148" s="8"/>
      <c r="P148" s="8"/>
      <c r="Q148" s="89"/>
      <c r="R148" s="89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</row>
    <row r="149" spans="1:45" ht="24" customHeight="1" x14ac:dyDescent="0.2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8"/>
      <c r="N149" s="88"/>
      <c r="O149" s="8"/>
      <c r="P149" s="8"/>
      <c r="Q149" s="89"/>
      <c r="R149" s="89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</row>
    <row r="150" spans="1:45" ht="24" customHeight="1" x14ac:dyDescent="0.2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8"/>
      <c r="N150" s="88"/>
      <c r="O150" s="8"/>
      <c r="P150" s="8"/>
      <c r="Q150" s="89"/>
      <c r="R150" s="89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</row>
    <row r="151" spans="1:45" ht="24" customHeight="1" x14ac:dyDescent="0.2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8"/>
      <c r="N151" s="88"/>
      <c r="O151" s="8"/>
      <c r="P151" s="8"/>
      <c r="Q151" s="89"/>
      <c r="R151" s="89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</row>
    <row r="152" spans="1:45" ht="24" customHeight="1" x14ac:dyDescent="0.2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8"/>
      <c r="N152" s="88"/>
      <c r="O152" s="8"/>
      <c r="P152" s="8"/>
      <c r="Q152" s="89"/>
      <c r="R152" s="89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</row>
    <row r="153" spans="1:45" ht="24" customHeight="1" x14ac:dyDescent="0.2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8"/>
      <c r="N153" s="88"/>
      <c r="O153" s="8"/>
      <c r="P153" s="8"/>
      <c r="Q153" s="89"/>
      <c r="R153" s="89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</row>
    <row r="154" spans="1:45" ht="24" customHeight="1" x14ac:dyDescent="0.2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8"/>
      <c r="N154" s="88"/>
      <c r="O154" s="8"/>
      <c r="P154" s="8"/>
      <c r="Q154" s="89"/>
      <c r="R154" s="89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</row>
    <row r="155" spans="1:45" ht="24" customHeight="1" x14ac:dyDescent="0.2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8"/>
      <c r="N155" s="88"/>
      <c r="O155" s="8"/>
      <c r="P155" s="8"/>
      <c r="Q155" s="89"/>
      <c r="R155" s="89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</row>
    <row r="156" spans="1:45" ht="24" customHeight="1" x14ac:dyDescent="0.2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8"/>
      <c r="N156" s="88"/>
      <c r="O156" s="8"/>
      <c r="P156" s="8"/>
      <c r="Q156" s="89"/>
      <c r="R156" s="89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</row>
    <row r="157" spans="1:45" ht="24" customHeight="1" x14ac:dyDescent="0.2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8"/>
      <c r="N157" s="88"/>
      <c r="O157" s="8"/>
      <c r="P157" s="8"/>
      <c r="Q157" s="89"/>
      <c r="R157" s="89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</row>
    <row r="158" spans="1:45" ht="24" customHeight="1" x14ac:dyDescent="0.2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8"/>
      <c r="N158" s="88"/>
      <c r="O158" s="8"/>
      <c r="P158" s="8"/>
      <c r="Q158" s="89"/>
      <c r="R158" s="89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</row>
    <row r="159" spans="1:45" ht="24" customHeight="1" x14ac:dyDescent="0.2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8"/>
      <c r="N159" s="88"/>
      <c r="O159" s="8"/>
      <c r="P159" s="8"/>
      <c r="Q159" s="89"/>
      <c r="R159" s="89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</row>
    <row r="160" spans="1:45" ht="24" customHeight="1" x14ac:dyDescent="0.2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8"/>
      <c r="N160" s="88"/>
      <c r="O160" s="8"/>
      <c r="P160" s="8"/>
      <c r="Q160" s="89"/>
      <c r="R160" s="89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</row>
    <row r="161" spans="1:45" ht="24" customHeight="1" x14ac:dyDescent="0.2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8"/>
      <c r="N161" s="88"/>
      <c r="O161" s="8"/>
      <c r="P161" s="8"/>
      <c r="Q161" s="89"/>
      <c r="R161" s="89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</row>
    <row r="162" spans="1:45" ht="24" customHeight="1" x14ac:dyDescent="0.2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8"/>
      <c r="N162" s="88"/>
      <c r="O162" s="8"/>
      <c r="P162" s="8"/>
      <c r="Q162" s="89"/>
      <c r="R162" s="89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</row>
    <row r="163" spans="1:45" ht="24" customHeight="1" x14ac:dyDescent="0.2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8"/>
      <c r="N163" s="88"/>
      <c r="O163" s="8"/>
      <c r="P163" s="8"/>
      <c r="Q163" s="89"/>
      <c r="R163" s="89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</row>
    <row r="164" spans="1:45" ht="24" customHeight="1" x14ac:dyDescent="0.2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8"/>
      <c r="N164" s="88"/>
      <c r="O164" s="8"/>
      <c r="P164" s="8"/>
      <c r="Q164" s="89"/>
      <c r="R164" s="89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</row>
    <row r="165" spans="1:45" ht="24" customHeight="1" x14ac:dyDescent="0.2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8"/>
      <c r="N165" s="88"/>
      <c r="O165" s="8"/>
      <c r="P165" s="8"/>
      <c r="Q165" s="89"/>
      <c r="R165" s="89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</row>
    <row r="166" spans="1:45" ht="24" customHeight="1" x14ac:dyDescent="0.2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8"/>
      <c r="N166" s="88"/>
      <c r="O166" s="8"/>
      <c r="P166" s="8"/>
      <c r="Q166" s="89"/>
      <c r="R166" s="89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</row>
    <row r="167" spans="1:45" ht="24" customHeight="1" x14ac:dyDescent="0.2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8"/>
      <c r="N167" s="88"/>
      <c r="O167" s="8"/>
      <c r="P167" s="8"/>
      <c r="Q167" s="89"/>
      <c r="R167" s="89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</row>
    <row r="168" spans="1:45" ht="24" customHeight="1" x14ac:dyDescent="0.2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8"/>
      <c r="N168" s="88"/>
      <c r="O168" s="8"/>
      <c r="P168" s="8"/>
      <c r="Q168" s="89"/>
      <c r="R168" s="89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</row>
    <row r="169" spans="1:45" ht="24" customHeight="1" x14ac:dyDescent="0.2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8"/>
      <c r="N169" s="88"/>
      <c r="O169" s="8"/>
      <c r="P169" s="8"/>
      <c r="Q169" s="89"/>
      <c r="R169" s="89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</row>
    <row r="170" spans="1:45" ht="24" customHeight="1" x14ac:dyDescent="0.2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8"/>
      <c r="N170" s="88"/>
      <c r="O170" s="8"/>
      <c r="P170" s="8"/>
      <c r="Q170" s="89"/>
      <c r="R170" s="89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</row>
    <row r="171" spans="1:45" ht="24" customHeight="1" x14ac:dyDescent="0.2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8"/>
      <c r="N171" s="88"/>
      <c r="O171" s="8"/>
      <c r="P171" s="8"/>
      <c r="Q171" s="89"/>
      <c r="R171" s="89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</row>
    <row r="172" spans="1:45" ht="24" customHeight="1" x14ac:dyDescent="0.2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8"/>
      <c r="N172" s="88"/>
      <c r="O172" s="8"/>
      <c r="P172" s="8"/>
      <c r="Q172" s="89"/>
      <c r="R172" s="89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</row>
    <row r="173" spans="1:45" ht="24" customHeight="1" x14ac:dyDescent="0.2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8"/>
      <c r="N173" s="88"/>
      <c r="O173" s="8"/>
      <c r="P173" s="8"/>
      <c r="Q173" s="89"/>
      <c r="R173" s="89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</row>
    <row r="174" spans="1:45" ht="24" customHeight="1" x14ac:dyDescent="0.2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8"/>
      <c r="N174" s="88"/>
      <c r="O174" s="8"/>
      <c r="P174" s="8"/>
      <c r="Q174" s="89"/>
      <c r="R174" s="89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</row>
    <row r="175" spans="1:45" ht="24" customHeight="1" x14ac:dyDescent="0.2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8"/>
      <c r="N175" s="88"/>
      <c r="O175" s="8"/>
      <c r="P175" s="8"/>
      <c r="Q175" s="89"/>
      <c r="R175" s="89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</row>
    <row r="176" spans="1:45" ht="24" customHeight="1" x14ac:dyDescent="0.2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8"/>
      <c r="N176" s="88"/>
      <c r="O176" s="8"/>
      <c r="P176" s="8"/>
      <c r="Q176" s="89"/>
      <c r="R176" s="89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</row>
    <row r="177" spans="1:45" ht="24" customHeight="1" x14ac:dyDescent="0.2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8"/>
      <c r="N177" s="88"/>
      <c r="O177" s="8"/>
      <c r="P177" s="8"/>
      <c r="Q177" s="89"/>
      <c r="R177" s="89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</row>
    <row r="178" spans="1:45" ht="24" customHeight="1" x14ac:dyDescent="0.2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8"/>
      <c r="N178" s="88"/>
      <c r="O178" s="8"/>
      <c r="P178" s="8"/>
      <c r="Q178" s="89"/>
      <c r="R178" s="89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</row>
    <row r="179" spans="1:45" ht="24" customHeight="1" x14ac:dyDescent="0.2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8"/>
      <c r="N179" s="88"/>
      <c r="O179" s="8"/>
      <c r="P179" s="8"/>
      <c r="Q179" s="89"/>
      <c r="R179" s="89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</row>
    <row r="180" spans="1:45" ht="24" customHeight="1" x14ac:dyDescent="0.2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8"/>
      <c r="N180" s="88"/>
      <c r="O180" s="8"/>
      <c r="P180" s="8"/>
      <c r="Q180" s="89"/>
      <c r="R180" s="89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</row>
    <row r="181" spans="1:45" ht="24" customHeight="1" x14ac:dyDescent="0.2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8"/>
      <c r="N181" s="88"/>
      <c r="O181" s="8"/>
      <c r="P181" s="8"/>
      <c r="Q181" s="89"/>
      <c r="R181" s="89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</row>
    <row r="182" spans="1:45" ht="24" customHeight="1" x14ac:dyDescent="0.2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8"/>
      <c r="N182" s="88"/>
      <c r="O182" s="8"/>
      <c r="P182" s="8"/>
      <c r="Q182" s="89"/>
      <c r="R182" s="89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</row>
    <row r="183" spans="1:45" ht="24" customHeight="1" x14ac:dyDescent="0.2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8"/>
      <c r="N183" s="88"/>
      <c r="O183" s="8"/>
      <c r="P183" s="8"/>
      <c r="Q183" s="89"/>
      <c r="R183" s="89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</row>
    <row r="184" spans="1:45" ht="24" customHeight="1" x14ac:dyDescent="0.2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8"/>
      <c r="N184" s="88"/>
      <c r="O184" s="8"/>
      <c r="P184" s="8"/>
      <c r="Q184" s="89"/>
      <c r="R184" s="89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</row>
    <row r="185" spans="1:45" ht="24" customHeight="1" x14ac:dyDescent="0.2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8"/>
      <c r="N185" s="88"/>
      <c r="O185" s="8"/>
      <c r="P185" s="8"/>
      <c r="Q185" s="89"/>
      <c r="R185" s="89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</row>
    <row r="186" spans="1:45" ht="24" customHeight="1" x14ac:dyDescent="0.2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8"/>
      <c r="N186" s="88"/>
      <c r="O186" s="8"/>
      <c r="P186" s="8"/>
      <c r="Q186" s="89"/>
      <c r="R186" s="89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</row>
    <row r="187" spans="1:45" ht="24" customHeight="1" x14ac:dyDescent="0.2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8"/>
      <c r="N187" s="88"/>
      <c r="O187" s="8"/>
      <c r="P187" s="8"/>
      <c r="Q187" s="89"/>
      <c r="R187" s="89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</row>
    <row r="188" spans="1:45" ht="24" customHeight="1" x14ac:dyDescent="0.2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8"/>
      <c r="N188" s="88"/>
      <c r="O188" s="8"/>
      <c r="P188" s="8"/>
      <c r="Q188" s="89"/>
      <c r="R188" s="89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</row>
    <row r="189" spans="1:45" ht="24" customHeight="1" x14ac:dyDescent="0.2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8"/>
      <c r="N189" s="88"/>
      <c r="O189" s="8"/>
      <c r="P189" s="8"/>
      <c r="Q189" s="89"/>
      <c r="R189" s="89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</row>
    <row r="190" spans="1:45" ht="24" customHeight="1" x14ac:dyDescent="0.2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8"/>
      <c r="N190" s="88"/>
      <c r="O190" s="8"/>
      <c r="P190" s="8"/>
      <c r="Q190" s="89"/>
      <c r="R190" s="89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</row>
    <row r="191" spans="1:45" ht="24" customHeight="1" x14ac:dyDescent="0.2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8"/>
      <c r="N191" s="88"/>
      <c r="O191" s="8"/>
      <c r="P191" s="8"/>
      <c r="Q191" s="89"/>
      <c r="R191" s="89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</row>
    <row r="192" spans="1:45" ht="24" customHeight="1" x14ac:dyDescent="0.2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8"/>
      <c r="N192" s="88"/>
      <c r="O192" s="8"/>
      <c r="P192" s="8"/>
      <c r="Q192" s="89"/>
      <c r="R192" s="89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</row>
    <row r="193" spans="1:45" ht="24" customHeight="1" x14ac:dyDescent="0.2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8"/>
      <c r="N193" s="88"/>
      <c r="O193" s="8"/>
      <c r="P193" s="8"/>
      <c r="Q193" s="89"/>
      <c r="R193" s="89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</row>
    <row r="194" spans="1:45" ht="24" customHeight="1" x14ac:dyDescent="0.2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8"/>
      <c r="N194" s="88"/>
      <c r="O194" s="8"/>
      <c r="P194" s="8"/>
      <c r="Q194" s="89"/>
      <c r="R194" s="89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</row>
    <row r="195" spans="1:45" ht="24" customHeight="1" x14ac:dyDescent="0.2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8"/>
      <c r="N195" s="88"/>
      <c r="O195" s="8"/>
      <c r="P195" s="8"/>
      <c r="Q195" s="89"/>
      <c r="R195" s="89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</row>
    <row r="196" spans="1:45" ht="24" customHeight="1" x14ac:dyDescent="0.2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8"/>
      <c r="N196" s="88"/>
      <c r="O196" s="8"/>
      <c r="P196" s="8"/>
      <c r="Q196" s="89"/>
      <c r="R196" s="89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</row>
    <row r="197" spans="1:45" ht="24" customHeight="1" x14ac:dyDescent="0.2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8"/>
      <c r="N197" s="88"/>
      <c r="O197" s="8"/>
      <c r="P197" s="8"/>
      <c r="Q197" s="89"/>
      <c r="R197" s="89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</row>
    <row r="198" spans="1:45" ht="24" customHeight="1" x14ac:dyDescent="0.2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8"/>
      <c r="N198" s="88"/>
      <c r="O198" s="8"/>
      <c r="P198" s="8"/>
      <c r="Q198" s="89"/>
      <c r="R198" s="89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</row>
    <row r="199" spans="1:45" ht="24" customHeight="1" x14ac:dyDescent="0.2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8"/>
      <c r="N199" s="88"/>
      <c r="O199" s="8"/>
      <c r="P199" s="8"/>
      <c r="Q199" s="89"/>
      <c r="R199" s="89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</row>
    <row r="200" spans="1:45" ht="24" customHeight="1" x14ac:dyDescent="0.2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8"/>
      <c r="N200" s="88"/>
      <c r="O200" s="8"/>
      <c r="P200" s="8"/>
      <c r="Q200" s="89"/>
      <c r="R200" s="89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</row>
    <row r="201" spans="1:45" ht="24" customHeight="1" x14ac:dyDescent="0.2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8"/>
      <c r="N201" s="88"/>
      <c r="O201" s="8"/>
      <c r="P201" s="8"/>
      <c r="Q201" s="89"/>
      <c r="R201" s="89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</row>
    <row r="202" spans="1:45" ht="24" customHeight="1" x14ac:dyDescent="0.2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8"/>
      <c r="N202" s="88"/>
      <c r="O202" s="8"/>
      <c r="P202" s="8"/>
      <c r="Q202" s="89"/>
      <c r="R202" s="89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</row>
    <row r="203" spans="1:45" ht="24" customHeight="1" x14ac:dyDescent="0.2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8"/>
      <c r="N203" s="88"/>
      <c r="O203" s="8"/>
      <c r="P203" s="8"/>
      <c r="Q203" s="89"/>
      <c r="R203" s="89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</row>
    <row r="204" spans="1:45" ht="24" customHeight="1" x14ac:dyDescent="0.2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8"/>
      <c r="N204" s="88"/>
      <c r="O204" s="8"/>
      <c r="P204" s="8"/>
      <c r="Q204" s="89"/>
      <c r="R204" s="89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</row>
    <row r="205" spans="1:45" ht="24" customHeight="1" x14ac:dyDescent="0.2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8"/>
      <c r="N205" s="88"/>
      <c r="O205" s="8"/>
      <c r="P205" s="8"/>
      <c r="Q205" s="89"/>
      <c r="R205" s="89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</row>
    <row r="206" spans="1:45" ht="24" customHeight="1" x14ac:dyDescent="0.2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8"/>
      <c r="N206" s="88"/>
      <c r="O206" s="8"/>
      <c r="P206" s="8"/>
      <c r="Q206" s="89"/>
      <c r="R206" s="89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</row>
    <row r="207" spans="1:45" ht="24" customHeight="1" x14ac:dyDescent="0.2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8"/>
      <c r="N207" s="88"/>
      <c r="O207" s="8"/>
      <c r="P207" s="8"/>
      <c r="Q207" s="89"/>
      <c r="R207" s="89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</row>
    <row r="208" spans="1:45" ht="24" customHeight="1" x14ac:dyDescent="0.2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8"/>
      <c r="N208" s="88"/>
      <c r="O208" s="8"/>
      <c r="P208" s="8"/>
      <c r="Q208" s="89"/>
      <c r="R208" s="89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</row>
    <row r="209" spans="1:45" ht="24" customHeight="1" x14ac:dyDescent="0.2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8"/>
      <c r="N209" s="88"/>
      <c r="O209" s="8"/>
      <c r="P209" s="8"/>
      <c r="Q209" s="89"/>
      <c r="R209" s="89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</row>
    <row r="210" spans="1:45" ht="24" customHeight="1" x14ac:dyDescent="0.2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8"/>
      <c r="N210" s="88"/>
      <c r="O210" s="8"/>
      <c r="P210" s="8"/>
      <c r="Q210" s="89"/>
      <c r="R210" s="89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</row>
    <row r="211" spans="1:45" ht="24" customHeight="1" x14ac:dyDescent="0.2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8"/>
      <c r="N211" s="88"/>
      <c r="O211" s="8"/>
      <c r="P211" s="8"/>
      <c r="Q211" s="89"/>
      <c r="R211" s="89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</row>
    <row r="212" spans="1:45" ht="24" customHeight="1" x14ac:dyDescent="0.2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8"/>
      <c r="N212" s="88"/>
      <c r="O212" s="8"/>
      <c r="P212" s="8"/>
      <c r="Q212" s="89"/>
      <c r="R212" s="89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</row>
    <row r="213" spans="1:45" ht="24" customHeight="1" x14ac:dyDescent="0.2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8"/>
      <c r="N213" s="88"/>
      <c r="O213" s="8"/>
      <c r="P213" s="8"/>
      <c r="Q213" s="89"/>
      <c r="R213" s="89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</row>
    <row r="214" spans="1:45" ht="24" customHeight="1" x14ac:dyDescent="0.2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8"/>
      <c r="N214" s="88"/>
      <c r="O214" s="8"/>
      <c r="P214" s="8"/>
      <c r="Q214" s="89"/>
      <c r="R214" s="89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</row>
    <row r="215" spans="1:45" ht="24" customHeight="1" x14ac:dyDescent="0.2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8"/>
      <c r="N215" s="88"/>
      <c r="O215" s="8"/>
      <c r="P215" s="8"/>
      <c r="Q215" s="89"/>
      <c r="R215" s="89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</row>
    <row r="216" spans="1:45" ht="24" customHeight="1" x14ac:dyDescent="0.2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8"/>
      <c r="N216" s="88"/>
      <c r="O216" s="8"/>
      <c r="P216" s="8"/>
      <c r="Q216" s="89"/>
      <c r="R216" s="89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</row>
    <row r="217" spans="1:45" ht="24" customHeight="1" x14ac:dyDescent="0.2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8"/>
      <c r="N217" s="88"/>
      <c r="O217" s="8"/>
      <c r="P217" s="8"/>
      <c r="Q217" s="89"/>
      <c r="R217" s="89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</row>
    <row r="218" spans="1:45" ht="24" customHeight="1" x14ac:dyDescent="0.2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8"/>
      <c r="N218" s="88"/>
      <c r="O218" s="8"/>
      <c r="P218" s="8"/>
      <c r="Q218" s="89"/>
      <c r="R218" s="89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</row>
    <row r="219" spans="1:45" ht="24" customHeight="1" x14ac:dyDescent="0.2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8"/>
      <c r="N219" s="88"/>
      <c r="O219" s="8"/>
      <c r="P219" s="8"/>
      <c r="Q219" s="89"/>
      <c r="R219" s="89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</row>
    <row r="220" spans="1:45" ht="24" customHeight="1" x14ac:dyDescent="0.2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8"/>
      <c r="N220" s="88"/>
      <c r="O220" s="8"/>
      <c r="P220" s="8"/>
      <c r="Q220" s="89"/>
      <c r="R220" s="89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</row>
    <row r="221" spans="1:45" ht="24" customHeight="1" x14ac:dyDescent="0.2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8"/>
      <c r="N221" s="88"/>
      <c r="O221" s="8"/>
      <c r="P221" s="8"/>
      <c r="Q221" s="89"/>
      <c r="R221" s="89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</row>
    <row r="222" spans="1:45" ht="24" customHeight="1" x14ac:dyDescent="0.2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8"/>
      <c r="N222" s="88"/>
      <c r="O222" s="8"/>
      <c r="P222" s="8"/>
      <c r="Q222" s="89"/>
      <c r="R222" s="89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</row>
    <row r="223" spans="1:45" ht="24" customHeight="1" x14ac:dyDescent="0.2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8"/>
      <c r="N223" s="88"/>
      <c r="O223" s="8"/>
      <c r="P223" s="8"/>
      <c r="Q223" s="89"/>
      <c r="R223" s="89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</row>
    <row r="224" spans="1:45" ht="24" customHeight="1" x14ac:dyDescent="0.2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8"/>
      <c r="N224" s="88"/>
      <c r="O224" s="8"/>
      <c r="P224" s="8"/>
      <c r="Q224" s="89"/>
      <c r="R224" s="89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</row>
    <row r="225" spans="1:45" ht="24" customHeight="1" x14ac:dyDescent="0.2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8"/>
      <c r="N225" s="88"/>
      <c r="O225" s="8"/>
      <c r="P225" s="8"/>
      <c r="Q225" s="89"/>
      <c r="R225" s="89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</row>
    <row r="226" spans="1:45" ht="24" customHeight="1" x14ac:dyDescent="0.2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8"/>
      <c r="N226" s="88"/>
      <c r="O226" s="8"/>
      <c r="P226" s="8"/>
      <c r="Q226" s="89"/>
      <c r="R226" s="89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</row>
    <row r="227" spans="1:45" ht="24" customHeight="1" x14ac:dyDescent="0.2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8"/>
      <c r="N227" s="88"/>
      <c r="O227" s="8"/>
      <c r="P227" s="8"/>
      <c r="Q227" s="89"/>
      <c r="R227" s="89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</row>
    <row r="228" spans="1:45" ht="24" customHeight="1" x14ac:dyDescent="0.2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8"/>
      <c r="N228" s="88"/>
      <c r="O228" s="8"/>
      <c r="P228" s="8"/>
      <c r="Q228" s="89"/>
      <c r="R228" s="89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</row>
    <row r="229" spans="1:45" ht="24" customHeight="1" x14ac:dyDescent="0.2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8"/>
      <c r="N229" s="88"/>
      <c r="O229" s="8"/>
      <c r="P229" s="8"/>
      <c r="Q229" s="89"/>
      <c r="R229" s="89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</row>
    <row r="230" spans="1:45" ht="24" customHeight="1" x14ac:dyDescent="0.2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8"/>
      <c r="N230" s="88"/>
      <c r="O230" s="8"/>
      <c r="P230" s="8"/>
      <c r="Q230" s="89"/>
      <c r="R230" s="89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</row>
    <row r="231" spans="1:45" ht="24" customHeight="1" x14ac:dyDescent="0.2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8"/>
      <c r="N231" s="88"/>
      <c r="O231" s="8"/>
      <c r="P231" s="8"/>
      <c r="Q231" s="89"/>
      <c r="R231" s="89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</row>
    <row r="232" spans="1:45" ht="24" customHeight="1" x14ac:dyDescent="0.2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8"/>
      <c r="N232" s="88"/>
      <c r="O232" s="8"/>
      <c r="P232" s="8"/>
      <c r="Q232" s="89"/>
      <c r="R232" s="89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</row>
    <row r="233" spans="1:45" ht="24" customHeight="1" x14ac:dyDescent="0.2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8"/>
      <c r="N233" s="88"/>
      <c r="O233" s="8"/>
      <c r="P233" s="8"/>
      <c r="Q233" s="89"/>
      <c r="R233" s="89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</row>
    <row r="234" spans="1:45" ht="24" customHeight="1" x14ac:dyDescent="0.2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8"/>
      <c r="N234" s="88"/>
      <c r="O234" s="8"/>
      <c r="P234" s="8"/>
      <c r="Q234" s="89"/>
      <c r="R234" s="89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</row>
    <row r="235" spans="1:45" ht="24" customHeight="1" x14ac:dyDescent="0.2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8"/>
      <c r="N235" s="88"/>
      <c r="O235" s="8"/>
      <c r="P235" s="8"/>
      <c r="Q235" s="89"/>
      <c r="R235" s="89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</row>
    <row r="236" spans="1:45" ht="24" customHeight="1" x14ac:dyDescent="0.2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8"/>
      <c r="N236" s="88"/>
      <c r="O236" s="8"/>
      <c r="P236" s="8"/>
      <c r="Q236" s="89"/>
      <c r="R236" s="89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</row>
    <row r="237" spans="1:45" ht="24" customHeight="1" x14ac:dyDescent="0.2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8"/>
      <c r="N237" s="88"/>
      <c r="O237" s="8"/>
      <c r="P237" s="8"/>
      <c r="Q237" s="89"/>
      <c r="R237" s="89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</row>
    <row r="238" spans="1:45" ht="24" customHeight="1" x14ac:dyDescent="0.2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8"/>
      <c r="N238" s="88"/>
      <c r="O238" s="8"/>
      <c r="P238" s="8"/>
      <c r="Q238" s="89"/>
      <c r="R238" s="89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</row>
    <row r="239" spans="1:45" ht="24" customHeight="1" x14ac:dyDescent="0.2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8"/>
      <c r="N239" s="88"/>
      <c r="O239" s="8"/>
      <c r="P239" s="8"/>
      <c r="Q239" s="89"/>
      <c r="R239" s="89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</row>
    <row r="240" spans="1:45" ht="24" customHeight="1" x14ac:dyDescent="0.2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8"/>
      <c r="N240" s="88"/>
      <c r="O240" s="8"/>
      <c r="P240" s="8"/>
      <c r="Q240" s="89"/>
      <c r="R240" s="89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</row>
    <row r="241" spans="1:45" ht="24" customHeight="1" x14ac:dyDescent="0.2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8"/>
      <c r="N241" s="88"/>
      <c r="O241" s="8"/>
      <c r="P241" s="8"/>
      <c r="Q241" s="89"/>
      <c r="R241" s="89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</row>
    <row r="242" spans="1:45" ht="24" customHeight="1" x14ac:dyDescent="0.2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8"/>
      <c r="N242" s="88"/>
      <c r="O242" s="8"/>
      <c r="P242" s="8"/>
      <c r="Q242" s="89"/>
      <c r="R242" s="89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</row>
    <row r="243" spans="1:45" ht="24" customHeight="1" x14ac:dyDescent="0.2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8"/>
      <c r="N243" s="88"/>
      <c r="O243" s="8"/>
      <c r="P243" s="8"/>
      <c r="Q243" s="89"/>
      <c r="R243" s="89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</row>
    <row r="244" spans="1:45" ht="24" customHeight="1" x14ac:dyDescent="0.2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8"/>
      <c r="N244" s="88"/>
      <c r="O244" s="8"/>
      <c r="P244" s="8"/>
      <c r="Q244" s="89"/>
      <c r="R244" s="89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</row>
    <row r="245" spans="1:45" ht="24" customHeight="1" x14ac:dyDescent="0.2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8"/>
      <c r="N245" s="88"/>
      <c r="O245" s="8"/>
      <c r="P245" s="8"/>
      <c r="Q245" s="89"/>
      <c r="R245" s="89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</row>
    <row r="246" spans="1:45" ht="24" customHeight="1" x14ac:dyDescent="0.2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8"/>
      <c r="N246" s="88"/>
      <c r="O246" s="8"/>
      <c r="P246" s="8"/>
      <c r="Q246" s="89"/>
      <c r="R246" s="89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</row>
    <row r="247" spans="1:45" ht="24" customHeight="1" x14ac:dyDescent="0.2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8"/>
      <c r="N247" s="88"/>
      <c r="O247" s="8"/>
      <c r="P247" s="8"/>
      <c r="Q247" s="89"/>
      <c r="R247" s="89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</row>
    <row r="248" spans="1:45" ht="24" customHeight="1" x14ac:dyDescent="0.2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8"/>
      <c r="N248" s="88"/>
      <c r="O248" s="8"/>
      <c r="P248" s="8"/>
      <c r="Q248" s="89"/>
      <c r="R248" s="89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</row>
    <row r="249" spans="1:45" ht="24" customHeight="1" x14ac:dyDescent="0.2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8"/>
      <c r="N249" s="88"/>
      <c r="O249" s="8"/>
      <c r="P249" s="8"/>
      <c r="Q249" s="89"/>
      <c r="R249" s="89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</row>
    <row r="250" spans="1:45" ht="24" customHeight="1" x14ac:dyDescent="0.2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8"/>
      <c r="N250" s="88"/>
      <c r="O250" s="8"/>
      <c r="P250" s="8"/>
      <c r="Q250" s="89"/>
      <c r="R250" s="89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</row>
    <row r="251" spans="1:45" ht="24" customHeight="1" x14ac:dyDescent="0.2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8"/>
      <c r="N251" s="88"/>
      <c r="O251" s="8"/>
      <c r="P251" s="8"/>
      <c r="Q251" s="89"/>
      <c r="R251" s="89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</row>
    <row r="252" spans="1:45" ht="24" customHeight="1" x14ac:dyDescent="0.2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8"/>
      <c r="N252" s="88"/>
      <c r="O252" s="8"/>
      <c r="P252" s="8"/>
      <c r="Q252" s="89"/>
      <c r="R252" s="89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</row>
    <row r="253" spans="1:45" ht="24" customHeight="1" x14ac:dyDescent="0.2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8"/>
      <c r="N253" s="88"/>
      <c r="O253" s="8"/>
      <c r="P253" s="8"/>
      <c r="Q253" s="89"/>
      <c r="R253" s="89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</row>
    <row r="254" spans="1:45" ht="24" customHeight="1" x14ac:dyDescent="0.2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8"/>
      <c r="N254" s="88"/>
      <c r="O254" s="8"/>
      <c r="P254" s="8"/>
      <c r="Q254" s="89"/>
      <c r="R254" s="89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</row>
    <row r="255" spans="1:45" ht="24" customHeight="1" x14ac:dyDescent="0.2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8"/>
      <c r="N255" s="88"/>
      <c r="O255" s="8"/>
      <c r="P255" s="8"/>
      <c r="Q255" s="89"/>
      <c r="R255" s="89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</row>
    <row r="256" spans="1:45" ht="24" customHeight="1" x14ac:dyDescent="0.2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8"/>
      <c r="N256" s="88"/>
      <c r="O256" s="8"/>
      <c r="P256" s="8"/>
      <c r="Q256" s="89"/>
      <c r="R256" s="89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</row>
    <row r="257" spans="1:45" ht="24" customHeight="1" x14ac:dyDescent="0.2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8"/>
      <c r="N257" s="88"/>
      <c r="O257" s="8"/>
      <c r="P257" s="8"/>
      <c r="Q257" s="89"/>
      <c r="R257" s="89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</row>
    <row r="258" spans="1:45" ht="24" customHeight="1" x14ac:dyDescent="0.2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8"/>
      <c r="N258" s="88"/>
      <c r="O258" s="8"/>
      <c r="P258" s="8"/>
      <c r="Q258" s="89"/>
      <c r="R258" s="89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</row>
    <row r="259" spans="1:45" ht="24" customHeight="1" x14ac:dyDescent="0.2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8"/>
      <c r="N259" s="88"/>
      <c r="O259" s="8"/>
      <c r="P259" s="8"/>
      <c r="Q259" s="89"/>
      <c r="R259" s="89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</row>
    <row r="260" spans="1:45" ht="24" customHeight="1" x14ac:dyDescent="0.2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8"/>
      <c r="N260" s="88"/>
      <c r="O260" s="8"/>
      <c r="P260" s="8"/>
      <c r="Q260" s="89"/>
      <c r="R260" s="89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</row>
    <row r="261" spans="1:45" ht="24" customHeight="1" x14ac:dyDescent="0.2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8"/>
      <c r="N261" s="88"/>
      <c r="O261" s="8"/>
      <c r="P261" s="8"/>
      <c r="Q261" s="89"/>
      <c r="R261" s="89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</row>
    <row r="262" spans="1:45" ht="24" customHeight="1" x14ac:dyDescent="0.2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8"/>
      <c r="N262" s="88"/>
      <c r="O262" s="8"/>
      <c r="P262" s="8"/>
      <c r="Q262" s="89"/>
      <c r="R262" s="89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</row>
    <row r="263" spans="1:45" ht="24" customHeight="1" x14ac:dyDescent="0.2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8"/>
      <c r="N263" s="88"/>
      <c r="O263" s="8"/>
      <c r="P263" s="8"/>
      <c r="Q263" s="89"/>
      <c r="R263" s="89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</row>
    <row r="264" spans="1:45" ht="24" customHeight="1" x14ac:dyDescent="0.2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8"/>
      <c r="N264" s="88"/>
      <c r="O264" s="8"/>
      <c r="P264" s="8"/>
      <c r="Q264" s="89"/>
      <c r="R264" s="89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</row>
    <row r="265" spans="1:45" ht="24" customHeight="1" x14ac:dyDescent="0.2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8"/>
      <c r="N265" s="88"/>
      <c r="O265" s="8"/>
      <c r="P265" s="8"/>
      <c r="Q265" s="89"/>
      <c r="R265" s="89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</row>
    <row r="266" spans="1:45" ht="24" customHeight="1" x14ac:dyDescent="0.2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8"/>
      <c r="N266" s="88"/>
      <c r="O266" s="8"/>
      <c r="P266" s="8"/>
      <c r="Q266" s="89"/>
      <c r="R266" s="89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</row>
    <row r="267" spans="1:45" ht="24" customHeight="1" x14ac:dyDescent="0.2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8"/>
      <c r="N267" s="88"/>
      <c r="O267" s="8"/>
      <c r="P267" s="8"/>
      <c r="Q267" s="89"/>
      <c r="R267" s="89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</row>
    <row r="268" spans="1:45" ht="24" customHeight="1" x14ac:dyDescent="0.2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8"/>
      <c r="N268" s="88"/>
      <c r="O268" s="8"/>
      <c r="P268" s="8"/>
      <c r="Q268" s="89"/>
      <c r="R268" s="89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</row>
    <row r="269" spans="1:45" ht="24" customHeight="1" x14ac:dyDescent="0.2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8"/>
      <c r="N269" s="88"/>
      <c r="O269" s="8"/>
      <c r="P269" s="8"/>
      <c r="Q269" s="89"/>
      <c r="R269" s="89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</row>
    <row r="270" spans="1:45" ht="24" customHeight="1" x14ac:dyDescent="0.2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8"/>
      <c r="N270" s="88"/>
      <c r="O270" s="8"/>
      <c r="P270" s="8"/>
      <c r="Q270" s="89"/>
      <c r="R270" s="89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</row>
    <row r="271" spans="1:45" ht="24" customHeight="1" x14ac:dyDescent="0.2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8"/>
      <c r="N271" s="88"/>
      <c r="O271" s="8"/>
      <c r="P271" s="8"/>
      <c r="Q271" s="89"/>
      <c r="R271" s="89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</row>
    <row r="272" spans="1:45" ht="24" customHeight="1" x14ac:dyDescent="0.2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8"/>
      <c r="N272" s="88"/>
      <c r="O272" s="8"/>
      <c r="P272" s="8"/>
      <c r="Q272" s="89"/>
      <c r="R272" s="89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</row>
    <row r="273" spans="1:45" ht="24" customHeight="1" x14ac:dyDescent="0.2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8"/>
      <c r="N273" s="88"/>
      <c r="O273" s="8"/>
      <c r="P273" s="8"/>
      <c r="Q273" s="89"/>
      <c r="R273" s="89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</row>
    <row r="274" spans="1:45" ht="24" customHeight="1" x14ac:dyDescent="0.2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8"/>
      <c r="N274" s="88"/>
      <c r="O274" s="8"/>
      <c r="P274" s="8"/>
      <c r="Q274" s="89"/>
      <c r="R274" s="89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</row>
    <row r="275" spans="1:45" ht="24" customHeight="1" x14ac:dyDescent="0.2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8"/>
      <c r="N275" s="88"/>
      <c r="O275" s="8"/>
      <c r="P275" s="8"/>
      <c r="Q275" s="89"/>
      <c r="R275" s="89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</row>
    <row r="276" spans="1:45" ht="24" customHeight="1" x14ac:dyDescent="0.2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8"/>
      <c r="N276" s="88"/>
      <c r="O276" s="8"/>
      <c r="P276" s="8"/>
      <c r="Q276" s="89"/>
      <c r="R276" s="89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</row>
    <row r="277" spans="1:45" ht="24" customHeight="1" x14ac:dyDescent="0.2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8"/>
      <c r="N277" s="88"/>
      <c r="O277" s="8"/>
      <c r="P277" s="8"/>
      <c r="Q277" s="89"/>
      <c r="R277" s="89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</row>
    <row r="278" spans="1:45" ht="24" customHeight="1" x14ac:dyDescent="0.2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8"/>
      <c r="N278" s="88"/>
      <c r="O278" s="8"/>
      <c r="P278" s="8"/>
      <c r="Q278" s="89"/>
      <c r="R278" s="89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</row>
    <row r="279" spans="1:45" ht="24" customHeight="1" x14ac:dyDescent="0.2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8"/>
      <c r="N279" s="88"/>
      <c r="O279" s="8"/>
      <c r="P279" s="8"/>
      <c r="Q279" s="89"/>
      <c r="R279" s="89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</row>
    <row r="280" spans="1:45" ht="24" customHeight="1" x14ac:dyDescent="0.2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8"/>
      <c r="N280" s="88"/>
      <c r="O280" s="8"/>
      <c r="P280" s="8"/>
      <c r="Q280" s="89"/>
      <c r="R280" s="89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</row>
    <row r="281" spans="1:45" ht="24" customHeight="1" x14ac:dyDescent="0.2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8"/>
      <c r="N281" s="88"/>
      <c r="O281" s="8"/>
      <c r="P281" s="8"/>
      <c r="Q281" s="89"/>
      <c r="R281" s="89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</row>
    <row r="282" spans="1:45" ht="24" customHeight="1" x14ac:dyDescent="0.2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8"/>
      <c r="N282" s="88"/>
      <c r="O282" s="8"/>
      <c r="P282" s="8"/>
      <c r="Q282" s="89"/>
      <c r="R282" s="89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</row>
    <row r="283" spans="1:45" ht="24" customHeight="1" x14ac:dyDescent="0.2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8"/>
      <c r="N283" s="88"/>
      <c r="O283" s="8"/>
      <c r="P283" s="8"/>
      <c r="Q283" s="89"/>
      <c r="R283" s="89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</row>
    <row r="284" spans="1:45" ht="24" customHeight="1" x14ac:dyDescent="0.2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8"/>
      <c r="N284" s="88"/>
      <c r="O284" s="8"/>
      <c r="P284" s="8"/>
      <c r="Q284" s="89"/>
      <c r="R284" s="89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</row>
    <row r="285" spans="1:45" ht="24" customHeight="1" x14ac:dyDescent="0.2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8"/>
      <c r="N285" s="88"/>
      <c r="O285" s="8"/>
      <c r="P285" s="8"/>
      <c r="Q285" s="89"/>
      <c r="R285" s="89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</row>
    <row r="286" spans="1:45" ht="24" customHeight="1" x14ac:dyDescent="0.2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8"/>
      <c r="N286" s="88"/>
      <c r="O286" s="8"/>
      <c r="P286" s="8"/>
      <c r="Q286" s="89"/>
      <c r="R286" s="89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</row>
    <row r="287" spans="1:45" ht="24" customHeight="1" x14ac:dyDescent="0.2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8"/>
      <c r="N287" s="88"/>
      <c r="O287" s="8"/>
      <c r="P287" s="8"/>
      <c r="Q287" s="89"/>
      <c r="R287" s="89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</row>
    <row r="288" spans="1:45" ht="24" customHeight="1" x14ac:dyDescent="0.2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8"/>
      <c r="N288" s="88"/>
      <c r="O288" s="8"/>
      <c r="P288" s="8"/>
      <c r="Q288" s="89"/>
      <c r="R288" s="89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</row>
    <row r="289" spans="1:45" ht="24" customHeight="1" x14ac:dyDescent="0.2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8"/>
      <c r="N289" s="88"/>
      <c r="O289" s="8"/>
      <c r="P289" s="8"/>
      <c r="Q289" s="89"/>
      <c r="R289" s="89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</row>
    <row r="290" spans="1:45" ht="24" customHeight="1" x14ac:dyDescent="0.2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8"/>
      <c r="N290" s="88"/>
      <c r="O290" s="8"/>
      <c r="P290" s="8"/>
      <c r="Q290" s="89"/>
      <c r="R290" s="89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</row>
    <row r="291" spans="1:45" ht="24" customHeight="1" x14ac:dyDescent="0.2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8"/>
      <c r="N291" s="88"/>
      <c r="O291" s="8"/>
      <c r="P291" s="8"/>
      <c r="Q291" s="89"/>
      <c r="R291" s="89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</row>
    <row r="292" spans="1:45" ht="24" customHeight="1" x14ac:dyDescent="0.2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8"/>
      <c r="N292" s="88"/>
      <c r="O292" s="8"/>
      <c r="P292" s="8"/>
      <c r="Q292" s="89"/>
      <c r="R292" s="89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</row>
    <row r="293" spans="1:45" ht="24" customHeight="1" x14ac:dyDescent="0.2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8"/>
      <c r="N293" s="88"/>
      <c r="O293" s="8"/>
      <c r="P293" s="8"/>
      <c r="Q293" s="89"/>
      <c r="R293" s="89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</row>
    <row r="294" spans="1:45" ht="24" customHeight="1" x14ac:dyDescent="0.2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8"/>
      <c r="N294" s="88"/>
      <c r="O294" s="8"/>
      <c r="P294" s="8"/>
      <c r="Q294" s="89"/>
      <c r="R294" s="89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</row>
    <row r="295" spans="1:45" ht="24" customHeight="1" x14ac:dyDescent="0.2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8"/>
      <c r="N295" s="88"/>
      <c r="O295" s="8"/>
      <c r="P295" s="8"/>
      <c r="Q295" s="89"/>
      <c r="R295" s="89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</row>
    <row r="296" spans="1:45" ht="24" customHeight="1" x14ac:dyDescent="0.2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8"/>
      <c r="N296" s="88"/>
      <c r="O296" s="8"/>
      <c r="P296" s="8"/>
      <c r="Q296" s="89"/>
      <c r="R296" s="89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</row>
    <row r="297" spans="1:45" ht="24" customHeight="1" x14ac:dyDescent="0.2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8"/>
      <c r="N297" s="88"/>
      <c r="O297" s="8"/>
      <c r="P297" s="8"/>
      <c r="Q297" s="89"/>
      <c r="R297" s="89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</row>
    <row r="298" spans="1:45" ht="24" customHeight="1" x14ac:dyDescent="0.2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8"/>
      <c r="N298" s="88"/>
      <c r="O298" s="8"/>
      <c r="P298" s="8"/>
      <c r="Q298" s="89"/>
      <c r="R298" s="89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</row>
    <row r="299" spans="1:45" ht="24" customHeight="1" x14ac:dyDescent="0.2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8"/>
      <c r="N299" s="88"/>
      <c r="O299" s="8"/>
      <c r="P299" s="8"/>
      <c r="Q299" s="89"/>
      <c r="R299" s="89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</row>
    <row r="300" spans="1:45" ht="24" customHeight="1" x14ac:dyDescent="0.2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8"/>
      <c r="N300" s="88"/>
      <c r="O300" s="8"/>
      <c r="P300" s="8"/>
      <c r="Q300" s="89"/>
      <c r="R300" s="89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</row>
    <row r="301" spans="1:45" ht="24" customHeight="1" x14ac:dyDescent="0.2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8"/>
      <c r="N301" s="88"/>
      <c r="O301" s="8"/>
      <c r="P301" s="8"/>
      <c r="Q301" s="89"/>
      <c r="R301" s="89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</row>
    <row r="302" spans="1:45" ht="24" customHeight="1" x14ac:dyDescent="0.2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8"/>
      <c r="N302" s="88"/>
      <c r="O302" s="8"/>
      <c r="P302" s="8"/>
      <c r="Q302" s="89"/>
      <c r="R302" s="89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</row>
    <row r="303" spans="1:45" ht="24" customHeight="1" x14ac:dyDescent="0.2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8"/>
      <c r="N303" s="88"/>
      <c r="O303" s="8"/>
      <c r="P303" s="8"/>
      <c r="Q303" s="89"/>
      <c r="R303" s="89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</row>
    <row r="304" spans="1:45" ht="24" customHeight="1" x14ac:dyDescent="0.2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8"/>
      <c r="N304" s="88"/>
      <c r="O304" s="8"/>
      <c r="P304" s="8"/>
      <c r="Q304" s="89"/>
      <c r="R304" s="89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</row>
    <row r="305" spans="1:45" ht="24" customHeight="1" x14ac:dyDescent="0.2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8"/>
      <c r="N305" s="88"/>
      <c r="O305" s="8"/>
      <c r="P305" s="8"/>
      <c r="Q305" s="89"/>
      <c r="R305" s="89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</row>
    <row r="306" spans="1:45" ht="24" customHeight="1" x14ac:dyDescent="0.2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8"/>
      <c r="N306" s="88"/>
      <c r="O306" s="8"/>
      <c r="P306" s="8"/>
      <c r="Q306" s="89"/>
      <c r="R306" s="89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</row>
    <row r="307" spans="1:45" ht="24" customHeight="1" x14ac:dyDescent="0.2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8"/>
      <c r="N307" s="88"/>
      <c r="O307" s="8"/>
      <c r="P307" s="8"/>
      <c r="Q307" s="89"/>
      <c r="R307" s="89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</row>
    <row r="308" spans="1:45" ht="24" customHeight="1" x14ac:dyDescent="0.2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8"/>
      <c r="N308" s="88"/>
      <c r="O308" s="8"/>
      <c r="P308" s="8"/>
      <c r="Q308" s="89"/>
      <c r="R308" s="89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</row>
    <row r="309" spans="1:45" ht="24" customHeight="1" x14ac:dyDescent="0.2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8"/>
      <c r="N309" s="88"/>
      <c r="O309" s="8"/>
      <c r="P309" s="8"/>
      <c r="Q309" s="89"/>
      <c r="R309" s="89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</row>
    <row r="310" spans="1:45" ht="24" customHeight="1" x14ac:dyDescent="0.2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8"/>
      <c r="N310" s="88"/>
      <c r="O310" s="8"/>
      <c r="P310" s="8"/>
      <c r="Q310" s="89"/>
      <c r="R310" s="89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</row>
    <row r="311" spans="1:45" ht="24" customHeight="1" x14ac:dyDescent="0.2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8"/>
      <c r="N311" s="88"/>
      <c r="O311" s="8"/>
      <c r="P311" s="8"/>
      <c r="Q311" s="89"/>
      <c r="R311" s="89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</row>
    <row r="312" spans="1:45" ht="24" customHeight="1" x14ac:dyDescent="0.2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8"/>
      <c r="N312" s="88"/>
      <c r="O312" s="8"/>
      <c r="P312" s="8"/>
      <c r="Q312" s="89"/>
      <c r="R312" s="89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</row>
    <row r="313" spans="1:45" ht="24" customHeight="1" x14ac:dyDescent="0.2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8"/>
      <c r="N313" s="88"/>
      <c r="O313" s="8"/>
      <c r="P313" s="8"/>
      <c r="Q313" s="89"/>
      <c r="R313" s="89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</row>
    <row r="314" spans="1:45" ht="12.75" x14ac:dyDescent="0.2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8"/>
      <c r="N314" s="88"/>
      <c r="O314" s="8"/>
      <c r="P314" s="8"/>
      <c r="Q314" s="89"/>
      <c r="R314" s="89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</row>
    <row r="315" spans="1:45" ht="12.75" x14ac:dyDescent="0.2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8"/>
      <c r="N315" s="88"/>
      <c r="O315" s="8"/>
      <c r="P315" s="8"/>
      <c r="Q315" s="89"/>
      <c r="R315" s="89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</row>
    <row r="316" spans="1:45" ht="12.75" x14ac:dyDescent="0.2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8"/>
      <c r="N316" s="88"/>
      <c r="O316" s="8"/>
      <c r="P316" s="8"/>
      <c r="Q316" s="89"/>
      <c r="R316" s="89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</row>
    <row r="317" spans="1:45" ht="12.75" x14ac:dyDescent="0.2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8"/>
      <c r="N317" s="88"/>
      <c r="O317" s="8"/>
      <c r="P317" s="8"/>
      <c r="Q317" s="89"/>
      <c r="R317" s="89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</row>
    <row r="318" spans="1:45" ht="12.75" x14ac:dyDescent="0.2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8"/>
      <c r="N318" s="88"/>
      <c r="O318" s="8"/>
      <c r="P318" s="8"/>
      <c r="Q318" s="89"/>
      <c r="R318" s="89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</row>
    <row r="319" spans="1:45" ht="12.75" x14ac:dyDescent="0.2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8"/>
      <c r="N319" s="88"/>
      <c r="O319" s="8"/>
      <c r="P319" s="8"/>
      <c r="Q319" s="89"/>
      <c r="R319" s="89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</row>
    <row r="320" spans="1:45" ht="12.75" x14ac:dyDescent="0.2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8"/>
      <c r="N320" s="88"/>
      <c r="O320" s="8"/>
      <c r="P320" s="8"/>
      <c r="Q320" s="89"/>
      <c r="R320" s="89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</row>
    <row r="321" spans="1:45" ht="12.75" x14ac:dyDescent="0.2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8"/>
      <c r="N321" s="88"/>
      <c r="O321" s="8"/>
      <c r="P321" s="8"/>
      <c r="Q321" s="89"/>
      <c r="R321" s="89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</row>
    <row r="322" spans="1:45" ht="12.75" x14ac:dyDescent="0.2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8"/>
      <c r="N322" s="88"/>
      <c r="O322" s="8"/>
      <c r="P322" s="8"/>
      <c r="Q322" s="89"/>
      <c r="R322" s="89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</row>
    <row r="323" spans="1:45" ht="12.75" x14ac:dyDescent="0.2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8"/>
      <c r="N323" s="88"/>
      <c r="O323" s="8"/>
      <c r="P323" s="8"/>
      <c r="Q323" s="89"/>
      <c r="R323" s="89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</row>
    <row r="324" spans="1:45" ht="12.75" x14ac:dyDescent="0.2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8"/>
      <c r="N324" s="88"/>
      <c r="O324" s="8"/>
      <c r="P324" s="8"/>
      <c r="Q324" s="89"/>
      <c r="R324" s="89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</row>
    <row r="325" spans="1:45" ht="12.75" x14ac:dyDescent="0.2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8"/>
      <c r="N325" s="88"/>
      <c r="O325" s="8"/>
      <c r="P325" s="8"/>
      <c r="Q325" s="89"/>
      <c r="R325" s="89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</row>
    <row r="326" spans="1:45" ht="12.75" x14ac:dyDescent="0.2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8"/>
      <c r="N326" s="88"/>
      <c r="O326" s="8"/>
      <c r="P326" s="8"/>
      <c r="Q326" s="89"/>
      <c r="R326" s="89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</row>
    <row r="327" spans="1:45" ht="12.75" x14ac:dyDescent="0.2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8"/>
      <c r="N327" s="88"/>
      <c r="O327" s="8"/>
      <c r="P327" s="8"/>
      <c r="Q327" s="89"/>
      <c r="R327" s="89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</row>
    <row r="328" spans="1:45" ht="12.75" x14ac:dyDescent="0.2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8"/>
      <c r="N328" s="88"/>
      <c r="O328" s="8"/>
      <c r="P328" s="8"/>
      <c r="Q328" s="89"/>
      <c r="R328" s="89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</row>
    <row r="329" spans="1:45" ht="12.75" x14ac:dyDescent="0.2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8"/>
      <c r="N329" s="88"/>
      <c r="O329" s="8"/>
      <c r="P329" s="8"/>
      <c r="Q329" s="89"/>
      <c r="R329" s="89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</row>
    <row r="330" spans="1:45" ht="12.75" x14ac:dyDescent="0.2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8"/>
      <c r="N330" s="88"/>
      <c r="O330" s="8"/>
      <c r="P330" s="8"/>
      <c r="Q330" s="89"/>
      <c r="R330" s="89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</row>
    <row r="331" spans="1:45" ht="12.75" x14ac:dyDescent="0.2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8"/>
      <c r="N331" s="88"/>
      <c r="O331" s="8"/>
      <c r="P331" s="8"/>
      <c r="Q331" s="89"/>
      <c r="R331" s="89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</row>
    <row r="332" spans="1:45" ht="12.75" x14ac:dyDescent="0.2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8"/>
      <c r="N332" s="88"/>
      <c r="O332" s="8"/>
      <c r="P332" s="8"/>
      <c r="Q332" s="89"/>
      <c r="R332" s="89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</row>
    <row r="333" spans="1:45" ht="12.75" x14ac:dyDescent="0.2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8"/>
      <c r="N333" s="88"/>
      <c r="O333" s="8"/>
      <c r="P333" s="8"/>
      <c r="Q333" s="89"/>
      <c r="R333" s="89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</row>
    <row r="334" spans="1:45" ht="12.75" x14ac:dyDescent="0.2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8"/>
      <c r="N334" s="88"/>
      <c r="O334" s="8"/>
      <c r="P334" s="8"/>
      <c r="Q334" s="89"/>
      <c r="R334" s="89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</row>
    <row r="335" spans="1:45" ht="12.75" x14ac:dyDescent="0.2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8"/>
      <c r="N335" s="88"/>
      <c r="O335" s="8"/>
      <c r="P335" s="8"/>
      <c r="Q335" s="89"/>
      <c r="R335" s="89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</row>
    <row r="336" spans="1:45" ht="12.75" x14ac:dyDescent="0.2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8"/>
      <c r="N336" s="88"/>
      <c r="O336" s="8"/>
      <c r="P336" s="8"/>
      <c r="Q336" s="89"/>
      <c r="R336" s="89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</row>
    <row r="337" spans="1:45" ht="12.75" x14ac:dyDescent="0.2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8"/>
      <c r="N337" s="88"/>
      <c r="O337" s="8"/>
      <c r="P337" s="8"/>
      <c r="Q337" s="89"/>
      <c r="R337" s="89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</row>
    <row r="338" spans="1:45" ht="12.75" x14ac:dyDescent="0.2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8"/>
      <c r="N338" s="88"/>
      <c r="O338" s="8"/>
      <c r="P338" s="8"/>
      <c r="Q338" s="89"/>
      <c r="R338" s="89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</row>
    <row r="339" spans="1:45" ht="12.75" x14ac:dyDescent="0.2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8"/>
      <c r="N339" s="88"/>
      <c r="O339" s="8"/>
      <c r="P339" s="8"/>
      <c r="Q339" s="89"/>
      <c r="R339" s="89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</row>
    <row r="340" spans="1:45" ht="12.75" x14ac:dyDescent="0.2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8"/>
      <c r="N340" s="88"/>
      <c r="O340" s="8"/>
      <c r="P340" s="8"/>
      <c r="Q340" s="89"/>
      <c r="R340" s="89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</row>
    <row r="341" spans="1:45" ht="12.75" x14ac:dyDescent="0.2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8"/>
      <c r="N341" s="88"/>
      <c r="O341" s="8"/>
      <c r="P341" s="8"/>
      <c r="Q341" s="89"/>
      <c r="R341" s="89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</row>
    <row r="342" spans="1:45" ht="12.75" x14ac:dyDescent="0.2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8"/>
      <c r="N342" s="88"/>
      <c r="O342" s="8"/>
      <c r="P342" s="8"/>
      <c r="Q342" s="89"/>
      <c r="R342" s="89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</row>
    <row r="343" spans="1:45" ht="12.75" x14ac:dyDescent="0.2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8"/>
      <c r="N343" s="88"/>
      <c r="O343" s="8"/>
      <c r="P343" s="8"/>
      <c r="Q343" s="89"/>
      <c r="R343" s="89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</row>
    <row r="344" spans="1:45" ht="12.75" x14ac:dyDescent="0.2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8"/>
      <c r="N344" s="88"/>
      <c r="O344" s="8"/>
      <c r="P344" s="8"/>
      <c r="Q344" s="89"/>
      <c r="R344" s="89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</row>
    <row r="345" spans="1:45" ht="12.75" x14ac:dyDescent="0.2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8"/>
      <c r="N345" s="88"/>
      <c r="O345" s="8"/>
      <c r="P345" s="8"/>
      <c r="Q345" s="89"/>
      <c r="R345" s="89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</row>
    <row r="346" spans="1:45" ht="12.75" x14ac:dyDescent="0.2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8"/>
      <c r="N346" s="88"/>
      <c r="O346" s="8"/>
      <c r="P346" s="8"/>
      <c r="Q346" s="89"/>
      <c r="R346" s="89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</row>
    <row r="347" spans="1:45" ht="12.75" x14ac:dyDescent="0.2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8"/>
      <c r="N347" s="88"/>
      <c r="O347" s="8"/>
      <c r="P347" s="8"/>
      <c r="Q347" s="89"/>
      <c r="R347" s="89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</row>
    <row r="348" spans="1:45" ht="12.75" x14ac:dyDescent="0.2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8"/>
      <c r="N348" s="88"/>
      <c r="O348" s="8"/>
      <c r="P348" s="8"/>
      <c r="Q348" s="89"/>
      <c r="R348" s="89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</row>
    <row r="349" spans="1:45" ht="12.75" x14ac:dyDescent="0.2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8"/>
      <c r="N349" s="88"/>
      <c r="O349" s="8"/>
      <c r="P349" s="8"/>
      <c r="Q349" s="89"/>
      <c r="R349" s="89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</row>
    <row r="350" spans="1:45" ht="12.75" x14ac:dyDescent="0.2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8"/>
      <c r="N350" s="88"/>
      <c r="O350" s="8"/>
      <c r="P350" s="8"/>
      <c r="Q350" s="89"/>
      <c r="R350" s="89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</row>
    <row r="351" spans="1:45" ht="12.75" x14ac:dyDescent="0.2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8"/>
      <c r="N351" s="88"/>
      <c r="O351" s="8"/>
      <c r="P351" s="8"/>
      <c r="Q351" s="89"/>
      <c r="R351" s="89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</row>
    <row r="352" spans="1:45" ht="12.75" x14ac:dyDescent="0.2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8"/>
      <c r="N352" s="88"/>
      <c r="O352" s="8"/>
      <c r="P352" s="8"/>
      <c r="Q352" s="89"/>
      <c r="R352" s="89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</row>
    <row r="353" spans="1:45" ht="12.75" x14ac:dyDescent="0.2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8"/>
      <c r="N353" s="88"/>
      <c r="O353" s="8"/>
      <c r="P353" s="8"/>
      <c r="Q353" s="89"/>
      <c r="R353" s="89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</row>
    <row r="354" spans="1:45" ht="12.75" x14ac:dyDescent="0.2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8"/>
      <c r="N354" s="88"/>
      <c r="O354" s="8"/>
      <c r="P354" s="8"/>
      <c r="Q354" s="89"/>
      <c r="R354" s="89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</row>
    <row r="355" spans="1:45" ht="12.75" x14ac:dyDescent="0.2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8"/>
      <c r="N355" s="88"/>
      <c r="O355" s="8"/>
      <c r="P355" s="8"/>
      <c r="Q355" s="89"/>
      <c r="R355" s="89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</row>
    <row r="356" spans="1:45" ht="12.75" x14ac:dyDescent="0.2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8"/>
      <c r="N356" s="88"/>
      <c r="O356" s="8"/>
      <c r="P356" s="8"/>
      <c r="Q356" s="89"/>
      <c r="R356" s="89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</row>
    <row r="357" spans="1:45" ht="12.75" x14ac:dyDescent="0.2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8"/>
      <c r="N357" s="88"/>
      <c r="O357" s="8"/>
      <c r="P357" s="8"/>
      <c r="Q357" s="89"/>
      <c r="R357" s="89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</row>
    <row r="358" spans="1:45" ht="12.75" x14ac:dyDescent="0.2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8"/>
      <c r="N358" s="88"/>
      <c r="O358" s="8"/>
      <c r="P358" s="8"/>
      <c r="Q358" s="89"/>
      <c r="R358" s="89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</row>
    <row r="359" spans="1:45" ht="12.75" x14ac:dyDescent="0.2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8"/>
      <c r="N359" s="88"/>
      <c r="O359" s="8"/>
      <c r="P359" s="8"/>
      <c r="Q359" s="89"/>
      <c r="R359" s="89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</row>
    <row r="360" spans="1:45" ht="12.75" x14ac:dyDescent="0.2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8"/>
      <c r="N360" s="88"/>
      <c r="O360" s="8"/>
      <c r="P360" s="8"/>
      <c r="Q360" s="89"/>
      <c r="R360" s="89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</row>
    <row r="361" spans="1:45" ht="12.75" x14ac:dyDescent="0.2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8"/>
      <c r="N361" s="88"/>
      <c r="O361" s="8"/>
      <c r="P361" s="8"/>
      <c r="Q361" s="89"/>
      <c r="R361" s="89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</row>
    <row r="362" spans="1:45" ht="12.75" x14ac:dyDescent="0.2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8"/>
      <c r="N362" s="88"/>
      <c r="O362" s="8"/>
      <c r="P362" s="8"/>
      <c r="Q362" s="89"/>
      <c r="R362" s="89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</row>
    <row r="363" spans="1:45" ht="12.75" x14ac:dyDescent="0.2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8"/>
      <c r="N363" s="88"/>
      <c r="O363" s="8"/>
      <c r="P363" s="8"/>
      <c r="Q363" s="89"/>
      <c r="R363" s="89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</row>
    <row r="364" spans="1:45" ht="12.75" x14ac:dyDescent="0.2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8"/>
      <c r="N364" s="88"/>
      <c r="O364" s="8"/>
      <c r="P364" s="8"/>
      <c r="Q364" s="89"/>
      <c r="R364" s="89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</row>
    <row r="365" spans="1:45" ht="12.75" x14ac:dyDescent="0.2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8"/>
      <c r="N365" s="88"/>
      <c r="O365" s="8"/>
      <c r="P365" s="8"/>
      <c r="Q365" s="89"/>
      <c r="R365" s="89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</row>
    <row r="366" spans="1:45" ht="12.75" x14ac:dyDescent="0.2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8"/>
      <c r="N366" s="88"/>
      <c r="O366" s="8"/>
      <c r="P366" s="8"/>
      <c r="Q366" s="89"/>
      <c r="R366" s="89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</row>
    <row r="367" spans="1:45" ht="12.75" x14ac:dyDescent="0.2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8"/>
      <c r="N367" s="88"/>
      <c r="O367" s="8"/>
      <c r="P367" s="8"/>
      <c r="Q367" s="89"/>
      <c r="R367" s="89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</row>
    <row r="368" spans="1:45" ht="12.75" x14ac:dyDescent="0.2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8"/>
      <c r="N368" s="88"/>
      <c r="O368" s="8"/>
      <c r="P368" s="8"/>
      <c r="Q368" s="89"/>
      <c r="R368" s="89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</row>
    <row r="369" spans="1:45" ht="12.75" x14ac:dyDescent="0.2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8"/>
      <c r="N369" s="88"/>
      <c r="O369" s="8"/>
      <c r="P369" s="8"/>
      <c r="Q369" s="89"/>
      <c r="R369" s="89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</row>
    <row r="370" spans="1:45" ht="12.75" x14ac:dyDescent="0.2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8"/>
      <c r="N370" s="88"/>
      <c r="O370" s="8"/>
      <c r="P370" s="8"/>
      <c r="Q370" s="89"/>
      <c r="R370" s="89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</row>
    <row r="371" spans="1:45" ht="12.75" x14ac:dyDescent="0.2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8"/>
      <c r="N371" s="88"/>
      <c r="O371" s="8"/>
      <c r="P371" s="8"/>
      <c r="Q371" s="89"/>
      <c r="R371" s="89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</row>
    <row r="372" spans="1:45" ht="12.75" x14ac:dyDescent="0.2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8"/>
      <c r="N372" s="88"/>
      <c r="O372" s="8"/>
      <c r="P372" s="8"/>
      <c r="Q372" s="89"/>
      <c r="R372" s="89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</row>
    <row r="373" spans="1:45" ht="12.75" x14ac:dyDescent="0.2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8"/>
      <c r="N373" s="88"/>
      <c r="O373" s="8"/>
      <c r="P373" s="8"/>
      <c r="Q373" s="89"/>
      <c r="R373" s="89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</row>
    <row r="374" spans="1:45" ht="12.75" x14ac:dyDescent="0.2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8"/>
      <c r="N374" s="88"/>
      <c r="O374" s="8"/>
      <c r="P374" s="8"/>
      <c r="Q374" s="89"/>
      <c r="R374" s="89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</row>
    <row r="375" spans="1:45" ht="12.75" x14ac:dyDescent="0.2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8"/>
      <c r="N375" s="88"/>
      <c r="O375" s="8"/>
      <c r="P375" s="8"/>
      <c r="Q375" s="89"/>
      <c r="R375" s="89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</row>
    <row r="376" spans="1:45" ht="12.75" x14ac:dyDescent="0.2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8"/>
      <c r="N376" s="88"/>
      <c r="O376" s="8"/>
      <c r="P376" s="8"/>
      <c r="Q376" s="89"/>
      <c r="R376" s="89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</row>
    <row r="377" spans="1:45" ht="12.75" x14ac:dyDescent="0.2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8"/>
      <c r="N377" s="88"/>
      <c r="O377" s="8"/>
      <c r="P377" s="8"/>
      <c r="Q377" s="89"/>
      <c r="R377" s="89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</row>
    <row r="378" spans="1:45" ht="12.75" x14ac:dyDescent="0.2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8"/>
      <c r="N378" s="88"/>
      <c r="O378" s="8"/>
      <c r="P378" s="8"/>
      <c r="Q378" s="89"/>
      <c r="R378" s="89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</row>
    <row r="379" spans="1:45" ht="12.75" x14ac:dyDescent="0.2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8"/>
      <c r="N379" s="88"/>
      <c r="O379" s="8"/>
      <c r="P379" s="8"/>
      <c r="Q379" s="89"/>
      <c r="R379" s="89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</row>
    <row r="380" spans="1:45" ht="12.75" x14ac:dyDescent="0.2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8"/>
      <c r="N380" s="88"/>
      <c r="O380" s="8"/>
      <c r="P380" s="8"/>
      <c r="Q380" s="89"/>
      <c r="R380" s="89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</row>
    <row r="381" spans="1:45" ht="12.75" x14ac:dyDescent="0.2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8"/>
      <c r="N381" s="88"/>
      <c r="O381" s="8"/>
      <c r="P381" s="8"/>
      <c r="Q381" s="89"/>
      <c r="R381" s="89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</row>
    <row r="382" spans="1:45" ht="12.75" x14ac:dyDescent="0.2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8"/>
      <c r="N382" s="88"/>
      <c r="O382" s="8"/>
      <c r="P382" s="8"/>
      <c r="Q382" s="89"/>
      <c r="R382" s="89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</row>
    <row r="383" spans="1:45" ht="12.75" x14ac:dyDescent="0.2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8"/>
      <c r="N383" s="88"/>
      <c r="O383" s="8"/>
      <c r="P383" s="8"/>
      <c r="Q383" s="89"/>
      <c r="R383" s="89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</row>
    <row r="384" spans="1:45" ht="12.75" x14ac:dyDescent="0.2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8"/>
      <c r="N384" s="88"/>
      <c r="O384" s="8"/>
      <c r="P384" s="8"/>
      <c r="Q384" s="89"/>
      <c r="R384" s="89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</row>
    <row r="385" spans="1:45" ht="12.75" x14ac:dyDescent="0.2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8"/>
      <c r="N385" s="88"/>
      <c r="O385" s="8"/>
      <c r="P385" s="8"/>
      <c r="Q385" s="89"/>
      <c r="R385" s="89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</row>
    <row r="386" spans="1:45" ht="12.75" x14ac:dyDescent="0.2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8"/>
      <c r="N386" s="88"/>
      <c r="O386" s="8"/>
      <c r="P386" s="8"/>
      <c r="Q386" s="89"/>
      <c r="R386" s="89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</row>
    <row r="387" spans="1:45" ht="12.75" x14ac:dyDescent="0.2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8"/>
      <c r="N387" s="88"/>
      <c r="O387" s="8"/>
      <c r="P387" s="8"/>
      <c r="Q387" s="89"/>
      <c r="R387" s="89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</row>
    <row r="388" spans="1:45" ht="12.75" x14ac:dyDescent="0.2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8"/>
      <c r="N388" s="88"/>
      <c r="O388" s="8"/>
      <c r="P388" s="8"/>
      <c r="Q388" s="89"/>
      <c r="R388" s="89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</row>
    <row r="389" spans="1:45" ht="12.75" x14ac:dyDescent="0.2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8"/>
      <c r="N389" s="88"/>
      <c r="O389" s="8"/>
      <c r="P389" s="8"/>
      <c r="Q389" s="89"/>
      <c r="R389" s="89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</row>
    <row r="390" spans="1:45" ht="12.75" x14ac:dyDescent="0.2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8"/>
      <c r="N390" s="88"/>
      <c r="O390" s="8"/>
      <c r="P390" s="8"/>
      <c r="Q390" s="89"/>
      <c r="R390" s="89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</row>
    <row r="391" spans="1:45" ht="12.75" x14ac:dyDescent="0.2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8"/>
      <c r="N391" s="88"/>
      <c r="O391" s="8"/>
      <c r="P391" s="8"/>
      <c r="Q391" s="89"/>
      <c r="R391" s="89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</row>
    <row r="392" spans="1:45" ht="12.75" x14ac:dyDescent="0.2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8"/>
      <c r="N392" s="88"/>
      <c r="O392" s="8"/>
      <c r="P392" s="8"/>
      <c r="Q392" s="89"/>
      <c r="R392" s="89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</row>
    <row r="393" spans="1:45" ht="12.75" x14ac:dyDescent="0.2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8"/>
      <c r="N393" s="88"/>
      <c r="O393" s="8"/>
      <c r="P393" s="8"/>
      <c r="Q393" s="89"/>
      <c r="R393" s="89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</row>
    <row r="394" spans="1:45" ht="12.75" x14ac:dyDescent="0.2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8"/>
      <c r="N394" s="88"/>
      <c r="O394" s="8"/>
      <c r="P394" s="8"/>
      <c r="Q394" s="89"/>
      <c r="R394" s="89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</row>
    <row r="395" spans="1:45" ht="12.75" x14ac:dyDescent="0.2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8"/>
      <c r="N395" s="88"/>
      <c r="O395" s="8"/>
      <c r="P395" s="8"/>
      <c r="Q395" s="89"/>
      <c r="R395" s="89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</row>
    <row r="396" spans="1:45" ht="12.75" x14ac:dyDescent="0.2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8"/>
      <c r="N396" s="88"/>
      <c r="O396" s="8"/>
      <c r="P396" s="8"/>
      <c r="Q396" s="89"/>
      <c r="R396" s="89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</row>
    <row r="397" spans="1:45" ht="12.75" x14ac:dyDescent="0.2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8"/>
      <c r="N397" s="88"/>
      <c r="O397" s="8"/>
      <c r="P397" s="8"/>
      <c r="Q397" s="89"/>
      <c r="R397" s="89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</row>
    <row r="398" spans="1:45" ht="12.75" x14ac:dyDescent="0.2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8"/>
      <c r="N398" s="88"/>
      <c r="O398" s="8"/>
      <c r="P398" s="8"/>
      <c r="Q398" s="89"/>
      <c r="R398" s="89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</row>
    <row r="399" spans="1:45" ht="12.75" x14ac:dyDescent="0.2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8"/>
      <c r="N399" s="88"/>
      <c r="O399" s="8"/>
      <c r="P399" s="8"/>
      <c r="Q399" s="89"/>
      <c r="R399" s="89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</row>
    <row r="400" spans="1:45" ht="12.75" x14ac:dyDescent="0.2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8"/>
      <c r="N400" s="88"/>
      <c r="O400" s="8"/>
      <c r="P400" s="8"/>
      <c r="Q400" s="89"/>
      <c r="R400" s="89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</row>
    <row r="401" spans="1:45" ht="12.75" x14ac:dyDescent="0.2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8"/>
      <c r="N401" s="88"/>
      <c r="O401" s="8"/>
      <c r="P401" s="8"/>
      <c r="Q401" s="89"/>
      <c r="R401" s="89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</row>
    <row r="402" spans="1:45" ht="12.75" x14ac:dyDescent="0.2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8"/>
      <c r="N402" s="88"/>
      <c r="O402" s="8"/>
      <c r="P402" s="8"/>
      <c r="Q402" s="89"/>
      <c r="R402" s="89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</row>
    <row r="403" spans="1:45" ht="12.75" x14ac:dyDescent="0.2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8"/>
      <c r="N403" s="88"/>
      <c r="O403" s="8"/>
      <c r="P403" s="8"/>
      <c r="Q403" s="89"/>
      <c r="R403" s="89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</row>
    <row r="404" spans="1:45" ht="12.75" x14ac:dyDescent="0.2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8"/>
      <c r="N404" s="88"/>
      <c r="O404" s="8"/>
      <c r="P404" s="8"/>
      <c r="Q404" s="89"/>
      <c r="R404" s="89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</row>
    <row r="405" spans="1:45" ht="12.75" x14ac:dyDescent="0.2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8"/>
      <c r="N405" s="88"/>
      <c r="O405" s="8"/>
      <c r="P405" s="8"/>
      <c r="Q405" s="89"/>
      <c r="R405" s="89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</row>
    <row r="406" spans="1:45" ht="12.75" x14ac:dyDescent="0.2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8"/>
      <c r="N406" s="88"/>
      <c r="O406" s="8"/>
      <c r="P406" s="8"/>
      <c r="Q406" s="89"/>
      <c r="R406" s="89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</row>
    <row r="407" spans="1:45" ht="12.75" x14ac:dyDescent="0.2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8"/>
      <c r="N407" s="88"/>
      <c r="O407" s="8"/>
      <c r="P407" s="8"/>
      <c r="Q407" s="89"/>
      <c r="R407" s="89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</row>
    <row r="408" spans="1:45" ht="12.75" x14ac:dyDescent="0.2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8"/>
      <c r="N408" s="88"/>
      <c r="O408" s="8"/>
      <c r="P408" s="8"/>
      <c r="Q408" s="89"/>
      <c r="R408" s="89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</row>
    <row r="409" spans="1:45" ht="12.75" x14ac:dyDescent="0.2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8"/>
      <c r="N409" s="88"/>
      <c r="O409" s="8"/>
      <c r="P409" s="8"/>
      <c r="Q409" s="89"/>
      <c r="R409" s="89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</row>
    <row r="410" spans="1:45" ht="12.75" x14ac:dyDescent="0.2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8"/>
      <c r="N410" s="88"/>
      <c r="O410" s="8"/>
      <c r="P410" s="8"/>
      <c r="Q410" s="89"/>
      <c r="R410" s="89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</row>
    <row r="411" spans="1:45" ht="12.75" x14ac:dyDescent="0.2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8"/>
      <c r="N411" s="88"/>
      <c r="O411" s="8"/>
      <c r="P411" s="8"/>
      <c r="Q411" s="89"/>
      <c r="R411" s="89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</row>
    <row r="412" spans="1:45" ht="12.75" x14ac:dyDescent="0.2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8"/>
      <c r="N412" s="88"/>
      <c r="O412" s="8"/>
      <c r="P412" s="8"/>
      <c r="Q412" s="89"/>
      <c r="R412" s="89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</row>
    <row r="413" spans="1:45" ht="12.75" x14ac:dyDescent="0.2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8"/>
      <c r="N413" s="88"/>
      <c r="O413" s="8"/>
      <c r="P413" s="8"/>
      <c r="Q413" s="89"/>
      <c r="R413" s="89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</row>
    <row r="414" spans="1:45" ht="12.75" x14ac:dyDescent="0.2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8"/>
      <c r="N414" s="88"/>
      <c r="O414" s="8"/>
      <c r="P414" s="8"/>
      <c r="Q414" s="89"/>
      <c r="R414" s="89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</row>
    <row r="415" spans="1:45" ht="12.75" x14ac:dyDescent="0.2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8"/>
      <c r="N415" s="88"/>
      <c r="O415" s="8"/>
      <c r="P415" s="8"/>
      <c r="Q415" s="89"/>
      <c r="R415" s="89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</row>
    <row r="416" spans="1:45" ht="12.75" x14ac:dyDescent="0.2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8"/>
      <c r="N416" s="88"/>
      <c r="O416" s="8"/>
      <c r="P416" s="8"/>
      <c r="Q416" s="89"/>
      <c r="R416" s="89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</row>
    <row r="417" spans="1:45" ht="12.75" x14ac:dyDescent="0.2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8"/>
      <c r="N417" s="88"/>
      <c r="O417" s="8"/>
      <c r="P417" s="8"/>
      <c r="Q417" s="89"/>
      <c r="R417" s="89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</row>
    <row r="418" spans="1:45" ht="12.75" x14ac:dyDescent="0.2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8"/>
      <c r="N418" s="88"/>
      <c r="O418" s="8"/>
      <c r="P418" s="8"/>
      <c r="Q418" s="89"/>
      <c r="R418" s="89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</row>
    <row r="419" spans="1:45" ht="12.75" x14ac:dyDescent="0.2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8"/>
      <c r="N419" s="88"/>
      <c r="O419" s="8"/>
      <c r="P419" s="8"/>
      <c r="Q419" s="89"/>
      <c r="R419" s="89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</row>
    <row r="420" spans="1:45" ht="12.75" x14ac:dyDescent="0.2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8"/>
      <c r="N420" s="88"/>
      <c r="O420" s="8"/>
      <c r="P420" s="8"/>
      <c r="Q420" s="89"/>
      <c r="R420" s="89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</row>
    <row r="421" spans="1:45" ht="12.75" x14ac:dyDescent="0.2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8"/>
      <c r="N421" s="88"/>
      <c r="O421" s="8"/>
      <c r="P421" s="8"/>
      <c r="Q421" s="89"/>
      <c r="R421" s="89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</row>
    <row r="422" spans="1:45" ht="12.75" x14ac:dyDescent="0.2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8"/>
      <c r="N422" s="88"/>
      <c r="O422" s="8"/>
      <c r="P422" s="8"/>
      <c r="Q422" s="89"/>
      <c r="R422" s="89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</row>
    <row r="423" spans="1:45" ht="12.75" x14ac:dyDescent="0.2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8"/>
      <c r="N423" s="88"/>
      <c r="O423" s="8"/>
      <c r="P423" s="8"/>
      <c r="Q423" s="89"/>
      <c r="R423" s="89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</row>
    <row r="424" spans="1:45" ht="12.75" x14ac:dyDescent="0.2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8"/>
      <c r="N424" s="88"/>
      <c r="O424" s="8"/>
      <c r="P424" s="8"/>
      <c r="Q424" s="89"/>
      <c r="R424" s="89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</row>
    <row r="425" spans="1:45" ht="12.75" x14ac:dyDescent="0.2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8"/>
      <c r="N425" s="88"/>
      <c r="O425" s="8"/>
      <c r="P425" s="8"/>
      <c r="Q425" s="89"/>
      <c r="R425" s="89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</row>
    <row r="426" spans="1:45" ht="12.75" x14ac:dyDescent="0.2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8"/>
      <c r="N426" s="88"/>
      <c r="O426" s="8"/>
      <c r="P426" s="8"/>
      <c r="Q426" s="89"/>
      <c r="R426" s="89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</row>
    <row r="427" spans="1:45" ht="12.75" x14ac:dyDescent="0.2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8"/>
      <c r="N427" s="88"/>
      <c r="O427" s="8"/>
      <c r="P427" s="8"/>
      <c r="Q427" s="89"/>
      <c r="R427" s="89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</row>
    <row r="428" spans="1:45" ht="12.75" x14ac:dyDescent="0.2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8"/>
      <c r="N428" s="88"/>
      <c r="O428" s="8"/>
      <c r="P428" s="8"/>
      <c r="Q428" s="89"/>
      <c r="R428" s="89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</row>
    <row r="429" spans="1:45" ht="12.75" x14ac:dyDescent="0.2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8"/>
      <c r="N429" s="88"/>
      <c r="O429" s="8"/>
      <c r="P429" s="8"/>
      <c r="Q429" s="89"/>
      <c r="R429" s="89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</row>
    <row r="430" spans="1:45" ht="12.75" x14ac:dyDescent="0.2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8"/>
      <c r="N430" s="88"/>
      <c r="O430" s="8"/>
      <c r="P430" s="8"/>
      <c r="Q430" s="89"/>
      <c r="R430" s="89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</row>
    <row r="431" spans="1:45" ht="12.75" x14ac:dyDescent="0.2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8"/>
      <c r="N431" s="88"/>
      <c r="O431" s="8"/>
      <c r="P431" s="8"/>
      <c r="Q431" s="89"/>
      <c r="R431" s="89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</row>
    <row r="432" spans="1:45" ht="12.75" x14ac:dyDescent="0.2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8"/>
      <c r="N432" s="88"/>
      <c r="O432" s="8"/>
      <c r="P432" s="8"/>
      <c r="Q432" s="89"/>
      <c r="R432" s="89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</row>
    <row r="433" spans="1:45" ht="12.75" x14ac:dyDescent="0.2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8"/>
      <c r="N433" s="88"/>
      <c r="O433" s="8"/>
      <c r="P433" s="8"/>
      <c r="Q433" s="89"/>
      <c r="R433" s="89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</row>
    <row r="434" spans="1:45" ht="12.75" x14ac:dyDescent="0.2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8"/>
      <c r="N434" s="88"/>
      <c r="O434" s="8"/>
      <c r="P434" s="8"/>
      <c r="Q434" s="89"/>
      <c r="R434" s="89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</row>
    <row r="435" spans="1:45" ht="12.75" x14ac:dyDescent="0.2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8"/>
      <c r="N435" s="88"/>
      <c r="O435" s="8"/>
      <c r="P435" s="8"/>
      <c r="Q435" s="89"/>
      <c r="R435" s="89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</row>
    <row r="436" spans="1:45" ht="12.75" x14ac:dyDescent="0.2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8"/>
      <c r="N436" s="88"/>
      <c r="O436" s="8"/>
      <c r="P436" s="8"/>
      <c r="Q436" s="89"/>
      <c r="R436" s="89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</row>
    <row r="437" spans="1:45" ht="12.75" x14ac:dyDescent="0.2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8"/>
      <c r="N437" s="88"/>
      <c r="O437" s="8"/>
      <c r="P437" s="8"/>
      <c r="Q437" s="89"/>
      <c r="R437" s="89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</row>
    <row r="438" spans="1:45" ht="12.75" x14ac:dyDescent="0.2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8"/>
      <c r="N438" s="88"/>
      <c r="O438" s="8"/>
      <c r="P438" s="8"/>
      <c r="Q438" s="89"/>
      <c r="R438" s="89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</row>
    <row r="439" spans="1:45" ht="12.75" x14ac:dyDescent="0.2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8"/>
      <c r="N439" s="88"/>
      <c r="O439" s="8"/>
      <c r="P439" s="8"/>
      <c r="Q439" s="89"/>
      <c r="R439" s="89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</row>
    <row r="440" spans="1:45" ht="12.75" x14ac:dyDescent="0.2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8"/>
      <c r="N440" s="88"/>
      <c r="O440" s="8"/>
      <c r="P440" s="8"/>
      <c r="Q440" s="89"/>
      <c r="R440" s="89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</row>
    <row r="441" spans="1:45" ht="12.75" x14ac:dyDescent="0.2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8"/>
      <c r="N441" s="88"/>
      <c r="O441" s="8"/>
      <c r="P441" s="8"/>
      <c r="Q441" s="89"/>
      <c r="R441" s="89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</row>
    <row r="442" spans="1:45" ht="12.75" x14ac:dyDescent="0.2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8"/>
      <c r="N442" s="88"/>
      <c r="O442" s="8"/>
      <c r="P442" s="8"/>
      <c r="Q442" s="89"/>
      <c r="R442" s="89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</row>
    <row r="443" spans="1:45" ht="12.75" x14ac:dyDescent="0.2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8"/>
      <c r="N443" s="88"/>
      <c r="O443" s="8"/>
      <c r="P443" s="8"/>
      <c r="Q443" s="89"/>
      <c r="R443" s="89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</row>
    <row r="444" spans="1:45" ht="12.75" x14ac:dyDescent="0.2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8"/>
      <c r="N444" s="88"/>
      <c r="O444" s="8"/>
      <c r="P444" s="8"/>
      <c r="Q444" s="89"/>
      <c r="R444" s="89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</row>
    <row r="445" spans="1:45" ht="12.75" x14ac:dyDescent="0.2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8"/>
      <c r="N445" s="88"/>
      <c r="O445" s="8"/>
      <c r="P445" s="8"/>
      <c r="Q445" s="89"/>
      <c r="R445" s="89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</row>
    <row r="446" spans="1:45" ht="12.75" x14ac:dyDescent="0.2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8"/>
      <c r="N446" s="88"/>
      <c r="O446" s="8"/>
      <c r="P446" s="8"/>
      <c r="Q446" s="89"/>
      <c r="R446" s="89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</row>
    <row r="447" spans="1:45" ht="12.75" x14ac:dyDescent="0.2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8"/>
      <c r="N447" s="88"/>
      <c r="O447" s="8"/>
      <c r="P447" s="8"/>
      <c r="Q447" s="89"/>
      <c r="R447" s="89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</row>
    <row r="448" spans="1:45" ht="12.75" x14ac:dyDescent="0.2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8"/>
      <c r="N448" s="88"/>
      <c r="O448" s="8"/>
      <c r="P448" s="8"/>
      <c r="Q448" s="89"/>
      <c r="R448" s="89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</row>
    <row r="449" spans="1:45" ht="12.75" x14ac:dyDescent="0.2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8"/>
      <c r="N449" s="88"/>
      <c r="O449" s="8"/>
      <c r="P449" s="8"/>
      <c r="Q449" s="89"/>
      <c r="R449" s="89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</row>
    <row r="450" spans="1:45" ht="12.75" x14ac:dyDescent="0.2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8"/>
      <c r="N450" s="88"/>
      <c r="O450" s="8"/>
      <c r="P450" s="8"/>
      <c r="Q450" s="89"/>
      <c r="R450" s="89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</row>
    <row r="451" spans="1:45" ht="12.75" x14ac:dyDescent="0.2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8"/>
      <c r="N451" s="88"/>
      <c r="O451" s="8"/>
      <c r="P451" s="8"/>
      <c r="Q451" s="89"/>
      <c r="R451" s="89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</row>
    <row r="452" spans="1:45" ht="12.75" x14ac:dyDescent="0.2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8"/>
      <c r="N452" s="88"/>
      <c r="O452" s="8"/>
      <c r="P452" s="8"/>
      <c r="Q452" s="89"/>
      <c r="R452" s="89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</row>
    <row r="453" spans="1:45" ht="12.75" x14ac:dyDescent="0.2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8"/>
      <c r="N453" s="88"/>
      <c r="O453" s="8"/>
      <c r="P453" s="8"/>
      <c r="Q453" s="89"/>
      <c r="R453" s="89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</row>
    <row r="454" spans="1:45" ht="12.75" x14ac:dyDescent="0.2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8"/>
      <c r="N454" s="88"/>
      <c r="O454" s="8"/>
      <c r="P454" s="8"/>
      <c r="Q454" s="89"/>
      <c r="R454" s="89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</row>
    <row r="455" spans="1:45" ht="12.75" x14ac:dyDescent="0.2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8"/>
      <c r="N455" s="88"/>
      <c r="O455" s="8"/>
      <c r="P455" s="8"/>
      <c r="Q455" s="89"/>
      <c r="R455" s="89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</row>
    <row r="456" spans="1:45" ht="12.75" x14ac:dyDescent="0.2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8"/>
      <c r="N456" s="88"/>
      <c r="O456" s="8"/>
      <c r="P456" s="8"/>
      <c r="Q456" s="89"/>
      <c r="R456" s="89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</row>
    <row r="457" spans="1:45" ht="12.75" x14ac:dyDescent="0.2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8"/>
      <c r="N457" s="88"/>
      <c r="O457" s="8"/>
      <c r="P457" s="8"/>
      <c r="Q457" s="89"/>
      <c r="R457" s="89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</row>
    <row r="458" spans="1:45" ht="12.75" x14ac:dyDescent="0.2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8"/>
      <c r="N458" s="88"/>
      <c r="O458" s="8"/>
      <c r="P458" s="8"/>
      <c r="Q458" s="89"/>
      <c r="R458" s="89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</row>
    <row r="459" spans="1:45" ht="12.75" x14ac:dyDescent="0.2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8"/>
      <c r="N459" s="88"/>
      <c r="O459" s="8"/>
      <c r="P459" s="8"/>
      <c r="Q459" s="89"/>
      <c r="R459" s="89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</row>
    <row r="460" spans="1:45" ht="12.75" x14ac:dyDescent="0.2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8"/>
      <c r="N460" s="88"/>
      <c r="O460" s="8"/>
      <c r="P460" s="8"/>
      <c r="Q460" s="89"/>
      <c r="R460" s="89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</row>
    <row r="461" spans="1:45" ht="12.75" x14ac:dyDescent="0.2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8"/>
      <c r="N461" s="88"/>
      <c r="O461" s="8"/>
      <c r="P461" s="8"/>
      <c r="Q461" s="89"/>
      <c r="R461" s="89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</row>
    <row r="462" spans="1:45" ht="12.75" x14ac:dyDescent="0.2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8"/>
      <c r="N462" s="88"/>
      <c r="O462" s="8"/>
      <c r="P462" s="8"/>
      <c r="Q462" s="89"/>
      <c r="R462" s="89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</row>
    <row r="463" spans="1:45" ht="12.75" x14ac:dyDescent="0.2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8"/>
      <c r="N463" s="88"/>
      <c r="O463" s="8"/>
      <c r="P463" s="8"/>
      <c r="Q463" s="89"/>
      <c r="R463" s="89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</row>
    <row r="464" spans="1:45" ht="12.75" x14ac:dyDescent="0.2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8"/>
      <c r="N464" s="88"/>
      <c r="O464" s="8"/>
      <c r="P464" s="8"/>
      <c r="Q464" s="89"/>
      <c r="R464" s="89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</row>
    <row r="465" spans="1:45" ht="12.75" x14ac:dyDescent="0.2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8"/>
      <c r="N465" s="88"/>
      <c r="O465" s="8"/>
      <c r="P465" s="8"/>
      <c r="Q465" s="89"/>
      <c r="R465" s="89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</row>
    <row r="466" spans="1:45" ht="12.75" x14ac:dyDescent="0.2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8"/>
      <c r="N466" s="88"/>
      <c r="O466" s="8"/>
      <c r="P466" s="8"/>
      <c r="Q466" s="89"/>
      <c r="R466" s="89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</row>
    <row r="467" spans="1:45" ht="12.75" x14ac:dyDescent="0.2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8"/>
      <c r="N467" s="88"/>
      <c r="O467" s="8"/>
      <c r="P467" s="8"/>
      <c r="Q467" s="89"/>
      <c r="R467" s="89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</row>
    <row r="468" spans="1:45" ht="12.75" x14ac:dyDescent="0.2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8"/>
      <c r="N468" s="88"/>
      <c r="O468" s="8"/>
      <c r="P468" s="8"/>
      <c r="Q468" s="89"/>
      <c r="R468" s="89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</row>
    <row r="469" spans="1:45" ht="12.75" x14ac:dyDescent="0.2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8"/>
      <c r="N469" s="88"/>
      <c r="O469" s="8"/>
      <c r="P469" s="8"/>
      <c r="Q469" s="89"/>
      <c r="R469" s="89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</row>
    <row r="470" spans="1:45" ht="12.75" x14ac:dyDescent="0.2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8"/>
      <c r="N470" s="88"/>
      <c r="O470" s="8"/>
      <c r="P470" s="8"/>
      <c r="Q470" s="89"/>
      <c r="R470" s="89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</row>
    <row r="471" spans="1:45" ht="12.75" x14ac:dyDescent="0.2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8"/>
      <c r="N471" s="88"/>
      <c r="O471" s="8"/>
      <c r="P471" s="8"/>
      <c r="Q471" s="89"/>
      <c r="R471" s="89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</row>
    <row r="472" spans="1:45" ht="12.75" x14ac:dyDescent="0.2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8"/>
      <c r="N472" s="88"/>
      <c r="O472" s="8"/>
      <c r="P472" s="8"/>
      <c r="Q472" s="89"/>
      <c r="R472" s="89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</row>
    <row r="473" spans="1:45" ht="12.75" x14ac:dyDescent="0.2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8"/>
      <c r="N473" s="88"/>
      <c r="O473" s="8"/>
      <c r="P473" s="8"/>
      <c r="Q473" s="89"/>
      <c r="R473" s="89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</row>
    <row r="474" spans="1:45" ht="12.75" x14ac:dyDescent="0.2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8"/>
      <c r="N474" s="88"/>
      <c r="O474" s="8"/>
      <c r="P474" s="8"/>
      <c r="Q474" s="89"/>
      <c r="R474" s="89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</row>
    <row r="475" spans="1:45" ht="12.75" x14ac:dyDescent="0.2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8"/>
      <c r="N475" s="88"/>
      <c r="O475" s="8"/>
      <c r="P475" s="8"/>
      <c r="Q475" s="89"/>
      <c r="R475" s="89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</row>
    <row r="476" spans="1:45" ht="12.75" x14ac:dyDescent="0.2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8"/>
      <c r="N476" s="88"/>
      <c r="O476" s="8"/>
      <c r="P476" s="8"/>
      <c r="Q476" s="89"/>
      <c r="R476" s="89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</row>
    <row r="477" spans="1:45" ht="12.75" x14ac:dyDescent="0.2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8"/>
      <c r="N477" s="88"/>
      <c r="O477" s="8"/>
      <c r="P477" s="8"/>
      <c r="Q477" s="89"/>
      <c r="R477" s="89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</row>
    <row r="478" spans="1:45" ht="12.75" x14ac:dyDescent="0.2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8"/>
      <c r="N478" s="88"/>
      <c r="O478" s="8"/>
      <c r="P478" s="8"/>
      <c r="Q478" s="89"/>
      <c r="R478" s="89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</row>
    <row r="479" spans="1:45" ht="12.75" x14ac:dyDescent="0.2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8"/>
      <c r="N479" s="88"/>
      <c r="O479" s="8"/>
      <c r="P479" s="8"/>
      <c r="Q479" s="89"/>
      <c r="R479" s="89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</row>
    <row r="480" spans="1:45" ht="12.75" x14ac:dyDescent="0.2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8"/>
      <c r="N480" s="88"/>
      <c r="O480" s="8"/>
      <c r="P480" s="8"/>
      <c r="Q480" s="89"/>
      <c r="R480" s="89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</row>
    <row r="481" spans="1:45" ht="12.75" x14ac:dyDescent="0.2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8"/>
      <c r="N481" s="88"/>
      <c r="O481" s="8"/>
      <c r="P481" s="8"/>
      <c r="Q481" s="89"/>
      <c r="R481" s="89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</row>
    <row r="482" spans="1:45" ht="12.75" x14ac:dyDescent="0.2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8"/>
      <c r="N482" s="88"/>
      <c r="O482" s="8"/>
      <c r="P482" s="8"/>
      <c r="Q482" s="89"/>
      <c r="R482" s="89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</row>
    <row r="483" spans="1:45" ht="12.75" x14ac:dyDescent="0.2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8"/>
      <c r="N483" s="88"/>
      <c r="O483" s="8"/>
      <c r="P483" s="8"/>
      <c r="Q483" s="89"/>
      <c r="R483" s="89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</row>
    <row r="484" spans="1:45" ht="12.75" x14ac:dyDescent="0.2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8"/>
      <c r="N484" s="88"/>
      <c r="O484" s="8"/>
      <c r="P484" s="8"/>
      <c r="Q484" s="89"/>
      <c r="R484" s="89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</row>
    <row r="485" spans="1:45" ht="12.75" x14ac:dyDescent="0.2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8"/>
      <c r="N485" s="88"/>
      <c r="O485" s="8"/>
      <c r="P485" s="8"/>
      <c r="Q485" s="89"/>
      <c r="R485" s="89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</row>
    <row r="486" spans="1:45" ht="12.75" x14ac:dyDescent="0.2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8"/>
      <c r="N486" s="88"/>
      <c r="O486" s="8"/>
      <c r="P486" s="8"/>
      <c r="Q486" s="89"/>
      <c r="R486" s="89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</row>
    <row r="487" spans="1:45" ht="12.75" x14ac:dyDescent="0.2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8"/>
      <c r="N487" s="88"/>
      <c r="O487" s="8"/>
      <c r="P487" s="8"/>
      <c r="Q487" s="89"/>
      <c r="R487" s="89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</row>
    <row r="488" spans="1:45" ht="12.75" x14ac:dyDescent="0.2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8"/>
      <c r="N488" s="88"/>
      <c r="O488" s="8"/>
      <c r="P488" s="8"/>
      <c r="Q488" s="89"/>
      <c r="R488" s="89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</row>
    <row r="489" spans="1:45" ht="12.75" x14ac:dyDescent="0.2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8"/>
      <c r="N489" s="88"/>
      <c r="O489" s="8"/>
      <c r="P489" s="8"/>
      <c r="Q489" s="89"/>
      <c r="R489" s="89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</row>
    <row r="490" spans="1:45" ht="12.75" x14ac:dyDescent="0.2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8"/>
      <c r="N490" s="88"/>
      <c r="O490" s="8"/>
      <c r="P490" s="8"/>
      <c r="Q490" s="89"/>
      <c r="R490" s="89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</row>
    <row r="491" spans="1:45" ht="12.75" x14ac:dyDescent="0.2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8"/>
      <c r="N491" s="88"/>
      <c r="O491" s="8"/>
      <c r="P491" s="8"/>
      <c r="Q491" s="89"/>
      <c r="R491" s="89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</row>
    <row r="492" spans="1:45" ht="12.75" x14ac:dyDescent="0.2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8"/>
      <c r="N492" s="88"/>
      <c r="O492" s="8"/>
      <c r="P492" s="8"/>
      <c r="Q492" s="89"/>
      <c r="R492" s="89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</row>
    <row r="493" spans="1:45" ht="12.75" x14ac:dyDescent="0.2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8"/>
      <c r="N493" s="88"/>
      <c r="O493" s="8"/>
      <c r="P493" s="8"/>
      <c r="Q493" s="89"/>
      <c r="R493" s="89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</row>
    <row r="494" spans="1:45" ht="12.75" x14ac:dyDescent="0.2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8"/>
      <c r="N494" s="88"/>
      <c r="O494" s="8"/>
      <c r="P494" s="8"/>
      <c r="Q494" s="89"/>
      <c r="R494" s="89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</row>
    <row r="495" spans="1:45" ht="12.75" x14ac:dyDescent="0.2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8"/>
      <c r="N495" s="88"/>
      <c r="O495" s="8"/>
      <c r="P495" s="8"/>
      <c r="Q495" s="89"/>
      <c r="R495" s="89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</row>
    <row r="496" spans="1:45" ht="12.75" x14ac:dyDescent="0.2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8"/>
      <c r="N496" s="88"/>
      <c r="O496" s="8"/>
      <c r="P496" s="8"/>
      <c r="Q496" s="89"/>
      <c r="R496" s="89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</row>
    <row r="497" spans="1:45" ht="12.75" x14ac:dyDescent="0.2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8"/>
      <c r="N497" s="88"/>
      <c r="O497" s="8"/>
      <c r="P497" s="8"/>
      <c r="Q497" s="89"/>
      <c r="R497" s="89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</row>
    <row r="498" spans="1:45" ht="12.75" x14ac:dyDescent="0.2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8"/>
      <c r="N498" s="88"/>
      <c r="O498" s="8"/>
      <c r="P498" s="8"/>
      <c r="Q498" s="89"/>
      <c r="R498" s="89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</row>
    <row r="499" spans="1:45" ht="12.75" x14ac:dyDescent="0.2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8"/>
      <c r="N499" s="88"/>
      <c r="O499" s="8"/>
      <c r="P499" s="8"/>
      <c r="Q499" s="89"/>
      <c r="R499" s="89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</row>
    <row r="500" spans="1:45" ht="12.75" x14ac:dyDescent="0.2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8"/>
      <c r="N500" s="88"/>
      <c r="O500" s="8"/>
      <c r="P500" s="8"/>
      <c r="Q500" s="89"/>
      <c r="R500" s="89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</row>
    <row r="501" spans="1:45" ht="12.75" x14ac:dyDescent="0.2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8"/>
      <c r="N501" s="88"/>
      <c r="O501" s="8"/>
      <c r="P501" s="8"/>
      <c r="Q501" s="89"/>
      <c r="R501" s="89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</row>
    <row r="502" spans="1:45" ht="12.75" x14ac:dyDescent="0.2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8"/>
      <c r="N502" s="88"/>
      <c r="O502" s="8"/>
      <c r="P502" s="8"/>
      <c r="Q502" s="89"/>
      <c r="R502" s="89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</row>
    <row r="503" spans="1:45" ht="12.75" x14ac:dyDescent="0.2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8"/>
      <c r="N503" s="88"/>
      <c r="O503" s="8"/>
      <c r="P503" s="8"/>
      <c r="Q503" s="89"/>
      <c r="R503" s="89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</row>
    <row r="504" spans="1:45" ht="12.75" x14ac:dyDescent="0.2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8"/>
      <c r="N504" s="88"/>
      <c r="O504" s="8"/>
      <c r="P504" s="8"/>
      <c r="Q504" s="89"/>
      <c r="R504" s="89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</row>
    <row r="505" spans="1:45" ht="12.75" x14ac:dyDescent="0.2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8"/>
      <c r="N505" s="88"/>
      <c r="O505" s="8"/>
      <c r="P505" s="8"/>
      <c r="Q505" s="89"/>
      <c r="R505" s="89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</row>
    <row r="506" spans="1:45" ht="12.75" x14ac:dyDescent="0.2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8"/>
      <c r="N506" s="88"/>
      <c r="O506" s="8"/>
      <c r="P506" s="8"/>
      <c r="Q506" s="89"/>
      <c r="R506" s="89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</row>
    <row r="507" spans="1:45" ht="12.75" x14ac:dyDescent="0.2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8"/>
      <c r="N507" s="88"/>
      <c r="O507" s="8"/>
      <c r="P507" s="8"/>
      <c r="Q507" s="89"/>
      <c r="R507" s="89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</row>
    <row r="508" spans="1:45" ht="12.75" x14ac:dyDescent="0.2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8"/>
      <c r="N508" s="88"/>
      <c r="O508" s="8"/>
      <c r="P508" s="8"/>
      <c r="Q508" s="89"/>
      <c r="R508" s="89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</row>
    <row r="509" spans="1:45" ht="12.75" x14ac:dyDescent="0.2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8"/>
      <c r="N509" s="88"/>
      <c r="O509" s="8"/>
      <c r="P509" s="8"/>
      <c r="Q509" s="89"/>
      <c r="R509" s="89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</row>
    <row r="510" spans="1:45" ht="12.75" x14ac:dyDescent="0.2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8"/>
      <c r="N510" s="88"/>
      <c r="O510" s="8"/>
      <c r="P510" s="8"/>
      <c r="Q510" s="89"/>
      <c r="R510" s="89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</row>
    <row r="511" spans="1:45" ht="12.75" x14ac:dyDescent="0.2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8"/>
      <c r="N511" s="88"/>
      <c r="O511" s="8"/>
      <c r="P511" s="8"/>
      <c r="Q511" s="89"/>
      <c r="R511" s="89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</row>
    <row r="512" spans="1:45" ht="12.75" x14ac:dyDescent="0.2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8"/>
      <c r="N512" s="88"/>
      <c r="O512" s="8"/>
      <c r="P512" s="8"/>
      <c r="Q512" s="89"/>
      <c r="R512" s="89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</row>
    <row r="513" spans="1:45" ht="12.75" x14ac:dyDescent="0.2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8"/>
      <c r="N513" s="88"/>
      <c r="O513" s="8"/>
      <c r="P513" s="8"/>
      <c r="Q513" s="89"/>
      <c r="R513" s="89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</row>
    <row r="514" spans="1:45" ht="12.75" x14ac:dyDescent="0.2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8"/>
      <c r="N514" s="88"/>
      <c r="O514" s="8"/>
      <c r="P514" s="8"/>
      <c r="Q514" s="89"/>
      <c r="R514" s="89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</row>
    <row r="515" spans="1:45" ht="12.75" x14ac:dyDescent="0.2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8"/>
      <c r="N515" s="88"/>
      <c r="O515" s="8"/>
      <c r="P515" s="8"/>
      <c r="Q515" s="89"/>
      <c r="R515" s="89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</row>
    <row r="516" spans="1:45" ht="12.75" x14ac:dyDescent="0.2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8"/>
      <c r="N516" s="88"/>
      <c r="O516" s="8"/>
      <c r="P516" s="8"/>
      <c r="Q516" s="89"/>
      <c r="R516" s="89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</row>
    <row r="517" spans="1:45" ht="12.75" x14ac:dyDescent="0.2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8"/>
      <c r="N517" s="88"/>
      <c r="O517" s="8"/>
      <c r="P517" s="8"/>
      <c r="Q517" s="89"/>
      <c r="R517" s="89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</row>
    <row r="518" spans="1:45" ht="12.75" x14ac:dyDescent="0.2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8"/>
      <c r="N518" s="88"/>
      <c r="O518" s="8"/>
      <c r="P518" s="8"/>
      <c r="Q518" s="89"/>
      <c r="R518" s="89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</row>
    <row r="519" spans="1:45" ht="12.75" x14ac:dyDescent="0.2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8"/>
      <c r="N519" s="88"/>
      <c r="O519" s="8"/>
      <c r="P519" s="8"/>
      <c r="Q519" s="89"/>
      <c r="R519" s="89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</row>
    <row r="520" spans="1:45" ht="12.75" x14ac:dyDescent="0.2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8"/>
      <c r="N520" s="88"/>
      <c r="O520" s="8"/>
      <c r="P520" s="8"/>
      <c r="Q520" s="89"/>
      <c r="R520" s="89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</row>
    <row r="521" spans="1:45" ht="12.75" x14ac:dyDescent="0.2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8"/>
      <c r="N521" s="88"/>
      <c r="O521" s="8"/>
      <c r="P521" s="8"/>
      <c r="Q521" s="89"/>
      <c r="R521" s="89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</row>
    <row r="522" spans="1:45" ht="12.75" x14ac:dyDescent="0.2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8"/>
      <c r="N522" s="88"/>
      <c r="O522" s="8"/>
      <c r="P522" s="8"/>
      <c r="Q522" s="89"/>
      <c r="R522" s="89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</row>
    <row r="523" spans="1:45" ht="12.75" x14ac:dyDescent="0.2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8"/>
      <c r="N523" s="88"/>
      <c r="O523" s="8"/>
      <c r="P523" s="8"/>
      <c r="Q523" s="89"/>
      <c r="R523" s="89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</row>
    <row r="524" spans="1:45" ht="12.75" x14ac:dyDescent="0.2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8"/>
      <c r="N524" s="88"/>
      <c r="O524" s="8"/>
      <c r="P524" s="8"/>
      <c r="Q524" s="89"/>
      <c r="R524" s="89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</row>
    <row r="525" spans="1:45" ht="12.75" x14ac:dyDescent="0.2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8"/>
      <c r="N525" s="88"/>
      <c r="O525" s="8"/>
      <c r="P525" s="8"/>
      <c r="Q525" s="89"/>
      <c r="R525" s="89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</row>
    <row r="526" spans="1:45" ht="12.75" x14ac:dyDescent="0.2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8"/>
      <c r="N526" s="88"/>
      <c r="O526" s="8"/>
      <c r="P526" s="8"/>
      <c r="Q526" s="89"/>
      <c r="R526" s="89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</row>
    <row r="527" spans="1:45" ht="12.75" x14ac:dyDescent="0.2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8"/>
      <c r="N527" s="88"/>
      <c r="O527" s="8"/>
      <c r="P527" s="8"/>
      <c r="Q527" s="89"/>
      <c r="R527" s="89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</row>
    <row r="528" spans="1:45" ht="12.75" x14ac:dyDescent="0.2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8"/>
      <c r="N528" s="88"/>
      <c r="O528" s="8"/>
      <c r="P528" s="8"/>
      <c r="Q528" s="89"/>
      <c r="R528" s="89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</row>
    <row r="529" spans="1:45" ht="12.75" x14ac:dyDescent="0.2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8"/>
      <c r="N529" s="88"/>
      <c r="O529" s="8"/>
      <c r="P529" s="8"/>
      <c r="Q529" s="89"/>
      <c r="R529" s="89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</row>
    <row r="530" spans="1:45" ht="12.75" x14ac:dyDescent="0.2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8"/>
      <c r="N530" s="88"/>
      <c r="O530" s="8"/>
      <c r="P530" s="8"/>
      <c r="Q530" s="89"/>
      <c r="R530" s="89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</row>
    <row r="531" spans="1:45" ht="12.75" x14ac:dyDescent="0.2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8"/>
      <c r="N531" s="88"/>
      <c r="O531" s="8"/>
      <c r="P531" s="8"/>
      <c r="Q531" s="89"/>
      <c r="R531" s="89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</row>
    <row r="532" spans="1:45" ht="12.75" x14ac:dyDescent="0.2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8"/>
      <c r="N532" s="88"/>
      <c r="O532" s="8"/>
      <c r="P532" s="8"/>
      <c r="Q532" s="89"/>
      <c r="R532" s="89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</row>
    <row r="533" spans="1:45" ht="12.75" x14ac:dyDescent="0.2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8"/>
      <c r="N533" s="88"/>
      <c r="O533" s="8"/>
      <c r="P533" s="8"/>
      <c r="Q533" s="89"/>
      <c r="R533" s="89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</row>
    <row r="534" spans="1:45" ht="12.75" x14ac:dyDescent="0.2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8"/>
      <c r="N534" s="88"/>
      <c r="O534" s="8"/>
      <c r="P534" s="8"/>
      <c r="Q534" s="89"/>
      <c r="R534" s="89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</row>
    <row r="535" spans="1:45" ht="12.75" x14ac:dyDescent="0.2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8"/>
      <c r="N535" s="88"/>
      <c r="O535" s="8"/>
      <c r="P535" s="8"/>
      <c r="Q535" s="89"/>
      <c r="R535" s="89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</row>
    <row r="536" spans="1:45" ht="12.75" x14ac:dyDescent="0.2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8"/>
      <c r="N536" s="88"/>
      <c r="O536" s="8"/>
      <c r="P536" s="8"/>
      <c r="Q536" s="89"/>
      <c r="R536" s="89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</row>
    <row r="537" spans="1:45" ht="12.75" x14ac:dyDescent="0.2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8"/>
      <c r="N537" s="88"/>
      <c r="O537" s="8"/>
      <c r="P537" s="8"/>
      <c r="Q537" s="89"/>
      <c r="R537" s="89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</row>
    <row r="538" spans="1:45" ht="12.75" x14ac:dyDescent="0.2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8"/>
      <c r="N538" s="88"/>
      <c r="O538" s="8"/>
      <c r="P538" s="8"/>
      <c r="Q538" s="89"/>
      <c r="R538" s="89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</row>
    <row r="539" spans="1:45" ht="12.75" x14ac:dyDescent="0.2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8"/>
      <c r="N539" s="88"/>
      <c r="O539" s="8"/>
      <c r="P539" s="8"/>
      <c r="Q539" s="89"/>
      <c r="R539" s="89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</row>
    <row r="540" spans="1:45" ht="12.75" x14ac:dyDescent="0.2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8"/>
      <c r="N540" s="88"/>
      <c r="O540" s="8"/>
      <c r="P540" s="8"/>
      <c r="Q540" s="89"/>
      <c r="R540" s="89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</row>
    <row r="541" spans="1:45" ht="12.75" x14ac:dyDescent="0.2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8"/>
      <c r="N541" s="88"/>
      <c r="O541" s="8"/>
      <c r="P541" s="8"/>
      <c r="Q541" s="89"/>
      <c r="R541" s="89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</row>
    <row r="542" spans="1:45" ht="12.75" x14ac:dyDescent="0.2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8"/>
      <c r="N542" s="88"/>
      <c r="O542" s="8"/>
      <c r="P542" s="8"/>
      <c r="Q542" s="89"/>
      <c r="R542" s="89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</row>
    <row r="543" spans="1:45" ht="12.75" x14ac:dyDescent="0.2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8"/>
      <c r="N543" s="88"/>
      <c r="O543" s="8"/>
      <c r="P543" s="8"/>
      <c r="Q543" s="89"/>
      <c r="R543" s="89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</row>
    <row r="544" spans="1:45" ht="12.75" x14ac:dyDescent="0.2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8"/>
      <c r="N544" s="88"/>
      <c r="O544" s="8"/>
      <c r="P544" s="8"/>
      <c r="Q544" s="89"/>
      <c r="R544" s="89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</row>
    <row r="545" spans="1:45" ht="12.75" x14ac:dyDescent="0.2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8"/>
      <c r="N545" s="88"/>
      <c r="O545" s="8"/>
      <c r="P545" s="8"/>
      <c r="Q545" s="89"/>
      <c r="R545" s="89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</row>
    <row r="546" spans="1:45" ht="12.75" x14ac:dyDescent="0.2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8"/>
      <c r="N546" s="88"/>
      <c r="O546" s="8"/>
      <c r="P546" s="8"/>
      <c r="Q546" s="89"/>
      <c r="R546" s="89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</row>
    <row r="547" spans="1:45" ht="12.75" x14ac:dyDescent="0.2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8"/>
      <c r="N547" s="88"/>
      <c r="O547" s="8"/>
      <c r="P547" s="8"/>
      <c r="Q547" s="89"/>
      <c r="R547" s="89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</row>
    <row r="548" spans="1:45" ht="12.75" x14ac:dyDescent="0.2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8"/>
      <c r="N548" s="88"/>
      <c r="O548" s="8"/>
      <c r="P548" s="8"/>
      <c r="Q548" s="89"/>
      <c r="R548" s="89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</row>
    <row r="549" spans="1:45" ht="12.75" x14ac:dyDescent="0.2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8"/>
      <c r="N549" s="88"/>
      <c r="O549" s="8"/>
      <c r="P549" s="8"/>
      <c r="Q549" s="89"/>
      <c r="R549" s="89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</row>
    <row r="550" spans="1:45" ht="12.75" x14ac:dyDescent="0.2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8"/>
      <c r="N550" s="88"/>
      <c r="O550" s="8"/>
      <c r="P550" s="8"/>
      <c r="Q550" s="89"/>
      <c r="R550" s="89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</row>
    <row r="551" spans="1:45" ht="12.75" x14ac:dyDescent="0.2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8"/>
      <c r="N551" s="88"/>
      <c r="O551" s="8"/>
      <c r="P551" s="8"/>
      <c r="Q551" s="89"/>
      <c r="R551" s="89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</row>
    <row r="552" spans="1:45" ht="12.75" x14ac:dyDescent="0.2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8"/>
      <c r="N552" s="88"/>
      <c r="O552" s="8"/>
      <c r="P552" s="8"/>
      <c r="Q552" s="89"/>
      <c r="R552" s="89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</row>
    <row r="553" spans="1:45" ht="12.75" x14ac:dyDescent="0.2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8"/>
      <c r="N553" s="88"/>
      <c r="O553" s="8"/>
      <c r="P553" s="8"/>
      <c r="Q553" s="89"/>
      <c r="R553" s="89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</row>
    <row r="554" spans="1:45" ht="12.75" x14ac:dyDescent="0.2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8"/>
      <c r="N554" s="88"/>
      <c r="O554" s="8"/>
      <c r="P554" s="8"/>
      <c r="Q554" s="89"/>
      <c r="R554" s="89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</row>
    <row r="555" spans="1:45" ht="12.75" x14ac:dyDescent="0.2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8"/>
      <c r="N555" s="88"/>
      <c r="O555" s="8"/>
      <c r="P555" s="8"/>
      <c r="Q555" s="89"/>
      <c r="R555" s="89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</row>
    <row r="556" spans="1:45" ht="12.75" x14ac:dyDescent="0.2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8"/>
      <c r="N556" s="88"/>
      <c r="O556" s="8"/>
      <c r="P556" s="8"/>
      <c r="Q556" s="89"/>
      <c r="R556" s="89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</row>
    <row r="557" spans="1:45" ht="12.75" x14ac:dyDescent="0.2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8"/>
      <c r="N557" s="88"/>
      <c r="O557" s="8"/>
      <c r="P557" s="8"/>
      <c r="Q557" s="89"/>
      <c r="R557" s="89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</row>
    <row r="558" spans="1:45" ht="12.75" x14ac:dyDescent="0.2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8"/>
      <c r="N558" s="88"/>
      <c r="O558" s="8"/>
      <c r="P558" s="8"/>
      <c r="Q558" s="89"/>
      <c r="R558" s="89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</row>
    <row r="559" spans="1:45" ht="12.75" x14ac:dyDescent="0.2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8"/>
      <c r="N559" s="88"/>
      <c r="O559" s="8"/>
      <c r="P559" s="8"/>
      <c r="Q559" s="89"/>
      <c r="R559" s="89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</row>
    <row r="560" spans="1:45" ht="12.75" x14ac:dyDescent="0.2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8"/>
      <c r="N560" s="88"/>
      <c r="O560" s="8"/>
      <c r="P560" s="8"/>
      <c r="Q560" s="89"/>
      <c r="R560" s="89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</row>
    <row r="561" spans="1:45" ht="12.75" x14ac:dyDescent="0.2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8"/>
      <c r="N561" s="88"/>
      <c r="O561" s="8"/>
      <c r="P561" s="8"/>
      <c r="Q561" s="89"/>
      <c r="R561" s="89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</row>
    <row r="562" spans="1:45" ht="12.75" x14ac:dyDescent="0.2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8"/>
      <c r="N562" s="88"/>
      <c r="O562" s="8"/>
      <c r="P562" s="8"/>
      <c r="Q562" s="89"/>
      <c r="R562" s="89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</row>
    <row r="563" spans="1:45" ht="12.75" x14ac:dyDescent="0.2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8"/>
      <c r="N563" s="88"/>
      <c r="O563" s="8"/>
      <c r="P563" s="8"/>
      <c r="Q563" s="89"/>
      <c r="R563" s="89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</row>
    <row r="564" spans="1:45" ht="12.75" x14ac:dyDescent="0.2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8"/>
      <c r="N564" s="88"/>
      <c r="O564" s="8"/>
      <c r="P564" s="8"/>
      <c r="Q564" s="89"/>
      <c r="R564" s="89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</row>
    <row r="565" spans="1:45" ht="12.75" x14ac:dyDescent="0.2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8"/>
      <c r="N565" s="88"/>
      <c r="O565" s="8"/>
      <c r="P565" s="8"/>
      <c r="Q565" s="89"/>
      <c r="R565" s="89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</row>
    <row r="566" spans="1:45" ht="12.75" x14ac:dyDescent="0.2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8"/>
      <c r="N566" s="88"/>
      <c r="O566" s="8"/>
      <c r="P566" s="8"/>
      <c r="Q566" s="89"/>
      <c r="R566" s="89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</row>
    <row r="567" spans="1:45" ht="12.75" x14ac:dyDescent="0.2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8"/>
      <c r="N567" s="88"/>
      <c r="O567" s="8"/>
      <c r="P567" s="8"/>
      <c r="Q567" s="89"/>
      <c r="R567" s="89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</row>
    <row r="568" spans="1:45" ht="12.75" x14ac:dyDescent="0.2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8"/>
      <c r="N568" s="88"/>
      <c r="O568" s="8"/>
      <c r="P568" s="8"/>
      <c r="Q568" s="89"/>
      <c r="R568" s="89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</row>
    <row r="569" spans="1:45" ht="12.75" x14ac:dyDescent="0.2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8"/>
      <c r="N569" s="88"/>
      <c r="O569" s="8"/>
      <c r="P569" s="8"/>
      <c r="Q569" s="89"/>
      <c r="R569" s="89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</row>
    <row r="570" spans="1:45" ht="12.75" x14ac:dyDescent="0.2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8"/>
      <c r="N570" s="88"/>
      <c r="O570" s="8"/>
      <c r="P570" s="8"/>
      <c r="Q570" s="89"/>
      <c r="R570" s="89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</row>
    <row r="571" spans="1:45" ht="12.75" x14ac:dyDescent="0.2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8"/>
      <c r="N571" s="88"/>
      <c r="O571" s="8"/>
      <c r="P571" s="8"/>
      <c r="Q571" s="89"/>
      <c r="R571" s="89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</row>
    <row r="572" spans="1:45" ht="12.75" x14ac:dyDescent="0.2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8"/>
      <c r="N572" s="88"/>
      <c r="O572" s="8"/>
      <c r="P572" s="8"/>
      <c r="Q572" s="89"/>
      <c r="R572" s="89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</row>
    <row r="573" spans="1:45" ht="12.75" x14ac:dyDescent="0.2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8"/>
      <c r="N573" s="88"/>
      <c r="O573" s="8"/>
      <c r="P573" s="8"/>
      <c r="Q573" s="89"/>
      <c r="R573" s="89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</row>
    <row r="574" spans="1:45" ht="12.75" x14ac:dyDescent="0.2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8"/>
      <c r="N574" s="88"/>
      <c r="O574" s="8"/>
      <c r="P574" s="8"/>
      <c r="Q574" s="89"/>
      <c r="R574" s="89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</row>
    <row r="575" spans="1:45" ht="12.75" x14ac:dyDescent="0.2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8"/>
      <c r="N575" s="88"/>
      <c r="O575" s="8"/>
      <c r="P575" s="8"/>
      <c r="Q575" s="89"/>
      <c r="R575" s="89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</row>
    <row r="576" spans="1:45" ht="12.75" x14ac:dyDescent="0.2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8"/>
      <c r="N576" s="88"/>
      <c r="O576" s="8"/>
      <c r="P576" s="8"/>
      <c r="Q576" s="89"/>
      <c r="R576" s="89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</row>
    <row r="577" spans="1:45" ht="12.75" x14ac:dyDescent="0.2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8"/>
      <c r="N577" s="88"/>
      <c r="O577" s="8"/>
      <c r="P577" s="8"/>
      <c r="Q577" s="89"/>
      <c r="R577" s="89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</row>
    <row r="578" spans="1:45" ht="12.75" x14ac:dyDescent="0.2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8"/>
      <c r="N578" s="88"/>
      <c r="O578" s="8"/>
      <c r="P578" s="8"/>
      <c r="Q578" s="89"/>
      <c r="R578" s="89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</row>
    <row r="579" spans="1:45" ht="12.75" x14ac:dyDescent="0.2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8"/>
      <c r="N579" s="88"/>
      <c r="O579" s="8"/>
      <c r="P579" s="8"/>
      <c r="Q579" s="89"/>
      <c r="R579" s="89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</row>
    <row r="580" spans="1:45" ht="12.75" x14ac:dyDescent="0.2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8"/>
      <c r="N580" s="88"/>
      <c r="O580" s="8"/>
      <c r="P580" s="8"/>
      <c r="Q580" s="89"/>
      <c r="R580" s="89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</row>
    <row r="581" spans="1:45" ht="12.75" x14ac:dyDescent="0.2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8"/>
      <c r="N581" s="88"/>
      <c r="O581" s="8"/>
      <c r="P581" s="8"/>
      <c r="Q581" s="89"/>
      <c r="R581" s="89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</row>
    <row r="582" spans="1:45" ht="12.75" x14ac:dyDescent="0.2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8"/>
      <c r="N582" s="88"/>
      <c r="O582" s="8"/>
      <c r="P582" s="8"/>
      <c r="Q582" s="89"/>
      <c r="R582" s="89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</row>
    <row r="583" spans="1:45" ht="12.75" x14ac:dyDescent="0.2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8"/>
      <c r="N583" s="88"/>
      <c r="O583" s="8"/>
      <c r="P583" s="8"/>
      <c r="Q583" s="89"/>
      <c r="R583" s="89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</row>
    <row r="584" spans="1:45" ht="12.75" x14ac:dyDescent="0.2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8"/>
      <c r="N584" s="88"/>
      <c r="O584" s="8"/>
      <c r="P584" s="8"/>
      <c r="Q584" s="89"/>
      <c r="R584" s="89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</row>
    <row r="585" spans="1:45" ht="12.75" x14ac:dyDescent="0.2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8"/>
      <c r="N585" s="88"/>
      <c r="O585" s="8"/>
      <c r="P585" s="8"/>
      <c r="Q585" s="89"/>
      <c r="R585" s="89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</row>
    <row r="586" spans="1:45" ht="12.75" x14ac:dyDescent="0.2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8"/>
      <c r="N586" s="88"/>
      <c r="O586" s="8"/>
      <c r="P586" s="8"/>
      <c r="Q586" s="89"/>
      <c r="R586" s="89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</row>
    <row r="587" spans="1:45" ht="12.75" x14ac:dyDescent="0.2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8"/>
      <c r="N587" s="88"/>
      <c r="O587" s="8"/>
      <c r="P587" s="8"/>
      <c r="Q587" s="89"/>
      <c r="R587" s="89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</row>
    <row r="588" spans="1:45" ht="12.75" x14ac:dyDescent="0.2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8"/>
      <c r="N588" s="88"/>
      <c r="O588" s="8"/>
      <c r="P588" s="8"/>
      <c r="Q588" s="89"/>
      <c r="R588" s="89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</row>
    <row r="589" spans="1:45" ht="12.75" x14ac:dyDescent="0.2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8"/>
      <c r="N589" s="88"/>
      <c r="O589" s="8"/>
      <c r="P589" s="8"/>
      <c r="Q589" s="89"/>
      <c r="R589" s="89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</row>
    <row r="590" spans="1:45" ht="12.75" x14ac:dyDescent="0.2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8"/>
      <c r="N590" s="88"/>
      <c r="O590" s="8"/>
      <c r="P590" s="8"/>
      <c r="Q590" s="89"/>
      <c r="R590" s="89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</row>
    <row r="591" spans="1:45" ht="12.75" x14ac:dyDescent="0.2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8"/>
      <c r="N591" s="88"/>
      <c r="O591" s="8"/>
      <c r="P591" s="8"/>
      <c r="Q591" s="89"/>
      <c r="R591" s="89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</row>
    <row r="592" spans="1:45" ht="12.75" x14ac:dyDescent="0.2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8"/>
      <c r="N592" s="88"/>
      <c r="O592" s="8"/>
      <c r="P592" s="8"/>
      <c r="Q592" s="89"/>
      <c r="R592" s="89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</row>
    <row r="593" spans="1:45" ht="12.75" x14ac:dyDescent="0.2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8"/>
      <c r="N593" s="88"/>
      <c r="O593" s="8"/>
      <c r="P593" s="8"/>
      <c r="Q593" s="89"/>
      <c r="R593" s="89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</row>
    <row r="594" spans="1:45" ht="12.75" x14ac:dyDescent="0.2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8"/>
      <c r="N594" s="88"/>
      <c r="O594" s="8"/>
      <c r="P594" s="8"/>
      <c r="Q594" s="89"/>
      <c r="R594" s="89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</row>
    <row r="595" spans="1:45" ht="12.75" x14ac:dyDescent="0.2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8"/>
      <c r="N595" s="88"/>
      <c r="O595" s="8"/>
      <c r="P595" s="8"/>
      <c r="Q595" s="89"/>
      <c r="R595" s="89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</row>
    <row r="596" spans="1:45" ht="12.75" x14ac:dyDescent="0.2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8"/>
      <c r="N596" s="88"/>
      <c r="O596" s="8"/>
      <c r="P596" s="8"/>
      <c r="Q596" s="89"/>
      <c r="R596" s="89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</row>
    <row r="597" spans="1:45" ht="12.75" x14ac:dyDescent="0.2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8"/>
      <c r="N597" s="88"/>
      <c r="O597" s="8"/>
      <c r="P597" s="8"/>
      <c r="Q597" s="89"/>
      <c r="R597" s="89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</row>
    <row r="598" spans="1:45" ht="12.75" x14ac:dyDescent="0.2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8"/>
      <c r="N598" s="88"/>
      <c r="O598" s="8"/>
      <c r="P598" s="8"/>
      <c r="Q598" s="89"/>
      <c r="R598" s="89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</row>
    <row r="599" spans="1:45" ht="12.75" x14ac:dyDescent="0.2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8"/>
      <c r="N599" s="88"/>
      <c r="O599" s="8"/>
      <c r="P599" s="8"/>
      <c r="Q599" s="89"/>
      <c r="R599" s="89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</row>
    <row r="600" spans="1:45" ht="12.75" x14ac:dyDescent="0.2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8"/>
      <c r="N600" s="88"/>
      <c r="O600" s="8"/>
      <c r="P600" s="8"/>
      <c r="Q600" s="89"/>
      <c r="R600" s="89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</row>
    <row r="601" spans="1:45" ht="12.75" x14ac:dyDescent="0.2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8"/>
      <c r="N601" s="88"/>
      <c r="O601" s="8"/>
      <c r="P601" s="8"/>
      <c r="Q601" s="89"/>
      <c r="R601" s="89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</row>
    <row r="602" spans="1:45" ht="12.75" x14ac:dyDescent="0.2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8"/>
      <c r="N602" s="88"/>
      <c r="O602" s="8"/>
      <c r="P602" s="8"/>
      <c r="Q602" s="89"/>
      <c r="R602" s="89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</row>
    <row r="603" spans="1:45" ht="12.75" x14ac:dyDescent="0.2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8"/>
      <c r="N603" s="88"/>
      <c r="O603" s="8"/>
      <c r="P603" s="8"/>
      <c r="Q603" s="89"/>
      <c r="R603" s="89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</row>
    <row r="604" spans="1:45" ht="12.75" x14ac:dyDescent="0.2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8"/>
      <c r="N604" s="88"/>
      <c r="O604" s="8"/>
      <c r="P604" s="8"/>
      <c r="Q604" s="89"/>
      <c r="R604" s="89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</row>
    <row r="605" spans="1:45" ht="12.75" x14ac:dyDescent="0.2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8"/>
      <c r="N605" s="88"/>
      <c r="O605" s="8"/>
      <c r="P605" s="8"/>
      <c r="Q605" s="89"/>
      <c r="R605" s="89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</row>
    <row r="606" spans="1:45" ht="12.75" x14ac:dyDescent="0.2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8"/>
      <c r="N606" s="88"/>
      <c r="O606" s="8"/>
      <c r="P606" s="8"/>
      <c r="Q606" s="89"/>
      <c r="R606" s="89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</row>
    <row r="607" spans="1:45" ht="12.75" x14ac:dyDescent="0.2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8"/>
      <c r="N607" s="88"/>
      <c r="O607" s="8"/>
      <c r="P607" s="8"/>
      <c r="Q607" s="89"/>
      <c r="R607" s="89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</row>
    <row r="608" spans="1:45" ht="12.75" x14ac:dyDescent="0.2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8"/>
      <c r="N608" s="88"/>
      <c r="O608" s="8"/>
      <c r="P608" s="8"/>
      <c r="Q608" s="89"/>
      <c r="R608" s="89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</row>
    <row r="609" spans="1:45" ht="12.75" x14ac:dyDescent="0.2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8"/>
      <c r="N609" s="88"/>
      <c r="O609" s="8"/>
      <c r="P609" s="8"/>
      <c r="Q609" s="89"/>
      <c r="R609" s="89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</row>
    <row r="610" spans="1:45" ht="12.75" x14ac:dyDescent="0.2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8"/>
      <c r="N610" s="88"/>
      <c r="O610" s="8"/>
      <c r="P610" s="8"/>
      <c r="Q610" s="89"/>
      <c r="R610" s="89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</row>
    <row r="611" spans="1:45" ht="12.75" x14ac:dyDescent="0.2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8"/>
      <c r="N611" s="88"/>
      <c r="O611" s="8"/>
      <c r="P611" s="8"/>
      <c r="Q611" s="89"/>
      <c r="R611" s="89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</row>
    <row r="612" spans="1:45" ht="12.75" x14ac:dyDescent="0.2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8"/>
      <c r="N612" s="88"/>
      <c r="O612" s="8"/>
      <c r="P612" s="8"/>
      <c r="Q612" s="89"/>
      <c r="R612" s="89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</row>
    <row r="613" spans="1:45" ht="12.75" x14ac:dyDescent="0.2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8"/>
      <c r="N613" s="88"/>
      <c r="O613" s="8"/>
      <c r="P613" s="8"/>
      <c r="Q613" s="89"/>
      <c r="R613" s="89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</row>
    <row r="614" spans="1:45" ht="12.75" x14ac:dyDescent="0.2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8"/>
      <c r="N614" s="88"/>
      <c r="O614" s="8"/>
      <c r="P614" s="8"/>
      <c r="Q614" s="89"/>
      <c r="R614" s="89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</row>
    <row r="615" spans="1:45" ht="12.75" x14ac:dyDescent="0.2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8"/>
      <c r="N615" s="88"/>
      <c r="O615" s="8"/>
      <c r="P615" s="8"/>
      <c r="Q615" s="89"/>
      <c r="R615" s="89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</row>
    <row r="616" spans="1:45" ht="12.75" x14ac:dyDescent="0.2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8"/>
      <c r="N616" s="88"/>
      <c r="O616" s="8"/>
      <c r="P616" s="8"/>
      <c r="Q616" s="89"/>
      <c r="R616" s="89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</row>
    <row r="617" spans="1:45" ht="12.75" x14ac:dyDescent="0.2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8"/>
      <c r="N617" s="88"/>
      <c r="O617" s="8"/>
      <c r="P617" s="8"/>
      <c r="Q617" s="89"/>
      <c r="R617" s="89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</row>
    <row r="618" spans="1:45" ht="12.75" x14ac:dyDescent="0.2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8"/>
      <c r="N618" s="88"/>
      <c r="O618" s="8"/>
      <c r="P618" s="8"/>
      <c r="Q618" s="89"/>
      <c r="R618" s="89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</row>
    <row r="619" spans="1:45" ht="12.75" x14ac:dyDescent="0.2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8"/>
      <c r="N619" s="88"/>
      <c r="O619" s="8"/>
      <c r="P619" s="8"/>
      <c r="Q619" s="89"/>
      <c r="R619" s="89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</row>
    <row r="620" spans="1:45" ht="12.75" x14ac:dyDescent="0.2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8"/>
      <c r="N620" s="88"/>
      <c r="O620" s="8"/>
      <c r="P620" s="8"/>
      <c r="Q620" s="89"/>
      <c r="R620" s="89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</row>
    <row r="621" spans="1:45" ht="12.75" x14ac:dyDescent="0.2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8"/>
      <c r="N621" s="88"/>
      <c r="O621" s="8"/>
      <c r="P621" s="8"/>
      <c r="Q621" s="89"/>
      <c r="R621" s="89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</row>
    <row r="622" spans="1:45" ht="12.75" x14ac:dyDescent="0.2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8"/>
      <c r="N622" s="88"/>
      <c r="O622" s="8"/>
      <c r="P622" s="8"/>
      <c r="Q622" s="89"/>
      <c r="R622" s="89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</row>
    <row r="623" spans="1:45" ht="12.75" x14ac:dyDescent="0.2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8"/>
      <c r="N623" s="88"/>
      <c r="O623" s="8"/>
      <c r="P623" s="8"/>
      <c r="Q623" s="89"/>
      <c r="R623" s="89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</row>
    <row r="624" spans="1:45" ht="12.75" x14ac:dyDescent="0.2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8"/>
      <c r="N624" s="88"/>
      <c r="O624" s="8"/>
      <c r="P624" s="8"/>
      <c r="Q624" s="89"/>
      <c r="R624" s="89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</row>
    <row r="625" spans="1:45" ht="12.75" x14ac:dyDescent="0.2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8"/>
      <c r="N625" s="88"/>
      <c r="O625" s="8"/>
      <c r="P625" s="8"/>
      <c r="Q625" s="89"/>
      <c r="R625" s="89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</row>
    <row r="626" spans="1:45" ht="12.75" x14ac:dyDescent="0.2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8"/>
      <c r="N626" s="88"/>
      <c r="O626" s="8"/>
      <c r="P626" s="8"/>
      <c r="Q626" s="89"/>
      <c r="R626" s="89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</row>
    <row r="627" spans="1:45" ht="12.75" x14ac:dyDescent="0.2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8"/>
      <c r="N627" s="88"/>
      <c r="O627" s="8"/>
      <c r="P627" s="8"/>
      <c r="Q627" s="89"/>
      <c r="R627" s="89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</row>
    <row r="628" spans="1:45" ht="12.75" x14ac:dyDescent="0.2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8"/>
      <c r="N628" s="88"/>
      <c r="O628" s="8"/>
      <c r="P628" s="8"/>
      <c r="Q628" s="89"/>
      <c r="R628" s="89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</row>
    <row r="629" spans="1:45" ht="12.75" x14ac:dyDescent="0.2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8"/>
      <c r="N629" s="88"/>
      <c r="O629" s="8"/>
      <c r="P629" s="8"/>
      <c r="Q629" s="89"/>
      <c r="R629" s="89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</row>
    <row r="630" spans="1:45" ht="12.75" x14ac:dyDescent="0.2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8"/>
      <c r="N630" s="88"/>
      <c r="O630" s="8"/>
      <c r="P630" s="8"/>
      <c r="Q630" s="89"/>
      <c r="R630" s="89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</row>
    <row r="631" spans="1:45" ht="12.75" x14ac:dyDescent="0.2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8"/>
      <c r="N631" s="88"/>
      <c r="O631" s="8"/>
      <c r="P631" s="8"/>
      <c r="Q631" s="89"/>
      <c r="R631" s="89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</row>
    <row r="632" spans="1:45" ht="12.75" x14ac:dyDescent="0.2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8"/>
      <c r="N632" s="88"/>
      <c r="O632" s="8"/>
      <c r="P632" s="8"/>
      <c r="Q632" s="89"/>
      <c r="R632" s="89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</row>
    <row r="633" spans="1:45" ht="12.75" x14ac:dyDescent="0.2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8"/>
      <c r="N633" s="88"/>
      <c r="O633" s="8"/>
      <c r="P633" s="8"/>
      <c r="Q633" s="89"/>
      <c r="R633" s="89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</row>
    <row r="634" spans="1:45" ht="12.75" x14ac:dyDescent="0.2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8"/>
      <c r="N634" s="88"/>
      <c r="O634" s="8"/>
      <c r="P634" s="8"/>
      <c r="Q634" s="89"/>
      <c r="R634" s="89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</row>
    <row r="635" spans="1:45" ht="12.75" x14ac:dyDescent="0.2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8"/>
      <c r="N635" s="88"/>
      <c r="O635" s="8"/>
      <c r="P635" s="8"/>
      <c r="Q635" s="89"/>
      <c r="R635" s="89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</row>
    <row r="636" spans="1:45" ht="12.75" x14ac:dyDescent="0.2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8"/>
      <c r="N636" s="88"/>
      <c r="O636" s="8"/>
      <c r="P636" s="8"/>
      <c r="Q636" s="89"/>
      <c r="R636" s="89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</row>
    <row r="637" spans="1:45" ht="12.75" x14ac:dyDescent="0.2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8"/>
      <c r="N637" s="88"/>
      <c r="O637" s="8"/>
      <c r="P637" s="8"/>
      <c r="Q637" s="89"/>
      <c r="R637" s="89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</row>
    <row r="638" spans="1:45" ht="12.75" x14ac:dyDescent="0.2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8"/>
      <c r="N638" s="88"/>
      <c r="O638" s="8"/>
      <c r="P638" s="8"/>
      <c r="Q638" s="89"/>
      <c r="R638" s="89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</row>
    <row r="639" spans="1:45" ht="12.75" x14ac:dyDescent="0.2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8"/>
      <c r="N639" s="88"/>
      <c r="O639" s="8"/>
      <c r="P639" s="8"/>
      <c r="Q639" s="89"/>
      <c r="R639" s="89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</row>
    <row r="640" spans="1:45" ht="12.75" x14ac:dyDescent="0.2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8"/>
      <c r="N640" s="88"/>
      <c r="O640" s="8"/>
      <c r="P640" s="8"/>
      <c r="Q640" s="89"/>
      <c r="R640" s="89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</row>
    <row r="641" spans="1:45" ht="12.75" x14ac:dyDescent="0.2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8"/>
      <c r="N641" s="88"/>
      <c r="O641" s="8"/>
      <c r="P641" s="8"/>
      <c r="Q641" s="89"/>
      <c r="R641" s="89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</row>
    <row r="642" spans="1:45" ht="12.75" x14ac:dyDescent="0.2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8"/>
      <c r="N642" s="88"/>
      <c r="O642" s="8"/>
      <c r="P642" s="8"/>
      <c r="Q642" s="89"/>
      <c r="R642" s="89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</row>
    <row r="643" spans="1:45" ht="12.75" x14ac:dyDescent="0.2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8"/>
      <c r="N643" s="88"/>
      <c r="O643" s="8"/>
      <c r="P643" s="8"/>
      <c r="Q643" s="89"/>
      <c r="R643" s="89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</row>
    <row r="644" spans="1:45" ht="12.75" x14ac:dyDescent="0.2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8"/>
      <c r="N644" s="88"/>
      <c r="O644" s="8"/>
      <c r="P644" s="8"/>
      <c r="Q644" s="89"/>
      <c r="R644" s="89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</row>
    <row r="645" spans="1:45" ht="12.75" x14ac:dyDescent="0.2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8"/>
      <c r="N645" s="88"/>
      <c r="O645" s="8"/>
      <c r="P645" s="8"/>
      <c r="Q645" s="89"/>
      <c r="R645" s="89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</row>
    <row r="646" spans="1:45" ht="12.75" x14ac:dyDescent="0.2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8"/>
      <c r="N646" s="88"/>
      <c r="O646" s="8"/>
      <c r="P646" s="8"/>
      <c r="Q646" s="89"/>
      <c r="R646" s="89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</row>
    <row r="647" spans="1:45" ht="12.75" x14ac:dyDescent="0.2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8"/>
      <c r="N647" s="88"/>
      <c r="O647" s="8"/>
      <c r="P647" s="8"/>
      <c r="Q647" s="89"/>
      <c r="R647" s="89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</row>
    <row r="648" spans="1:45" ht="12.75" x14ac:dyDescent="0.2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8"/>
      <c r="N648" s="88"/>
      <c r="O648" s="8"/>
      <c r="P648" s="8"/>
      <c r="Q648" s="89"/>
      <c r="R648" s="89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</row>
    <row r="649" spans="1:45" ht="12.75" x14ac:dyDescent="0.2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8"/>
      <c r="N649" s="88"/>
      <c r="O649" s="8"/>
      <c r="P649" s="8"/>
      <c r="Q649" s="89"/>
      <c r="R649" s="89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</row>
    <row r="650" spans="1:45" ht="12.75" x14ac:dyDescent="0.2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8"/>
      <c r="N650" s="88"/>
      <c r="O650" s="8"/>
      <c r="P650" s="8"/>
      <c r="Q650" s="89"/>
      <c r="R650" s="89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</row>
    <row r="651" spans="1:45" ht="12.75" x14ac:dyDescent="0.2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8"/>
      <c r="N651" s="88"/>
      <c r="O651" s="8"/>
      <c r="P651" s="8"/>
      <c r="Q651" s="89"/>
      <c r="R651" s="89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</row>
    <row r="652" spans="1:45" ht="12.75" x14ac:dyDescent="0.2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8"/>
      <c r="N652" s="88"/>
      <c r="O652" s="8"/>
      <c r="P652" s="8"/>
      <c r="Q652" s="89"/>
      <c r="R652" s="89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</row>
    <row r="653" spans="1:45" ht="12.75" x14ac:dyDescent="0.2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8"/>
      <c r="N653" s="88"/>
      <c r="O653" s="8"/>
      <c r="P653" s="8"/>
      <c r="Q653" s="89"/>
      <c r="R653" s="89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</row>
    <row r="654" spans="1:45" ht="12.75" x14ac:dyDescent="0.2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8"/>
      <c r="N654" s="88"/>
      <c r="O654" s="8"/>
      <c r="P654" s="8"/>
      <c r="Q654" s="89"/>
      <c r="R654" s="89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</row>
    <row r="655" spans="1:45" ht="12.75" x14ac:dyDescent="0.2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8"/>
      <c r="N655" s="88"/>
      <c r="O655" s="8"/>
      <c r="P655" s="8"/>
      <c r="Q655" s="89"/>
      <c r="R655" s="89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</row>
    <row r="656" spans="1:45" ht="12.75" x14ac:dyDescent="0.2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8"/>
      <c r="N656" s="88"/>
      <c r="O656" s="8"/>
      <c r="P656" s="8"/>
      <c r="Q656" s="89"/>
      <c r="R656" s="89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</row>
    <row r="657" spans="1:45" ht="12.75" x14ac:dyDescent="0.2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8"/>
      <c r="N657" s="88"/>
      <c r="O657" s="8"/>
      <c r="P657" s="8"/>
      <c r="Q657" s="89"/>
      <c r="R657" s="89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</row>
    <row r="658" spans="1:45" ht="12.75" x14ac:dyDescent="0.2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8"/>
      <c r="N658" s="88"/>
      <c r="O658" s="8"/>
      <c r="P658" s="8"/>
      <c r="Q658" s="89"/>
      <c r="R658" s="89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</row>
    <row r="659" spans="1:45" ht="12.75" x14ac:dyDescent="0.2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8"/>
      <c r="N659" s="88"/>
      <c r="O659" s="8"/>
      <c r="P659" s="8"/>
      <c r="Q659" s="89"/>
      <c r="R659" s="89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</row>
    <row r="660" spans="1:45" ht="12.75" x14ac:dyDescent="0.2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8"/>
      <c r="N660" s="88"/>
      <c r="O660" s="8"/>
      <c r="P660" s="8"/>
      <c r="Q660" s="89"/>
      <c r="R660" s="89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</row>
    <row r="661" spans="1:45" ht="12.75" x14ac:dyDescent="0.2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8"/>
      <c r="N661" s="88"/>
      <c r="O661" s="8"/>
      <c r="P661" s="8"/>
      <c r="Q661" s="89"/>
      <c r="R661" s="89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</row>
    <row r="662" spans="1:45" ht="12.75" x14ac:dyDescent="0.2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8"/>
      <c r="N662" s="88"/>
      <c r="O662" s="8"/>
      <c r="P662" s="8"/>
      <c r="Q662" s="89"/>
      <c r="R662" s="89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</row>
    <row r="663" spans="1:45" ht="12.75" x14ac:dyDescent="0.2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8"/>
      <c r="N663" s="88"/>
      <c r="O663" s="8"/>
      <c r="P663" s="8"/>
      <c r="Q663" s="89"/>
      <c r="R663" s="89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</row>
    <row r="664" spans="1:45" ht="12.75" x14ac:dyDescent="0.2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8"/>
      <c r="N664" s="88"/>
      <c r="O664" s="8"/>
      <c r="P664" s="8"/>
      <c r="Q664" s="89"/>
      <c r="R664" s="89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</row>
    <row r="665" spans="1:45" ht="12.75" x14ac:dyDescent="0.2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8"/>
      <c r="N665" s="88"/>
      <c r="O665" s="8"/>
      <c r="P665" s="8"/>
      <c r="Q665" s="89"/>
      <c r="R665" s="89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</row>
    <row r="666" spans="1:45" ht="12.75" x14ac:dyDescent="0.2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8"/>
      <c r="N666" s="88"/>
      <c r="O666" s="8"/>
      <c r="P666" s="8"/>
      <c r="Q666" s="89"/>
      <c r="R666" s="89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</row>
    <row r="667" spans="1:45" ht="12.75" x14ac:dyDescent="0.2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8"/>
      <c r="N667" s="88"/>
      <c r="O667" s="8"/>
      <c r="P667" s="8"/>
      <c r="Q667" s="89"/>
      <c r="R667" s="89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</row>
    <row r="668" spans="1:45" ht="12.75" x14ac:dyDescent="0.2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8"/>
      <c r="N668" s="88"/>
      <c r="O668" s="8"/>
      <c r="P668" s="8"/>
      <c r="Q668" s="89"/>
      <c r="R668" s="89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</row>
    <row r="669" spans="1:45" ht="12.75" x14ac:dyDescent="0.2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8"/>
      <c r="N669" s="88"/>
      <c r="O669" s="8"/>
      <c r="P669" s="8"/>
      <c r="Q669" s="89"/>
      <c r="R669" s="89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</row>
    <row r="670" spans="1:45" ht="12.75" x14ac:dyDescent="0.2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8"/>
      <c r="N670" s="88"/>
      <c r="O670" s="8"/>
      <c r="P670" s="8"/>
      <c r="Q670" s="89"/>
      <c r="R670" s="89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</row>
    <row r="671" spans="1:45" ht="12.75" x14ac:dyDescent="0.2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8"/>
      <c r="N671" s="88"/>
      <c r="O671" s="8"/>
      <c r="P671" s="8"/>
      <c r="Q671" s="89"/>
      <c r="R671" s="89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</row>
    <row r="672" spans="1:45" ht="12.75" x14ac:dyDescent="0.2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8"/>
      <c r="N672" s="88"/>
      <c r="O672" s="8"/>
      <c r="P672" s="8"/>
      <c r="Q672" s="89"/>
      <c r="R672" s="89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</row>
    <row r="673" spans="1:45" ht="12.75" x14ac:dyDescent="0.2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8"/>
      <c r="N673" s="88"/>
      <c r="O673" s="8"/>
      <c r="P673" s="8"/>
      <c r="Q673" s="89"/>
      <c r="R673" s="89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</row>
    <row r="674" spans="1:45" ht="12.75" x14ac:dyDescent="0.2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8"/>
      <c r="N674" s="88"/>
      <c r="O674" s="8"/>
      <c r="P674" s="8"/>
      <c r="Q674" s="89"/>
      <c r="R674" s="89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</row>
    <row r="675" spans="1:45" ht="12.75" x14ac:dyDescent="0.2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8"/>
      <c r="N675" s="88"/>
      <c r="O675" s="8"/>
      <c r="P675" s="8"/>
      <c r="Q675" s="89"/>
      <c r="R675" s="89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</row>
    <row r="676" spans="1:45" ht="12.75" x14ac:dyDescent="0.2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8"/>
      <c r="N676" s="88"/>
      <c r="O676" s="8"/>
      <c r="P676" s="8"/>
      <c r="Q676" s="89"/>
      <c r="R676" s="89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</row>
    <row r="677" spans="1:45" ht="12.75" x14ac:dyDescent="0.2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8"/>
      <c r="N677" s="88"/>
      <c r="O677" s="8"/>
      <c r="P677" s="8"/>
      <c r="Q677" s="89"/>
      <c r="R677" s="89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</row>
    <row r="678" spans="1:45" ht="12.75" x14ac:dyDescent="0.2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8"/>
      <c r="N678" s="88"/>
      <c r="O678" s="8"/>
      <c r="P678" s="8"/>
      <c r="Q678" s="89"/>
      <c r="R678" s="89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</row>
    <row r="679" spans="1:45" ht="12.75" x14ac:dyDescent="0.2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8"/>
      <c r="N679" s="88"/>
      <c r="O679" s="8"/>
      <c r="P679" s="8"/>
      <c r="Q679" s="89"/>
      <c r="R679" s="89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</row>
    <row r="680" spans="1:45" ht="12.75" x14ac:dyDescent="0.2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8"/>
      <c r="N680" s="88"/>
      <c r="O680" s="8"/>
      <c r="P680" s="8"/>
      <c r="Q680" s="89"/>
      <c r="R680" s="89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</row>
    <row r="681" spans="1:45" ht="12.75" x14ac:dyDescent="0.2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8"/>
      <c r="N681" s="88"/>
      <c r="O681" s="8"/>
      <c r="P681" s="8"/>
      <c r="Q681" s="89"/>
      <c r="R681" s="89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</row>
    <row r="682" spans="1:45" ht="12.75" x14ac:dyDescent="0.2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8"/>
      <c r="N682" s="88"/>
      <c r="O682" s="8"/>
      <c r="P682" s="8"/>
      <c r="Q682" s="89"/>
      <c r="R682" s="89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</row>
    <row r="683" spans="1:45" ht="12.75" x14ac:dyDescent="0.2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8"/>
      <c r="N683" s="88"/>
      <c r="O683" s="8"/>
      <c r="P683" s="8"/>
      <c r="Q683" s="89"/>
      <c r="R683" s="89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</row>
    <row r="684" spans="1:45" ht="12.75" x14ac:dyDescent="0.2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8"/>
      <c r="N684" s="88"/>
      <c r="O684" s="8"/>
      <c r="P684" s="8"/>
      <c r="Q684" s="89"/>
      <c r="R684" s="89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</row>
    <row r="685" spans="1:45" ht="12.75" x14ac:dyDescent="0.2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8"/>
      <c r="N685" s="88"/>
      <c r="O685" s="8"/>
      <c r="P685" s="8"/>
      <c r="Q685" s="89"/>
      <c r="R685" s="89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</row>
    <row r="686" spans="1:45" ht="12.75" x14ac:dyDescent="0.2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8"/>
      <c r="N686" s="88"/>
      <c r="O686" s="8"/>
      <c r="P686" s="8"/>
      <c r="Q686" s="89"/>
      <c r="R686" s="89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</row>
    <row r="687" spans="1:45" ht="12.75" x14ac:dyDescent="0.2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8"/>
      <c r="N687" s="88"/>
      <c r="O687" s="8"/>
      <c r="P687" s="8"/>
      <c r="Q687" s="89"/>
      <c r="R687" s="89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</row>
    <row r="688" spans="1:45" ht="12.75" x14ac:dyDescent="0.2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8"/>
      <c r="N688" s="88"/>
      <c r="O688" s="8"/>
      <c r="P688" s="8"/>
      <c r="Q688" s="89"/>
      <c r="R688" s="89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</row>
    <row r="689" spans="1:45" ht="12.75" x14ac:dyDescent="0.2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8"/>
      <c r="N689" s="88"/>
      <c r="O689" s="8"/>
      <c r="P689" s="8"/>
      <c r="Q689" s="89"/>
      <c r="R689" s="89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</row>
    <row r="690" spans="1:45" ht="12.75" x14ac:dyDescent="0.2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8"/>
      <c r="N690" s="88"/>
      <c r="O690" s="8"/>
      <c r="P690" s="8"/>
      <c r="Q690" s="89"/>
      <c r="R690" s="89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</row>
    <row r="691" spans="1:45" ht="12.75" x14ac:dyDescent="0.2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8"/>
      <c r="N691" s="88"/>
      <c r="O691" s="8"/>
      <c r="P691" s="8"/>
      <c r="Q691" s="89"/>
      <c r="R691" s="89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</row>
    <row r="692" spans="1:45" ht="12.75" x14ac:dyDescent="0.2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8"/>
      <c r="N692" s="88"/>
      <c r="O692" s="8"/>
      <c r="P692" s="8"/>
      <c r="Q692" s="89"/>
      <c r="R692" s="89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</row>
    <row r="693" spans="1:45" ht="12.75" x14ac:dyDescent="0.2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8"/>
      <c r="N693" s="88"/>
      <c r="O693" s="8"/>
      <c r="P693" s="8"/>
      <c r="Q693" s="89"/>
      <c r="R693" s="89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</row>
    <row r="694" spans="1:45" ht="12.75" x14ac:dyDescent="0.2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8"/>
      <c r="N694" s="88"/>
      <c r="O694" s="8"/>
      <c r="P694" s="8"/>
      <c r="Q694" s="89"/>
      <c r="R694" s="89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</row>
    <row r="695" spans="1:45" ht="12.75" x14ac:dyDescent="0.2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8"/>
      <c r="N695" s="88"/>
      <c r="O695" s="8"/>
      <c r="P695" s="8"/>
      <c r="Q695" s="89"/>
      <c r="R695" s="89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</row>
    <row r="696" spans="1:45" ht="12.75" x14ac:dyDescent="0.2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8"/>
      <c r="N696" s="88"/>
      <c r="O696" s="8"/>
      <c r="P696" s="8"/>
      <c r="Q696" s="89"/>
      <c r="R696" s="89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</row>
    <row r="697" spans="1:45" ht="12.75" x14ac:dyDescent="0.2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8"/>
      <c r="N697" s="88"/>
      <c r="O697" s="8"/>
      <c r="P697" s="8"/>
      <c r="Q697" s="89"/>
      <c r="R697" s="89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</row>
    <row r="698" spans="1:45" ht="12.75" x14ac:dyDescent="0.2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8"/>
      <c r="N698" s="88"/>
      <c r="O698" s="8"/>
      <c r="P698" s="8"/>
      <c r="Q698" s="89"/>
      <c r="R698" s="89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</row>
    <row r="699" spans="1:45" ht="12.75" x14ac:dyDescent="0.2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8"/>
      <c r="N699" s="88"/>
      <c r="O699" s="8"/>
      <c r="P699" s="8"/>
      <c r="Q699" s="89"/>
      <c r="R699" s="89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</row>
    <row r="700" spans="1:45" ht="12.75" x14ac:dyDescent="0.2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8"/>
      <c r="N700" s="88"/>
      <c r="O700" s="8"/>
      <c r="P700" s="8"/>
      <c r="Q700" s="89"/>
      <c r="R700" s="89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</row>
    <row r="701" spans="1:45" ht="12.75" x14ac:dyDescent="0.2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8"/>
      <c r="N701" s="88"/>
      <c r="O701" s="8"/>
      <c r="P701" s="8"/>
      <c r="Q701" s="89"/>
      <c r="R701" s="89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</row>
    <row r="702" spans="1:45" ht="12.75" x14ac:dyDescent="0.2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8"/>
      <c r="N702" s="88"/>
      <c r="O702" s="8"/>
      <c r="P702" s="8"/>
      <c r="Q702" s="89"/>
      <c r="R702" s="89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</row>
    <row r="703" spans="1:45" ht="12.75" x14ac:dyDescent="0.2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8"/>
      <c r="N703" s="88"/>
      <c r="O703" s="8"/>
      <c r="P703" s="8"/>
      <c r="Q703" s="89"/>
      <c r="R703" s="89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</row>
    <row r="704" spans="1:45" ht="12.75" x14ac:dyDescent="0.2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8"/>
      <c r="N704" s="88"/>
      <c r="O704" s="8"/>
      <c r="P704" s="8"/>
      <c r="Q704" s="89"/>
      <c r="R704" s="89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</row>
    <row r="705" spans="1:45" ht="12.75" x14ac:dyDescent="0.2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8"/>
      <c r="N705" s="88"/>
      <c r="O705" s="8"/>
      <c r="P705" s="8"/>
      <c r="Q705" s="89"/>
      <c r="R705" s="89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</row>
    <row r="706" spans="1:45" ht="12.75" x14ac:dyDescent="0.2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8"/>
      <c r="N706" s="88"/>
      <c r="O706" s="8"/>
      <c r="P706" s="8"/>
      <c r="Q706" s="89"/>
      <c r="R706" s="89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</row>
    <row r="707" spans="1:45" ht="12.75" x14ac:dyDescent="0.2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8"/>
      <c r="N707" s="88"/>
      <c r="O707" s="8"/>
      <c r="P707" s="8"/>
      <c r="Q707" s="89"/>
      <c r="R707" s="89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</row>
    <row r="708" spans="1:45" ht="12.75" x14ac:dyDescent="0.2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8"/>
      <c r="N708" s="88"/>
      <c r="O708" s="8"/>
      <c r="P708" s="8"/>
      <c r="Q708" s="89"/>
      <c r="R708" s="89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</row>
    <row r="709" spans="1:45" ht="12.75" x14ac:dyDescent="0.2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8"/>
      <c r="N709" s="88"/>
      <c r="O709" s="8"/>
      <c r="P709" s="8"/>
      <c r="Q709" s="89"/>
      <c r="R709" s="89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</row>
    <row r="710" spans="1:45" ht="12.75" x14ac:dyDescent="0.2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8"/>
      <c r="N710" s="88"/>
      <c r="O710" s="8"/>
      <c r="P710" s="8"/>
      <c r="Q710" s="89"/>
      <c r="R710" s="89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</row>
    <row r="711" spans="1:45" ht="12.75" x14ac:dyDescent="0.2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8"/>
      <c r="N711" s="88"/>
      <c r="O711" s="8"/>
      <c r="P711" s="8"/>
      <c r="Q711" s="89"/>
      <c r="R711" s="89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</row>
    <row r="712" spans="1:45" ht="12.75" x14ac:dyDescent="0.2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8"/>
      <c r="N712" s="88"/>
      <c r="O712" s="8"/>
      <c r="P712" s="8"/>
      <c r="Q712" s="89"/>
      <c r="R712" s="89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</row>
    <row r="713" spans="1:45" ht="12.75" x14ac:dyDescent="0.2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8"/>
      <c r="N713" s="88"/>
      <c r="O713" s="8"/>
      <c r="P713" s="8"/>
      <c r="Q713" s="89"/>
      <c r="R713" s="89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</row>
    <row r="714" spans="1:45" ht="12.75" x14ac:dyDescent="0.2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8"/>
      <c r="N714" s="88"/>
      <c r="O714" s="8"/>
      <c r="P714" s="8"/>
      <c r="Q714" s="89"/>
      <c r="R714" s="89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</row>
    <row r="715" spans="1:45" ht="12.75" x14ac:dyDescent="0.2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8"/>
      <c r="N715" s="88"/>
      <c r="O715" s="8"/>
      <c r="P715" s="8"/>
      <c r="Q715" s="89"/>
      <c r="R715" s="89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</row>
    <row r="716" spans="1:45" ht="12.75" x14ac:dyDescent="0.2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8"/>
      <c r="N716" s="88"/>
      <c r="O716" s="8"/>
      <c r="P716" s="8"/>
      <c r="Q716" s="89"/>
      <c r="R716" s="89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</row>
    <row r="717" spans="1:45" ht="12.75" x14ac:dyDescent="0.2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8"/>
      <c r="N717" s="88"/>
      <c r="O717" s="8"/>
      <c r="P717" s="8"/>
      <c r="Q717" s="89"/>
      <c r="R717" s="89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</row>
    <row r="718" spans="1:45" ht="12.75" x14ac:dyDescent="0.2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8"/>
      <c r="N718" s="88"/>
      <c r="O718" s="8"/>
      <c r="P718" s="8"/>
      <c r="Q718" s="89"/>
      <c r="R718" s="89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</row>
    <row r="719" spans="1:45" ht="12.75" x14ac:dyDescent="0.2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8"/>
      <c r="N719" s="88"/>
      <c r="O719" s="8"/>
      <c r="P719" s="8"/>
      <c r="Q719" s="89"/>
      <c r="R719" s="89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</row>
    <row r="720" spans="1:45" ht="12.75" x14ac:dyDescent="0.2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8"/>
      <c r="N720" s="88"/>
      <c r="O720" s="8"/>
      <c r="P720" s="8"/>
      <c r="Q720" s="89"/>
      <c r="R720" s="89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</row>
    <row r="721" spans="1:45" ht="12.75" x14ac:dyDescent="0.2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8"/>
      <c r="N721" s="88"/>
      <c r="O721" s="8"/>
      <c r="P721" s="8"/>
      <c r="Q721" s="89"/>
      <c r="R721" s="89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</row>
    <row r="722" spans="1:45" ht="12.75" x14ac:dyDescent="0.2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8"/>
      <c r="N722" s="88"/>
      <c r="O722" s="8"/>
      <c r="P722" s="8"/>
      <c r="Q722" s="89"/>
      <c r="R722" s="89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</row>
    <row r="723" spans="1:45" ht="12.75" x14ac:dyDescent="0.2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8"/>
      <c r="N723" s="88"/>
      <c r="O723" s="8"/>
      <c r="P723" s="8"/>
      <c r="Q723" s="89"/>
      <c r="R723" s="89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</row>
    <row r="724" spans="1:45" ht="12.75" x14ac:dyDescent="0.2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8"/>
      <c r="N724" s="88"/>
      <c r="O724" s="8"/>
      <c r="P724" s="8"/>
      <c r="Q724" s="89"/>
      <c r="R724" s="89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</row>
    <row r="725" spans="1:45" ht="12.75" x14ac:dyDescent="0.2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8"/>
      <c r="N725" s="88"/>
      <c r="O725" s="8"/>
      <c r="P725" s="8"/>
      <c r="Q725" s="89"/>
      <c r="R725" s="89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</row>
    <row r="726" spans="1:45" ht="12.75" x14ac:dyDescent="0.2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8"/>
      <c r="N726" s="88"/>
      <c r="O726" s="8"/>
      <c r="P726" s="8"/>
      <c r="Q726" s="89"/>
      <c r="R726" s="89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</row>
    <row r="727" spans="1:45" ht="12.75" x14ac:dyDescent="0.2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8"/>
      <c r="N727" s="88"/>
      <c r="O727" s="8"/>
      <c r="P727" s="8"/>
      <c r="Q727" s="89"/>
      <c r="R727" s="89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</row>
    <row r="728" spans="1:45" ht="12.75" x14ac:dyDescent="0.2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8"/>
      <c r="N728" s="88"/>
      <c r="O728" s="8"/>
      <c r="P728" s="8"/>
      <c r="Q728" s="89"/>
      <c r="R728" s="89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</row>
    <row r="729" spans="1:45" ht="12.75" x14ac:dyDescent="0.2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8"/>
      <c r="N729" s="88"/>
      <c r="O729" s="8"/>
      <c r="P729" s="8"/>
      <c r="Q729" s="89"/>
      <c r="R729" s="89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</row>
    <row r="730" spans="1:45" ht="12.75" x14ac:dyDescent="0.2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8"/>
      <c r="N730" s="88"/>
      <c r="O730" s="8"/>
      <c r="P730" s="8"/>
      <c r="Q730" s="89"/>
      <c r="R730" s="89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</row>
    <row r="731" spans="1:45" ht="12.75" x14ac:dyDescent="0.2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8"/>
      <c r="N731" s="88"/>
      <c r="O731" s="8"/>
      <c r="P731" s="8"/>
      <c r="Q731" s="89"/>
      <c r="R731" s="89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</row>
    <row r="732" spans="1:45" ht="12.75" x14ac:dyDescent="0.2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8"/>
      <c r="N732" s="88"/>
      <c r="O732" s="8"/>
      <c r="P732" s="8"/>
      <c r="Q732" s="89"/>
      <c r="R732" s="89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</row>
    <row r="733" spans="1:45" ht="12.75" x14ac:dyDescent="0.2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8"/>
      <c r="N733" s="88"/>
      <c r="O733" s="8"/>
      <c r="P733" s="8"/>
      <c r="Q733" s="89"/>
      <c r="R733" s="89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</row>
    <row r="734" spans="1:45" ht="12.75" x14ac:dyDescent="0.2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8"/>
      <c r="N734" s="88"/>
      <c r="O734" s="8"/>
      <c r="P734" s="8"/>
      <c r="Q734" s="89"/>
      <c r="R734" s="89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</row>
    <row r="735" spans="1:45" ht="12.75" x14ac:dyDescent="0.2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8"/>
      <c r="N735" s="88"/>
      <c r="O735" s="8"/>
      <c r="P735" s="8"/>
      <c r="Q735" s="89"/>
      <c r="R735" s="89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</row>
    <row r="736" spans="1:45" ht="12.75" x14ac:dyDescent="0.2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8"/>
      <c r="N736" s="88"/>
      <c r="O736" s="8"/>
      <c r="P736" s="8"/>
      <c r="Q736" s="89"/>
      <c r="R736" s="89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</row>
    <row r="737" spans="1:45" ht="12.75" x14ac:dyDescent="0.2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8"/>
      <c r="N737" s="88"/>
      <c r="O737" s="8"/>
      <c r="P737" s="8"/>
      <c r="Q737" s="89"/>
      <c r="R737" s="89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</row>
    <row r="738" spans="1:45" ht="12.75" x14ac:dyDescent="0.2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8"/>
      <c r="N738" s="88"/>
      <c r="O738" s="8"/>
      <c r="P738" s="8"/>
      <c r="Q738" s="89"/>
      <c r="R738" s="89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</row>
    <row r="739" spans="1:45" ht="12.75" x14ac:dyDescent="0.2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8"/>
      <c r="N739" s="88"/>
      <c r="O739" s="8"/>
      <c r="P739" s="8"/>
      <c r="Q739" s="89"/>
      <c r="R739" s="89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</row>
    <row r="740" spans="1:45" ht="12.75" x14ac:dyDescent="0.2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8"/>
      <c r="N740" s="88"/>
      <c r="O740" s="8"/>
      <c r="P740" s="8"/>
      <c r="Q740" s="89"/>
      <c r="R740" s="89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</row>
    <row r="741" spans="1:45" ht="12.75" x14ac:dyDescent="0.2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8"/>
      <c r="N741" s="88"/>
      <c r="O741" s="8"/>
      <c r="P741" s="8"/>
      <c r="Q741" s="89"/>
      <c r="R741" s="89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</row>
    <row r="742" spans="1:45" ht="12.75" x14ac:dyDescent="0.2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8"/>
      <c r="N742" s="88"/>
      <c r="O742" s="8"/>
      <c r="P742" s="8"/>
      <c r="Q742" s="89"/>
      <c r="R742" s="89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</row>
    <row r="743" spans="1:45" ht="12.75" x14ac:dyDescent="0.2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8"/>
      <c r="N743" s="88"/>
      <c r="O743" s="8"/>
      <c r="P743" s="8"/>
      <c r="Q743" s="89"/>
      <c r="R743" s="89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</row>
    <row r="744" spans="1:45" ht="12.75" x14ac:dyDescent="0.2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8"/>
      <c r="N744" s="88"/>
      <c r="O744" s="8"/>
      <c r="P744" s="8"/>
      <c r="Q744" s="89"/>
      <c r="R744" s="89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</row>
    <row r="745" spans="1:45" ht="12.75" x14ac:dyDescent="0.2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8"/>
      <c r="N745" s="88"/>
      <c r="O745" s="8"/>
      <c r="P745" s="8"/>
      <c r="Q745" s="89"/>
      <c r="R745" s="89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</row>
    <row r="746" spans="1:45" ht="12.75" x14ac:dyDescent="0.2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8"/>
      <c r="N746" s="88"/>
      <c r="O746" s="8"/>
      <c r="P746" s="8"/>
      <c r="Q746" s="89"/>
      <c r="R746" s="89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</row>
    <row r="747" spans="1:45" ht="12.75" x14ac:dyDescent="0.2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8"/>
      <c r="N747" s="88"/>
      <c r="O747" s="8"/>
      <c r="P747" s="8"/>
      <c r="Q747" s="89"/>
      <c r="R747" s="89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</row>
    <row r="748" spans="1:45" ht="12.75" x14ac:dyDescent="0.2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8"/>
      <c r="N748" s="88"/>
      <c r="O748" s="8"/>
      <c r="P748" s="8"/>
      <c r="Q748" s="89"/>
      <c r="R748" s="89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</row>
    <row r="749" spans="1:45" ht="12.75" x14ac:dyDescent="0.2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8"/>
      <c r="N749" s="88"/>
      <c r="O749" s="8"/>
      <c r="P749" s="8"/>
      <c r="Q749" s="89"/>
      <c r="R749" s="89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</row>
    <row r="750" spans="1:45" ht="12.75" x14ac:dyDescent="0.2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8"/>
      <c r="N750" s="88"/>
      <c r="O750" s="8"/>
      <c r="P750" s="8"/>
      <c r="Q750" s="89"/>
      <c r="R750" s="89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</row>
    <row r="751" spans="1:45" ht="12.75" x14ac:dyDescent="0.2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8"/>
      <c r="N751" s="88"/>
      <c r="O751" s="8"/>
      <c r="P751" s="8"/>
      <c r="Q751" s="89"/>
      <c r="R751" s="89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</row>
    <row r="752" spans="1:45" ht="12.75" x14ac:dyDescent="0.2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8"/>
      <c r="N752" s="88"/>
      <c r="O752" s="8"/>
      <c r="P752" s="8"/>
      <c r="Q752" s="89"/>
      <c r="R752" s="89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</row>
    <row r="753" spans="1:45" ht="12.75" x14ac:dyDescent="0.2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8"/>
      <c r="N753" s="88"/>
      <c r="O753" s="8"/>
      <c r="P753" s="8"/>
      <c r="Q753" s="89"/>
      <c r="R753" s="89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</row>
    <row r="754" spans="1:45" ht="12.75" x14ac:dyDescent="0.2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8"/>
      <c r="N754" s="88"/>
      <c r="O754" s="8"/>
      <c r="P754" s="8"/>
      <c r="Q754" s="89"/>
      <c r="R754" s="89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</row>
    <row r="755" spans="1:45" ht="12.75" x14ac:dyDescent="0.2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8"/>
      <c r="N755" s="88"/>
      <c r="O755" s="8"/>
      <c r="P755" s="8"/>
      <c r="Q755" s="89"/>
      <c r="R755" s="89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</row>
    <row r="756" spans="1:45" ht="12.75" x14ac:dyDescent="0.2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8"/>
      <c r="N756" s="88"/>
      <c r="O756" s="8"/>
      <c r="P756" s="8"/>
      <c r="Q756" s="89"/>
      <c r="R756" s="89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</row>
    <row r="757" spans="1:45" ht="12.75" x14ac:dyDescent="0.2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8"/>
      <c r="N757" s="88"/>
      <c r="O757" s="8"/>
      <c r="P757" s="8"/>
      <c r="Q757" s="89"/>
      <c r="R757" s="89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</row>
    <row r="758" spans="1:45" ht="12.75" x14ac:dyDescent="0.2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8"/>
      <c r="N758" s="88"/>
      <c r="O758" s="8"/>
      <c r="P758" s="8"/>
      <c r="Q758" s="89"/>
      <c r="R758" s="89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</row>
    <row r="759" spans="1:45" ht="12.75" x14ac:dyDescent="0.2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8"/>
      <c r="N759" s="88"/>
      <c r="O759" s="8"/>
      <c r="P759" s="8"/>
      <c r="Q759" s="89"/>
      <c r="R759" s="89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</row>
    <row r="760" spans="1:45" ht="12.75" x14ac:dyDescent="0.2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8"/>
      <c r="N760" s="88"/>
      <c r="O760" s="8"/>
      <c r="P760" s="8"/>
      <c r="Q760" s="89"/>
      <c r="R760" s="89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</row>
    <row r="761" spans="1:45" ht="12.75" x14ac:dyDescent="0.2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8"/>
      <c r="N761" s="88"/>
      <c r="O761" s="8"/>
      <c r="P761" s="8"/>
      <c r="Q761" s="89"/>
      <c r="R761" s="89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</row>
    <row r="762" spans="1:45" ht="12.75" x14ac:dyDescent="0.2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8"/>
      <c r="N762" s="88"/>
      <c r="O762" s="8"/>
      <c r="P762" s="8"/>
      <c r="Q762" s="89"/>
      <c r="R762" s="89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</row>
    <row r="763" spans="1:45" ht="12.75" x14ac:dyDescent="0.2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8"/>
      <c r="N763" s="88"/>
      <c r="O763" s="8"/>
      <c r="P763" s="8"/>
      <c r="Q763" s="89"/>
      <c r="R763" s="89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</row>
    <row r="764" spans="1:45" ht="12.75" x14ac:dyDescent="0.2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8"/>
      <c r="N764" s="88"/>
      <c r="O764" s="8"/>
      <c r="P764" s="8"/>
      <c r="Q764" s="89"/>
      <c r="R764" s="89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</row>
    <row r="765" spans="1:45" ht="12.75" x14ac:dyDescent="0.2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8"/>
      <c r="N765" s="88"/>
      <c r="O765" s="8"/>
      <c r="P765" s="8"/>
      <c r="Q765" s="89"/>
      <c r="R765" s="89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</row>
    <row r="766" spans="1:45" ht="12.75" x14ac:dyDescent="0.2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8"/>
      <c r="N766" s="88"/>
      <c r="O766" s="8"/>
      <c r="P766" s="8"/>
      <c r="Q766" s="89"/>
      <c r="R766" s="89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</row>
    <row r="767" spans="1:45" ht="12.75" x14ac:dyDescent="0.2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8"/>
      <c r="N767" s="88"/>
      <c r="O767" s="8"/>
      <c r="P767" s="8"/>
      <c r="Q767" s="89"/>
      <c r="R767" s="89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</row>
    <row r="768" spans="1:45" ht="12.75" x14ac:dyDescent="0.2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8"/>
      <c r="N768" s="88"/>
      <c r="O768" s="8"/>
      <c r="P768" s="8"/>
      <c r="Q768" s="89"/>
      <c r="R768" s="89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</row>
    <row r="769" spans="1:45" ht="12.75" x14ac:dyDescent="0.2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8"/>
      <c r="N769" s="88"/>
      <c r="O769" s="8"/>
      <c r="P769" s="8"/>
      <c r="Q769" s="89"/>
      <c r="R769" s="89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</row>
    <row r="770" spans="1:45" ht="12.75" x14ac:dyDescent="0.2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8"/>
      <c r="N770" s="88"/>
      <c r="O770" s="8"/>
      <c r="P770" s="8"/>
      <c r="Q770" s="89"/>
      <c r="R770" s="89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</row>
    <row r="771" spans="1:45" ht="12.75" x14ac:dyDescent="0.2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8"/>
      <c r="N771" s="88"/>
      <c r="O771" s="8"/>
      <c r="P771" s="8"/>
      <c r="Q771" s="89"/>
      <c r="R771" s="89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</row>
    <row r="772" spans="1:45" ht="12.75" x14ac:dyDescent="0.2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8"/>
      <c r="N772" s="88"/>
      <c r="O772" s="8"/>
      <c r="P772" s="8"/>
      <c r="Q772" s="89"/>
      <c r="R772" s="89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</row>
    <row r="773" spans="1:45" ht="12.75" x14ac:dyDescent="0.2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8"/>
      <c r="N773" s="88"/>
      <c r="O773" s="8"/>
      <c r="P773" s="8"/>
      <c r="Q773" s="89"/>
      <c r="R773" s="89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</row>
    <row r="774" spans="1:45" ht="12.75" x14ac:dyDescent="0.2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8"/>
      <c r="N774" s="88"/>
      <c r="O774" s="8"/>
      <c r="P774" s="8"/>
      <c r="Q774" s="89"/>
      <c r="R774" s="89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</row>
    <row r="775" spans="1:45" ht="12.75" x14ac:dyDescent="0.2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8"/>
      <c r="N775" s="88"/>
      <c r="O775" s="8"/>
      <c r="P775" s="8"/>
      <c r="Q775" s="89"/>
      <c r="R775" s="89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</row>
    <row r="776" spans="1:45" ht="12.75" x14ac:dyDescent="0.2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8"/>
      <c r="N776" s="88"/>
      <c r="O776" s="8"/>
      <c r="P776" s="8"/>
      <c r="Q776" s="89"/>
      <c r="R776" s="89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</row>
    <row r="777" spans="1:45" ht="12.75" x14ac:dyDescent="0.2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8"/>
      <c r="N777" s="88"/>
      <c r="O777" s="8"/>
      <c r="P777" s="8"/>
      <c r="Q777" s="89"/>
      <c r="R777" s="89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</row>
    <row r="778" spans="1:45" ht="12.75" x14ac:dyDescent="0.2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8"/>
      <c r="N778" s="88"/>
      <c r="O778" s="8"/>
      <c r="P778" s="8"/>
      <c r="Q778" s="89"/>
      <c r="R778" s="89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</row>
    <row r="779" spans="1:45" ht="12.75" x14ac:dyDescent="0.2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8"/>
      <c r="N779" s="88"/>
      <c r="O779" s="8"/>
      <c r="P779" s="8"/>
      <c r="Q779" s="89"/>
      <c r="R779" s="89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</row>
    <row r="780" spans="1:45" ht="12.75" x14ac:dyDescent="0.2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8"/>
      <c r="N780" s="88"/>
      <c r="O780" s="8"/>
      <c r="P780" s="8"/>
      <c r="Q780" s="89"/>
      <c r="R780" s="89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</row>
    <row r="781" spans="1:45" ht="12.75" x14ac:dyDescent="0.2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8"/>
      <c r="N781" s="88"/>
      <c r="O781" s="8"/>
      <c r="P781" s="8"/>
      <c r="Q781" s="89"/>
      <c r="R781" s="89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</row>
    <row r="782" spans="1:45" ht="12.75" x14ac:dyDescent="0.2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8"/>
      <c r="N782" s="88"/>
      <c r="O782" s="8"/>
      <c r="P782" s="8"/>
      <c r="Q782" s="89"/>
      <c r="R782" s="89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</row>
    <row r="783" spans="1:45" ht="12.75" x14ac:dyDescent="0.2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8"/>
      <c r="N783" s="88"/>
      <c r="O783" s="8"/>
      <c r="P783" s="8"/>
      <c r="Q783" s="89"/>
      <c r="R783" s="89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</row>
    <row r="784" spans="1:45" ht="12.75" x14ac:dyDescent="0.2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8"/>
      <c r="N784" s="88"/>
      <c r="O784" s="8"/>
      <c r="P784" s="8"/>
      <c r="Q784" s="89"/>
      <c r="R784" s="89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</row>
    <row r="785" spans="1:45" ht="12.75" x14ac:dyDescent="0.2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8"/>
      <c r="N785" s="88"/>
      <c r="O785" s="8"/>
      <c r="P785" s="8"/>
      <c r="Q785" s="89"/>
      <c r="R785" s="89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</row>
    <row r="786" spans="1:45" ht="12.75" x14ac:dyDescent="0.2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8"/>
      <c r="N786" s="88"/>
      <c r="O786" s="8"/>
      <c r="P786" s="8"/>
      <c r="Q786" s="89"/>
      <c r="R786" s="89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</row>
    <row r="787" spans="1:45" ht="12.75" x14ac:dyDescent="0.2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8"/>
      <c r="N787" s="88"/>
      <c r="O787" s="8"/>
      <c r="P787" s="8"/>
      <c r="Q787" s="89"/>
      <c r="R787" s="89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</row>
    <row r="788" spans="1:45" ht="12.75" x14ac:dyDescent="0.2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8"/>
      <c r="N788" s="88"/>
      <c r="O788" s="8"/>
      <c r="P788" s="8"/>
      <c r="Q788" s="89"/>
      <c r="R788" s="89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</row>
    <row r="789" spans="1:45" ht="12.75" x14ac:dyDescent="0.2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8"/>
      <c r="N789" s="88"/>
      <c r="O789" s="8"/>
      <c r="P789" s="8"/>
      <c r="Q789" s="89"/>
      <c r="R789" s="89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</row>
    <row r="790" spans="1:45" ht="12.75" x14ac:dyDescent="0.2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8"/>
      <c r="N790" s="88"/>
      <c r="O790" s="8"/>
      <c r="P790" s="8"/>
      <c r="Q790" s="89"/>
      <c r="R790" s="89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</row>
    <row r="791" spans="1:45" ht="12.75" x14ac:dyDescent="0.2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8"/>
      <c r="N791" s="88"/>
      <c r="O791" s="8"/>
      <c r="P791" s="8"/>
      <c r="Q791" s="89"/>
      <c r="R791" s="89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</row>
    <row r="792" spans="1:45" ht="12.75" x14ac:dyDescent="0.2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8"/>
      <c r="N792" s="88"/>
      <c r="O792" s="8"/>
      <c r="P792" s="8"/>
      <c r="Q792" s="89"/>
      <c r="R792" s="89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</row>
    <row r="793" spans="1:45" ht="12.75" x14ac:dyDescent="0.2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8"/>
      <c r="N793" s="88"/>
      <c r="O793" s="8"/>
      <c r="P793" s="8"/>
      <c r="Q793" s="89"/>
      <c r="R793" s="89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</row>
    <row r="794" spans="1:45" ht="12.75" x14ac:dyDescent="0.2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8"/>
      <c r="N794" s="88"/>
      <c r="O794" s="8"/>
      <c r="P794" s="8"/>
      <c r="Q794" s="89"/>
      <c r="R794" s="89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</row>
    <row r="795" spans="1:45" ht="12.75" x14ac:dyDescent="0.2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8"/>
      <c r="N795" s="88"/>
      <c r="O795" s="8"/>
      <c r="P795" s="8"/>
      <c r="Q795" s="89"/>
      <c r="R795" s="89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</row>
    <row r="796" spans="1:45" ht="12.75" x14ac:dyDescent="0.2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8"/>
      <c r="N796" s="88"/>
      <c r="O796" s="8"/>
      <c r="P796" s="8"/>
      <c r="Q796" s="89"/>
      <c r="R796" s="89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</row>
    <row r="797" spans="1:45" ht="12.75" x14ac:dyDescent="0.2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8"/>
      <c r="N797" s="88"/>
      <c r="O797" s="8"/>
      <c r="P797" s="8"/>
      <c r="Q797" s="89"/>
      <c r="R797" s="89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</row>
    <row r="798" spans="1:45" ht="12.75" x14ac:dyDescent="0.2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8"/>
      <c r="N798" s="88"/>
      <c r="O798" s="8"/>
      <c r="P798" s="8"/>
      <c r="Q798" s="89"/>
      <c r="R798" s="89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</row>
    <row r="799" spans="1:45" ht="12.75" x14ac:dyDescent="0.2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8"/>
      <c r="N799" s="88"/>
      <c r="O799" s="8"/>
      <c r="P799" s="8"/>
      <c r="Q799" s="89"/>
      <c r="R799" s="89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</row>
    <row r="800" spans="1:45" ht="12.75" x14ac:dyDescent="0.2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8"/>
      <c r="N800" s="88"/>
      <c r="O800" s="8"/>
      <c r="P800" s="8"/>
      <c r="Q800" s="89"/>
      <c r="R800" s="89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</row>
    <row r="801" spans="1:45" ht="12.75" x14ac:dyDescent="0.2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8"/>
      <c r="N801" s="88"/>
      <c r="O801" s="8"/>
      <c r="P801" s="8"/>
      <c r="Q801" s="89"/>
      <c r="R801" s="89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</row>
    <row r="802" spans="1:45" ht="12.75" x14ac:dyDescent="0.2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8"/>
      <c r="N802" s="88"/>
      <c r="O802" s="8"/>
      <c r="P802" s="8"/>
      <c r="Q802" s="89"/>
      <c r="R802" s="89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</row>
    <row r="803" spans="1:45" ht="12.75" x14ac:dyDescent="0.2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8"/>
      <c r="N803" s="88"/>
      <c r="O803" s="8"/>
      <c r="P803" s="8"/>
      <c r="Q803" s="89"/>
      <c r="R803" s="89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</row>
    <row r="804" spans="1:45" ht="12.75" x14ac:dyDescent="0.2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8"/>
      <c r="N804" s="88"/>
      <c r="O804" s="8"/>
      <c r="P804" s="8"/>
      <c r="Q804" s="89"/>
      <c r="R804" s="89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</row>
    <row r="805" spans="1:45" ht="12.75" x14ac:dyDescent="0.2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8"/>
      <c r="N805" s="88"/>
      <c r="O805" s="8"/>
      <c r="P805" s="8"/>
      <c r="Q805" s="89"/>
      <c r="R805" s="89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</row>
    <row r="806" spans="1:45" ht="12.75" x14ac:dyDescent="0.2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8"/>
      <c r="N806" s="88"/>
      <c r="O806" s="8"/>
      <c r="P806" s="8"/>
      <c r="Q806" s="89"/>
      <c r="R806" s="89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</row>
    <row r="807" spans="1:45" ht="12.75" x14ac:dyDescent="0.2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8"/>
      <c r="N807" s="88"/>
      <c r="O807" s="8"/>
      <c r="P807" s="8"/>
      <c r="Q807" s="89"/>
      <c r="R807" s="89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</row>
    <row r="808" spans="1:45" ht="12.75" x14ac:dyDescent="0.2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8"/>
      <c r="N808" s="88"/>
      <c r="O808" s="8"/>
      <c r="P808" s="8"/>
      <c r="Q808" s="89"/>
      <c r="R808" s="89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</row>
    <row r="809" spans="1:45" ht="12.75" x14ac:dyDescent="0.2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8"/>
      <c r="N809" s="88"/>
      <c r="O809" s="8"/>
      <c r="P809" s="8"/>
      <c r="Q809" s="89"/>
      <c r="R809" s="89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</row>
    <row r="810" spans="1:45" ht="12.75" x14ac:dyDescent="0.2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8"/>
      <c r="N810" s="88"/>
      <c r="O810" s="8"/>
      <c r="P810" s="8"/>
      <c r="Q810" s="89"/>
      <c r="R810" s="89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</row>
    <row r="811" spans="1:45" ht="12.75" x14ac:dyDescent="0.2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8"/>
      <c r="N811" s="88"/>
      <c r="O811" s="8"/>
      <c r="P811" s="8"/>
      <c r="Q811" s="89"/>
      <c r="R811" s="89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</row>
    <row r="812" spans="1:45" ht="12.75" x14ac:dyDescent="0.2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8"/>
      <c r="N812" s="88"/>
      <c r="O812" s="8"/>
      <c r="P812" s="8"/>
      <c r="Q812" s="89"/>
      <c r="R812" s="89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</row>
    <row r="813" spans="1:45" ht="12.75" x14ac:dyDescent="0.2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8"/>
      <c r="N813" s="88"/>
      <c r="O813" s="8"/>
      <c r="P813" s="8"/>
      <c r="Q813" s="89"/>
      <c r="R813" s="89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</row>
    <row r="814" spans="1:45" ht="12.75" x14ac:dyDescent="0.2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8"/>
      <c r="N814" s="88"/>
      <c r="O814" s="8"/>
      <c r="P814" s="8"/>
      <c r="Q814" s="89"/>
      <c r="R814" s="89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</row>
    <row r="815" spans="1:45" ht="12.75" x14ac:dyDescent="0.2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8"/>
      <c r="N815" s="88"/>
      <c r="O815" s="8"/>
      <c r="P815" s="8"/>
      <c r="Q815" s="89"/>
      <c r="R815" s="89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</row>
    <row r="816" spans="1:45" ht="12.75" x14ac:dyDescent="0.2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8"/>
      <c r="N816" s="88"/>
      <c r="O816" s="8"/>
      <c r="P816" s="8"/>
      <c r="Q816" s="89"/>
      <c r="R816" s="89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</row>
    <row r="817" spans="1:45" ht="12.75" x14ac:dyDescent="0.2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8"/>
      <c r="N817" s="88"/>
      <c r="O817" s="8"/>
      <c r="P817" s="8"/>
      <c r="Q817" s="89"/>
      <c r="R817" s="89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</row>
    <row r="818" spans="1:45" ht="12.75" x14ac:dyDescent="0.2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8"/>
      <c r="N818" s="88"/>
      <c r="O818" s="8"/>
      <c r="P818" s="8"/>
      <c r="Q818" s="89"/>
      <c r="R818" s="89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</row>
    <row r="819" spans="1:45" ht="12.75" x14ac:dyDescent="0.2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8"/>
      <c r="N819" s="88"/>
      <c r="O819" s="8"/>
      <c r="P819" s="8"/>
      <c r="Q819" s="89"/>
      <c r="R819" s="89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</row>
    <row r="820" spans="1:45" ht="12.75" x14ac:dyDescent="0.2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8"/>
      <c r="N820" s="88"/>
      <c r="O820" s="8"/>
      <c r="P820" s="8"/>
      <c r="Q820" s="89"/>
      <c r="R820" s="89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</row>
    <row r="821" spans="1:45" ht="12.75" x14ac:dyDescent="0.2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8"/>
      <c r="N821" s="88"/>
      <c r="O821" s="8"/>
      <c r="P821" s="8"/>
      <c r="Q821" s="89"/>
      <c r="R821" s="89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</row>
    <row r="822" spans="1:45" ht="12.75" x14ac:dyDescent="0.2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8"/>
      <c r="N822" s="88"/>
      <c r="O822" s="8"/>
      <c r="P822" s="8"/>
      <c r="Q822" s="89"/>
      <c r="R822" s="89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</row>
    <row r="823" spans="1:45" ht="12.75" x14ac:dyDescent="0.2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8"/>
      <c r="N823" s="88"/>
      <c r="O823" s="8"/>
      <c r="P823" s="8"/>
      <c r="Q823" s="89"/>
      <c r="R823" s="89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</row>
    <row r="824" spans="1:45" ht="12.75" x14ac:dyDescent="0.2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8"/>
      <c r="N824" s="88"/>
      <c r="O824" s="8"/>
      <c r="P824" s="8"/>
      <c r="Q824" s="89"/>
      <c r="R824" s="89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</row>
    <row r="825" spans="1:45" ht="12.75" x14ac:dyDescent="0.2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8"/>
      <c r="N825" s="88"/>
      <c r="O825" s="8"/>
      <c r="P825" s="8"/>
      <c r="Q825" s="89"/>
      <c r="R825" s="89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</row>
    <row r="826" spans="1:45" ht="12.75" x14ac:dyDescent="0.2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8"/>
      <c r="N826" s="88"/>
      <c r="O826" s="8"/>
      <c r="P826" s="8"/>
      <c r="Q826" s="89"/>
      <c r="R826" s="89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</row>
    <row r="827" spans="1:45" ht="12.75" x14ac:dyDescent="0.2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8"/>
      <c r="N827" s="88"/>
      <c r="O827" s="8"/>
      <c r="P827" s="8"/>
      <c r="Q827" s="89"/>
      <c r="R827" s="89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</row>
    <row r="828" spans="1:45" ht="12.75" x14ac:dyDescent="0.2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8"/>
      <c r="N828" s="88"/>
      <c r="O828" s="8"/>
      <c r="P828" s="8"/>
      <c r="Q828" s="89"/>
      <c r="R828" s="89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</row>
    <row r="829" spans="1:45" ht="12.75" x14ac:dyDescent="0.2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8"/>
      <c r="N829" s="88"/>
      <c r="O829" s="8"/>
      <c r="P829" s="8"/>
      <c r="Q829" s="89"/>
      <c r="R829" s="89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</row>
    <row r="830" spans="1:45" ht="12.75" x14ac:dyDescent="0.2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8"/>
      <c r="N830" s="88"/>
      <c r="O830" s="8"/>
      <c r="P830" s="8"/>
      <c r="Q830" s="89"/>
      <c r="R830" s="89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</row>
    <row r="831" spans="1:45" ht="12.75" x14ac:dyDescent="0.2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8"/>
      <c r="N831" s="88"/>
      <c r="O831" s="8"/>
      <c r="P831" s="8"/>
      <c r="Q831" s="89"/>
      <c r="R831" s="89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</row>
    <row r="832" spans="1:45" ht="12.75" x14ac:dyDescent="0.2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8"/>
      <c r="N832" s="88"/>
      <c r="O832" s="8"/>
      <c r="P832" s="8"/>
      <c r="Q832" s="89"/>
      <c r="R832" s="89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</row>
    <row r="833" spans="1:45" ht="12.75" x14ac:dyDescent="0.2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8"/>
      <c r="N833" s="88"/>
      <c r="O833" s="8"/>
      <c r="P833" s="8"/>
      <c r="Q833" s="89"/>
      <c r="R833" s="89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</row>
    <row r="834" spans="1:45" ht="12.75" x14ac:dyDescent="0.2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8"/>
      <c r="N834" s="88"/>
      <c r="O834" s="8"/>
      <c r="P834" s="8"/>
      <c r="Q834" s="89"/>
      <c r="R834" s="89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</row>
    <row r="835" spans="1:45" ht="12.75" x14ac:dyDescent="0.2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8"/>
      <c r="N835" s="88"/>
      <c r="O835" s="8"/>
      <c r="P835" s="8"/>
      <c r="Q835" s="89"/>
      <c r="R835" s="89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</row>
    <row r="836" spans="1:45" ht="12.75" x14ac:dyDescent="0.2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8"/>
      <c r="N836" s="88"/>
      <c r="O836" s="8"/>
      <c r="P836" s="8"/>
      <c r="Q836" s="89"/>
      <c r="R836" s="89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</row>
    <row r="837" spans="1:45" ht="12.75" x14ac:dyDescent="0.2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8"/>
      <c r="N837" s="88"/>
      <c r="O837" s="8"/>
      <c r="P837" s="8"/>
      <c r="Q837" s="89"/>
      <c r="R837" s="89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</row>
    <row r="838" spans="1:45" ht="12.75" x14ac:dyDescent="0.2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8"/>
      <c r="N838" s="88"/>
      <c r="O838" s="8"/>
      <c r="P838" s="8"/>
      <c r="Q838" s="89"/>
      <c r="R838" s="89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</row>
    <row r="839" spans="1:45" ht="12.75" x14ac:dyDescent="0.2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8"/>
      <c r="N839" s="88"/>
      <c r="O839" s="8"/>
      <c r="P839" s="8"/>
      <c r="Q839" s="89"/>
      <c r="R839" s="89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</row>
    <row r="840" spans="1:45" ht="12.75" x14ac:dyDescent="0.2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8"/>
      <c r="N840" s="88"/>
      <c r="O840" s="8"/>
      <c r="P840" s="8"/>
      <c r="Q840" s="89"/>
      <c r="R840" s="89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</row>
    <row r="841" spans="1:45" ht="12.75" x14ac:dyDescent="0.2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8"/>
      <c r="N841" s="88"/>
      <c r="O841" s="8"/>
      <c r="P841" s="8"/>
      <c r="Q841" s="89"/>
      <c r="R841" s="89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</row>
    <row r="842" spans="1:45" ht="12.75" x14ac:dyDescent="0.2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8"/>
      <c r="N842" s="88"/>
      <c r="O842" s="8"/>
      <c r="P842" s="8"/>
      <c r="Q842" s="89"/>
      <c r="R842" s="89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</row>
    <row r="843" spans="1:45" ht="12.75" x14ac:dyDescent="0.2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8"/>
      <c r="N843" s="88"/>
      <c r="O843" s="8"/>
      <c r="P843" s="8"/>
      <c r="Q843" s="89"/>
      <c r="R843" s="89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</row>
    <row r="844" spans="1:45" ht="12.75" x14ac:dyDescent="0.2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8"/>
      <c r="N844" s="88"/>
      <c r="O844" s="8"/>
      <c r="P844" s="8"/>
      <c r="Q844" s="89"/>
      <c r="R844" s="89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</row>
    <row r="845" spans="1:45" ht="12.75" x14ac:dyDescent="0.2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8"/>
      <c r="N845" s="88"/>
      <c r="O845" s="8"/>
      <c r="P845" s="8"/>
      <c r="Q845" s="89"/>
      <c r="R845" s="89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</row>
    <row r="846" spans="1:45" ht="12.75" x14ac:dyDescent="0.2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8"/>
      <c r="N846" s="88"/>
      <c r="O846" s="8"/>
      <c r="P846" s="8"/>
      <c r="Q846" s="89"/>
      <c r="R846" s="89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</row>
    <row r="847" spans="1:45" ht="12.75" x14ac:dyDescent="0.2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8"/>
      <c r="N847" s="88"/>
      <c r="O847" s="8"/>
      <c r="P847" s="8"/>
      <c r="Q847" s="89"/>
      <c r="R847" s="89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</row>
    <row r="848" spans="1:45" ht="12.75" x14ac:dyDescent="0.2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8"/>
      <c r="N848" s="88"/>
      <c r="O848" s="8"/>
      <c r="P848" s="8"/>
      <c r="Q848" s="89"/>
      <c r="R848" s="89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</row>
    <row r="849" spans="1:45" ht="12.75" x14ac:dyDescent="0.2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8"/>
      <c r="N849" s="88"/>
      <c r="O849" s="8"/>
      <c r="P849" s="8"/>
      <c r="Q849" s="89"/>
      <c r="R849" s="89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</row>
    <row r="850" spans="1:45" ht="12.75" x14ac:dyDescent="0.2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8"/>
      <c r="N850" s="88"/>
      <c r="O850" s="8"/>
      <c r="P850" s="8"/>
      <c r="Q850" s="89"/>
      <c r="R850" s="89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</row>
    <row r="851" spans="1:45" ht="12.75" x14ac:dyDescent="0.2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8"/>
      <c r="N851" s="88"/>
      <c r="O851" s="8"/>
      <c r="P851" s="8"/>
      <c r="Q851" s="89"/>
      <c r="R851" s="89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</row>
    <row r="852" spans="1:45" ht="12.75" x14ac:dyDescent="0.2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8"/>
      <c r="N852" s="88"/>
      <c r="O852" s="8"/>
      <c r="P852" s="8"/>
      <c r="Q852" s="89"/>
      <c r="R852" s="89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</row>
    <row r="853" spans="1:45" ht="12.75" x14ac:dyDescent="0.2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8"/>
      <c r="N853" s="88"/>
      <c r="O853" s="8"/>
      <c r="P853" s="8"/>
      <c r="Q853" s="89"/>
      <c r="R853" s="89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</row>
    <row r="854" spans="1:45" ht="12.75" x14ac:dyDescent="0.2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8"/>
      <c r="N854" s="88"/>
      <c r="O854" s="8"/>
      <c r="P854" s="8"/>
      <c r="Q854" s="89"/>
      <c r="R854" s="89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</row>
    <row r="855" spans="1:45" ht="12.75" x14ac:dyDescent="0.2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8"/>
      <c r="N855" s="88"/>
      <c r="O855" s="8"/>
      <c r="P855" s="8"/>
      <c r="Q855" s="89"/>
      <c r="R855" s="89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</row>
    <row r="856" spans="1:45" ht="12.75" x14ac:dyDescent="0.2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8"/>
      <c r="N856" s="88"/>
      <c r="O856" s="8"/>
      <c r="P856" s="8"/>
      <c r="Q856" s="89"/>
      <c r="R856" s="89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</row>
    <row r="857" spans="1:45" ht="12.75" x14ac:dyDescent="0.2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8"/>
      <c r="N857" s="88"/>
      <c r="O857" s="8"/>
      <c r="P857" s="8"/>
      <c r="Q857" s="89"/>
      <c r="R857" s="89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</row>
    <row r="858" spans="1:45" ht="12.75" x14ac:dyDescent="0.2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8"/>
      <c r="N858" s="88"/>
      <c r="O858" s="8"/>
      <c r="P858" s="8"/>
      <c r="Q858" s="89"/>
      <c r="R858" s="89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</row>
    <row r="859" spans="1:45" ht="12.75" x14ac:dyDescent="0.2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8"/>
      <c r="N859" s="88"/>
      <c r="O859" s="8"/>
      <c r="P859" s="8"/>
      <c r="Q859" s="89"/>
      <c r="R859" s="89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</row>
    <row r="860" spans="1:45" ht="12.75" x14ac:dyDescent="0.2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8"/>
      <c r="N860" s="88"/>
      <c r="O860" s="8"/>
      <c r="P860" s="8"/>
      <c r="Q860" s="89"/>
      <c r="R860" s="89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</row>
    <row r="861" spans="1:45" ht="12.75" x14ac:dyDescent="0.2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8"/>
      <c r="N861" s="88"/>
      <c r="O861" s="8"/>
      <c r="P861" s="8"/>
      <c r="Q861" s="89"/>
      <c r="R861" s="89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</row>
    <row r="862" spans="1:45" ht="12.75" x14ac:dyDescent="0.2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8"/>
      <c r="N862" s="88"/>
      <c r="O862" s="8"/>
      <c r="P862" s="8"/>
      <c r="Q862" s="89"/>
      <c r="R862" s="89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</row>
    <row r="863" spans="1:45" ht="12.75" x14ac:dyDescent="0.2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8"/>
      <c r="N863" s="88"/>
      <c r="O863" s="8"/>
      <c r="P863" s="8"/>
      <c r="Q863" s="89"/>
      <c r="R863" s="89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</row>
    <row r="864" spans="1:45" ht="12.75" x14ac:dyDescent="0.2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8"/>
      <c r="N864" s="88"/>
      <c r="O864" s="8"/>
      <c r="P864" s="8"/>
      <c r="Q864" s="89"/>
      <c r="R864" s="89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</row>
    <row r="865" spans="1:45" ht="12.75" x14ac:dyDescent="0.2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8"/>
      <c r="N865" s="88"/>
      <c r="O865" s="8"/>
      <c r="P865" s="8"/>
      <c r="Q865" s="89"/>
      <c r="R865" s="89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</row>
    <row r="866" spans="1:45" ht="12.75" x14ac:dyDescent="0.2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8"/>
      <c r="N866" s="88"/>
      <c r="O866" s="8"/>
      <c r="P866" s="8"/>
      <c r="Q866" s="89"/>
      <c r="R866" s="89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</row>
    <row r="867" spans="1:45" ht="12.75" x14ac:dyDescent="0.2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8"/>
      <c r="N867" s="88"/>
      <c r="O867" s="8"/>
      <c r="P867" s="8"/>
      <c r="Q867" s="89"/>
      <c r="R867" s="89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</row>
    <row r="868" spans="1:45" ht="12.75" x14ac:dyDescent="0.2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8"/>
      <c r="N868" s="88"/>
      <c r="O868" s="8"/>
      <c r="P868" s="8"/>
      <c r="Q868" s="89"/>
      <c r="R868" s="89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</row>
    <row r="869" spans="1:45" ht="12.75" x14ac:dyDescent="0.2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8"/>
      <c r="N869" s="88"/>
      <c r="O869" s="8"/>
      <c r="P869" s="8"/>
      <c r="Q869" s="89"/>
      <c r="R869" s="89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</row>
    <row r="870" spans="1:45" ht="12.75" x14ac:dyDescent="0.2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8"/>
      <c r="N870" s="88"/>
      <c r="O870" s="8"/>
      <c r="P870" s="8"/>
      <c r="Q870" s="89"/>
      <c r="R870" s="89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</row>
    <row r="871" spans="1:45" ht="12.75" x14ac:dyDescent="0.2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8"/>
      <c r="N871" s="88"/>
      <c r="O871" s="8"/>
      <c r="P871" s="8"/>
      <c r="Q871" s="89"/>
      <c r="R871" s="89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</row>
    <row r="872" spans="1:45" ht="12.75" x14ac:dyDescent="0.2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8"/>
      <c r="N872" s="88"/>
      <c r="O872" s="8"/>
      <c r="P872" s="8"/>
      <c r="Q872" s="89"/>
      <c r="R872" s="89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</row>
    <row r="873" spans="1:45" ht="12.75" x14ac:dyDescent="0.2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8"/>
      <c r="N873" s="88"/>
      <c r="O873" s="8"/>
      <c r="P873" s="8"/>
      <c r="Q873" s="89"/>
      <c r="R873" s="89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</row>
    <row r="874" spans="1:45" ht="12.75" x14ac:dyDescent="0.2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8"/>
      <c r="N874" s="88"/>
      <c r="O874" s="8"/>
      <c r="P874" s="8"/>
      <c r="Q874" s="89"/>
      <c r="R874" s="89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</row>
    <row r="875" spans="1:45" ht="12.75" x14ac:dyDescent="0.2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8"/>
      <c r="N875" s="88"/>
      <c r="O875" s="8"/>
      <c r="P875" s="8"/>
      <c r="Q875" s="89"/>
      <c r="R875" s="89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</row>
    <row r="876" spans="1:45" ht="12.75" x14ac:dyDescent="0.2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8"/>
      <c r="N876" s="88"/>
      <c r="O876" s="8"/>
      <c r="P876" s="8"/>
      <c r="Q876" s="89"/>
      <c r="R876" s="89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</row>
    <row r="877" spans="1:45" ht="12.75" x14ac:dyDescent="0.2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8"/>
      <c r="N877" s="88"/>
      <c r="O877" s="8"/>
      <c r="P877" s="8"/>
      <c r="Q877" s="89"/>
      <c r="R877" s="89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</row>
    <row r="878" spans="1:45" ht="12.75" x14ac:dyDescent="0.2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8"/>
      <c r="N878" s="88"/>
      <c r="O878" s="8"/>
      <c r="P878" s="8"/>
      <c r="Q878" s="89"/>
      <c r="R878" s="89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</row>
    <row r="879" spans="1:45" ht="12.75" x14ac:dyDescent="0.2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8"/>
      <c r="N879" s="88"/>
      <c r="O879" s="8"/>
      <c r="P879" s="8"/>
      <c r="Q879" s="89"/>
      <c r="R879" s="89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</row>
    <row r="880" spans="1:45" ht="12.75" x14ac:dyDescent="0.2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8"/>
      <c r="N880" s="88"/>
      <c r="O880" s="8"/>
      <c r="P880" s="8"/>
      <c r="Q880" s="89"/>
      <c r="R880" s="89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</row>
    <row r="881" spans="1:45" ht="12.75" x14ac:dyDescent="0.2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8"/>
      <c r="N881" s="88"/>
      <c r="O881" s="8"/>
      <c r="P881" s="8"/>
      <c r="Q881" s="89"/>
      <c r="R881" s="89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</row>
    <row r="882" spans="1:45" ht="12.75" x14ac:dyDescent="0.2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8"/>
      <c r="N882" s="88"/>
      <c r="O882" s="8"/>
      <c r="P882" s="8"/>
      <c r="Q882" s="89"/>
      <c r="R882" s="89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</row>
    <row r="883" spans="1:45" ht="12.75" x14ac:dyDescent="0.2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8"/>
      <c r="N883" s="88"/>
      <c r="O883" s="8"/>
      <c r="P883" s="8"/>
      <c r="Q883" s="89"/>
      <c r="R883" s="89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</row>
    <row r="884" spans="1:45" ht="12.75" x14ac:dyDescent="0.2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8"/>
      <c r="N884" s="88"/>
      <c r="O884" s="8"/>
      <c r="P884" s="8"/>
      <c r="Q884" s="89"/>
      <c r="R884" s="89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</row>
    <row r="885" spans="1:45" ht="12.75" x14ac:dyDescent="0.2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8"/>
      <c r="N885" s="88"/>
      <c r="O885" s="8"/>
      <c r="P885" s="8"/>
      <c r="Q885" s="89"/>
      <c r="R885" s="89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</row>
    <row r="886" spans="1:45" ht="12.75" x14ac:dyDescent="0.2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8"/>
      <c r="N886" s="88"/>
      <c r="O886" s="8"/>
      <c r="P886" s="8"/>
      <c r="Q886" s="89"/>
      <c r="R886" s="89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</row>
    <row r="887" spans="1:45" ht="12.75" x14ac:dyDescent="0.2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8"/>
      <c r="N887" s="88"/>
      <c r="O887" s="8"/>
      <c r="P887" s="8"/>
      <c r="Q887" s="89"/>
      <c r="R887" s="89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</row>
    <row r="888" spans="1:45" ht="12.75" x14ac:dyDescent="0.2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8"/>
      <c r="N888" s="88"/>
      <c r="O888" s="8"/>
      <c r="P888" s="8"/>
      <c r="Q888" s="89"/>
      <c r="R888" s="89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</row>
    <row r="889" spans="1:45" ht="12.75" x14ac:dyDescent="0.2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8"/>
      <c r="N889" s="88"/>
      <c r="O889" s="8"/>
      <c r="P889" s="8"/>
      <c r="Q889" s="89"/>
      <c r="R889" s="89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</row>
    <row r="890" spans="1:45" ht="12.75" x14ac:dyDescent="0.2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8"/>
      <c r="N890" s="88"/>
      <c r="O890" s="8"/>
      <c r="P890" s="8"/>
      <c r="Q890" s="89"/>
      <c r="R890" s="89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</row>
    <row r="891" spans="1:45" ht="12.75" x14ac:dyDescent="0.2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8"/>
      <c r="N891" s="88"/>
      <c r="O891" s="8"/>
      <c r="P891" s="8"/>
      <c r="Q891" s="89"/>
      <c r="R891" s="89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</row>
    <row r="892" spans="1:45" ht="12.75" x14ac:dyDescent="0.2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8"/>
      <c r="N892" s="88"/>
      <c r="O892" s="8"/>
      <c r="P892" s="8"/>
      <c r="Q892" s="89"/>
      <c r="R892" s="89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</row>
    <row r="893" spans="1:45" ht="12.75" x14ac:dyDescent="0.2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8"/>
      <c r="N893" s="88"/>
      <c r="O893" s="8"/>
      <c r="P893" s="8"/>
      <c r="Q893" s="89"/>
      <c r="R893" s="89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</row>
    <row r="894" spans="1:45" ht="12.75" x14ac:dyDescent="0.2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8"/>
      <c r="N894" s="88"/>
      <c r="O894" s="8"/>
      <c r="P894" s="8"/>
      <c r="Q894" s="89"/>
      <c r="R894" s="89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</row>
    <row r="895" spans="1:45" ht="12.75" x14ac:dyDescent="0.2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8"/>
      <c r="N895" s="88"/>
      <c r="O895" s="8"/>
      <c r="P895" s="8"/>
      <c r="Q895" s="89"/>
      <c r="R895" s="89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</row>
    <row r="896" spans="1:45" ht="12.75" x14ac:dyDescent="0.2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8"/>
      <c r="N896" s="88"/>
      <c r="O896" s="8"/>
      <c r="P896" s="8"/>
      <c r="Q896" s="89"/>
      <c r="R896" s="89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</row>
    <row r="897" spans="1:45" ht="12.75" x14ac:dyDescent="0.2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8"/>
      <c r="N897" s="88"/>
      <c r="O897" s="8"/>
      <c r="P897" s="8"/>
      <c r="Q897" s="89"/>
      <c r="R897" s="89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</row>
    <row r="898" spans="1:45" ht="12.75" x14ac:dyDescent="0.2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8"/>
      <c r="N898" s="88"/>
      <c r="O898" s="8"/>
      <c r="P898" s="8"/>
      <c r="Q898" s="89"/>
      <c r="R898" s="89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</row>
    <row r="899" spans="1:45" ht="12.75" x14ac:dyDescent="0.2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8"/>
      <c r="N899" s="88"/>
      <c r="O899" s="8"/>
      <c r="P899" s="8"/>
      <c r="Q899" s="89"/>
      <c r="R899" s="89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</row>
    <row r="900" spans="1:45" ht="12.75" x14ac:dyDescent="0.2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8"/>
      <c r="N900" s="88"/>
      <c r="O900" s="8"/>
      <c r="P900" s="8"/>
      <c r="Q900" s="89"/>
      <c r="R900" s="89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</row>
    <row r="901" spans="1:45" ht="12.75" x14ac:dyDescent="0.2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8"/>
      <c r="N901" s="88"/>
      <c r="O901" s="8"/>
      <c r="P901" s="8"/>
      <c r="Q901" s="89"/>
      <c r="R901" s="89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</row>
    <row r="902" spans="1:45" ht="12.75" x14ac:dyDescent="0.2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8"/>
      <c r="N902" s="88"/>
      <c r="O902" s="8"/>
      <c r="P902" s="8"/>
      <c r="Q902" s="89"/>
      <c r="R902" s="89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</row>
    <row r="903" spans="1:45" ht="12.75" x14ac:dyDescent="0.2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8"/>
      <c r="N903" s="88"/>
      <c r="O903" s="8"/>
      <c r="P903" s="8"/>
      <c r="Q903" s="89"/>
      <c r="R903" s="89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</row>
    <row r="904" spans="1:45" ht="12.75" x14ac:dyDescent="0.2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8"/>
      <c r="N904" s="88"/>
      <c r="O904" s="8"/>
      <c r="P904" s="8"/>
      <c r="Q904" s="89"/>
      <c r="R904" s="89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</row>
    <row r="905" spans="1:45" ht="12.75" x14ac:dyDescent="0.2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8"/>
      <c r="N905" s="88"/>
      <c r="O905" s="8"/>
      <c r="P905" s="8"/>
      <c r="Q905" s="89"/>
      <c r="R905" s="89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</row>
    <row r="906" spans="1:45" ht="12.75" x14ac:dyDescent="0.2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8"/>
      <c r="N906" s="88"/>
      <c r="O906" s="8"/>
      <c r="P906" s="8"/>
      <c r="Q906" s="89"/>
      <c r="R906" s="89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</row>
    <row r="907" spans="1:45" ht="12.75" x14ac:dyDescent="0.2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8"/>
      <c r="N907" s="88"/>
      <c r="O907" s="8"/>
      <c r="P907" s="8"/>
      <c r="Q907" s="89"/>
      <c r="R907" s="89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</row>
    <row r="908" spans="1:45" ht="12.75" x14ac:dyDescent="0.2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8"/>
      <c r="N908" s="88"/>
      <c r="O908" s="8"/>
      <c r="P908" s="8"/>
      <c r="Q908" s="89"/>
      <c r="R908" s="89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</row>
    <row r="909" spans="1:45" ht="12.75" x14ac:dyDescent="0.2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8"/>
      <c r="N909" s="88"/>
      <c r="O909" s="8"/>
      <c r="P909" s="8"/>
      <c r="Q909" s="89"/>
      <c r="R909" s="89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</row>
    <row r="910" spans="1:45" ht="12.75" x14ac:dyDescent="0.2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8"/>
      <c r="N910" s="88"/>
      <c r="O910" s="8"/>
      <c r="P910" s="8"/>
      <c r="Q910" s="89"/>
      <c r="R910" s="89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</row>
    <row r="911" spans="1:45" ht="12.75" x14ac:dyDescent="0.2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8"/>
      <c r="N911" s="88"/>
      <c r="O911" s="8"/>
      <c r="P911" s="8"/>
      <c r="Q911" s="89"/>
      <c r="R911" s="89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</row>
    <row r="912" spans="1:45" ht="12.75" x14ac:dyDescent="0.2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8"/>
      <c r="N912" s="88"/>
      <c r="O912" s="8"/>
      <c r="P912" s="8"/>
      <c r="Q912" s="89"/>
      <c r="R912" s="89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</row>
    <row r="913" spans="1:45" ht="12.75" x14ac:dyDescent="0.2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8"/>
      <c r="N913" s="88"/>
      <c r="O913" s="8"/>
      <c r="P913" s="8"/>
      <c r="Q913" s="89"/>
      <c r="R913" s="89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</row>
    <row r="914" spans="1:45" ht="12.75" x14ac:dyDescent="0.2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8"/>
      <c r="N914" s="88"/>
      <c r="O914" s="8"/>
      <c r="P914" s="8"/>
      <c r="Q914" s="89"/>
      <c r="R914" s="89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</row>
    <row r="915" spans="1:45" ht="12.75" x14ac:dyDescent="0.2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8"/>
      <c r="N915" s="88"/>
      <c r="O915" s="8"/>
      <c r="P915" s="8"/>
      <c r="Q915" s="89"/>
      <c r="R915" s="89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</row>
    <row r="916" spans="1:45" ht="12.75" x14ac:dyDescent="0.2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8"/>
      <c r="N916" s="88"/>
      <c r="O916" s="8"/>
      <c r="P916" s="8"/>
      <c r="Q916" s="89"/>
      <c r="R916" s="89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</row>
    <row r="917" spans="1:45" ht="12.75" x14ac:dyDescent="0.2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8"/>
      <c r="N917" s="88"/>
      <c r="O917" s="8"/>
      <c r="P917" s="8"/>
      <c r="Q917" s="89"/>
      <c r="R917" s="89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</row>
    <row r="918" spans="1:45" ht="12.75" x14ac:dyDescent="0.2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8"/>
      <c r="N918" s="88"/>
      <c r="O918" s="8"/>
      <c r="P918" s="8"/>
      <c r="Q918" s="89"/>
      <c r="R918" s="89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</row>
    <row r="919" spans="1:45" ht="12.75" x14ac:dyDescent="0.2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8"/>
      <c r="N919" s="88"/>
      <c r="O919" s="8"/>
      <c r="P919" s="8"/>
      <c r="Q919" s="89"/>
      <c r="R919" s="89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</row>
    <row r="920" spans="1:45" ht="12.75" x14ac:dyDescent="0.2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8"/>
      <c r="N920" s="88"/>
      <c r="O920" s="8"/>
      <c r="P920" s="8"/>
      <c r="Q920" s="89"/>
      <c r="R920" s="89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</row>
    <row r="921" spans="1:45" ht="12.75" x14ac:dyDescent="0.2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8"/>
      <c r="N921" s="88"/>
      <c r="O921" s="8"/>
      <c r="P921" s="8"/>
      <c r="Q921" s="89"/>
      <c r="R921" s="89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</row>
    <row r="922" spans="1:45" ht="12.75" x14ac:dyDescent="0.2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8"/>
      <c r="N922" s="88"/>
      <c r="O922" s="8"/>
      <c r="P922" s="8"/>
      <c r="Q922" s="89"/>
      <c r="R922" s="89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</row>
    <row r="923" spans="1:45" ht="12.75" x14ac:dyDescent="0.2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8"/>
      <c r="N923" s="88"/>
      <c r="O923" s="8"/>
      <c r="P923" s="8"/>
      <c r="Q923" s="89"/>
      <c r="R923" s="89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</row>
    <row r="924" spans="1:45" ht="12.75" x14ac:dyDescent="0.2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8"/>
      <c r="N924" s="88"/>
      <c r="O924" s="8"/>
      <c r="P924" s="8"/>
      <c r="Q924" s="89"/>
      <c r="R924" s="89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</row>
    <row r="925" spans="1:45" ht="12.75" x14ac:dyDescent="0.2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8"/>
      <c r="N925" s="88"/>
      <c r="O925" s="8"/>
      <c r="P925" s="8"/>
      <c r="Q925" s="89"/>
      <c r="R925" s="89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</row>
    <row r="926" spans="1:45" ht="12.75" x14ac:dyDescent="0.2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8"/>
      <c r="N926" s="88"/>
      <c r="O926" s="8"/>
      <c r="P926" s="8"/>
      <c r="Q926" s="89"/>
      <c r="R926" s="89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</row>
    <row r="927" spans="1:45" ht="12.75" x14ac:dyDescent="0.2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8"/>
      <c r="N927" s="88"/>
      <c r="O927" s="8"/>
      <c r="P927" s="8"/>
      <c r="Q927" s="89"/>
      <c r="R927" s="89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</row>
    <row r="928" spans="1:45" ht="12.75" x14ac:dyDescent="0.2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8"/>
      <c r="N928" s="88"/>
      <c r="O928" s="8"/>
      <c r="P928" s="8"/>
      <c r="Q928" s="89"/>
      <c r="R928" s="89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</row>
    <row r="929" spans="1:45" ht="12.75" x14ac:dyDescent="0.2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8"/>
      <c r="N929" s="88"/>
      <c r="O929" s="8"/>
      <c r="P929" s="8"/>
      <c r="Q929" s="89"/>
      <c r="R929" s="89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</row>
    <row r="930" spans="1:45" ht="12.75" x14ac:dyDescent="0.2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8"/>
      <c r="N930" s="88"/>
      <c r="O930" s="8"/>
      <c r="P930" s="8"/>
      <c r="Q930" s="89"/>
      <c r="R930" s="89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</row>
    <row r="931" spans="1:45" ht="12.75" x14ac:dyDescent="0.2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8"/>
      <c r="N931" s="88"/>
      <c r="O931" s="8"/>
      <c r="P931" s="8"/>
      <c r="Q931" s="89"/>
      <c r="R931" s="89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</row>
    <row r="932" spans="1:45" ht="12.75" x14ac:dyDescent="0.2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8"/>
      <c r="N932" s="88"/>
      <c r="O932" s="8"/>
      <c r="P932" s="8"/>
      <c r="Q932" s="89"/>
      <c r="R932" s="89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</row>
    <row r="933" spans="1:45" ht="12.75" x14ac:dyDescent="0.2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8"/>
      <c r="N933" s="88"/>
      <c r="O933" s="8"/>
      <c r="P933" s="8"/>
      <c r="Q933" s="89"/>
      <c r="R933" s="89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</row>
    <row r="934" spans="1:45" ht="12.75" x14ac:dyDescent="0.2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8"/>
      <c r="N934" s="88"/>
      <c r="O934" s="8"/>
      <c r="P934" s="8"/>
      <c r="Q934" s="89"/>
      <c r="R934" s="89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</row>
    <row r="935" spans="1:45" ht="12.75" x14ac:dyDescent="0.2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8"/>
      <c r="N935" s="88"/>
      <c r="O935" s="8"/>
      <c r="P935" s="8"/>
      <c r="Q935" s="89"/>
      <c r="R935" s="89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</row>
    <row r="936" spans="1:45" ht="12.75" x14ac:dyDescent="0.2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8"/>
      <c r="N936" s="88"/>
      <c r="O936" s="8"/>
      <c r="P936" s="8"/>
      <c r="Q936" s="89"/>
      <c r="R936" s="89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</row>
    <row r="937" spans="1:45" ht="12.75" x14ac:dyDescent="0.2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8"/>
      <c r="N937" s="88"/>
      <c r="O937" s="8"/>
      <c r="P937" s="8"/>
      <c r="Q937" s="89"/>
      <c r="R937" s="89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</row>
    <row r="938" spans="1:45" ht="12.75" x14ac:dyDescent="0.2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8"/>
      <c r="N938" s="88"/>
      <c r="O938" s="8"/>
      <c r="P938" s="8"/>
      <c r="Q938" s="89"/>
      <c r="R938" s="89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</row>
    <row r="939" spans="1:45" ht="12.75" x14ac:dyDescent="0.2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8"/>
      <c r="N939" s="88"/>
      <c r="O939" s="8"/>
      <c r="P939" s="8"/>
      <c r="Q939" s="89"/>
      <c r="R939" s="89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</row>
    <row r="940" spans="1:45" ht="12.75" x14ac:dyDescent="0.2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8"/>
      <c r="N940" s="88"/>
      <c r="O940" s="8"/>
      <c r="P940" s="8"/>
      <c r="Q940" s="89"/>
      <c r="R940" s="89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</row>
    <row r="941" spans="1:45" ht="12.75" x14ac:dyDescent="0.2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8"/>
      <c r="N941" s="88"/>
      <c r="O941" s="8"/>
      <c r="P941" s="8"/>
      <c r="Q941" s="89"/>
      <c r="R941" s="89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</row>
    <row r="942" spans="1:45" ht="12.75" x14ac:dyDescent="0.2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8"/>
      <c r="N942" s="88"/>
      <c r="O942" s="8"/>
      <c r="P942" s="8"/>
      <c r="Q942" s="89"/>
      <c r="R942" s="89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</row>
    <row r="943" spans="1:45" ht="12.75" x14ac:dyDescent="0.2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8"/>
      <c r="N943" s="88"/>
      <c r="O943" s="8"/>
      <c r="P943" s="8"/>
      <c r="Q943" s="89"/>
      <c r="R943" s="89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</row>
    <row r="944" spans="1:45" ht="12.75" x14ac:dyDescent="0.2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8"/>
      <c r="N944" s="88"/>
      <c r="O944" s="8"/>
      <c r="P944" s="8"/>
      <c r="Q944" s="89"/>
      <c r="R944" s="89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</row>
    <row r="945" spans="1:45" ht="12.75" x14ac:dyDescent="0.2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8"/>
      <c r="N945" s="88"/>
      <c r="O945" s="8"/>
      <c r="P945" s="8"/>
      <c r="Q945" s="89"/>
      <c r="R945" s="89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</row>
    <row r="946" spans="1:45" ht="12.75" x14ac:dyDescent="0.2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8"/>
      <c r="N946" s="88"/>
      <c r="O946" s="8"/>
      <c r="P946" s="8"/>
      <c r="Q946" s="89"/>
      <c r="R946" s="89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</row>
    <row r="947" spans="1:45" ht="12.75" x14ac:dyDescent="0.2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8"/>
      <c r="N947" s="88"/>
      <c r="O947" s="8"/>
      <c r="P947" s="8"/>
      <c r="Q947" s="89"/>
      <c r="R947" s="89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</row>
    <row r="948" spans="1:45" ht="12.75" x14ac:dyDescent="0.2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8"/>
      <c r="N948" s="88"/>
      <c r="O948" s="8"/>
      <c r="P948" s="8"/>
      <c r="Q948" s="89"/>
      <c r="R948" s="89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</row>
    <row r="949" spans="1:45" ht="12.75" x14ac:dyDescent="0.2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8"/>
      <c r="N949" s="88"/>
      <c r="O949" s="8"/>
      <c r="P949" s="8"/>
      <c r="Q949" s="89"/>
      <c r="R949" s="89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</row>
    <row r="950" spans="1:45" ht="12.75" x14ac:dyDescent="0.2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8"/>
      <c r="N950" s="88"/>
      <c r="O950" s="8"/>
      <c r="P950" s="8"/>
      <c r="Q950" s="89"/>
      <c r="R950" s="89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</row>
    <row r="951" spans="1:45" ht="12.75" x14ac:dyDescent="0.2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8"/>
      <c r="N951" s="88"/>
      <c r="O951" s="8"/>
      <c r="P951" s="8"/>
      <c r="Q951" s="89"/>
      <c r="R951" s="89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</row>
    <row r="952" spans="1:45" ht="12.75" x14ac:dyDescent="0.2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8"/>
      <c r="N952" s="88"/>
      <c r="O952" s="8"/>
      <c r="P952" s="8"/>
      <c r="Q952" s="89"/>
      <c r="R952" s="89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</row>
    <row r="953" spans="1:45" ht="12.75" x14ac:dyDescent="0.2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8"/>
      <c r="N953" s="88"/>
      <c r="O953" s="8"/>
      <c r="P953" s="8"/>
      <c r="Q953" s="89"/>
      <c r="R953" s="89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</row>
    <row r="954" spans="1:45" ht="12.75" x14ac:dyDescent="0.2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8"/>
      <c r="N954" s="88"/>
      <c r="O954" s="8"/>
      <c r="P954" s="8"/>
      <c r="Q954" s="89"/>
      <c r="R954" s="89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</row>
    <row r="955" spans="1:45" ht="12.75" x14ac:dyDescent="0.2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8"/>
      <c r="N955" s="88"/>
      <c r="O955" s="8"/>
      <c r="P955" s="8"/>
      <c r="Q955" s="89"/>
      <c r="R955" s="89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</row>
    <row r="956" spans="1:45" ht="12.75" x14ac:dyDescent="0.2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8"/>
      <c r="N956" s="88"/>
      <c r="O956" s="8"/>
      <c r="P956" s="8"/>
      <c r="Q956" s="89"/>
      <c r="R956" s="89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</row>
    <row r="957" spans="1:45" ht="12.75" x14ac:dyDescent="0.2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8"/>
      <c r="N957" s="88"/>
      <c r="O957" s="8"/>
      <c r="P957" s="8"/>
      <c r="Q957" s="89"/>
      <c r="R957" s="89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</row>
    <row r="958" spans="1:45" ht="12.75" x14ac:dyDescent="0.2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8"/>
      <c r="N958" s="88"/>
      <c r="O958" s="8"/>
      <c r="P958" s="8"/>
      <c r="Q958" s="89"/>
      <c r="R958" s="89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</row>
    <row r="959" spans="1:45" ht="12.75" x14ac:dyDescent="0.2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8"/>
      <c r="N959" s="88"/>
      <c r="O959" s="8"/>
      <c r="P959" s="8"/>
      <c r="Q959" s="89"/>
      <c r="R959" s="89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</row>
    <row r="960" spans="1:45" ht="12.75" x14ac:dyDescent="0.2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8"/>
      <c r="N960" s="88"/>
      <c r="O960" s="8"/>
      <c r="P960" s="8"/>
      <c r="Q960" s="89"/>
      <c r="R960" s="89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</row>
    <row r="961" spans="1:45" ht="12.75" x14ac:dyDescent="0.2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8"/>
      <c r="N961" s="88"/>
      <c r="O961" s="8"/>
      <c r="P961" s="8"/>
      <c r="Q961" s="89"/>
      <c r="R961" s="89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</row>
    <row r="962" spans="1:45" ht="12.75" x14ac:dyDescent="0.2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8"/>
      <c r="N962" s="88"/>
      <c r="O962" s="8"/>
      <c r="P962" s="8"/>
      <c r="Q962" s="89"/>
      <c r="R962" s="89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</row>
    <row r="963" spans="1:45" ht="12.75" x14ac:dyDescent="0.2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8"/>
      <c r="N963" s="88"/>
      <c r="O963" s="8"/>
      <c r="P963" s="8"/>
      <c r="Q963" s="89"/>
      <c r="R963" s="89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</row>
    <row r="964" spans="1:45" ht="12.75" x14ac:dyDescent="0.2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8"/>
      <c r="N964" s="88"/>
      <c r="O964" s="8"/>
      <c r="P964" s="8"/>
      <c r="Q964" s="89"/>
      <c r="R964" s="89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</row>
    <row r="965" spans="1:45" ht="12.75" x14ac:dyDescent="0.2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8"/>
      <c r="N965" s="88"/>
      <c r="O965" s="8"/>
      <c r="P965" s="8"/>
      <c r="Q965" s="89"/>
      <c r="R965" s="89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</row>
    <row r="966" spans="1:45" ht="12.75" x14ac:dyDescent="0.2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8"/>
      <c r="N966" s="88"/>
      <c r="O966" s="8"/>
      <c r="P966" s="8"/>
      <c r="Q966" s="89"/>
      <c r="R966" s="89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</row>
    <row r="967" spans="1:45" ht="12.75" x14ac:dyDescent="0.2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8"/>
      <c r="N967" s="88"/>
      <c r="O967" s="8"/>
      <c r="P967" s="8"/>
      <c r="Q967" s="89"/>
      <c r="R967" s="89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</row>
    <row r="968" spans="1:45" ht="12.75" x14ac:dyDescent="0.2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8"/>
      <c r="N968" s="88"/>
      <c r="O968" s="8"/>
      <c r="P968" s="8"/>
      <c r="Q968" s="89"/>
      <c r="R968" s="89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</row>
    <row r="969" spans="1:45" ht="12.75" x14ac:dyDescent="0.2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8"/>
      <c r="N969" s="88"/>
      <c r="O969" s="8"/>
      <c r="P969" s="8"/>
      <c r="Q969" s="89"/>
      <c r="R969" s="89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</row>
    <row r="970" spans="1:45" ht="12.75" x14ac:dyDescent="0.2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8"/>
      <c r="N970" s="88"/>
      <c r="O970" s="8"/>
      <c r="P970" s="8"/>
      <c r="Q970" s="89"/>
      <c r="R970" s="89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</row>
    <row r="971" spans="1:45" ht="12.75" x14ac:dyDescent="0.2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8"/>
      <c r="N971" s="88"/>
      <c r="O971" s="8"/>
      <c r="P971" s="8"/>
      <c r="Q971" s="89"/>
      <c r="R971" s="89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</row>
    <row r="972" spans="1:45" ht="12.75" x14ac:dyDescent="0.2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8"/>
      <c r="N972" s="88"/>
      <c r="O972" s="8"/>
      <c r="P972" s="8"/>
      <c r="Q972" s="89"/>
      <c r="R972" s="89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</row>
    <row r="973" spans="1:45" ht="12.75" x14ac:dyDescent="0.2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8"/>
      <c r="N973" s="88"/>
      <c r="O973" s="8"/>
      <c r="P973" s="8"/>
      <c r="Q973" s="89"/>
      <c r="R973" s="89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</row>
    <row r="974" spans="1:45" ht="12.75" x14ac:dyDescent="0.2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8"/>
      <c r="N974" s="88"/>
      <c r="O974" s="8"/>
      <c r="P974" s="8"/>
      <c r="Q974" s="89"/>
      <c r="R974" s="89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</row>
    <row r="975" spans="1:45" ht="12.75" x14ac:dyDescent="0.2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8"/>
      <c r="N975" s="88"/>
      <c r="O975" s="8"/>
      <c r="P975" s="8"/>
      <c r="Q975" s="89"/>
      <c r="R975" s="89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</row>
    <row r="976" spans="1:45" ht="12.75" x14ac:dyDescent="0.2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8"/>
      <c r="N976" s="88"/>
      <c r="O976" s="8"/>
      <c r="P976" s="8"/>
      <c r="Q976" s="89"/>
      <c r="R976" s="89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</row>
    <row r="977" spans="1:45" ht="12.75" x14ac:dyDescent="0.2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8"/>
      <c r="N977" s="88"/>
      <c r="O977" s="8"/>
      <c r="P977" s="8"/>
      <c r="Q977" s="89"/>
      <c r="R977" s="89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</row>
    <row r="978" spans="1:45" ht="12.75" x14ac:dyDescent="0.2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8"/>
      <c r="N978" s="88"/>
      <c r="O978" s="8"/>
      <c r="P978" s="8"/>
      <c r="Q978" s="89"/>
      <c r="R978" s="89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</row>
    <row r="979" spans="1:45" ht="12.75" x14ac:dyDescent="0.2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8"/>
      <c r="N979" s="88"/>
      <c r="O979" s="8"/>
      <c r="P979" s="8"/>
      <c r="Q979" s="89"/>
      <c r="R979" s="89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</row>
    <row r="980" spans="1:45" ht="12.75" x14ac:dyDescent="0.2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8"/>
      <c r="N980" s="88"/>
      <c r="O980" s="8"/>
      <c r="P980" s="8"/>
      <c r="Q980" s="89"/>
      <c r="R980" s="89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</row>
    <row r="981" spans="1:45" ht="12.75" x14ac:dyDescent="0.2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8"/>
      <c r="N981" s="88"/>
      <c r="O981" s="8"/>
      <c r="P981" s="8"/>
      <c r="Q981" s="89"/>
      <c r="R981" s="89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</row>
    <row r="982" spans="1:45" ht="12.75" x14ac:dyDescent="0.2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8"/>
      <c r="N982" s="88"/>
      <c r="O982" s="8"/>
      <c r="P982" s="8"/>
      <c r="Q982" s="89"/>
      <c r="R982" s="89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</row>
    <row r="983" spans="1:45" ht="12.75" x14ac:dyDescent="0.2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8"/>
      <c r="N983" s="88"/>
      <c r="O983" s="8"/>
      <c r="P983" s="8"/>
      <c r="Q983" s="89"/>
      <c r="R983" s="89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</row>
    <row r="984" spans="1:45" ht="12.75" x14ac:dyDescent="0.2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8"/>
      <c r="N984" s="88"/>
      <c r="O984" s="8"/>
      <c r="P984" s="8"/>
      <c r="Q984" s="89"/>
      <c r="R984" s="89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</row>
    <row r="985" spans="1:45" ht="12.75" x14ac:dyDescent="0.2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8"/>
      <c r="N985" s="88"/>
      <c r="O985" s="8"/>
      <c r="P985" s="8"/>
      <c r="Q985" s="89"/>
      <c r="R985" s="89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</row>
    <row r="986" spans="1:45" ht="12.75" x14ac:dyDescent="0.2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8"/>
      <c r="N986" s="88"/>
      <c r="O986" s="8"/>
      <c r="P986" s="8"/>
      <c r="Q986" s="89"/>
      <c r="R986" s="89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</row>
    <row r="987" spans="1:45" ht="12.75" x14ac:dyDescent="0.2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8"/>
      <c r="N987" s="88"/>
      <c r="O987" s="8"/>
      <c r="P987" s="8"/>
      <c r="Q987" s="89"/>
      <c r="R987" s="89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</row>
    <row r="988" spans="1:45" ht="12.75" x14ac:dyDescent="0.2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8"/>
      <c r="N988" s="88"/>
      <c r="O988" s="8"/>
      <c r="P988" s="8"/>
      <c r="Q988" s="89"/>
      <c r="R988" s="89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</row>
    <row r="989" spans="1:45" ht="12.75" x14ac:dyDescent="0.2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8"/>
      <c r="N989" s="88"/>
      <c r="O989" s="8"/>
      <c r="P989" s="8"/>
      <c r="Q989" s="89"/>
      <c r="R989" s="89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</row>
    <row r="990" spans="1:45" ht="12.75" x14ac:dyDescent="0.2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8"/>
      <c r="N990" s="88"/>
      <c r="O990" s="8"/>
      <c r="P990" s="8"/>
      <c r="Q990" s="89"/>
      <c r="R990" s="89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</row>
    <row r="991" spans="1:45" ht="12.75" x14ac:dyDescent="0.2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8"/>
      <c r="N991" s="88"/>
      <c r="O991" s="8"/>
      <c r="P991" s="8"/>
      <c r="Q991" s="89"/>
      <c r="R991" s="89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</row>
    <row r="992" spans="1:45" ht="12.75" x14ac:dyDescent="0.2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8"/>
      <c r="N992" s="88"/>
      <c r="O992" s="8"/>
      <c r="P992" s="8"/>
      <c r="Q992" s="89"/>
      <c r="R992" s="89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</row>
    <row r="993" spans="1:45" ht="12.75" x14ac:dyDescent="0.2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8"/>
      <c r="N993" s="88"/>
      <c r="O993" s="8"/>
      <c r="P993" s="8"/>
      <c r="Q993" s="89"/>
      <c r="R993" s="89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</row>
    <row r="994" spans="1:45" ht="12.75" x14ac:dyDescent="0.2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8"/>
      <c r="N994" s="88"/>
      <c r="O994" s="8"/>
      <c r="P994" s="8"/>
      <c r="Q994" s="89"/>
      <c r="R994" s="89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</row>
    <row r="995" spans="1:45" ht="12.75" x14ac:dyDescent="0.2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8"/>
      <c r="N995" s="88"/>
      <c r="O995" s="8"/>
      <c r="P995" s="8"/>
      <c r="Q995" s="89"/>
      <c r="R995" s="89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</row>
    <row r="996" spans="1:45" ht="12.75" x14ac:dyDescent="0.2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8"/>
      <c r="N996" s="88"/>
      <c r="O996" s="8"/>
      <c r="P996" s="8"/>
      <c r="Q996" s="89"/>
      <c r="R996" s="89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</row>
    <row r="997" spans="1:45" ht="12.75" x14ac:dyDescent="0.2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8"/>
      <c r="N997" s="88"/>
      <c r="O997" s="8"/>
      <c r="P997" s="8"/>
      <c r="Q997" s="89"/>
      <c r="R997" s="89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</row>
    <row r="998" spans="1:45" ht="12.75" x14ac:dyDescent="0.2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8"/>
      <c r="N998" s="88"/>
      <c r="O998" s="8"/>
      <c r="P998" s="8"/>
      <c r="Q998" s="89"/>
      <c r="R998" s="89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</row>
    <row r="999" spans="1:45" ht="12.75" x14ac:dyDescent="0.2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8"/>
      <c r="N999" s="88"/>
      <c r="O999" s="8"/>
      <c r="P999" s="8"/>
      <c r="Q999" s="89"/>
      <c r="R999" s="89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</row>
    <row r="1000" spans="1:45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</row>
  </sheetData>
  <mergeCells count="42">
    <mergeCell ref="AL3:AN4"/>
    <mergeCell ref="AO3:AO4"/>
    <mergeCell ref="AP3:AP4"/>
    <mergeCell ref="AQ3:AQ4"/>
    <mergeCell ref="AR3:AR4"/>
    <mergeCell ref="AD5:AE5"/>
    <mergeCell ref="AF5:AG5"/>
    <mergeCell ref="AH5:AI5"/>
    <mergeCell ref="AM5:AN5"/>
    <mergeCell ref="F4:G4"/>
    <mergeCell ref="H4:R4"/>
    <mergeCell ref="H5:I5"/>
    <mergeCell ref="J5:L5"/>
    <mergeCell ref="Q5:R5"/>
    <mergeCell ref="T5:U5"/>
    <mergeCell ref="W5:X5"/>
    <mergeCell ref="AD3:AE4"/>
    <mergeCell ref="AF3:AG4"/>
    <mergeCell ref="AH3:AI4"/>
    <mergeCell ref="AJ3:AJ4"/>
    <mergeCell ref="AK3:AK4"/>
    <mergeCell ref="Z5:AA5"/>
    <mergeCell ref="AB5:AC5"/>
    <mergeCell ref="A31:B31"/>
    <mergeCell ref="A52:B52"/>
    <mergeCell ref="A74:B74"/>
    <mergeCell ref="A89:B89"/>
    <mergeCell ref="A104:B104"/>
    <mergeCell ref="A2:B6"/>
    <mergeCell ref="C4:E4"/>
    <mergeCell ref="C5:C6"/>
    <mergeCell ref="D5:D6"/>
    <mergeCell ref="E5:E6"/>
    <mergeCell ref="A7:B7"/>
    <mergeCell ref="A13:B13"/>
    <mergeCell ref="C2:AS2"/>
    <mergeCell ref="C3:R3"/>
    <mergeCell ref="S3:U4"/>
    <mergeCell ref="V3:X4"/>
    <mergeCell ref="Y3:AA4"/>
    <mergeCell ref="AB3:AC4"/>
    <mergeCell ref="AS3:AS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0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2" manualBreakCount="2">
    <brk id="18" max="1048575" man="1"/>
    <brk id="3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BV1000"/>
  <sheetViews>
    <sheetView view="pageBreakPreview" zoomScale="60" zoomScaleNormal="70" workbookViewId="0">
      <pane xSplit="2" ySplit="7" topLeftCell="C8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16.85546875" bestFit="1" customWidth="1"/>
    <col min="4" max="5" width="17.5703125" customWidth="1"/>
    <col min="6" max="6" width="19.85546875" bestFit="1" customWidth="1"/>
    <col min="7" max="7" width="12.5703125" customWidth="1"/>
    <col min="8" max="8" width="17.5703125" customWidth="1"/>
    <col min="9" max="9" width="16.42578125" customWidth="1"/>
    <col min="10" max="14" width="15.140625" customWidth="1"/>
    <col min="15" max="17" width="13.85546875" customWidth="1"/>
    <col min="18" max="18" width="10.85546875" bestFit="1" customWidth="1"/>
    <col min="19" max="28" width="13.85546875" customWidth="1"/>
    <col min="29" max="30" width="16.42578125" customWidth="1"/>
    <col min="31" max="44" width="13.85546875" customWidth="1"/>
    <col min="45" max="74" width="15.140625" customWidth="1"/>
  </cols>
  <sheetData>
    <row r="1" spans="1:74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8"/>
      <c r="BO1" s="8"/>
      <c r="BP1" s="8"/>
      <c r="BQ1" s="8"/>
      <c r="BR1" s="8"/>
      <c r="BS1" s="8"/>
      <c r="BT1" s="8"/>
      <c r="BU1" s="8"/>
      <c r="BV1" s="8"/>
    </row>
    <row r="2" spans="1:74" ht="24" customHeight="1" x14ac:dyDescent="0.2">
      <c r="A2" s="198" t="s">
        <v>1</v>
      </c>
      <c r="B2" s="199"/>
      <c r="C2" s="193" t="s">
        <v>229</v>
      </c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5"/>
      <c r="BE2" s="185"/>
      <c r="BF2" s="185"/>
      <c r="BG2" s="185"/>
      <c r="BH2" s="185"/>
      <c r="BI2" s="185"/>
      <c r="BJ2" s="185"/>
      <c r="BK2" s="185"/>
      <c r="BL2" s="185"/>
      <c r="BM2" s="183"/>
      <c r="BN2" s="9"/>
      <c r="BO2" s="9"/>
      <c r="BP2" s="9"/>
      <c r="BQ2" s="9"/>
      <c r="BR2" s="9"/>
      <c r="BS2" s="9"/>
      <c r="BT2" s="9"/>
      <c r="BU2" s="9"/>
      <c r="BV2" s="9"/>
    </row>
    <row r="3" spans="1:74" ht="30" customHeight="1" x14ac:dyDescent="0.2">
      <c r="A3" s="200"/>
      <c r="B3" s="199"/>
      <c r="C3" s="194" t="s">
        <v>3</v>
      </c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3"/>
      <c r="S3" s="234" t="s">
        <v>230</v>
      </c>
      <c r="T3" s="191"/>
      <c r="U3" s="180"/>
      <c r="V3" s="240" t="s">
        <v>231</v>
      </c>
      <c r="W3" s="191"/>
      <c r="X3" s="180"/>
      <c r="Y3" s="205" t="s">
        <v>232</v>
      </c>
      <c r="Z3" s="185"/>
      <c r="AA3" s="185"/>
      <c r="AB3" s="185"/>
      <c r="AC3" s="185"/>
      <c r="AD3" s="185"/>
      <c r="AE3" s="185"/>
      <c r="AF3" s="185"/>
      <c r="AG3" s="183"/>
      <c r="AH3" s="230" t="s">
        <v>233</v>
      </c>
      <c r="AI3" s="191"/>
      <c r="AJ3" s="191"/>
      <c r="AK3" s="191"/>
      <c r="AL3" s="191"/>
      <c r="AM3" s="191"/>
      <c r="AN3" s="191"/>
      <c r="AO3" s="191"/>
      <c r="AP3" s="191"/>
      <c r="AQ3" s="191"/>
      <c r="AR3" s="180"/>
      <c r="AS3" s="230" t="s">
        <v>234</v>
      </c>
      <c r="AT3" s="191"/>
      <c r="AU3" s="191"/>
      <c r="AV3" s="191"/>
      <c r="AW3" s="180"/>
      <c r="AX3" s="208" t="s">
        <v>235</v>
      </c>
      <c r="AY3" s="185"/>
      <c r="AZ3" s="185"/>
      <c r="BA3" s="185"/>
      <c r="BB3" s="185"/>
      <c r="BC3" s="185"/>
      <c r="BD3" s="185"/>
      <c r="BE3" s="185"/>
      <c r="BF3" s="185"/>
      <c r="BG3" s="185"/>
      <c r="BH3" s="185"/>
      <c r="BI3" s="185"/>
      <c r="BJ3" s="185"/>
      <c r="BK3" s="185"/>
      <c r="BL3" s="185"/>
      <c r="BM3" s="183"/>
      <c r="BN3" s="208" t="s">
        <v>236</v>
      </c>
      <c r="BO3" s="185"/>
      <c r="BP3" s="185"/>
      <c r="BQ3" s="185"/>
      <c r="BR3" s="185"/>
      <c r="BS3" s="185"/>
      <c r="BT3" s="185"/>
      <c r="BU3" s="185"/>
      <c r="BV3" s="183"/>
    </row>
    <row r="4" spans="1:74" ht="60" customHeight="1" x14ac:dyDescent="0.3">
      <c r="A4" s="200"/>
      <c r="B4" s="199"/>
      <c r="C4" s="184" t="s">
        <v>8</v>
      </c>
      <c r="D4" s="185"/>
      <c r="E4" s="183"/>
      <c r="F4" s="195" t="s">
        <v>9</v>
      </c>
      <c r="G4" s="183"/>
      <c r="H4" s="196" t="s">
        <v>10</v>
      </c>
      <c r="I4" s="185"/>
      <c r="J4" s="185"/>
      <c r="K4" s="185"/>
      <c r="L4" s="185"/>
      <c r="M4" s="185"/>
      <c r="N4" s="185"/>
      <c r="O4" s="185"/>
      <c r="P4" s="185"/>
      <c r="Q4" s="185"/>
      <c r="R4" s="183"/>
      <c r="S4" s="185"/>
      <c r="T4" s="185"/>
      <c r="U4" s="183"/>
      <c r="V4" s="185"/>
      <c r="W4" s="185"/>
      <c r="X4" s="183"/>
      <c r="Y4" s="205" t="s">
        <v>164</v>
      </c>
      <c r="Z4" s="185"/>
      <c r="AA4" s="183"/>
      <c r="AB4" s="203" t="s">
        <v>237</v>
      </c>
      <c r="AC4" s="185"/>
      <c r="AD4" s="183"/>
      <c r="AE4" s="203" t="s">
        <v>238</v>
      </c>
      <c r="AF4" s="185"/>
      <c r="AG4" s="183"/>
      <c r="AH4" s="208" t="s">
        <v>164</v>
      </c>
      <c r="AI4" s="185"/>
      <c r="AJ4" s="183"/>
      <c r="AK4" s="205" t="s">
        <v>239</v>
      </c>
      <c r="AL4" s="183"/>
      <c r="AM4" s="205" t="s">
        <v>240</v>
      </c>
      <c r="AN4" s="185"/>
      <c r="AO4" s="183"/>
      <c r="AP4" s="205" t="s">
        <v>241</v>
      </c>
      <c r="AQ4" s="185"/>
      <c r="AR4" s="183"/>
      <c r="AS4" s="185"/>
      <c r="AT4" s="185"/>
      <c r="AU4" s="185"/>
      <c r="AV4" s="185"/>
      <c r="AW4" s="183"/>
      <c r="AX4" s="239" t="s">
        <v>164</v>
      </c>
      <c r="AY4" s="185"/>
      <c r="AZ4" s="185"/>
      <c r="BA4" s="185"/>
      <c r="BB4" s="185"/>
      <c r="BC4" s="183"/>
      <c r="BD4" s="205" t="s">
        <v>242</v>
      </c>
      <c r="BE4" s="185"/>
      <c r="BF4" s="185"/>
      <c r="BG4" s="185"/>
      <c r="BH4" s="183"/>
      <c r="BI4" s="205" t="s">
        <v>243</v>
      </c>
      <c r="BJ4" s="185"/>
      <c r="BK4" s="185"/>
      <c r="BL4" s="185"/>
      <c r="BM4" s="183"/>
      <c r="BN4" s="208" t="s">
        <v>164</v>
      </c>
      <c r="BO4" s="185"/>
      <c r="BP4" s="183"/>
      <c r="BQ4" s="205" t="s">
        <v>244</v>
      </c>
      <c r="BR4" s="185"/>
      <c r="BS4" s="183"/>
      <c r="BT4" s="205" t="s">
        <v>245</v>
      </c>
      <c r="BU4" s="185"/>
      <c r="BV4" s="183"/>
    </row>
    <row r="5" spans="1:74" ht="37.5" customHeight="1" x14ac:dyDescent="0.3">
      <c r="A5" s="200"/>
      <c r="B5" s="199"/>
      <c r="C5" s="242" t="s">
        <v>11</v>
      </c>
      <c r="D5" s="243" t="s">
        <v>12</v>
      </c>
      <c r="E5" s="244" t="s">
        <v>13</v>
      </c>
      <c r="F5" s="92" t="s">
        <v>14</v>
      </c>
      <c r="G5" s="92" t="s">
        <v>15</v>
      </c>
      <c r="H5" s="246" t="s">
        <v>16</v>
      </c>
      <c r="I5" s="245"/>
      <c r="J5" s="247" t="s">
        <v>202</v>
      </c>
      <c r="K5" s="248"/>
      <c r="L5" s="245"/>
      <c r="M5" s="249" t="s">
        <v>18</v>
      </c>
      <c r="N5" s="249" t="s">
        <v>19</v>
      </c>
      <c r="O5" s="249" t="s">
        <v>20</v>
      </c>
      <c r="P5" s="249" t="s">
        <v>21</v>
      </c>
      <c r="Q5" s="250" t="s">
        <v>15</v>
      </c>
      <c r="R5" s="245"/>
      <c r="S5" s="119" t="s">
        <v>22</v>
      </c>
      <c r="T5" s="189" t="s">
        <v>23</v>
      </c>
      <c r="U5" s="183"/>
      <c r="V5" s="12" t="s">
        <v>22</v>
      </c>
      <c r="W5" s="192" t="s">
        <v>23</v>
      </c>
      <c r="X5" s="183"/>
      <c r="Y5" s="119" t="s">
        <v>22</v>
      </c>
      <c r="Z5" s="192" t="s">
        <v>23</v>
      </c>
      <c r="AA5" s="183"/>
      <c r="AB5" s="189" t="s">
        <v>23</v>
      </c>
      <c r="AC5" s="185"/>
      <c r="AD5" s="183"/>
      <c r="AE5" s="192" t="s">
        <v>23</v>
      </c>
      <c r="AF5" s="185"/>
      <c r="AG5" s="183"/>
      <c r="AH5" s="118" t="s">
        <v>22</v>
      </c>
      <c r="AI5" s="192" t="s">
        <v>23</v>
      </c>
      <c r="AJ5" s="183"/>
      <c r="AK5" s="192" t="s">
        <v>23</v>
      </c>
      <c r="AL5" s="183"/>
      <c r="AM5" s="192" t="s">
        <v>23</v>
      </c>
      <c r="AN5" s="185"/>
      <c r="AO5" s="183"/>
      <c r="AP5" s="192" t="s">
        <v>23</v>
      </c>
      <c r="AQ5" s="185"/>
      <c r="AR5" s="183"/>
      <c r="AS5" s="162" t="s">
        <v>22</v>
      </c>
      <c r="AT5" s="192" t="s">
        <v>23</v>
      </c>
      <c r="AU5" s="185"/>
      <c r="AV5" s="185"/>
      <c r="AW5" s="183"/>
      <c r="AX5" s="238" t="s">
        <v>22</v>
      </c>
      <c r="AY5" s="183"/>
      <c r="AZ5" s="192" t="s">
        <v>23</v>
      </c>
      <c r="BA5" s="185"/>
      <c r="BB5" s="185"/>
      <c r="BC5" s="183"/>
      <c r="BD5" s="238" t="s">
        <v>22</v>
      </c>
      <c r="BE5" s="183"/>
      <c r="BF5" s="192" t="s">
        <v>23</v>
      </c>
      <c r="BG5" s="185"/>
      <c r="BH5" s="183"/>
      <c r="BI5" s="238" t="s">
        <v>22</v>
      </c>
      <c r="BJ5" s="183"/>
      <c r="BK5" s="192" t="s">
        <v>23</v>
      </c>
      <c r="BL5" s="185"/>
      <c r="BM5" s="183"/>
      <c r="BN5" s="162" t="s">
        <v>22</v>
      </c>
      <c r="BO5" s="192" t="s">
        <v>23</v>
      </c>
      <c r="BP5" s="183"/>
      <c r="BQ5" s="192" t="s">
        <v>23</v>
      </c>
      <c r="BR5" s="185"/>
      <c r="BS5" s="183"/>
      <c r="BT5" s="192" t="s">
        <v>23</v>
      </c>
      <c r="BU5" s="185"/>
      <c r="BV5" s="183"/>
    </row>
    <row r="6" spans="1:74" ht="40.5" customHeight="1" x14ac:dyDescent="0.3">
      <c r="A6" s="201"/>
      <c r="B6" s="202"/>
      <c r="C6" s="245"/>
      <c r="D6" s="245"/>
      <c r="E6" s="245"/>
      <c r="F6" s="161"/>
      <c r="G6" s="161"/>
      <c r="H6" s="102" t="s">
        <v>24</v>
      </c>
      <c r="I6" s="103" t="s">
        <v>27</v>
      </c>
      <c r="J6" s="93" t="s">
        <v>24</v>
      </c>
      <c r="K6" s="255" t="s">
        <v>25</v>
      </c>
      <c r="L6" s="255" t="s">
        <v>26</v>
      </c>
      <c r="M6" s="104" t="s">
        <v>24</v>
      </c>
      <c r="N6" s="104" t="s">
        <v>24</v>
      </c>
      <c r="O6" s="104" t="s">
        <v>24</v>
      </c>
      <c r="P6" s="104" t="s">
        <v>24</v>
      </c>
      <c r="Q6" s="105" t="s">
        <v>24</v>
      </c>
      <c r="R6" s="106" t="s">
        <v>27</v>
      </c>
      <c r="S6" s="123" t="s">
        <v>143</v>
      </c>
      <c r="T6" s="21" t="s">
        <v>143</v>
      </c>
      <c r="U6" s="22" t="s">
        <v>27</v>
      </c>
      <c r="V6" s="20" t="s">
        <v>228</v>
      </c>
      <c r="W6" s="21" t="s">
        <v>228</v>
      </c>
      <c r="X6" s="22" t="s">
        <v>27</v>
      </c>
      <c r="Y6" s="123" t="s">
        <v>143</v>
      </c>
      <c r="Z6" s="21" t="s">
        <v>143</v>
      </c>
      <c r="AA6" s="22" t="s">
        <v>27</v>
      </c>
      <c r="AB6" s="21" t="s">
        <v>28</v>
      </c>
      <c r="AC6" s="21" t="s">
        <v>204</v>
      </c>
      <c r="AD6" s="22" t="s">
        <v>143</v>
      </c>
      <c r="AE6" s="21" t="s">
        <v>28</v>
      </c>
      <c r="AF6" s="21" t="s">
        <v>204</v>
      </c>
      <c r="AG6" s="22" t="s">
        <v>143</v>
      </c>
      <c r="AH6" s="122" t="s">
        <v>143</v>
      </c>
      <c r="AI6" s="21" t="s">
        <v>143</v>
      </c>
      <c r="AJ6" s="22" t="s">
        <v>27</v>
      </c>
      <c r="AK6" s="21" t="s">
        <v>204</v>
      </c>
      <c r="AL6" s="21" t="s">
        <v>143</v>
      </c>
      <c r="AM6" s="21" t="s">
        <v>28</v>
      </c>
      <c r="AN6" s="21" t="s">
        <v>204</v>
      </c>
      <c r="AO6" s="21" t="s">
        <v>143</v>
      </c>
      <c r="AP6" s="21" t="s">
        <v>28</v>
      </c>
      <c r="AQ6" s="21" t="s">
        <v>204</v>
      </c>
      <c r="AR6" s="21" t="s">
        <v>143</v>
      </c>
      <c r="AS6" s="122" t="s">
        <v>143</v>
      </c>
      <c r="AT6" s="21" t="s">
        <v>28</v>
      </c>
      <c r="AU6" s="21" t="s">
        <v>204</v>
      </c>
      <c r="AV6" s="21" t="s">
        <v>143</v>
      </c>
      <c r="AW6" s="21" t="s">
        <v>246</v>
      </c>
      <c r="AX6" s="118" t="s">
        <v>28</v>
      </c>
      <c r="AY6" s="118" t="s">
        <v>143</v>
      </c>
      <c r="AZ6" s="163" t="s">
        <v>28</v>
      </c>
      <c r="BA6" s="163" t="s">
        <v>27</v>
      </c>
      <c r="BB6" s="163" t="s">
        <v>143</v>
      </c>
      <c r="BC6" s="163" t="s">
        <v>27</v>
      </c>
      <c r="BD6" s="118" t="s">
        <v>28</v>
      </c>
      <c r="BE6" s="118" t="s">
        <v>143</v>
      </c>
      <c r="BF6" s="163" t="s">
        <v>28</v>
      </c>
      <c r="BG6" s="163" t="s">
        <v>204</v>
      </c>
      <c r="BH6" s="163" t="s">
        <v>143</v>
      </c>
      <c r="BI6" s="118" t="s">
        <v>28</v>
      </c>
      <c r="BJ6" s="118" t="s">
        <v>143</v>
      </c>
      <c r="BK6" s="163" t="s">
        <v>28</v>
      </c>
      <c r="BL6" s="163" t="s">
        <v>204</v>
      </c>
      <c r="BM6" s="163" t="s">
        <v>143</v>
      </c>
      <c r="BN6" s="118" t="s">
        <v>143</v>
      </c>
      <c r="BO6" s="163" t="s">
        <v>143</v>
      </c>
      <c r="BP6" s="163" t="s">
        <v>27</v>
      </c>
      <c r="BQ6" s="163" t="s">
        <v>28</v>
      </c>
      <c r="BR6" s="163" t="s">
        <v>204</v>
      </c>
      <c r="BS6" s="163" t="s">
        <v>143</v>
      </c>
      <c r="BT6" s="163" t="s">
        <v>28</v>
      </c>
      <c r="BU6" s="163" t="s">
        <v>204</v>
      </c>
      <c r="BV6" s="163" t="s">
        <v>143</v>
      </c>
    </row>
    <row r="7" spans="1:74" ht="24" customHeight="1" x14ac:dyDescent="0.3">
      <c r="A7" s="175" t="s">
        <v>252</v>
      </c>
      <c r="B7" s="176"/>
      <c r="C7" s="164">
        <f t="shared" ref="C7:H7" ca="1" si="0">C8+C9</f>
        <v>1119400</v>
      </c>
      <c r="D7" s="165">
        <f t="shared" ca="1" si="0"/>
        <v>1119400</v>
      </c>
      <c r="E7" s="166">
        <f t="shared" ca="1" si="0"/>
        <v>0</v>
      </c>
      <c r="F7" s="166">
        <f t="shared" ca="1" si="0"/>
        <v>1119400</v>
      </c>
      <c r="G7" s="166">
        <f t="shared" ca="1" si="0"/>
        <v>0</v>
      </c>
      <c r="H7" s="167">
        <f t="shared" ca="1" si="0"/>
        <v>191067.12</v>
      </c>
      <c r="I7" s="168">
        <f t="shared" ref="I7:I116" ca="1" si="1">IF(D7&gt;0,H7*100/D7,0)</f>
        <v>17.068708236555299</v>
      </c>
      <c r="J7" s="167">
        <f ca="1">J8+J9</f>
        <v>191067.12</v>
      </c>
      <c r="K7" s="168">
        <f t="shared" ref="K7:K10" ca="1" si="2">IF(D7&gt;0,J7*100/D7,0)</f>
        <v>17.068708236555299</v>
      </c>
      <c r="L7" s="168">
        <f t="shared" ref="L7:L10" ca="1" si="3">IF(F7&gt;0,J7*100/F7,0)</f>
        <v>17.068708236555299</v>
      </c>
      <c r="M7" s="167">
        <f t="shared" ref="M7:Q7" ca="1" si="4">M8+M9</f>
        <v>360</v>
      </c>
      <c r="N7" s="167">
        <f t="shared" ca="1" si="4"/>
        <v>0</v>
      </c>
      <c r="O7" s="167">
        <f t="shared" ca="1" si="4"/>
        <v>0</v>
      </c>
      <c r="P7" s="167">
        <f t="shared" ca="1" si="4"/>
        <v>190707.12</v>
      </c>
      <c r="Q7" s="112">
        <f t="shared" ca="1" si="4"/>
        <v>0</v>
      </c>
      <c r="R7" s="112">
        <f ca="1">IF(E7&gt;0,Q7*100/E7,0)</f>
        <v>0</v>
      </c>
      <c r="S7" s="129">
        <f t="shared" ref="S7:T7" ca="1" si="5">S8</f>
        <v>1380</v>
      </c>
      <c r="T7" s="30">
        <f t="shared" ca="1" si="5"/>
        <v>405.69</v>
      </c>
      <c r="U7" s="31">
        <f t="shared" ref="U7:U8" ca="1" si="6">IF(S7&gt;0,T7*100/S7,0)</f>
        <v>29.39782608695652</v>
      </c>
      <c r="V7" s="29">
        <f t="shared" ref="V7:W7" ca="1" si="7">V8</f>
        <v>593</v>
      </c>
      <c r="W7" s="30">
        <f t="shared" ca="1" si="7"/>
        <v>119</v>
      </c>
      <c r="X7" s="31">
        <f t="shared" ref="X7:X8" ca="1" si="8">IF(V7&gt;0,W7*100/V7,0)</f>
        <v>20.067453625632378</v>
      </c>
      <c r="Y7" s="129">
        <f t="shared" ref="Y7:Z7" ca="1" si="9">Y8</f>
        <v>5794</v>
      </c>
      <c r="Z7" s="30">
        <f t="shared" ca="1" si="9"/>
        <v>1100.4769999999999</v>
      </c>
      <c r="AA7" s="31">
        <f t="shared" ref="AA7:AA8" ca="1" si="10">IF(Y7&gt;0,Z7*100/Y7,0)</f>
        <v>18.993389713496718</v>
      </c>
      <c r="AB7" s="31">
        <f t="shared" ref="AB7:AI7" ca="1" si="11">AB8</f>
        <v>85</v>
      </c>
      <c r="AC7" s="31">
        <f t="shared" ca="1" si="11"/>
        <v>96</v>
      </c>
      <c r="AD7" s="31">
        <f t="shared" ca="1" si="11"/>
        <v>885.4369999999999</v>
      </c>
      <c r="AE7" s="31">
        <f t="shared" ca="1" si="11"/>
        <v>16</v>
      </c>
      <c r="AF7" s="31">
        <f t="shared" ca="1" si="11"/>
        <v>16</v>
      </c>
      <c r="AG7" s="31">
        <f t="shared" ca="1" si="11"/>
        <v>215.04</v>
      </c>
      <c r="AH7" s="128">
        <f t="shared" ca="1" si="11"/>
        <v>4966</v>
      </c>
      <c r="AI7" s="30">
        <f t="shared" ca="1" si="11"/>
        <v>1176</v>
      </c>
      <c r="AJ7" s="31">
        <f t="shared" ref="AJ7:AJ8" ca="1" si="12">IF(AH7&gt;0,AI7*100/AH7,0)</f>
        <v>23.681031010873944</v>
      </c>
      <c r="AK7" s="30">
        <f t="shared" ref="AK7:AV7" ca="1" si="13">AK8</f>
        <v>30</v>
      </c>
      <c r="AL7" s="30">
        <f t="shared" ca="1" si="13"/>
        <v>478</v>
      </c>
      <c r="AM7" s="30">
        <f t="shared" ca="1" si="13"/>
        <v>104</v>
      </c>
      <c r="AN7" s="30">
        <f t="shared" ca="1" si="13"/>
        <v>106</v>
      </c>
      <c r="AO7" s="30">
        <f t="shared" ca="1" si="13"/>
        <v>1125</v>
      </c>
      <c r="AP7" s="30">
        <f t="shared" ca="1" si="13"/>
        <v>8</v>
      </c>
      <c r="AQ7" s="30">
        <f t="shared" ca="1" si="13"/>
        <v>8</v>
      </c>
      <c r="AR7" s="30">
        <f t="shared" ca="1" si="13"/>
        <v>51</v>
      </c>
      <c r="AS7" s="128">
        <f t="shared" ca="1" si="13"/>
        <v>6123</v>
      </c>
      <c r="AT7" s="30">
        <f t="shared" ca="1" si="13"/>
        <v>10</v>
      </c>
      <c r="AU7" s="30">
        <f t="shared" ca="1" si="13"/>
        <v>10</v>
      </c>
      <c r="AV7" s="30">
        <f t="shared" ca="1" si="13"/>
        <v>101.18</v>
      </c>
      <c r="AW7" s="31">
        <f t="shared" ref="AW7:AW88" ca="1" si="14">IF(AS7&gt;0,AV7*100/AS7,0)</f>
        <v>1.652457945451576</v>
      </c>
      <c r="AX7" s="128">
        <f t="shared" ref="AX7:AZ7" ca="1" si="15">AX8</f>
        <v>535</v>
      </c>
      <c r="AY7" s="128">
        <f t="shared" ca="1" si="15"/>
        <v>5528</v>
      </c>
      <c r="AZ7" s="30">
        <f t="shared" ca="1" si="15"/>
        <v>70</v>
      </c>
      <c r="BA7" s="31">
        <f t="shared" ref="BA7:BA88" ca="1" si="16">IF(AX7&gt;0,AZ7*100/AX7,0)</f>
        <v>13.084112149532711</v>
      </c>
      <c r="BB7" s="30">
        <f ca="1">BB8</f>
        <v>700.17</v>
      </c>
      <c r="BC7" s="169">
        <f t="shared" ref="BC7:BC88" ca="1" si="17">IF(AY7&gt;0,BB7*100/AY7,0)</f>
        <v>12.665882778581766</v>
      </c>
      <c r="BD7" s="170">
        <f t="shared" ref="BD7:BO7" ca="1" si="18">BD8</f>
        <v>407</v>
      </c>
      <c r="BE7" s="170">
        <f t="shared" ca="1" si="18"/>
        <v>4608</v>
      </c>
      <c r="BF7" s="30">
        <f t="shared" ca="1" si="18"/>
        <v>52</v>
      </c>
      <c r="BG7" s="30">
        <f t="shared" ca="1" si="18"/>
        <v>59</v>
      </c>
      <c r="BH7" s="171">
        <f t="shared" ca="1" si="18"/>
        <v>621.09</v>
      </c>
      <c r="BI7" s="170">
        <f t="shared" ca="1" si="18"/>
        <v>128</v>
      </c>
      <c r="BJ7" s="170">
        <f t="shared" ca="1" si="18"/>
        <v>920</v>
      </c>
      <c r="BK7" s="30">
        <f t="shared" ca="1" si="18"/>
        <v>18</v>
      </c>
      <c r="BL7" s="30">
        <f t="shared" ca="1" si="18"/>
        <v>19</v>
      </c>
      <c r="BM7" s="30">
        <f t="shared" ca="1" si="18"/>
        <v>79.08</v>
      </c>
      <c r="BN7" s="128">
        <f t="shared" ca="1" si="18"/>
        <v>2279</v>
      </c>
      <c r="BO7" s="30">
        <f t="shared" ca="1" si="18"/>
        <v>1347.8975</v>
      </c>
      <c r="BP7" s="31">
        <f t="shared" ref="BP7:BP88" ca="1" si="19">IF(BN7&gt;0,BO7*100/BN7,0)</f>
        <v>59.144251864853004</v>
      </c>
      <c r="BQ7" s="30">
        <f t="shared" ref="BQ7:BV7" ca="1" si="20">BQ8</f>
        <v>16</v>
      </c>
      <c r="BR7" s="30">
        <f t="shared" ca="1" si="20"/>
        <v>15</v>
      </c>
      <c r="BS7" s="30">
        <f t="shared" ca="1" si="20"/>
        <v>248.23250000000002</v>
      </c>
      <c r="BT7" s="30">
        <f t="shared" ca="1" si="20"/>
        <v>110</v>
      </c>
      <c r="BU7" s="30">
        <f t="shared" ca="1" si="20"/>
        <v>121</v>
      </c>
      <c r="BV7" s="30">
        <f t="shared" ca="1" si="20"/>
        <v>1099.665</v>
      </c>
    </row>
    <row r="8" spans="1:74" ht="28.5" customHeight="1" x14ac:dyDescent="0.3">
      <c r="A8" s="32" t="s">
        <v>30</v>
      </c>
      <c r="B8" s="33"/>
      <c r="C8" s="113">
        <f t="shared" ref="C8:H8" ca="1" si="21">+C13+C31+C52+C74</f>
        <v>1060450</v>
      </c>
      <c r="D8" s="113">
        <f t="shared" ca="1" si="21"/>
        <v>1060450</v>
      </c>
      <c r="E8" s="113">
        <f t="shared" ca="1" si="21"/>
        <v>0</v>
      </c>
      <c r="F8" s="113">
        <f t="shared" ca="1" si="21"/>
        <v>1060450</v>
      </c>
      <c r="G8" s="113">
        <f t="shared" ca="1" si="21"/>
        <v>0</v>
      </c>
      <c r="H8" s="113">
        <f t="shared" ca="1" si="21"/>
        <v>152207.12</v>
      </c>
      <c r="I8" s="114">
        <f t="shared" ca="1" si="1"/>
        <v>14.353068980149937</v>
      </c>
      <c r="J8" s="113">
        <f ca="1">+J13+J31+J52+J74</f>
        <v>152207.12</v>
      </c>
      <c r="K8" s="114">
        <f t="shared" ca="1" si="2"/>
        <v>14.353068980149937</v>
      </c>
      <c r="L8" s="114">
        <f t="shared" ca="1" si="3"/>
        <v>14.353068980149937</v>
      </c>
      <c r="M8" s="113">
        <f t="shared" ref="M8:T8" ca="1" si="22">+M13+M31+M52+M74</f>
        <v>360</v>
      </c>
      <c r="N8" s="113">
        <f t="shared" ca="1" si="22"/>
        <v>0</v>
      </c>
      <c r="O8" s="113">
        <f t="shared" ca="1" si="22"/>
        <v>0</v>
      </c>
      <c r="P8" s="113">
        <f t="shared" ca="1" si="22"/>
        <v>151847.12</v>
      </c>
      <c r="Q8" s="115">
        <f t="shared" ca="1" si="22"/>
        <v>0</v>
      </c>
      <c r="R8" s="115">
        <f t="shared" ca="1" si="22"/>
        <v>0</v>
      </c>
      <c r="S8" s="34">
        <f t="shared" ca="1" si="22"/>
        <v>1380</v>
      </c>
      <c r="T8" s="34">
        <f t="shared" ca="1" si="22"/>
        <v>405.69</v>
      </c>
      <c r="U8" s="37">
        <f t="shared" ca="1" si="6"/>
        <v>29.39782608695652</v>
      </c>
      <c r="V8" s="34">
        <f t="shared" ref="V8:W8" ca="1" si="23">+V13+V31+V52+V74</f>
        <v>593</v>
      </c>
      <c r="W8" s="34">
        <f t="shared" ca="1" si="23"/>
        <v>119</v>
      </c>
      <c r="X8" s="37">
        <f t="shared" ca="1" si="8"/>
        <v>20.067453625632378</v>
      </c>
      <c r="Y8" s="34">
        <f t="shared" ref="Y8:Z8" ca="1" si="24">+Y13+Y31+Y52+Y74</f>
        <v>5794</v>
      </c>
      <c r="Z8" s="34">
        <f t="shared" ca="1" si="24"/>
        <v>1100.4769999999999</v>
      </c>
      <c r="AA8" s="37">
        <f t="shared" ca="1" si="10"/>
        <v>18.993389713496718</v>
      </c>
      <c r="AB8" s="37">
        <f t="shared" ref="AB8:AI8" ca="1" si="25">+AB13+AB31+AB52+AB74</f>
        <v>85</v>
      </c>
      <c r="AC8" s="37">
        <f t="shared" ca="1" si="25"/>
        <v>96</v>
      </c>
      <c r="AD8" s="37">
        <f t="shared" ca="1" si="25"/>
        <v>885.4369999999999</v>
      </c>
      <c r="AE8" s="37">
        <f t="shared" ca="1" si="25"/>
        <v>16</v>
      </c>
      <c r="AF8" s="37">
        <f t="shared" ca="1" si="25"/>
        <v>16</v>
      </c>
      <c r="AG8" s="37">
        <f t="shared" ca="1" si="25"/>
        <v>215.04</v>
      </c>
      <c r="AH8" s="34">
        <f t="shared" ca="1" si="25"/>
        <v>4966</v>
      </c>
      <c r="AI8" s="34">
        <f t="shared" ca="1" si="25"/>
        <v>1176</v>
      </c>
      <c r="AJ8" s="37">
        <f t="shared" ca="1" si="12"/>
        <v>23.681031010873944</v>
      </c>
      <c r="AK8" s="34">
        <f t="shared" ref="AK8:AV8" ca="1" si="26">+AK13+AK31+AK52+AK74</f>
        <v>30</v>
      </c>
      <c r="AL8" s="34">
        <f t="shared" ca="1" si="26"/>
        <v>478</v>
      </c>
      <c r="AM8" s="34">
        <f t="shared" ca="1" si="26"/>
        <v>104</v>
      </c>
      <c r="AN8" s="34">
        <f t="shared" ca="1" si="26"/>
        <v>106</v>
      </c>
      <c r="AO8" s="34">
        <f t="shared" ca="1" si="26"/>
        <v>1125</v>
      </c>
      <c r="AP8" s="34">
        <f t="shared" ca="1" si="26"/>
        <v>8</v>
      </c>
      <c r="AQ8" s="34">
        <f t="shared" ca="1" si="26"/>
        <v>8</v>
      </c>
      <c r="AR8" s="34">
        <f t="shared" ca="1" si="26"/>
        <v>51</v>
      </c>
      <c r="AS8" s="34">
        <f t="shared" ca="1" si="26"/>
        <v>6123</v>
      </c>
      <c r="AT8" s="34">
        <f t="shared" ca="1" si="26"/>
        <v>10</v>
      </c>
      <c r="AU8" s="34">
        <f t="shared" ca="1" si="26"/>
        <v>10</v>
      </c>
      <c r="AV8" s="34">
        <f t="shared" ca="1" si="26"/>
        <v>101.18</v>
      </c>
      <c r="AW8" s="37">
        <f t="shared" ca="1" si="14"/>
        <v>1.652457945451576</v>
      </c>
      <c r="AX8" s="34">
        <f t="shared" ref="AX8:AZ8" ca="1" si="27">+AX13+AX31+AX52+AX74</f>
        <v>535</v>
      </c>
      <c r="AY8" s="34">
        <f t="shared" ca="1" si="27"/>
        <v>5528</v>
      </c>
      <c r="AZ8" s="34">
        <f t="shared" ca="1" si="27"/>
        <v>70</v>
      </c>
      <c r="BA8" s="37">
        <f t="shared" ca="1" si="16"/>
        <v>13.084112149532711</v>
      </c>
      <c r="BB8" s="34">
        <f ca="1">+BB13+BB31+BB52+BB74</f>
        <v>700.17</v>
      </c>
      <c r="BC8" s="37">
        <f t="shared" ca="1" si="17"/>
        <v>12.665882778581766</v>
      </c>
      <c r="BD8" s="34">
        <f t="shared" ref="BD8:BO8" ca="1" si="28">+BD13+BD31+BD52+BD74</f>
        <v>407</v>
      </c>
      <c r="BE8" s="34">
        <f t="shared" ca="1" si="28"/>
        <v>4608</v>
      </c>
      <c r="BF8" s="34">
        <f t="shared" ca="1" si="28"/>
        <v>52</v>
      </c>
      <c r="BG8" s="34">
        <f t="shared" ca="1" si="28"/>
        <v>59</v>
      </c>
      <c r="BH8" s="34">
        <f t="shared" ca="1" si="28"/>
        <v>621.09</v>
      </c>
      <c r="BI8" s="34">
        <f t="shared" ca="1" si="28"/>
        <v>128</v>
      </c>
      <c r="BJ8" s="34">
        <f t="shared" ca="1" si="28"/>
        <v>920</v>
      </c>
      <c r="BK8" s="34">
        <f t="shared" ca="1" si="28"/>
        <v>18</v>
      </c>
      <c r="BL8" s="34">
        <f t="shared" ca="1" si="28"/>
        <v>19</v>
      </c>
      <c r="BM8" s="34">
        <f t="shared" ca="1" si="28"/>
        <v>79.08</v>
      </c>
      <c r="BN8" s="34">
        <f t="shared" ca="1" si="28"/>
        <v>2279</v>
      </c>
      <c r="BO8" s="34">
        <f t="shared" ca="1" si="28"/>
        <v>1347.8975</v>
      </c>
      <c r="BP8" s="37">
        <f t="shared" ca="1" si="19"/>
        <v>59.144251864853004</v>
      </c>
      <c r="BQ8" s="34">
        <f t="shared" ref="BQ8:BV8" ca="1" si="29">+BQ13+BQ31+BQ52+BQ74</f>
        <v>16</v>
      </c>
      <c r="BR8" s="34">
        <f t="shared" ca="1" si="29"/>
        <v>15</v>
      </c>
      <c r="BS8" s="34">
        <f t="shared" ca="1" si="29"/>
        <v>248.23250000000002</v>
      </c>
      <c r="BT8" s="34">
        <f t="shared" ca="1" si="29"/>
        <v>110</v>
      </c>
      <c r="BU8" s="34">
        <f t="shared" ca="1" si="29"/>
        <v>121</v>
      </c>
      <c r="BV8" s="34">
        <f t="shared" ca="1" si="29"/>
        <v>1099.665</v>
      </c>
    </row>
    <row r="9" spans="1:74" ht="28.5" customHeight="1" x14ac:dyDescent="0.3">
      <c r="A9" s="38" t="s">
        <v>253</v>
      </c>
      <c r="B9" s="45"/>
      <c r="C9" s="94">
        <f t="shared" ref="C9:F9" ca="1" si="30">+C10+C11</f>
        <v>58950</v>
      </c>
      <c r="D9" s="94">
        <f t="shared" ca="1" si="30"/>
        <v>58950</v>
      </c>
      <c r="E9" s="94">
        <f t="shared" si="30"/>
        <v>0</v>
      </c>
      <c r="F9" s="94">
        <f t="shared" ca="1" si="30"/>
        <v>58950</v>
      </c>
      <c r="G9" s="94">
        <v>0</v>
      </c>
      <c r="H9" s="94">
        <f ca="1">H10+H11</f>
        <v>38860</v>
      </c>
      <c r="I9" s="95">
        <f t="shared" ca="1" si="1"/>
        <v>65.920271416454625</v>
      </c>
      <c r="J9" s="94">
        <f ca="1">J10+J11</f>
        <v>38860</v>
      </c>
      <c r="K9" s="95">
        <f t="shared" ca="1" si="2"/>
        <v>65.920271416454625</v>
      </c>
      <c r="L9" s="95">
        <f t="shared" ca="1" si="3"/>
        <v>65.920271416454625</v>
      </c>
      <c r="M9" s="94">
        <v>0</v>
      </c>
      <c r="N9" s="94">
        <v>0</v>
      </c>
      <c r="O9" s="94">
        <v>0</v>
      </c>
      <c r="P9" s="94">
        <f ca="1">P10+P11</f>
        <v>38860</v>
      </c>
      <c r="Q9" s="96">
        <v>0</v>
      </c>
      <c r="R9" s="96">
        <f t="shared" ref="R9:R11" si="31">IF(E9&gt;0,Q9*100/E9,0)</f>
        <v>0</v>
      </c>
      <c r="S9" s="43"/>
      <c r="T9" s="43"/>
      <c r="U9" s="44"/>
      <c r="V9" s="43"/>
      <c r="W9" s="43"/>
      <c r="X9" s="44"/>
      <c r="Y9" s="43"/>
      <c r="Z9" s="43"/>
      <c r="AA9" s="44"/>
      <c r="AB9" s="44"/>
      <c r="AC9" s="44"/>
      <c r="AD9" s="44"/>
      <c r="AE9" s="44"/>
      <c r="AF9" s="44"/>
      <c r="AG9" s="44"/>
      <c r="AH9" s="43"/>
      <c r="AI9" s="43"/>
      <c r="AJ9" s="44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4">
        <f t="shared" si="14"/>
        <v>0</v>
      </c>
      <c r="AX9" s="43"/>
      <c r="AY9" s="43"/>
      <c r="AZ9" s="43"/>
      <c r="BA9" s="44">
        <f t="shared" si="16"/>
        <v>0</v>
      </c>
      <c r="BB9" s="43"/>
      <c r="BC9" s="44">
        <f t="shared" si="17"/>
        <v>0</v>
      </c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4">
        <f t="shared" si="19"/>
        <v>0</v>
      </c>
      <c r="BQ9" s="43"/>
      <c r="BR9" s="43"/>
      <c r="BS9" s="43"/>
      <c r="BT9" s="43"/>
      <c r="BU9" s="43"/>
      <c r="BV9" s="43"/>
    </row>
    <row r="10" spans="1:74" ht="28.5" hidden="1" customHeight="1" x14ac:dyDescent="0.3">
      <c r="A10" s="38" t="s">
        <v>31</v>
      </c>
      <c r="B10" s="45"/>
      <c r="C10" s="94">
        <f t="shared" ref="C10:C11" ca="1" si="32">D10+E10</f>
        <v>58950</v>
      </c>
      <c r="D10" s="94">
        <f ca="1">IFERROR(__xludf.DUMMYFUNCTION("IMPORTRANGE(""https://docs.google.com/spreadsheets/d/1QqKyyYR6Q21VydFLVH3TRQUabQu_ym0Zz7PgGX0-kHA/edit?usp=sharing"",""แผน!HW11"")"),58950)</f>
        <v>58950</v>
      </c>
      <c r="E10" s="94">
        <v>0</v>
      </c>
      <c r="F10" s="94">
        <f ca="1">IFERROR(__xludf.DUMMYFUNCTION("IMPORTRANGE(""https://docs.google.com/spreadsheets/d/1vlyYR5_sXdhqA0JyobsBDu7xVmIqJT30I2qHLqWgZQ4/edit?usp=sharing"",""ทั้งประเทศ!M689"")"),58950)</f>
        <v>58950</v>
      </c>
      <c r="G10" s="94">
        <v>0</v>
      </c>
      <c r="H10" s="94">
        <f t="shared" ref="H10:H116" ca="1" si="33">J10+Q10</f>
        <v>38860</v>
      </c>
      <c r="I10" s="95">
        <f t="shared" ca="1" si="1"/>
        <v>65.920271416454625</v>
      </c>
      <c r="J10" s="94">
        <f ca="1">M10+N10+O10+P10</f>
        <v>38860</v>
      </c>
      <c r="K10" s="95">
        <f t="shared" ca="1" si="2"/>
        <v>65.920271416454625</v>
      </c>
      <c r="L10" s="95">
        <f t="shared" ca="1" si="3"/>
        <v>65.920271416454625</v>
      </c>
      <c r="M10" s="94">
        <v>0</v>
      </c>
      <c r="N10" s="94">
        <v>0</v>
      </c>
      <c r="O10" s="94">
        <v>0</v>
      </c>
      <c r="P10" s="94">
        <f ca="1">IFERROR(__xludf.DUMMYFUNCTION("IMPORTRANGE(""https://docs.google.com/spreadsheets/d/1WhzDrMlrZfqSjGYJh0xYjRtGVhp5LiCqlO7EaAHfOOk/edit?usp=sharing"",""sheet1!BM6"")"),38860)</f>
        <v>38860</v>
      </c>
      <c r="Q10" s="96">
        <v>0</v>
      </c>
      <c r="R10" s="96">
        <f t="shared" si="31"/>
        <v>0</v>
      </c>
      <c r="S10" s="43"/>
      <c r="T10" s="43"/>
      <c r="U10" s="44"/>
      <c r="V10" s="43"/>
      <c r="W10" s="43"/>
      <c r="X10" s="44"/>
      <c r="Y10" s="43"/>
      <c r="Z10" s="43"/>
      <c r="AA10" s="44"/>
      <c r="AB10" s="44"/>
      <c r="AC10" s="44"/>
      <c r="AD10" s="44"/>
      <c r="AE10" s="44"/>
      <c r="AF10" s="44"/>
      <c r="AG10" s="44"/>
      <c r="AH10" s="43"/>
      <c r="AI10" s="43"/>
      <c r="AJ10" s="44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4">
        <f t="shared" si="14"/>
        <v>0</v>
      </c>
      <c r="AX10" s="43"/>
      <c r="AY10" s="43"/>
      <c r="AZ10" s="43"/>
      <c r="BA10" s="44">
        <f t="shared" si="16"/>
        <v>0</v>
      </c>
      <c r="BB10" s="43"/>
      <c r="BC10" s="44">
        <f t="shared" si="17"/>
        <v>0</v>
      </c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4">
        <f t="shared" si="19"/>
        <v>0</v>
      </c>
      <c r="BQ10" s="43"/>
      <c r="BR10" s="43"/>
      <c r="BS10" s="43"/>
      <c r="BT10" s="43"/>
      <c r="BU10" s="43"/>
      <c r="BV10" s="43"/>
    </row>
    <row r="11" spans="1:74" ht="28.5" hidden="1" customHeight="1" x14ac:dyDescent="0.3">
      <c r="A11" s="46" t="s">
        <v>32</v>
      </c>
      <c r="B11" s="45"/>
      <c r="C11" s="94">
        <f t="shared" ca="1" si="32"/>
        <v>0</v>
      </c>
      <c r="D11" s="94">
        <f ca="1">IFERROR(__xludf.DUMMYFUNCTION("IMPORTRANGE(""https://docs.google.com/spreadsheets/d/1QqKyyYR6Q21VydFLVH3TRQUabQu_ym0Zz7PgGX0-kHA/edit?usp=sharing"",""แผน!HW10"")"),0)</f>
        <v>0</v>
      </c>
      <c r="E11" s="94">
        <v>0</v>
      </c>
      <c r="F11" s="94">
        <v>0</v>
      </c>
      <c r="G11" s="94">
        <v>0</v>
      </c>
      <c r="H11" s="94">
        <f t="shared" si="33"/>
        <v>0</v>
      </c>
      <c r="I11" s="95">
        <f t="shared" ca="1" si="1"/>
        <v>0</v>
      </c>
      <c r="J11" s="94">
        <v>0</v>
      </c>
      <c r="K11" s="95">
        <v>0</v>
      </c>
      <c r="L11" s="95">
        <v>0</v>
      </c>
      <c r="M11" s="94">
        <v>0</v>
      </c>
      <c r="N11" s="94">
        <v>0</v>
      </c>
      <c r="O11" s="94">
        <v>0</v>
      </c>
      <c r="P11" s="94">
        <v>0</v>
      </c>
      <c r="Q11" s="96">
        <v>0</v>
      </c>
      <c r="R11" s="96">
        <f t="shared" si="31"/>
        <v>0</v>
      </c>
      <c r="S11" s="43"/>
      <c r="T11" s="43"/>
      <c r="U11" s="44"/>
      <c r="V11" s="43"/>
      <c r="W11" s="43"/>
      <c r="X11" s="44"/>
      <c r="Y11" s="43"/>
      <c r="Z11" s="43"/>
      <c r="AA11" s="44"/>
      <c r="AB11" s="44"/>
      <c r="AC11" s="44"/>
      <c r="AD11" s="44"/>
      <c r="AE11" s="44"/>
      <c r="AF11" s="44"/>
      <c r="AG11" s="44"/>
      <c r="AH11" s="43"/>
      <c r="AI11" s="43"/>
      <c r="AJ11" s="44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4">
        <f t="shared" si="14"/>
        <v>0</v>
      </c>
      <c r="AX11" s="43"/>
      <c r="AY11" s="43"/>
      <c r="AZ11" s="43"/>
      <c r="BA11" s="44">
        <f t="shared" si="16"/>
        <v>0</v>
      </c>
      <c r="BB11" s="43"/>
      <c r="BC11" s="44">
        <f t="shared" si="17"/>
        <v>0</v>
      </c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4">
        <f t="shared" si="19"/>
        <v>0</v>
      </c>
      <c r="BQ11" s="43"/>
      <c r="BR11" s="43"/>
      <c r="BS11" s="43"/>
      <c r="BT11" s="43"/>
      <c r="BU11" s="43"/>
      <c r="BV11" s="43"/>
    </row>
    <row r="12" spans="1:74" ht="28.5" hidden="1" customHeight="1" x14ac:dyDescent="0.3">
      <c r="A12" s="47" t="s">
        <v>33</v>
      </c>
      <c r="B12" s="48"/>
      <c r="C12" s="49">
        <v>0</v>
      </c>
      <c r="D12" s="49">
        <v>0</v>
      </c>
      <c r="E12" s="49">
        <v>0</v>
      </c>
      <c r="F12" s="50"/>
      <c r="G12" s="50"/>
      <c r="H12" s="49">
        <f t="shared" si="33"/>
        <v>0</v>
      </c>
      <c r="I12" s="51">
        <f t="shared" si="1"/>
        <v>0</v>
      </c>
      <c r="J12" s="49">
        <v>0</v>
      </c>
      <c r="K12" s="50"/>
      <c r="L12" s="50"/>
      <c r="M12" s="49">
        <v>0</v>
      </c>
      <c r="N12" s="49">
        <v>0</v>
      </c>
      <c r="O12" s="49">
        <v>0</v>
      </c>
      <c r="P12" s="49">
        <v>0</v>
      </c>
      <c r="Q12" s="52">
        <v>0</v>
      </c>
      <c r="R12" s="52"/>
      <c r="S12" s="49">
        <v>0</v>
      </c>
      <c r="T12" s="49">
        <v>0</v>
      </c>
      <c r="U12" s="53">
        <f t="shared" ref="U12:U88" si="34">IF(S12&gt;0,T12*100/S12,0)</f>
        <v>0</v>
      </c>
      <c r="V12" s="49">
        <v>0</v>
      </c>
      <c r="W12" s="49">
        <v>0</v>
      </c>
      <c r="X12" s="53">
        <f t="shared" ref="X12:X88" si="35">IF(V12&gt;0,W12*100/V12,0)</f>
        <v>0</v>
      </c>
      <c r="Y12" s="49">
        <v>0</v>
      </c>
      <c r="Z12" s="49">
        <v>0</v>
      </c>
      <c r="AA12" s="53">
        <f t="shared" ref="AA12:AA88" si="36">IF(Y12&gt;0,Z12*100/Y12,0)</f>
        <v>0</v>
      </c>
      <c r="AB12" s="53">
        <v>0</v>
      </c>
      <c r="AC12" s="53">
        <v>0</v>
      </c>
      <c r="AD12" s="53">
        <v>0</v>
      </c>
      <c r="AE12" s="53">
        <v>0</v>
      </c>
      <c r="AF12" s="53">
        <v>0</v>
      </c>
      <c r="AG12" s="53">
        <v>0</v>
      </c>
      <c r="AH12" s="49">
        <v>0</v>
      </c>
      <c r="AI12" s="49">
        <v>0</v>
      </c>
      <c r="AJ12" s="53">
        <f t="shared" ref="AJ12:AJ88" si="37">IF(AH12&gt;0,AI12*100/AH12,0)</f>
        <v>0</v>
      </c>
      <c r="AK12" s="49">
        <v>0</v>
      </c>
      <c r="AL12" s="49">
        <v>0</v>
      </c>
      <c r="AM12" s="49">
        <v>0</v>
      </c>
      <c r="AN12" s="49">
        <v>0</v>
      </c>
      <c r="AO12" s="49">
        <v>0</v>
      </c>
      <c r="AP12" s="49"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53">
        <f t="shared" si="14"/>
        <v>0</v>
      </c>
      <c r="AX12" s="49">
        <v>0</v>
      </c>
      <c r="AY12" s="49">
        <v>0</v>
      </c>
      <c r="AZ12" s="49">
        <v>0</v>
      </c>
      <c r="BA12" s="53">
        <f t="shared" si="16"/>
        <v>0</v>
      </c>
      <c r="BB12" s="49">
        <v>0</v>
      </c>
      <c r="BC12" s="53">
        <f t="shared" si="17"/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>
        <v>0</v>
      </c>
      <c r="BJ12" s="49">
        <v>0</v>
      </c>
      <c r="BK12" s="49">
        <v>0</v>
      </c>
      <c r="BL12" s="49">
        <v>0</v>
      </c>
      <c r="BM12" s="49">
        <v>0</v>
      </c>
      <c r="BN12" s="49">
        <v>0</v>
      </c>
      <c r="BO12" s="49">
        <v>0</v>
      </c>
      <c r="BP12" s="53">
        <f t="shared" si="19"/>
        <v>0</v>
      </c>
      <c r="BQ12" s="49">
        <v>0</v>
      </c>
      <c r="BR12" s="49">
        <v>0</v>
      </c>
      <c r="BS12" s="49">
        <v>0</v>
      </c>
      <c r="BT12" s="49">
        <v>0</v>
      </c>
      <c r="BU12" s="49">
        <v>0</v>
      </c>
      <c r="BV12" s="49">
        <v>0</v>
      </c>
    </row>
    <row r="13" spans="1:74" ht="28.5" customHeight="1" x14ac:dyDescent="0.3">
      <c r="A13" s="177" t="s">
        <v>34</v>
      </c>
      <c r="B13" s="178"/>
      <c r="C13" s="34">
        <f t="shared" ref="C13:G13" ca="1" si="38">SUM(C14:C30)</f>
        <v>298560</v>
      </c>
      <c r="D13" s="34">
        <f t="shared" ca="1" si="38"/>
        <v>298560</v>
      </c>
      <c r="E13" s="34">
        <f t="shared" ca="1" si="38"/>
        <v>0</v>
      </c>
      <c r="F13" s="34">
        <f t="shared" ca="1" si="38"/>
        <v>298560</v>
      </c>
      <c r="G13" s="34">
        <f t="shared" ca="1" si="38"/>
        <v>0</v>
      </c>
      <c r="H13" s="34">
        <f t="shared" ca="1" si="33"/>
        <v>4960</v>
      </c>
      <c r="I13" s="35">
        <f t="shared" ca="1" si="1"/>
        <v>1.6613076098606645</v>
      </c>
      <c r="J13" s="34">
        <f ca="1">SUM(J14:J30)</f>
        <v>4960</v>
      </c>
      <c r="K13" s="35">
        <f t="shared" ref="K13:K88" ca="1" si="39">IF(D13&gt;0,J13*100/D13,0)</f>
        <v>1.6613076098606645</v>
      </c>
      <c r="L13" s="35">
        <f t="shared" ref="L13:L88" ca="1" si="40">IF(F13&gt;0,J13*100/F13,0)</f>
        <v>1.6613076098606645</v>
      </c>
      <c r="M13" s="34">
        <f t="shared" ref="M13:Q13" ca="1" si="41">SUM(M14:M30)</f>
        <v>0</v>
      </c>
      <c r="N13" s="34">
        <f t="shared" ca="1" si="41"/>
        <v>0</v>
      </c>
      <c r="O13" s="34">
        <f t="shared" ca="1" si="41"/>
        <v>0</v>
      </c>
      <c r="P13" s="34">
        <f t="shared" ca="1" si="41"/>
        <v>4960</v>
      </c>
      <c r="Q13" s="36">
        <f t="shared" ca="1" si="41"/>
        <v>0</v>
      </c>
      <c r="R13" s="36">
        <f t="shared" ref="R13:R116" ca="1" si="42">IF(E13&gt;0,Q13*100/E13,0)</f>
        <v>0</v>
      </c>
      <c r="S13" s="34">
        <f t="shared" ref="S13:T13" ca="1" si="43">SUM(S14:S30)</f>
        <v>118</v>
      </c>
      <c r="T13" s="34">
        <f t="shared" ca="1" si="43"/>
        <v>18.28</v>
      </c>
      <c r="U13" s="37">
        <f t="shared" ca="1" si="34"/>
        <v>15.491525423728813</v>
      </c>
      <c r="V13" s="34">
        <f t="shared" ref="V13:W13" ca="1" si="44">SUM(V14:V30)</f>
        <v>187</v>
      </c>
      <c r="W13" s="34">
        <f t="shared" ca="1" si="44"/>
        <v>3</v>
      </c>
      <c r="X13" s="37">
        <f t="shared" ca="1" si="35"/>
        <v>1.6042780748663101</v>
      </c>
      <c r="Y13" s="34">
        <f t="shared" ref="Y13:Z13" ca="1" si="45">SUM(Y14:Y30)</f>
        <v>2088</v>
      </c>
      <c r="Z13" s="34">
        <f t="shared" ca="1" si="45"/>
        <v>247.995</v>
      </c>
      <c r="AA13" s="37">
        <f t="shared" ca="1" si="36"/>
        <v>11.877155172413794</v>
      </c>
      <c r="AB13" s="37">
        <f t="shared" ref="AB13:AI13" ca="1" si="46">SUM(AB14:AB30)</f>
        <v>7</v>
      </c>
      <c r="AC13" s="37">
        <f t="shared" ca="1" si="46"/>
        <v>8</v>
      </c>
      <c r="AD13" s="37">
        <f t="shared" ca="1" si="46"/>
        <v>177.95500000000001</v>
      </c>
      <c r="AE13" s="37">
        <f t="shared" ca="1" si="46"/>
        <v>4</v>
      </c>
      <c r="AF13" s="37">
        <f t="shared" ca="1" si="46"/>
        <v>4</v>
      </c>
      <c r="AG13" s="37">
        <f t="shared" ca="1" si="46"/>
        <v>70.039999999999992</v>
      </c>
      <c r="AH13" s="34">
        <f t="shared" ca="1" si="46"/>
        <v>2246</v>
      </c>
      <c r="AI13" s="34">
        <f t="shared" ca="1" si="46"/>
        <v>404</v>
      </c>
      <c r="AJ13" s="37">
        <f t="shared" ca="1" si="37"/>
        <v>17.987533392698129</v>
      </c>
      <c r="AK13" s="34">
        <f t="shared" ref="AK13:AV13" ca="1" si="47">SUM(AK14:AK30)</f>
        <v>4</v>
      </c>
      <c r="AL13" s="34">
        <f t="shared" ca="1" si="47"/>
        <v>41</v>
      </c>
      <c r="AM13" s="34">
        <f t="shared" ca="1" si="47"/>
        <v>41</v>
      </c>
      <c r="AN13" s="34">
        <f t="shared" ca="1" si="47"/>
        <v>41</v>
      </c>
      <c r="AO13" s="34">
        <f t="shared" ca="1" si="47"/>
        <v>404</v>
      </c>
      <c r="AP13" s="34">
        <f t="shared" ca="1" si="47"/>
        <v>0</v>
      </c>
      <c r="AQ13" s="34">
        <f t="shared" ca="1" si="47"/>
        <v>0</v>
      </c>
      <c r="AR13" s="34">
        <f t="shared" ca="1" si="47"/>
        <v>0</v>
      </c>
      <c r="AS13" s="34">
        <f t="shared" ca="1" si="47"/>
        <v>3778</v>
      </c>
      <c r="AT13" s="34">
        <f t="shared" ca="1" si="47"/>
        <v>2</v>
      </c>
      <c r="AU13" s="34">
        <f t="shared" ca="1" si="47"/>
        <v>2</v>
      </c>
      <c r="AV13" s="34">
        <f t="shared" ca="1" si="47"/>
        <v>21.35</v>
      </c>
      <c r="AW13" s="37">
        <f t="shared" ca="1" si="14"/>
        <v>0.56511381683430384</v>
      </c>
      <c r="AX13" s="34">
        <f t="shared" ref="AX13:AZ13" ca="1" si="48">SUM(AX14:AX30)</f>
        <v>105</v>
      </c>
      <c r="AY13" s="34">
        <f t="shared" ca="1" si="48"/>
        <v>1659</v>
      </c>
      <c r="AZ13" s="34">
        <f t="shared" ca="1" si="48"/>
        <v>24</v>
      </c>
      <c r="BA13" s="37">
        <f t="shared" ca="1" si="16"/>
        <v>22.857142857142858</v>
      </c>
      <c r="BB13" s="34">
        <f ca="1">SUM(BB14:BB30)</f>
        <v>259.74999999999989</v>
      </c>
      <c r="BC13" s="37">
        <f t="shared" ca="1" si="17"/>
        <v>15.657022302591916</v>
      </c>
      <c r="BD13" s="34">
        <f t="shared" ref="BD13:BO13" ca="1" si="49">SUM(BD14:BD30)</f>
        <v>77</v>
      </c>
      <c r="BE13" s="34">
        <f t="shared" ca="1" si="49"/>
        <v>1442</v>
      </c>
      <c r="BF13" s="34">
        <f t="shared" ca="1" si="49"/>
        <v>15</v>
      </c>
      <c r="BG13" s="34">
        <f t="shared" ca="1" si="49"/>
        <v>16</v>
      </c>
      <c r="BH13" s="34">
        <f t="shared" ca="1" si="49"/>
        <v>217.74</v>
      </c>
      <c r="BI13" s="34">
        <f t="shared" ca="1" si="49"/>
        <v>28</v>
      </c>
      <c r="BJ13" s="34">
        <f t="shared" ca="1" si="49"/>
        <v>217</v>
      </c>
      <c r="BK13" s="34">
        <f t="shared" ca="1" si="49"/>
        <v>9</v>
      </c>
      <c r="BL13" s="34">
        <f t="shared" ca="1" si="49"/>
        <v>9</v>
      </c>
      <c r="BM13" s="34">
        <f t="shared" ca="1" si="49"/>
        <v>42.01</v>
      </c>
      <c r="BN13" s="34">
        <f t="shared" ca="1" si="49"/>
        <v>210</v>
      </c>
      <c r="BO13" s="34">
        <f t="shared" ca="1" si="49"/>
        <v>151.72</v>
      </c>
      <c r="BP13" s="37">
        <f t="shared" ca="1" si="19"/>
        <v>72.247619047619054</v>
      </c>
      <c r="BQ13" s="34">
        <f t="shared" ref="BQ13:BV13" ca="1" si="50">SUM(BQ14:BQ30)</f>
        <v>5</v>
      </c>
      <c r="BR13" s="34">
        <f t="shared" ca="1" si="50"/>
        <v>5</v>
      </c>
      <c r="BS13" s="34">
        <f t="shared" ca="1" si="50"/>
        <v>94.48</v>
      </c>
      <c r="BT13" s="34">
        <f t="shared" ca="1" si="50"/>
        <v>3</v>
      </c>
      <c r="BU13" s="34">
        <f t="shared" ca="1" si="50"/>
        <v>3</v>
      </c>
      <c r="BV13" s="34">
        <f t="shared" ca="1" si="50"/>
        <v>57.24</v>
      </c>
    </row>
    <row r="14" spans="1:74" ht="24" customHeight="1" x14ac:dyDescent="0.3">
      <c r="A14" s="54">
        <v>1</v>
      </c>
      <c r="B14" s="55" t="s">
        <v>35</v>
      </c>
      <c r="C14" s="56">
        <f t="shared" ref="C14:C30" ca="1" si="51">D14+E14</f>
        <v>4580</v>
      </c>
      <c r="D14" s="57">
        <f ca="1">IFERROR(__xludf.DUMMYFUNCTION("IMPORTRANGE(""https://docs.google.com/spreadsheets/d/1KxicF4apzSqm0-jIpmueT4kyZtE-Cwn5zskl7GD4loQ/edit?usp=sharing"",""กำแพงเพชร!L690"")"),4580)</f>
        <v>4580</v>
      </c>
      <c r="E14" s="57">
        <f ca="1">IFERROR(__xludf.DUMMYFUNCTION("IMPORTRANGE(""https://docs.google.com/spreadsheets/d/1KxicF4apzSqm0-jIpmueT4kyZtE-Cwn5zskl7GD4loQ/edit?usp=sharing"",""กำแพงเพชร!L697"")"),0)</f>
        <v>0</v>
      </c>
      <c r="F14" s="57">
        <f ca="1">IFERROR(__xludf.DUMMYFUNCTION("IMPORTRANGE(""https://docs.google.com/spreadsheets/d/1KxicF4apzSqm0-jIpmueT4kyZtE-Cwn5zskl7GD4loQ/edit?usp=sharing"",""กำแพงเพชร!M690"")"),4580)</f>
        <v>4580</v>
      </c>
      <c r="G14" s="57">
        <f ca="1">IFERROR(__xludf.DUMMYFUNCTION("IMPORTRANGE(""https://docs.google.com/spreadsheets/d/1KxicF4apzSqm0-jIpmueT4kyZtE-Cwn5zskl7GD4loQ/edit?usp=sharing"",""กำแพงเพชร!M697"")"),0)</f>
        <v>0</v>
      </c>
      <c r="H14" s="58">
        <f t="shared" ca="1" si="33"/>
        <v>0</v>
      </c>
      <c r="I14" s="59">
        <f t="shared" ca="1" si="1"/>
        <v>0</v>
      </c>
      <c r="J14" s="60">
        <f t="shared" ref="J14:J30" ca="1" si="52">M14+N14+O14+P14</f>
        <v>0</v>
      </c>
      <c r="K14" s="61">
        <f t="shared" ca="1" si="39"/>
        <v>0</v>
      </c>
      <c r="L14" s="61">
        <f t="shared" ca="1" si="40"/>
        <v>0</v>
      </c>
      <c r="M14" s="57">
        <f ca="1">IFERROR(__xludf.DUMMYFUNCTION("IMPORTRANGE(""https://docs.google.com/spreadsheets/d/1KxicF4apzSqm0-jIpmueT4kyZtE-Cwn5zskl7GD4loQ/edit?usp=sharing"",""กำแพงเพชร!N691"")"),0)</f>
        <v>0</v>
      </c>
      <c r="N14" s="57">
        <f ca="1">IFERROR(__xludf.DUMMYFUNCTION("IMPORTRANGE(""https://docs.google.com/spreadsheets/d/1KxicF4apzSqm0-jIpmueT4kyZtE-Cwn5zskl7GD4loQ/edit?usp=sharing"",""กำแพงเพชร!N692"")"),0)</f>
        <v>0</v>
      </c>
      <c r="O14" s="57">
        <f ca="1">IFERROR(__xludf.DUMMYFUNCTION("IMPORTRANGE(""https://docs.google.com/spreadsheets/d/1KxicF4apzSqm0-jIpmueT4kyZtE-Cwn5zskl7GD4loQ/edit?usp=sharing"",""กำแพงเพชร!N693"")"),0)</f>
        <v>0</v>
      </c>
      <c r="P14" s="57">
        <f ca="1">IFERROR(__xludf.DUMMYFUNCTION("IMPORTRANGE(""https://docs.google.com/spreadsheets/d/1KxicF4apzSqm0-jIpmueT4kyZtE-Cwn5zskl7GD4loQ/edit?usp=sharing"",""กำแพงเพชร!N694"")"),0)</f>
        <v>0</v>
      </c>
      <c r="Q14" s="62">
        <f ca="1">IFERROR(__xludf.DUMMYFUNCTION("IMPORTRANGE(""https://docs.google.com/spreadsheets/d/1KxicF4apzSqm0-jIpmueT4kyZtE-Cwn5zskl7GD4loQ/edit?usp=sharing"",""กำแพงเพชร!N697"")"),0)</f>
        <v>0</v>
      </c>
      <c r="R14" s="62">
        <f t="shared" ca="1" si="42"/>
        <v>0</v>
      </c>
      <c r="S14" s="57">
        <f ca="1">IFERROR(__xludf.DUMMYFUNCTION("IMPORTRANGE(""https://docs.google.com/spreadsheets/d/1KxicF4apzSqm0-jIpmueT4kyZtE-Cwn5zskl7GD4loQ/edit?usp=sharing"",""กำแพงเพชร!I699"")"),0)</f>
        <v>0</v>
      </c>
      <c r="T14" s="57">
        <f ca="1">IFERROR(__xludf.DUMMYFUNCTION("IMPORTRANGE(""https://docs.google.com/spreadsheets/d/1KxicF4apzSqm0-jIpmueT4kyZtE-Cwn5zskl7GD4loQ/edit?usp=sharing"",""กำแพงเพชร!J699"")"),0)</f>
        <v>0</v>
      </c>
      <c r="U14" s="63">
        <f t="shared" ca="1" si="34"/>
        <v>0</v>
      </c>
      <c r="V14" s="57">
        <f ca="1">IFERROR(__xludf.DUMMYFUNCTION("IMPORTRANGE(""https://docs.google.com/spreadsheets/d/1KxicF4apzSqm0-jIpmueT4kyZtE-Cwn5zskl7GD4loQ/edit?usp=sharing"",""กำแพงเพชร!I700"")"),0)</f>
        <v>0</v>
      </c>
      <c r="W14" s="57">
        <f ca="1">IFERROR(__xludf.DUMMYFUNCTION("IMPORTRANGE(""https://docs.google.com/spreadsheets/d/1KxicF4apzSqm0-jIpmueT4kyZtE-Cwn5zskl7GD4loQ/edit?usp=sharing"",""กำแพงเพชร!J700"")"),0)</f>
        <v>0</v>
      </c>
      <c r="X14" s="63">
        <f t="shared" ca="1" si="35"/>
        <v>0</v>
      </c>
      <c r="Y14" s="57">
        <f ca="1">IFERROR(__xludf.DUMMYFUNCTION("IMPORTRANGE(""https://docs.google.com/spreadsheets/d/1KxicF4apzSqm0-jIpmueT4kyZtE-Cwn5zskl7GD4loQ/edit?usp=sharing"",""กำแพงเพชร!I701"")"),40)</f>
        <v>40</v>
      </c>
      <c r="Z14" s="57">
        <f ca="1">IFERROR(__xludf.DUMMYFUNCTION("IMPORTRANGE(""https://docs.google.com/spreadsheets/d/1KxicF4apzSqm0-jIpmueT4kyZtE-Cwn5zskl7GD4loQ/edit?usp=sharing"",""กำแพงเพชร!J701"")"),56.215)</f>
        <v>56.215000000000003</v>
      </c>
      <c r="AA14" s="63">
        <f t="shared" ca="1" si="36"/>
        <v>140.53749999999999</v>
      </c>
      <c r="AB14" s="63">
        <f ca="1">IFERROR(__xludf.DUMMYFUNCTION("IMPORTRANGE(""https://docs.google.com/spreadsheets/d/1KxicF4apzSqm0-jIpmueT4kyZtE-Cwn5zskl7GD4loQ/edit?usp=sharing"",""กำแพงเพชร!J702"")"),2)</f>
        <v>2</v>
      </c>
      <c r="AC14" s="63">
        <f ca="1">IFERROR(__xludf.DUMMYFUNCTION("IMPORTRANGE(""https://docs.google.com/spreadsheets/d/1KxicF4apzSqm0-jIpmueT4kyZtE-Cwn5zskl7GD4loQ/edit?usp=sharing"",""กำแพงเพชร!J703"")"),2)</f>
        <v>2</v>
      </c>
      <c r="AD14" s="63">
        <f ca="1">IFERROR(__xludf.DUMMYFUNCTION("IMPORTRANGE(""https://docs.google.com/spreadsheets/d/1KxicF4apzSqm0-jIpmueT4kyZtE-Cwn5zskl7GD4loQ/edit?usp=sharing"",""กำแพงเพชร!J704"")"),56.215)</f>
        <v>56.215000000000003</v>
      </c>
      <c r="AE14" s="63">
        <f ca="1">IFERROR(__xludf.DUMMYFUNCTION("IMPORTRANGE(""https://docs.google.com/spreadsheets/d/1KxicF4apzSqm0-jIpmueT4kyZtE-Cwn5zskl7GD4loQ/edit?usp=sharing"",""กำแพงเพชร!J705"")"),0)</f>
        <v>0</v>
      </c>
      <c r="AF14" s="63">
        <f ca="1">IFERROR(__xludf.DUMMYFUNCTION("IMPORTRANGE(""https://docs.google.com/spreadsheets/d/1KxicF4apzSqm0-jIpmueT4kyZtE-Cwn5zskl7GD4loQ/edit?usp=sharing"",""กำแพงเพชร!J706"")"),0)</f>
        <v>0</v>
      </c>
      <c r="AG14" s="63">
        <f ca="1">IFERROR(__xludf.DUMMYFUNCTION("IMPORTRANGE(""https://docs.google.com/spreadsheets/d/1KxicF4apzSqm0-jIpmueT4kyZtE-Cwn5zskl7GD4loQ/edit?usp=sharing"",""กำแพงเพชร!J707"")"),0)</f>
        <v>0</v>
      </c>
      <c r="AH14" s="57">
        <f ca="1">IFERROR(__xludf.DUMMYFUNCTION("IMPORTRANGE(""https://docs.google.com/spreadsheets/d/1KxicF4apzSqm0-jIpmueT4kyZtE-Cwn5zskl7GD4loQ/edit?usp=sharing"",""กำแพงเพชร!I708"")"),40)</f>
        <v>40</v>
      </c>
      <c r="AI14" s="57">
        <f ca="1">IFERROR(__xludf.DUMMYFUNCTION("IMPORTRANGE(""https://docs.google.com/spreadsheets/d/1KxicF4apzSqm0-jIpmueT4kyZtE-Cwn5zskl7GD4loQ/edit?usp=sharing"",""กำแพงเพชร!J708"")"),0)</f>
        <v>0</v>
      </c>
      <c r="AJ14" s="63">
        <f t="shared" ca="1" si="37"/>
        <v>0</v>
      </c>
      <c r="AK14" s="57">
        <f ca="1">IFERROR(__xludf.DUMMYFUNCTION("IMPORTRANGE(""https://docs.google.com/spreadsheets/d/1KxicF4apzSqm0-jIpmueT4kyZtE-Cwn5zskl7GD4loQ/edit?usp=sharing"",""กำแพงเพชร!J709"")"),0)</f>
        <v>0</v>
      </c>
      <c r="AL14" s="57">
        <f ca="1">IFERROR(__xludf.DUMMYFUNCTION("IMPORTRANGE(""https://docs.google.com/spreadsheets/d/1KxicF4apzSqm0-jIpmueT4kyZtE-Cwn5zskl7GD4loQ/edit?usp=sharing"",""กำแพงเพชร!J710"")"),0)</f>
        <v>0</v>
      </c>
      <c r="AM14" s="57">
        <f ca="1">IFERROR(__xludf.DUMMYFUNCTION("IMPORTRANGE(""https://docs.google.com/spreadsheets/d/1KxicF4apzSqm0-jIpmueT4kyZtE-Cwn5zskl7GD4loQ/edit?usp=sharing"",""กำแพงเพชร!J712"")"),0)</f>
        <v>0</v>
      </c>
      <c r="AN14" s="57">
        <f ca="1">IFERROR(__xludf.DUMMYFUNCTION("IMPORTRANGE(""https://docs.google.com/spreadsheets/d/1KxicF4apzSqm0-jIpmueT4kyZtE-Cwn5zskl7GD4loQ/edit?usp=sharing"",""กำแพงเพชร!J713"")"),0)</f>
        <v>0</v>
      </c>
      <c r="AO14" s="57">
        <f ca="1">IFERROR(__xludf.DUMMYFUNCTION("IMPORTRANGE(""https://docs.google.com/spreadsheets/d/1KxicF4apzSqm0-jIpmueT4kyZtE-Cwn5zskl7GD4loQ/edit?usp=sharing"",""กำแพงเพชร!J714"")"),0)</f>
        <v>0</v>
      </c>
      <c r="AP14" s="57">
        <f ca="1">IFERROR(__xludf.DUMMYFUNCTION("IMPORTRANGE(""https://docs.google.com/spreadsheets/d/1KxicF4apzSqm0-jIpmueT4kyZtE-Cwn5zskl7GD4loQ/edit?usp=sharing"",""กำแพงเพชร!J715"")"),0)</f>
        <v>0</v>
      </c>
      <c r="AQ14" s="57">
        <f ca="1">IFERROR(__xludf.DUMMYFUNCTION("IMPORTRANGE(""https://docs.google.com/spreadsheets/d/1KxicF4apzSqm0-jIpmueT4kyZtE-Cwn5zskl7GD4loQ/edit?usp=sharing"",""กำแพงเพชร!J716"")"),0)</f>
        <v>0</v>
      </c>
      <c r="AR14" s="57">
        <f ca="1">IFERROR(__xludf.DUMMYFUNCTION("IMPORTRANGE(""https://docs.google.com/spreadsheets/d/1KxicF4apzSqm0-jIpmueT4kyZtE-Cwn5zskl7GD4loQ/edit?usp=sharing"",""กำแพงเพชร!J717"")"),0)</f>
        <v>0</v>
      </c>
      <c r="AS14" s="57">
        <f ca="1">IFERROR(__xludf.DUMMYFUNCTION("IMPORTRANGE(""https://docs.google.com/spreadsheets/d/1KxicF4apzSqm0-jIpmueT4kyZtE-Cwn5zskl7GD4loQ/edit?usp=sharing"",""กำแพงเพชร!I720"")"),50)</f>
        <v>50</v>
      </c>
      <c r="AT14" s="57">
        <f ca="1">IFERROR(__xludf.DUMMYFUNCTION("IMPORTRANGE(""https://docs.google.com/spreadsheets/d/1KxicF4apzSqm0-jIpmueT4kyZtE-Cwn5zskl7GD4loQ/edit?usp=sharing"",""กำแพงเพชร!J718"")"),0)</f>
        <v>0</v>
      </c>
      <c r="AU14" s="57">
        <f ca="1">IFERROR(__xludf.DUMMYFUNCTION("IMPORTRANGE(""https://docs.google.com/spreadsheets/d/1KxicF4apzSqm0-jIpmueT4kyZtE-Cwn5zskl7GD4loQ/edit?usp=sharing"",""กำแพงเพชร!J719"")"),0)</f>
        <v>0</v>
      </c>
      <c r="AV14" s="57">
        <f ca="1">IFERROR(__xludf.DUMMYFUNCTION("IMPORTRANGE(""https://docs.google.com/spreadsheets/d/1KxicF4apzSqm0-jIpmueT4kyZtE-Cwn5zskl7GD4loQ/edit?usp=sharing"",""กำแพงเพชร!J720"")"),0)</f>
        <v>0</v>
      </c>
      <c r="AW14" s="63">
        <f t="shared" ca="1" si="14"/>
        <v>0</v>
      </c>
      <c r="AX14" s="57">
        <f ca="1">IFERROR(__xludf.DUMMYFUNCTION("IMPORTRANGE(""https://docs.google.com/spreadsheets/d/1KxicF4apzSqm0-jIpmueT4kyZtE-Cwn5zskl7GD4loQ/edit?usp=sharing"",""กำแพงเพชร!I721"")"),4)</f>
        <v>4</v>
      </c>
      <c r="AY14" s="57">
        <f ca="1">IFERROR(__xludf.DUMMYFUNCTION("IMPORTRANGE(""https://docs.google.com/spreadsheets/d/1KxicF4apzSqm0-jIpmueT4kyZtE-Cwn5zskl7GD4loQ/edit?usp=sharing"",""กำแพงเพชร!I722"")"),50)</f>
        <v>50</v>
      </c>
      <c r="AZ14" s="57">
        <f ca="1">IFERROR(__xludf.DUMMYFUNCTION("IMPORTRANGE(""https://docs.google.com/spreadsheets/d/1KxicF4apzSqm0-jIpmueT4kyZtE-Cwn5zskl7GD4loQ/edit?usp=sharing"",""กำแพงเพชร!J721"")"),0)</f>
        <v>0</v>
      </c>
      <c r="BA14" s="63">
        <f t="shared" ca="1" si="16"/>
        <v>0</v>
      </c>
      <c r="BB14" s="57">
        <f ca="1">IFERROR(__xludf.DUMMYFUNCTION("IMPORTRANGE(""https://docs.google.com/spreadsheets/d/1KxicF4apzSqm0-jIpmueT4kyZtE-Cwn5zskl7GD4loQ/edit?usp=sharing"",""กำแพงเพชร!J722"")"),0)</f>
        <v>0</v>
      </c>
      <c r="BC14" s="63">
        <f t="shared" ca="1" si="17"/>
        <v>0</v>
      </c>
      <c r="BD14" s="57">
        <f ca="1">IFERROR(__xludf.DUMMYFUNCTION("IMPORTRANGE(""https://docs.google.com/spreadsheets/d/1KxicF4apzSqm0-jIpmueT4kyZtE-Cwn5zskl7GD4loQ/edit?usp=sharing"",""กำแพงเพชร!I723"")"),4)</f>
        <v>4</v>
      </c>
      <c r="BE14" s="57">
        <f ca="1">IFERROR(__xludf.DUMMYFUNCTION("IMPORTRANGE(""https://docs.google.com/spreadsheets/d/1KxicF4apzSqm0-jIpmueT4kyZtE-Cwn5zskl7GD4loQ/edit?usp=sharing"",""กำแพงเพชร!I725"")"),50)</f>
        <v>50</v>
      </c>
      <c r="BF14" s="57">
        <f ca="1">IFERROR(__xludf.DUMMYFUNCTION("IMPORTRANGE(""https://docs.google.com/spreadsheets/d/1KxicF4apzSqm0-jIpmueT4kyZtE-Cwn5zskl7GD4loQ/edit?usp=sharing"",""กำแพงเพชร!J723"")"),0)</f>
        <v>0</v>
      </c>
      <c r="BG14" s="57">
        <f ca="1">IFERROR(__xludf.DUMMYFUNCTION("IMPORTRANGE(""https://docs.google.com/spreadsheets/d/1KxicF4apzSqm0-jIpmueT4kyZtE-Cwn5zskl7GD4loQ/edit?usp=sharing"",""กำแพงเพชร!J724"")"),0)</f>
        <v>0</v>
      </c>
      <c r="BH14" s="57">
        <f ca="1">IFERROR(__xludf.DUMMYFUNCTION("IMPORTRANGE(""https://docs.google.com/spreadsheets/d/1KxicF4apzSqm0-jIpmueT4kyZtE-Cwn5zskl7GD4loQ/edit?usp=sharing"",""กำแพงเพชร!J725"")"),0)</f>
        <v>0</v>
      </c>
      <c r="BI14" s="57">
        <f ca="1">IFERROR(__xludf.DUMMYFUNCTION("IMPORTRANGE(""https://docs.google.com/spreadsheets/d/1KxicF4apzSqm0-jIpmueT4kyZtE-Cwn5zskl7GD4loQ/edit?usp=sharing"",""กำแพงเพชร!I726"")"),0)</f>
        <v>0</v>
      </c>
      <c r="BJ14" s="57">
        <f ca="1">IFERROR(__xludf.DUMMYFUNCTION("IMPORTRANGE(""https://docs.google.com/spreadsheets/d/1KxicF4apzSqm0-jIpmueT4kyZtE-Cwn5zskl7GD4loQ/edit?usp=sharing"",""กำแพงเพชร!I728"")"),0)</f>
        <v>0</v>
      </c>
      <c r="BK14" s="57">
        <f ca="1">IFERROR(__xludf.DUMMYFUNCTION("IMPORTRANGE(""https://docs.google.com/spreadsheets/d/1KxicF4apzSqm0-jIpmueT4kyZtE-Cwn5zskl7GD4loQ/edit?usp=sharing"",""กำแพงเพชร!J726"")"),0)</f>
        <v>0</v>
      </c>
      <c r="BL14" s="57">
        <f ca="1">IFERROR(__xludf.DUMMYFUNCTION("IMPORTRANGE(""https://docs.google.com/spreadsheets/d/1KxicF4apzSqm0-jIpmueT4kyZtE-Cwn5zskl7GD4loQ/edit?usp=sharing"",""กำแพงเพชร!J727"")"),0)</f>
        <v>0</v>
      </c>
      <c r="BM14" s="57">
        <f ca="1">IFERROR(__xludf.DUMMYFUNCTION("IMPORTRANGE(""https://docs.google.com/spreadsheets/d/1KxicF4apzSqm0-jIpmueT4kyZtE-Cwn5zskl7GD4loQ/edit?usp=sharing"",""กำแพงเพชร!J728"")"),0)</f>
        <v>0</v>
      </c>
      <c r="BN14" s="57">
        <f ca="1">IFERROR(__xludf.DUMMYFUNCTION("IMPORTRANGE(""https://docs.google.com/spreadsheets/d/1KxicF4apzSqm0-jIpmueT4kyZtE-Cwn5zskl7GD4loQ/edit?usp=sharing"",""กำแพงเพชร!I729"")"),0)</f>
        <v>0</v>
      </c>
      <c r="BO14" s="57">
        <f ca="1">IFERROR(__xludf.DUMMYFUNCTION("IMPORTRANGE(""https://docs.google.com/spreadsheets/d/1KxicF4apzSqm0-jIpmueT4kyZtE-Cwn5zskl7GD4loQ/edit?usp=sharing"",""กำแพงเพชร!J729"")"),0)</f>
        <v>0</v>
      </c>
      <c r="BP14" s="63">
        <f t="shared" ca="1" si="19"/>
        <v>0</v>
      </c>
      <c r="BQ14" s="57">
        <f ca="1">IFERROR(__xludf.DUMMYFUNCTION("IMPORTRANGE(""https://docs.google.com/spreadsheets/d/1KxicF4apzSqm0-jIpmueT4kyZtE-Cwn5zskl7GD4loQ/edit?usp=sharing"",""กำแพงเพชร!J730"")"),0)</f>
        <v>0</v>
      </c>
      <c r="BR14" s="57">
        <f ca="1">IFERROR(__xludf.DUMMYFUNCTION("IMPORTRANGE(""https://docs.google.com/spreadsheets/d/1KxicF4apzSqm0-jIpmueT4kyZtE-Cwn5zskl7GD4loQ/edit?usp=sharing"",""กำแพงเพชร!J731"")"),0)</f>
        <v>0</v>
      </c>
      <c r="BS14" s="57">
        <f ca="1">IFERROR(__xludf.DUMMYFUNCTION("IMPORTRANGE(""https://docs.google.com/spreadsheets/d/1KxicF4apzSqm0-jIpmueT4kyZtE-Cwn5zskl7GD4loQ/edit?usp=sharing"",""กำแพงเพชร!J732"")"),0)</f>
        <v>0</v>
      </c>
      <c r="BT14" s="57">
        <f ca="1">IFERROR(__xludf.DUMMYFUNCTION("IMPORTRANGE(""https://docs.google.com/spreadsheets/d/1KxicF4apzSqm0-jIpmueT4kyZtE-Cwn5zskl7GD4loQ/edit?usp=sharing"",""กำแพงเพชร!J733"")"),0)</f>
        <v>0</v>
      </c>
      <c r="BU14" s="57">
        <f ca="1">IFERROR(__xludf.DUMMYFUNCTION("IMPORTRANGE(""https://docs.google.com/spreadsheets/d/1KxicF4apzSqm0-jIpmueT4kyZtE-Cwn5zskl7GD4loQ/edit?usp=sharing"",""กำแพงเพชร!J734"")"),0)</f>
        <v>0</v>
      </c>
      <c r="BV14" s="57">
        <f ca="1">IFERROR(__xludf.DUMMYFUNCTION("IMPORTRANGE(""https://docs.google.com/spreadsheets/d/1KxicF4apzSqm0-jIpmueT4kyZtE-Cwn5zskl7GD4loQ/edit?usp=sharing"",""กำแพงเพชร!J735"")"),0)</f>
        <v>0</v>
      </c>
    </row>
    <row r="15" spans="1:74" ht="24" customHeight="1" x14ac:dyDescent="0.3">
      <c r="A15" s="54">
        <v>2</v>
      </c>
      <c r="B15" s="55" t="s">
        <v>36</v>
      </c>
      <c r="C15" s="56">
        <f t="shared" ca="1" si="51"/>
        <v>0</v>
      </c>
      <c r="D15" s="57">
        <f ca="1">IFERROR(__xludf.DUMMYFUNCTION("IMPORTRANGE(""https://docs.google.com/spreadsheets/d/1ZNYWeiFoFA1K1U4xKWqRX29MBvEyRHXORjo734Gnq_c/edit?usp=sharing"",""เชียงราย!L690"")"),0)</f>
        <v>0</v>
      </c>
      <c r="E15" s="64">
        <f ca="1">IFERROR(__xludf.DUMMYFUNCTION("IMPORTRANGE(""https://docs.google.com/spreadsheets/d/1ZNYWeiFoFA1K1U4xKWqRX29MBvEyRHXORjo734Gnq_c/edit?usp=sharing"",""เชียงราย!L697"")"),0)</f>
        <v>0</v>
      </c>
      <c r="F15" s="64">
        <f ca="1">IFERROR(__xludf.DUMMYFUNCTION("IMPORTRANGE(""https://docs.google.com/spreadsheets/d/1ZNYWeiFoFA1K1U4xKWqRX29MBvEyRHXORjo734Gnq_c/edit?usp=sharing"",""เชียงราย!M690"")"),0)</f>
        <v>0</v>
      </c>
      <c r="G15" s="64">
        <f ca="1">IFERROR(__xludf.DUMMYFUNCTION("IMPORTRANGE(""https://docs.google.com/spreadsheets/d/1ZNYWeiFoFA1K1U4xKWqRX29MBvEyRHXORjo734Gnq_c/edit?usp=sharing"",""เชียงราย!M697"")"),0)</f>
        <v>0</v>
      </c>
      <c r="H15" s="58">
        <f t="shared" ca="1" si="33"/>
        <v>0</v>
      </c>
      <c r="I15" s="59">
        <f t="shared" ca="1" si="1"/>
        <v>0</v>
      </c>
      <c r="J15" s="60">
        <f t="shared" ca="1" si="52"/>
        <v>0</v>
      </c>
      <c r="K15" s="61">
        <f t="shared" ca="1" si="39"/>
        <v>0</v>
      </c>
      <c r="L15" s="61">
        <f t="shared" ca="1" si="40"/>
        <v>0</v>
      </c>
      <c r="M15" s="64">
        <f ca="1">IFERROR(__xludf.DUMMYFUNCTION("IMPORTRANGE(""https://docs.google.com/spreadsheets/d/1ZNYWeiFoFA1K1U4xKWqRX29MBvEyRHXORjo734Gnq_c/edit?usp=sharing"",""เชียงราย!N691"")"),0)</f>
        <v>0</v>
      </c>
      <c r="N15" s="64">
        <f ca="1">IFERROR(__xludf.DUMMYFUNCTION("IMPORTRANGE(""https://docs.google.com/spreadsheets/d/1ZNYWeiFoFA1K1U4xKWqRX29MBvEyRHXORjo734Gnq_c/edit?usp=sharing"",""เชียงราย!N692"")"),0)</f>
        <v>0</v>
      </c>
      <c r="O15" s="64">
        <f ca="1">IFERROR(__xludf.DUMMYFUNCTION("IMPORTRANGE(""https://docs.google.com/spreadsheets/d/1ZNYWeiFoFA1K1U4xKWqRX29MBvEyRHXORjo734Gnq_c/edit?usp=sharing"",""เชียงราย!N693"")"),0)</f>
        <v>0</v>
      </c>
      <c r="P15" s="64">
        <f ca="1">IFERROR(__xludf.DUMMYFUNCTION("IMPORTRANGE(""https://docs.google.com/spreadsheets/d/1ZNYWeiFoFA1K1U4xKWqRX29MBvEyRHXORjo734Gnq_c/edit?usp=sharing"",""เชียงราย!N694"")"),0)</f>
        <v>0</v>
      </c>
      <c r="Q15" s="62">
        <f ca="1">IFERROR(__xludf.DUMMYFUNCTION("IMPORTRANGE(""https://docs.google.com/spreadsheets/d/1ZNYWeiFoFA1K1U4xKWqRX29MBvEyRHXORjo734Gnq_c/edit?usp=sharing"",""เชียงราย!N697"")"),0)</f>
        <v>0</v>
      </c>
      <c r="R15" s="62">
        <f t="shared" ca="1" si="42"/>
        <v>0</v>
      </c>
      <c r="S15" s="57">
        <f ca="1">IFERROR(__xludf.DUMMYFUNCTION("IMPORTRANGE(""https://docs.google.com/spreadsheets/d/1ZNYWeiFoFA1K1U4xKWqRX29MBvEyRHXORjo734Gnq_c/edit?usp=sharing"",""เชียงราย!I699"")"),0)</f>
        <v>0</v>
      </c>
      <c r="T15" s="57">
        <f ca="1">IFERROR(__xludf.DUMMYFUNCTION("IMPORTRANGE(""https://docs.google.com/spreadsheets/d/1ZNYWeiFoFA1K1U4xKWqRX29MBvEyRHXORjo734Gnq_c/edit?usp=sharing"",""เชียงราย!J699"")"),0)</f>
        <v>0</v>
      </c>
      <c r="U15" s="63">
        <f t="shared" ca="1" si="34"/>
        <v>0</v>
      </c>
      <c r="V15" s="57">
        <f ca="1">IFERROR(__xludf.DUMMYFUNCTION("IMPORTRANGE(""https://docs.google.com/spreadsheets/d/1ZNYWeiFoFA1K1U4xKWqRX29MBvEyRHXORjo734Gnq_c/edit?usp=sharing"",""เชียงราย!I700"")"),0)</f>
        <v>0</v>
      </c>
      <c r="W15" s="57">
        <f ca="1">IFERROR(__xludf.DUMMYFUNCTION("IMPORTRANGE(""https://docs.google.com/spreadsheets/d/1ZNYWeiFoFA1K1U4xKWqRX29MBvEyRHXORjo734Gnq_c/edit?usp=sharing"",""เชียงราย!J700"")"),0)</f>
        <v>0</v>
      </c>
      <c r="X15" s="63">
        <f t="shared" ca="1" si="35"/>
        <v>0</v>
      </c>
      <c r="Y15" s="57">
        <f ca="1">IFERROR(__xludf.DUMMYFUNCTION("IMPORTRANGE(""https://docs.google.com/spreadsheets/d/1ZNYWeiFoFA1K1U4xKWqRX29MBvEyRHXORjo734Gnq_c/edit?usp=sharing"",""เชียงราย!I701"")"),0)</f>
        <v>0</v>
      </c>
      <c r="Z15" s="57">
        <f ca="1">IFERROR(__xludf.DUMMYFUNCTION("IMPORTRANGE(""https://docs.google.com/spreadsheets/d/1ZNYWeiFoFA1K1U4xKWqRX29MBvEyRHXORjo734Gnq_c/edit?usp=sharing"",""เชียงราย!J701"")"),0)</f>
        <v>0</v>
      </c>
      <c r="AA15" s="63">
        <f t="shared" ca="1" si="36"/>
        <v>0</v>
      </c>
      <c r="AB15" s="63">
        <f ca="1">IFERROR(__xludf.DUMMYFUNCTION("IMPORTRANGE(""https://docs.google.com/spreadsheets/d/1ZNYWeiFoFA1K1U4xKWqRX29MBvEyRHXORjo734Gnq_c/edit?usp=sharing"",""เชียงราย!J702"")"),0)</f>
        <v>0</v>
      </c>
      <c r="AC15" s="63">
        <f ca="1">IFERROR(__xludf.DUMMYFUNCTION("IMPORTRANGE(""https://docs.google.com/spreadsheets/d/1ZNYWeiFoFA1K1U4xKWqRX29MBvEyRHXORjo734Gnq_c/edit?usp=sharing"",""เชียงราย!J703"")"),0)</f>
        <v>0</v>
      </c>
      <c r="AD15" s="63">
        <f ca="1">IFERROR(__xludf.DUMMYFUNCTION("IMPORTRANGE(""https://docs.google.com/spreadsheets/d/1ZNYWeiFoFA1K1U4xKWqRX29MBvEyRHXORjo734Gnq_c/edit?usp=sharing"",""เชียงราย!J704"")"),0)</f>
        <v>0</v>
      </c>
      <c r="AE15" s="63">
        <f ca="1">IFERROR(__xludf.DUMMYFUNCTION("IMPORTRANGE(""https://docs.google.com/spreadsheets/d/1ZNYWeiFoFA1K1U4xKWqRX29MBvEyRHXORjo734Gnq_c/edit?usp=sharing"",""เชียงราย!J705"")"),0)</f>
        <v>0</v>
      </c>
      <c r="AF15" s="63">
        <f ca="1">IFERROR(__xludf.DUMMYFUNCTION("IMPORTRANGE(""https://docs.google.com/spreadsheets/d/1ZNYWeiFoFA1K1U4xKWqRX29MBvEyRHXORjo734Gnq_c/edit?usp=sharing"",""เชียงราย!J706"")"),0)</f>
        <v>0</v>
      </c>
      <c r="AG15" s="63">
        <f ca="1">IFERROR(__xludf.DUMMYFUNCTION("IMPORTRANGE(""https://docs.google.com/spreadsheets/d/1ZNYWeiFoFA1K1U4xKWqRX29MBvEyRHXORjo734Gnq_c/edit?usp=sharing"",""เชียงราย!J707"")"),0)</f>
        <v>0</v>
      </c>
      <c r="AH15" s="57">
        <f ca="1">IFERROR(__xludf.DUMMYFUNCTION("IMPORTRANGE(""https://docs.google.com/spreadsheets/d/1ZNYWeiFoFA1K1U4xKWqRX29MBvEyRHXORjo734Gnq_c/edit?usp=sharing"",""เชียงราย!I708"")"),0)</f>
        <v>0</v>
      </c>
      <c r="AI15" s="57">
        <f ca="1">IFERROR(__xludf.DUMMYFUNCTION("IMPORTRANGE(""https://docs.google.com/spreadsheets/d/1ZNYWeiFoFA1K1U4xKWqRX29MBvEyRHXORjo734Gnq_c/edit?usp=sharing"",""เชียงราย!J708"")"),0)</f>
        <v>0</v>
      </c>
      <c r="AJ15" s="63">
        <f t="shared" ca="1" si="37"/>
        <v>0</v>
      </c>
      <c r="AK15" s="57">
        <f ca="1">IFERROR(__xludf.DUMMYFUNCTION("IMPORTRANGE(""https://docs.google.com/spreadsheets/d/1ZNYWeiFoFA1K1U4xKWqRX29MBvEyRHXORjo734Gnq_c/edit?usp=sharing"",""เชียงราย!J709"")"),0)</f>
        <v>0</v>
      </c>
      <c r="AL15" s="57">
        <f ca="1">IFERROR(__xludf.DUMMYFUNCTION("IMPORTRANGE(""https://docs.google.com/spreadsheets/d/1ZNYWeiFoFA1K1U4xKWqRX29MBvEyRHXORjo734Gnq_c/edit?usp=sharing"",""เชียงราย!J710"")"),0)</f>
        <v>0</v>
      </c>
      <c r="AM15" s="57">
        <f ca="1">IFERROR(__xludf.DUMMYFUNCTION("IMPORTRANGE(""https://docs.google.com/spreadsheets/d/1ZNYWeiFoFA1K1U4xKWqRX29MBvEyRHXORjo734Gnq_c/edit?usp=sharing"",""เชียงราย!J712"")"),0)</f>
        <v>0</v>
      </c>
      <c r="AN15" s="57">
        <f ca="1">IFERROR(__xludf.DUMMYFUNCTION("IMPORTRANGE(""https://docs.google.com/spreadsheets/d/1ZNYWeiFoFA1K1U4xKWqRX29MBvEyRHXORjo734Gnq_c/edit?usp=sharing"",""เชียงราย!J713"")"),0)</f>
        <v>0</v>
      </c>
      <c r="AO15" s="57">
        <f ca="1">IFERROR(__xludf.DUMMYFUNCTION("IMPORTRANGE(""https://docs.google.com/spreadsheets/d/1ZNYWeiFoFA1K1U4xKWqRX29MBvEyRHXORjo734Gnq_c/edit?usp=sharing"",""เชียงราย!J714"")"),0)</f>
        <v>0</v>
      </c>
      <c r="AP15" s="57">
        <f ca="1">IFERROR(__xludf.DUMMYFUNCTION("IMPORTRANGE(""https://docs.google.com/spreadsheets/d/1ZNYWeiFoFA1K1U4xKWqRX29MBvEyRHXORjo734Gnq_c/edit?usp=sharing"",""เชียงราย!J715"")"),0)</f>
        <v>0</v>
      </c>
      <c r="AQ15" s="57">
        <f ca="1">IFERROR(__xludf.DUMMYFUNCTION("IMPORTRANGE(""https://docs.google.com/spreadsheets/d/1ZNYWeiFoFA1K1U4xKWqRX29MBvEyRHXORjo734Gnq_c/edit?usp=sharing"",""เชียงราย!J716"")"),0)</f>
        <v>0</v>
      </c>
      <c r="AR15" s="57">
        <f ca="1">IFERROR(__xludf.DUMMYFUNCTION("IMPORTRANGE(""https://docs.google.com/spreadsheets/d/1ZNYWeiFoFA1K1U4xKWqRX29MBvEyRHXORjo734Gnq_c/edit?usp=sharing"",""เชียงราย!J717"")"),0)</f>
        <v>0</v>
      </c>
      <c r="AS15" s="57">
        <f ca="1">IFERROR(__xludf.DUMMYFUNCTION("IMPORTRANGE(""https://docs.google.com/spreadsheets/d/1ZNYWeiFoFA1K1U4xKWqRX29MBvEyRHXORjo734Gnq_c/edit?usp=sharing"",""เชียงราย!I720"")"),0)</f>
        <v>0</v>
      </c>
      <c r="AT15" s="57">
        <f ca="1">IFERROR(__xludf.DUMMYFUNCTION("IMPORTRANGE(""https://docs.google.com/spreadsheets/d/1ZNYWeiFoFA1K1U4xKWqRX29MBvEyRHXORjo734Gnq_c/edit?usp=sharing"",""เชียงราย!J718"")"),0)</f>
        <v>0</v>
      </c>
      <c r="AU15" s="57">
        <f ca="1">IFERROR(__xludf.DUMMYFUNCTION("IMPORTRANGE(""https://docs.google.com/spreadsheets/d/1ZNYWeiFoFA1K1U4xKWqRX29MBvEyRHXORjo734Gnq_c/edit?usp=sharing"",""เชียงราย!J719"")"),0)</f>
        <v>0</v>
      </c>
      <c r="AV15" s="57">
        <f ca="1">IFERROR(__xludf.DUMMYFUNCTION("IMPORTRANGE(""https://docs.google.com/spreadsheets/d/1ZNYWeiFoFA1K1U4xKWqRX29MBvEyRHXORjo734Gnq_c/edit?usp=sharing"",""เชียงราย!J720"")"),0)</f>
        <v>0</v>
      </c>
      <c r="AW15" s="63">
        <f t="shared" ca="1" si="14"/>
        <v>0</v>
      </c>
      <c r="AX15" s="57">
        <f ca="1">IFERROR(__xludf.DUMMYFUNCTION("IMPORTRANGE(""https://docs.google.com/spreadsheets/d/1ZNYWeiFoFA1K1U4xKWqRX29MBvEyRHXORjo734Gnq_c/edit?usp=sharing"",""เชียงราย!I721"")"),0)</f>
        <v>0</v>
      </c>
      <c r="AY15" s="57">
        <f ca="1">IFERROR(__xludf.DUMMYFUNCTION("IMPORTRANGE(""https://docs.google.com/spreadsheets/d/1ZNYWeiFoFA1K1U4xKWqRX29MBvEyRHXORjo734Gnq_c/edit?usp=sharing"",""เชียงราย!I722"")"),0)</f>
        <v>0</v>
      </c>
      <c r="AZ15" s="57">
        <f ca="1">IFERROR(__xludf.DUMMYFUNCTION("IMPORTRANGE(""https://docs.google.com/spreadsheets/d/1ZNYWeiFoFA1K1U4xKWqRX29MBvEyRHXORjo734Gnq_c/edit?usp=sharing"",""เชียงราย!J721"")"),0)</f>
        <v>0</v>
      </c>
      <c r="BA15" s="63">
        <f t="shared" ca="1" si="16"/>
        <v>0</v>
      </c>
      <c r="BB15" s="57">
        <f ca="1">IFERROR(__xludf.DUMMYFUNCTION("IMPORTRANGE(""https://docs.google.com/spreadsheets/d/1ZNYWeiFoFA1K1U4xKWqRX29MBvEyRHXORjo734Gnq_c/edit?usp=sharing"",""เชียงราย!J722"")"),0)</f>
        <v>0</v>
      </c>
      <c r="BC15" s="63">
        <f t="shared" ca="1" si="17"/>
        <v>0</v>
      </c>
      <c r="BD15" s="57">
        <f ca="1">IFERROR(__xludf.DUMMYFUNCTION("IMPORTRANGE(""https://docs.google.com/spreadsheets/d/1ZNYWeiFoFA1K1U4xKWqRX29MBvEyRHXORjo734Gnq_c/edit?usp=sharing"",""เชียงราย!I723"")"),0)</f>
        <v>0</v>
      </c>
      <c r="BE15" s="57">
        <f ca="1">IFERROR(__xludf.DUMMYFUNCTION("IMPORTRANGE(""https://docs.google.com/spreadsheets/d/1ZNYWeiFoFA1K1U4xKWqRX29MBvEyRHXORjo734Gnq_c/edit?usp=sharing"",""เชียงราย!I725"")"),0)</f>
        <v>0</v>
      </c>
      <c r="BF15" s="57">
        <f ca="1">IFERROR(__xludf.DUMMYFUNCTION("IMPORTRANGE(""https://docs.google.com/spreadsheets/d/1ZNYWeiFoFA1K1U4xKWqRX29MBvEyRHXORjo734Gnq_c/edit?usp=sharing"",""เชียงราย!J723"")"),0)</f>
        <v>0</v>
      </c>
      <c r="BG15" s="57">
        <f ca="1">IFERROR(__xludf.DUMMYFUNCTION("IMPORTRANGE(""https://docs.google.com/spreadsheets/d/1ZNYWeiFoFA1K1U4xKWqRX29MBvEyRHXORjo734Gnq_c/edit?usp=sharing"",""เชียงราย!J724"")"),0)</f>
        <v>0</v>
      </c>
      <c r="BH15" s="57">
        <f ca="1">IFERROR(__xludf.DUMMYFUNCTION("IMPORTRANGE(""https://docs.google.com/spreadsheets/d/1ZNYWeiFoFA1K1U4xKWqRX29MBvEyRHXORjo734Gnq_c/edit?usp=sharing"",""เชียงราย!J725"")"),0)</f>
        <v>0</v>
      </c>
      <c r="BI15" s="57">
        <f ca="1">IFERROR(__xludf.DUMMYFUNCTION("IMPORTRANGE(""https://docs.google.com/spreadsheets/d/1ZNYWeiFoFA1K1U4xKWqRX29MBvEyRHXORjo734Gnq_c/edit?usp=sharing"",""เชียงราย!I726"")"),0)</f>
        <v>0</v>
      </c>
      <c r="BJ15" s="57">
        <f ca="1">IFERROR(__xludf.DUMMYFUNCTION("IMPORTRANGE(""https://docs.google.com/spreadsheets/d/1ZNYWeiFoFA1K1U4xKWqRX29MBvEyRHXORjo734Gnq_c/edit?usp=sharing"",""เชียงราย!I728"")"),0)</f>
        <v>0</v>
      </c>
      <c r="BK15" s="57">
        <f ca="1">IFERROR(__xludf.DUMMYFUNCTION("IMPORTRANGE(""https://docs.google.com/spreadsheets/d/1ZNYWeiFoFA1K1U4xKWqRX29MBvEyRHXORjo734Gnq_c/edit?usp=sharing"",""เชียงราย!J726"")"),0)</f>
        <v>0</v>
      </c>
      <c r="BL15" s="57">
        <f ca="1">IFERROR(__xludf.DUMMYFUNCTION("IMPORTRANGE(""https://docs.google.com/spreadsheets/d/1ZNYWeiFoFA1K1U4xKWqRX29MBvEyRHXORjo734Gnq_c/edit?usp=sharing"",""เชียงราย!J727"")"),0)</f>
        <v>0</v>
      </c>
      <c r="BM15" s="57">
        <f ca="1">IFERROR(__xludf.DUMMYFUNCTION("IMPORTRANGE(""https://docs.google.com/spreadsheets/d/1ZNYWeiFoFA1K1U4xKWqRX29MBvEyRHXORjo734Gnq_c/edit?usp=sharing"",""เชียงราย!J728"")"),0)</f>
        <v>0</v>
      </c>
      <c r="BN15" s="57">
        <f ca="1">IFERROR(__xludf.DUMMYFUNCTION("IMPORTRANGE(""https://docs.google.com/spreadsheets/d/1ZNYWeiFoFA1K1U4xKWqRX29MBvEyRHXORjo734Gnq_c/edit?usp=sharing"",""เชียงราย!I729"")"),0)</f>
        <v>0</v>
      </c>
      <c r="BO15" s="57">
        <f ca="1">IFERROR(__xludf.DUMMYFUNCTION("IMPORTRANGE(""https://docs.google.com/spreadsheets/d/1ZNYWeiFoFA1K1U4xKWqRX29MBvEyRHXORjo734Gnq_c/edit?usp=sharing"",""เชียงราย!J729"")"),0)</f>
        <v>0</v>
      </c>
      <c r="BP15" s="63">
        <f t="shared" ca="1" si="19"/>
        <v>0</v>
      </c>
      <c r="BQ15" s="57">
        <f ca="1">IFERROR(__xludf.DUMMYFUNCTION("IMPORTRANGE(""https://docs.google.com/spreadsheets/d/1ZNYWeiFoFA1K1U4xKWqRX29MBvEyRHXORjo734Gnq_c/edit?usp=sharing"",""เชียงราย!J730"")"),0)</f>
        <v>0</v>
      </c>
      <c r="BR15" s="57">
        <f ca="1">IFERROR(__xludf.DUMMYFUNCTION("IMPORTRANGE(""https://docs.google.com/spreadsheets/d/1ZNYWeiFoFA1K1U4xKWqRX29MBvEyRHXORjo734Gnq_c/edit?usp=sharing"",""เชียงราย!J731"")"),0)</f>
        <v>0</v>
      </c>
      <c r="BS15" s="57">
        <f ca="1">IFERROR(__xludf.DUMMYFUNCTION("IMPORTRANGE(""https://docs.google.com/spreadsheets/d/1ZNYWeiFoFA1K1U4xKWqRX29MBvEyRHXORjo734Gnq_c/edit?usp=sharing"",""เชียงราย!J732"")"),0)</f>
        <v>0</v>
      </c>
      <c r="BT15" s="57">
        <f ca="1">IFERROR(__xludf.DUMMYFUNCTION("IMPORTRANGE(""https://docs.google.com/spreadsheets/d/1ZNYWeiFoFA1K1U4xKWqRX29MBvEyRHXORjo734Gnq_c/edit?usp=sharing"",""เชียงราย!J733"")"),0)</f>
        <v>0</v>
      </c>
      <c r="BU15" s="57">
        <f ca="1">IFERROR(__xludf.DUMMYFUNCTION("IMPORTRANGE(""https://docs.google.com/spreadsheets/d/1ZNYWeiFoFA1K1U4xKWqRX29MBvEyRHXORjo734Gnq_c/edit?usp=sharing"",""เชียงราย!J734"")"),0)</f>
        <v>0</v>
      </c>
      <c r="BV15" s="57">
        <f ca="1">IFERROR(__xludf.DUMMYFUNCTION("IMPORTRANGE(""https://docs.google.com/spreadsheets/d/1ZNYWeiFoFA1K1U4xKWqRX29MBvEyRHXORjo734Gnq_c/edit?usp=sharing"",""เชียงราย!J735"")"),0)</f>
        <v>0</v>
      </c>
    </row>
    <row r="16" spans="1:74" ht="24" customHeight="1" x14ac:dyDescent="0.3">
      <c r="A16" s="54">
        <v>3</v>
      </c>
      <c r="B16" s="55" t="s">
        <v>37</v>
      </c>
      <c r="C16" s="56">
        <f t="shared" ca="1" si="51"/>
        <v>1750</v>
      </c>
      <c r="D16" s="57">
        <f ca="1">IFERROR(__xludf.DUMMYFUNCTION("IMPORTRANGE(""https://docs.google.com/spreadsheets/d/1Jgv0Y7YlHDtsiDawwp-uvifEJ8HVaSn0k2aGHG8-hwM/edit?usp=sharing"",""เชียงใหม่!L690"")"),1750)</f>
        <v>1750</v>
      </c>
      <c r="E16" s="64">
        <f ca="1">IFERROR(__xludf.DUMMYFUNCTION("IMPORTRANGE(""https://docs.google.com/spreadsheets/d/1Jgv0Y7YlHDtsiDawwp-uvifEJ8HVaSn0k2aGHG8-hwM/edit?usp=sharing"",""เชียงใหม่!L697"")"),0)</f>
        <v>0</v>
      </c>
      <c r="F16" s="64">
        <f ca="1">IFERROR(__xludf.DUMMYFUNCTION("IMPORTRANGE(""https://docs.google.com/spreadsheets/d/1Jgv0Y7YlHDtsiDawwp-uvifEJ8HVaSn0k2aGHG8-hwM/edit?usp=sharing"",""เชียงใหม่!M690"")"),1750)</f>
        <v>1750</v>
      </c>
      <c r="G16" s="64">
        <f ca="1">IFERROR(__xludf.DUMMYFUNCTION("IMPORTRANGE(""https://docs.google.com/spreadsheets/d/1Jgv0Y7YlHDtsiDawwp-uvifEJ8HVaSn0k2aGHG8-hwM/edit?usp=sharing"",""เชียงใหม่!M697"")"),0)</f>
        <v>0</v>
      </c>
      <c r="H16" s="58">
        <f t="shared" ca="1" si="33"/>
        <v>0</v>
      </c>
      <c r="I16" s="59">
        <f t="shared" ca="1" si="1"/>
        <v>0</v>
      </c>
      <c r="J16" s="60">
        <f t="shared" ca="1" si="52"/>
        <v>0</v>
      </c>
      <c r="K16" s="61">
        <f t="shared" ca="1" si="39"/>
        <v>0</v>
      </c>
      <c r="L16" s="61">
        <f t="shared" ca="1" si="40"/>
        <v>0</v>
      </c>
      <c r="M16" s="64">
        <f ca="1">IFERROR(__xludf.DUMMYFUNCTION("IMPORTRANGE(""https://docs.google.com/spreadsheets/d/1Jgv0Y7YlHDtsiDawwp-uvifEJ8HVaSn0k2aGHG8-hwM/edit?usp=sharing"",""เชียงใหม่!N691"")"),0)</f>
        <v>0</v>
      </c>
      <c r="N16" s="64">
        <f ca="1">IFERROR(__xludf.DUMMYFUNCTION("IMPORTRANGE(""https://docs.google.com/spreadsheets/d/1Jgv0Y7YlHDtsiDawwp-uvifEJ8HVaSn0k2aGHG8-hwM/edit?usp=sharing"",""เชียงใหม่!N692"")"),0)</f>
        <v>0</v>
      </c>
      <c r="O16" s="64">
        <f ca="1">IFERROR(__xludf.DUMMYFUNCTION("IMPORTRANGE(""https://docs.google.com/spreadsheets/d/1Jgv0Y7YlHDtsiDawwp-uvifEJ8HVaSn0k2aGHG8-hwM/edit?usp=sharing"",""เชียงใหม่!N693"")"),0)</f>
        <v>0</v>
      </c>
      <c r="P16" s="64">
        <f ca="1">IFERROR(__xludf.DUMMYFUNCTION("IMPORTRANGE(""https://docs.google.com/spreadsheets/d/1Jgv0Y7YlHDtsiDawwp-uvifEJ8HVaSn0k2aGHG8-hwM/edit?usp=sharing"",""เชียงใหม่!N694"")"),0)</f>
        <v>0</v>
      </c>
      <c r="Q16" s="62">
        <f ca="1">IFERROR(__xludf.DUMMYFUNCTION("IMPORTRANGE(""https://docs.google.com/spreadsheets/d/1Jgv0Y7YlHDtsiDawwp-uvifEJ8HVaSn0k2aGHG8-hwM/edit?usp=sharing"",""เชียงใหม่!N697"")"),0)</f>
        <v>0</v>
      </c>
      <c r="R16" s="62">
        <f t="shared" ca="1" si="42"/>
        <v>0</v>
      </c>
      <c r="S16" s="57">
        <f ca="1">IFERROR(__xludf.DUMMYFUNCTION("IMPORTRANGE(""https://docs.google.com/spreadsheets/d/1Jgv0Y7YlHDtsiDawwp-uvifEJ8HVaSn0k2aGHG8-hwM/edit?usp=sharing"",""เชียงใหม่!I699"")"),0)</f>
        <v>0</v>
      </c>
      <c r="T16" s="57">
        <f ca="1">IFERROR(__xludf.DUMMYFUNCTION("IMPORTRANGE(""https://docs.google.com/spreadsheets/d/1Jgv0Y7YlHDtsiDawwp-uvifEJ8HVaSn0k2aGHG8-hwM/edit?usp=sharing"",""เชียงใหม่!J699"")"),0)</f>
        <v>0</v>
      </c>
      <c r="U16" s="63">
        <f t="shared" ca="1" si="34"/>
        <v>0</v>
      </c>
      <c r="V16" s="57">
        <f ca="1">IFERROR(__xludf.DUMMYFUNCTION("IMPORTRANGE(""https://docs.google.com/spreadsheets/d/1Jgv0Y7YlHDtsiDawwp-uvifEJ8HVaSn0k2aGHG8-hwM/edit?usp=sharing"",""เชียงใหม่!I700"")"),4)</f>
        <v>4</v>
      </c>
      <c r="W16" s="57">
        <f ca="1">IFERROR(__xludf.DUMMYFUNCTION("IMPORTRANGE(""https://docs.google.com/spreadsheets/d/1Jgv0Y7YlHDtsiDawwp-uvifEJ8HVaSn0k2aGHG8-hwM/edit?usp=sharing"",""เชียงใหม่!J700"")"),0)</f>
        <v>0</v>
      </c>
      <c r="X16" s="63">
        <f t="shared" ca="1" si="35"/>
        <v>0</v>
      </c>
      <c r="Y16" s="57">
        <f ca="1">IFERROR(__xludf.DUMMYFUNCTION("IMPORTRANGE(""https://docs.google.com/spreadsheets/d/1Jgv0Y7YlHDtsiDawwp-uvifEJ8HVaSn0k2aGHG8-hwM/edit?usp=sharing"",""เชียงใหม่!I701"")"),0)</f>
        <v>0</v>
      </c>
      <c r="Z16" s="57">
        <f ca="1">IFERROR(__xludf.DUMMYFUNCTION("IMPORTRANGE(""https://docs.google.com/spreadsheets/d/1Jgv0Y7YlHDtsiDawwp-uvifEJ8HVaSn0k2aGHG8-hwM/edit?usp=sharing"",""เชียงใหม่!J701"")"),0)</f>
        <v>0</v>
      </c>
      <c r="AA16" s="63">
        <f t="shared" ca="1" si="36"/>
        <v>0</v>
      </c>
      <c r="AB16" s="63">
        <f ca="1">IFERROR(__xludf.DUMMYFUNCTION("IMPORTRANGE(""https://docs.google.com/spreadsheets/d/1Jgv0Y7YlHDtsiDawwp-uvifEJ8HVaSn0k2aGHG8-hwM/edit?usp=sharing"",""เชียงใหม่!J702"")"),0)</f>
        <v>0</v>
      </c>
      <c r="AC16" s="63">
        <f ca="1">IFERROR(__xludf.DUMMYFUNCTION("IMPORTRANGE(""https://docs.google.com/spreadsheets/d/1Jgv0Y7YlHDtsiDawwp-uvifEJ8HVaSn0k2aGHG8-hwM/edit?usp=sharing"",""เชียงใหม่!J703"")"),0)</f>
        <v>0</v>
      </c>
      <c r="AD16" s="63">
        <f ca="1">IFERROR(__xludf.DUMMYFUNCTION("IMPORTRANGE(""https://docs.google.com/spreadsheets/d/1Jgv0Y7YlHDtsiDawwp-uvifEJ8HVaSn0k2aGHG8-hwM/edit?usp=sharing"",""เชียงใหม่!J704"")"),0)</f>
        <v>0</v>
      </c>
      <c r="AE16" s="63">
        <f ca="1">IFERROR(__xludf.DUMMYFUNCTION("IMPORTRANGE(""https://docs.google.com/spreadsheets/d/1Jgv0Y7YlHDtsiDawwp-uvifEJ8HVaSn0k2aGHG8-hwM/edit?usp=sharing"",""เชียงใหม่!J705"")"),0)</f>
        <v>0</v>
      </c>
      <c r="AF16" s="63">
        <f ca="1">IFERROR(__xludf.DUMMYFUNCTION("IMPORTRANGE(""https://docs.google.com/spreadsheets/d/1Jgv0Y7YlHDtsiDawwp-uvifEJ8HVaSn0k2aGHG8-hwM/edit?usp=sharing"",""เชียงใหม่!J706"")"),0)</f>
        <v>0</v>
      </c>
      <c r="AG16" s="63">
        <f ca="1">IFERROR(__xludf.DUMMYFUNCTION("IMPORTRANGE(""https://docs.google.com/spreadsheets/d/1Jgv0Y7YlHDtsiDawwp-uvifEJ8HVaSn0k2aGHG8-hwM/edit?usp=sharing"",""เชียงใหม่!J707"")"),0)</f>
        <v>0</v>
      </c>
      <c r="AH16" s="57">
        <f ca="1">IFERROR(__xludf.DUMMYFUNCTION("IMPORTRANGE(""https://docs.google.com/spreadsheets/d/1Jgv0Y7YlHDtsiDawwp-uvifEJ8HVaSn0k2aGHG8-hwM/edit?usp=sharing"",""เชียงใหม่!I708"")"),0)</f>
        <v>0</v>
      </c>
      <c r="AI16" s="57">
        <f ca="1">IFERROR(__xludf.DUMMYFUNCTION("IMPORTRANGE(""https://docs.google.com/spreadsheets/d/1Jgv0Y7YlHDtsiDawwp-uvifEJ8HVaSn0k2aGHG8-hwM/edit?usp=sharing"",""เชียงใหม่!J708"")"),0)</f>
        <v>0</v>
      </c>
      <c r="AJ16" s="63">
        <f t="shared" ca="1" si="37"/>
        <v>0</v>
      </c>
      <c r="AK16" s="57">
        <f ca="1">IFERROR(__xludf.DUMMYFUNCTION("IMPORTRANGE(""https://docs.google.com/spreadsheets/d/1Jgv0Y7YlHDtsiDawwp-uvifEJ8HVaSn0k2aGHG8-hwM/edit?usp=sharing"",""เชียงใหม่!J709"")"),0)</f>
        <v>0</v>
      </c>
      <c r="AL16" s="57">
        <f ca="1">IFERROR(__xludf.DUMMYFUNCTION("IMPORTRANGE(""https://docs.google.com/spreadsheets/d/1Jgv0Y7YlHDtsiDawwp-uvifEJ8HVaSn0k2aGHG8-hwM/edit?usp=sharing"",""เชียงใหม่!J710"")"),0)</f>
        <v>0</v>
      </c>
      <c r="AM16" s="57">
        <f ca="1">IFERROR(__xludf.DUMMYFUNCTION("IMPORTRANGE(""https://docs.google.com/spreadsheets/d/1Jgv0Y7YlHDtsiDawwp-uvifEJ8HVaSn0k2aGHG8-hwM/edit?usp=sharing"",""เชียงใหม่!J712"")"),0)</f>
        <v>0</v>
      </c>
      <c r="AN16" s="57">
        <f ca="1">IFERROR(__xludf.DUMMYFUNCTION("IMPORTRANGE(""https://docs.google.com/spreadsheets/d/1Jgv0Y7YlHDtsiDawwp-uvifEJ8HVaSn0k2aGHG8-hwM/edit?usp=sharing"",""เชียงใหม่!J713"")"),0)</f>
        <v>0</v>
      </c>
      <c r="AO16" s="57">
        <f ca="1">IFERROR(__xludf.DUMMYFUNCTION("IMPORTRANGE(""https://docs.google.com/spreadsheets/d/1Jgv0Y7YlHDtsiDawwp-uvifEJ8HVaSn0k2aGHG8-hwM/edit?usp=sharing"",""เชียงใหม่!J714"")"),0)</f>
        <v>0</v>
      </c>
      <c r="AP16" s="57">
        <f ca="1">IFERROR(__xludf.DUMMYFUNCTION("IMPORTRANGE(""https://docs.google.com/spreadsheets/d/1Jgv0Y7YlHDtsiDawwp-uvifEJ8HVaSn0k2aGHG8-hwM/edit?usp=sharing"",""เชียงใหม่!J715"")"),0)</f>
        <v>0</v>
      </c>
      <c r="AQ16" s="57">
        <f ca="1">IFERROR(__xludf.DUMMYFUNCTION("IMPORTRANGE(""https://docs.google.com/spreadsheets/d/1Jgv0Y7YlHDtsiDawwp-uvifEJ8HVaSn0k2aGHG8-hwM/edit?usp=sharing"",""เชียงใหม่!J716"")"),0)</f>
        <v>0</v>
      </c>
      <c r="AR16" s="57">
        <f ca="1">IFERROR(__xludf.DUMMYFUNCTION("IMPORTRANGE(""https://docs.google.com/spreadsheets/d/1Jgv0Y7YlHDtsiDawwp-uvifEJ8HVaSn0k2aGHG8-hwM/edit?usp=sharing"",""เชียงใหม่!J717"")"),0)</f>
        <v>0</v>
      </c>
      <c r="AS16" s="57">
        <f ca="1">IFERROR(__xludf.DUMMYFUNCTION("IMPORTRANGE(""https://docs.google.com/spreadsheets/d/1Jgv0Y7YlHDtsiDawwp-uvifEJ8HVaSn0k2aGHG8-hwM/edit?usp=sharing"",""เชียงใหม่!I720"")"),9)</f>
        <v>9</v>
      </c>
      <c r="AT16" s="57">
        <f ca="1">IFERROR(__xludf.DUMMYFUNCTION("IMPORTRANGE(""https://docs.google.com/spreadsheets/d/1Jgv0Y7YlHDtsiDawwp-uvifEJ8HVaSn0k2aGHG8-hwM/edit?usp=sharing"",""เชียงใหม่!J718"")"),0)</f>
        <v>0</v>
      </c>
      <c r="AU16" s="57">
        <f ca="1">IFERROR(__xludf.DUMMYFUNCTION("IMPORTRANGE(""https://docs.google.com/spreadsheets/d/1Jgv0Y7YlHDtsiDawwp-uvifEJ8HVaSn0k2aGHG8-hwM/edit?usp=sharing"",""เชียงใหม่!J719"")"),0)</f>
        <v>0</v>
      </c>
      <c r="AV16" s="57">
        <f ca="1">IFERROR(__xludf.DUMMYFUNCTION("IMPORTRANGE(""https://docs.google.com/spreadsheets/d/1Jgv0Y7YlHDtsiDawwp-uvifEJ8HVaSn0k2aGHG8-hwM/edit?usp=sharing"",""เชียงใหม่!J720"")"),0)</f>
        <v>0</v>
      </c>
      <c r="AW16" s="63">
        <f t="shared" ca="1" si="14"/>
        <v>0</v>
      </c>
      <c r="AX16" s="57">
        <f ca="1">IFERROR(__xludf.DUMMYFUNCTION("IMPORTRANGE(""https://docs.google.com/spreadsheets/d/1Jgv0Y7YlHDtsiDawwp-uvifEJ8HVaSn0k2aGHG8-hwM/edit?usp=sharing"",""เชียงใหม่!I721"")"),0)</f>
        <v>0</v>
      </c>
      <c r="AY16" s="57">
        <f ca="1">IFERROR(__xludf.DUMMYFUNCTION("IMPORTRANGE(""https://docs.google.com/spreadsheets/d/1Jgv0Y7YlHDtsiDawwp-uvifEJ8HVaSn0k2aGHG8-hwM/edit?usp=sharing"",""เชียงใหม่!I722"")"),0)</f>
        <v>0</v>
      </c>
      <c r="AZ16" s="57">
        <f ca="1">IFERROR(__xludf.DUMMYFUNCTION("IMPORTRANGE(""https://docs.google.com/spreadsheets/d/1Jgv0Y7YlHDtsiDawwp-uvifEJ8HVaSn0k2aGHG8-hwM/edit?usp=sharing"",""เชียงใหม่!J721"")"),0)</f>
        <v>0</v>
      </c>
      <c r="BA16" s="63">
        <f t="shared" ca="1" si="16"/>
        <v>0</v>
      </c>
      <c r="BB16" s="57">
        <f ca="1">IFERROR(__xludf.DUMMYFUNCTION("IMPORTRANGE(""https://docs.google.com/spreadsheets/d/1Jgv0Y7YlHDtsiDawwp-uvifEJ8HVaSn0k2aGHG8-hwM/edit?usp=sharing"",""เชียงใหม่!J722"")"),0)</f>
        <v>0</v>
      </c>
      <c r="BC16" s="63">
        <f t="shared" ca="1" si="17"/>
        <v>0</v>
      </c>
      <c r="BD16" s="57">
        <f ca="1">IFERROR(__xludf.DUMMYFUNCTION("IMPORTRANGE(""https://docs.google.com/spreadsheets/d/1Jgv0Y7YlHDtsiDawwp-uvifEJ8HVaSn0k2aGHG8-hwM/edit?usp=sharing"",""เชียงใหม่!I723"")"),0)</f>
        <v>0</v>
      </c>
      <c r="BE16" s="57">
        <f ca="1">IFERROR(__xludf.DUMMYFUNCTION("IMPORTRANGE(""https://docs.google.com/spreadsheets/d/1Jgv0Y7YlHDtsiDawwp-uvifEJ8HVaSn0k2aGHG8-hwM/edit?usp=sharing"",""เชียงใหม่!I725"")"),0)</f>
        <v>0</v>
      </c>
      <c r="BF16" s="57">
        <f ca="1">IFERROR(__xludf.DUMMYFUNCTION("IMPORTRANGE(""https://docs.google.com/spreadsheets/d/1Jgv0Y7YlHDtsiDawwp-uvifEJ8HVaSn0k2aGHG8-hwM/edit?usp=sharing"",""เชียงใหม่!J723"")"),0)</f>
        <v>0</v>
      </c>
      <c r="BG16" s="57">
        <f ca="1">IFERROR(__xludf.DUMMYFUNCTION("IMPORTRANGE(""https://docs.google.com/spreadsheets/d/1Jgv0Y7YlHDtsiDawwp-uvifEJ8HVaSn0k2aGHG8-hwM/edit?usp=sharing"",""เชียงใหม่!J724"")"),0)</f>
        <v>0</v>
      </c>
      <c r="BH16" s="57">
        <f ca="1">IFERROR(__xludf.DUMMYFUNCTION("IMPORTRANGE(""https://docs.google.com/spreadsheets/d/1Jgv0Y7YlHDtsiDawwp-uvifEJ8HVaSn0k2aGHG8-hwM/edit?usp=sharing"",""เชียงใหม่!J725"")"),0)</f>
        <v>0</v>
      </c>
      <c r="BI16" s="57">
        <f ca="1">IFERROR(__xludf.DUMMYFUNCTION("IMPORTRANGE(""https://docs.google.com/spreadsheets/d/1Jgv0Y7YlHDtsiDawwp-uvifEJ8HVaSn0k2aGHG8-hwM/edit?usp=sharing"",""เชียงใหม่!I726"")"),0)</f>
        <v>0</v>
      </c>
      <c r="BJ16" s="57">
        <f ca="1">IFERROR(__xludf.DUMMYFUNCTION("IMPORTRANGE(""https://docs.google.com/spreadsheets/d/1Jgv0Y7YlHDtsiDawwp-uvifEJ8HVaSn0k2aGHG8-hwM/edit?usp=sharing"",""เชียงใหม่!I728"")"),0)</f>
        <v>0</v>
      </c>
      <c r="BK16" s="57">
        <f ca="1">IFERROR(__xludf.DUMMYFUNCTION("IMPORTRANGE(""https://docs.google.com/spreadsheets/d/1Jgv0Y7YlHDtsiDawwp-uvifEJ8HVaSn0k2aGHG8-hwM/edit?usp=sharing"",""เชียงใหม่!J726"")"),0)</f>
        <v>0</v>
      </c>
      <c r="BL16" s="57">
        <f ca="1">IFERROR(__xludf.DUMMYFUNCTION("IMPORTRANGE(""https://docs.google.com/spreadsheets/d/1Jgv0Y7YlHDtsiDawwp-uvifEJ8HVaSn0k2aGHG8-hwM/edit?usp=sharing"",""เชียงใหม่!J727"")"),0)</f>
        <v>0</v>
      </c>
      <c r="BM16" s="57">
        <f ca="1">IFERROR(__xludf.DUMMYFUNCTION("IMPORTRANGE(""https://docs.google.com/spreadsheets/d/1Jgv0Y7YlHDtsiDawwp-uvifEJ8HVaSn0k2aGHG8-hwM/edit?usp=sharing"",""เชียงใหม่!J728"")"),0)</f>
        <v>0</v>
      </c>
      <c r="BN16" s="57">
        <f ca="1">IFERROR(__xludf.DUMMYFUNCTION("IMPORTRANGE(""https://docs.google.com/spreadsheets/d/1Jgv0Y7YlHDtsiDawwp-uvifEJ8HVaSn0k2aGHG8-hwM/edit?usp=sharing"",""เชียงใหม่!I729"")"),0)</f>
        <v>0</v>
      </c>
      <c r="BO16" s="57">
        <f ca="1">IFERROR(__xludf.DUMMYFUNCTION("IMPORTRANGE(""https://docs.google.com/spreadsheets/d/1Jgv0Y7YlHDtsiDawwp-uvifEJ8HVaSn0k2aGHG8-hwM/edit?usp=sharing"",""เชียงใหม่!J729"")"),0)</f>
        <v>0</v>
      </c>
      <c r="BP16" s="63">
        <f t="shared" ca="1" si="19"/>
        <v>0</v>
      </c>
      <c r="BQ16" s="57">
        <f ca="1">IFERROR(__xludf.DUMMYFUNCTION("IMPORTRANGE(""https://docs.google.com/spreadsheets/d/1Jgv0Y7YlHDtsiDawwp-uvifEJ8HVaSn0k2aGHG8-hwM/edit?usp=sharing"",""เชียงใหม่!J730"")"),0)</f>
        <v>0</v>
      </c>
      <c r="BR16" s="57">
        <f ca="1">IFERROR(__xludf.DUMMYFUNCTION("IMPORTRANGE(""https://docs.google.com/spreadsheets/d/1Jgv0Y7YlHDtsiDawwp-uvifEJ8HVaSn0k2aGHG8-hwM/edit?usp=sharing"",""เชียงใหม่!J731"")"),0)</f>
        <v>0</v>
      </c>
      <c r="BS16" s="57">
        <f ca="1">IFERROR(__xludf.DUMMYFUNCTION("IMPORTRANGE(""https://docs.google.com/spreadsheets/d/1Jgv0Y7YlHDtsiDawwp-uvifEJ8HVaSn0k2aGHG8-hwM/edit?usp=sharing"",""เชียงใหม่!J732"")"),0)</f>
        <v>0</v>
      </c>
      <c r="BT16" s="57">
        <f ca="1">IFERROR(__xludf.DUMMYFUNCTION("IMPORTRANGE(""https://docs.google.com/spreadsheets/d/1Jgv0Y7YlHDtsiDawwp-uvifEJ8HVaSn0k2aGHG8-hwM/edit?usp=sharing"",""เชียงใหม่!J733"")"),0)</f>
        <v>0</v>
      </c>
      <c r="BU16" s="57">
        <f ca="1">IFERROR(__xludf.DUMMYFUNCTION("IMPORTRANGE(""https://docs.google.com/spreadsheets/d/1Jgv0Y7YlHDtsiDawwp-uvifEJ8HVaSn0k2aGHG8-hwM/edit?usp=sharing"",""เชียงใหม่!J734"")"),0)</f>
        <v>0</v>
      </c>
      <c r="BV16" s="57">
        <f ca="1">IFERROR(__xludf.DUMMYFUNCTION("IMPORTRANGE(""https://docs.google.com/spreadsheets/d/1Jgv0Y7YlHDtsiDawwp-uvifEJ8HVaSn0k2aGHG8-hwM/edit?usp=sharing"",""เชียงใหม่!J735"")"),0)</f>
        <v>0</v>
      </c>
    </row>
    <row r="17" spans="1:74" ht="24" customHeight="1" x14ac:dyDescent="0.3">
      <c r="A17" s="54">
        <v>4</v>
      </c>
      <c r="B17" s="55" t="s">
        <v>38</v>
      </c>
      <c r="C17" s="56">
        <f t="shared" ca="1" si="51"/>
        <v>0</v>
      </c>
      <c r="D17" s="57">
        <f ca="1">IFERROR(__xludf.DUMMYFUNCTION("IMPORTRANGE(""https://docs.google.com/spreadsheets/d/1JWG2rZePOz9pe-f-ObA-yDr0VoOX2kSb0qIix2mTUo8/edit?usp=sharing"",""ตาก!L690"")"),0)</f>
        <v>0</v>
      </c>
      <c r="E17" s="64">
        <f ca="1">IFERROR(__xludf.DUMMYFUNCTION("IMPORTRANGE(""https://docs.google.com/spreadsheets/d/1JWG2rZePOz9pe-f-ObA-yDr0VoOX2kSb0qIix2mTUo8/edit?usp=sharing"",""ตาก!L697"")"),0)</f>
        <v>0</v>
      </c>
      <c r="F17" s="64">
        <f ca="1">IFERROR(__xludf.DUMMYFUNCTION("IMPORTRANGE(""https://docs.google.com/spreadsheets/d/1JWG2rZePOz9pe-f-ObA-yDr0VoOX2kSb0qIix2mTUo8/edit?usp=sharing"",""ตาก!M690"")"),0)</f>
        <v>0</v>
      </c>
      <c r="G17" s="64">
        <f ca="1">IFERROR(__xludf.DUMMYFUNCTION("IMPORTRANGE(""https://docs.google.com/spreadsheets/d/1JWG2rZePOz9pe-f-ObA-yDr0VoOX2kSb0qIix2mTUo8/edit?usp=sharing"",""ตาก!M697"")"),0)</f>
        <v>0</v>
      </c>
      <c r="H17" s="58">
        <f t="shared" ca="1" si="33"/>
        <v>0</v>
      </c>
      <c r="I17" s="59">
        <f t="shared" ca="1" si="1"/>
        <v>0</v>
      </c>
      <c r="J17" s="60">
        <f t="shared" ca="1" si="52"/>
        <v>0</v>
      </c>
      <c r="K17" s="61">
        <f t="shared" ca="1" si="39"/>
        <v>0</v>
      </c>
      <c r="L17" s="61">
        <f t="shared" ca="1" si="40"/>
        <v>0</v>
      </c>
      <c r="M17" s="64">
        <f ca="1">IFERROR(__xludf.DUMMYFUNCTION("IMPORTRANGE(""https://docs.google.com/spreadsheets/d/1JWG2rZePOz9pe-f-ObA-yDr0VoOX2kSb0qIix2mTUo8/edit?usp=sharing"",""ตาก!N691"")"),0)</f>
        <v>0</v>
      </c>
      <c r="N17" s="64">
        <f ca="1">IFERROR(__xludf.DUMMYFUNCTION("IMPORTRANGE(""https://docs.google.com/spreadsheets/d/1JWG2rZePOz9pe-f-ObA-yDr0VoOX2kSb0qIix2mTUo8/edit?usp=sharing"",""ตาก!N692"")"),0)</f>
        <v>0</v>
      </c>
      <c r="O17" s="64">
        <f ca="1">IFERROR(__xludf.DUMMYFUNCTION("IMPORTRANGE(""https://docs.google.com/spreadsheets/d/1JWG2rZePOz9pe-f-ObA-yDr0VoOX2kSb0qIix2mTUo8/edit?usp=sharing"",""ตาก!N693"")"),0)</f>
        <v>0</v>
      </c>
      <c r="P17" s="64">
        <f ca="1">IFERROR(__xludf.DUMMYFUNCTION("IMPORTRANGE(""https://docs.google.com/spreadsheets/d/1JWG2rZePOz9pe-f-ObA-yDr0VoOX2kSb0qIix2mTUo8/edit?usp=sharing"",""ตาก!N694"")"),0)</f>
        <v>0</v>
      </c>
      <c r="Q17" s="62">
        <f ca="1">IFERROR(__xludf.DUMMYFUNCTION("IMPORTRANGE(""https://docs.google.com/spreadsheets/d/1JWG2rZePOz9pe-f-ObA-yDr0VoOX2kSb0qIix2mTUo8/edit?usp=sharing"",""ตาก!N697"")"),0)</f>
        <v>0</v>
      </c>
      <c r="R17" s="62">
        <f t="shared" ca="1" si="42"/>
        <v>0</v>
      </c>
      <c r="S17" s="57">
        <f ca="1">IFERROR(__xludf.DUMMYFUNCTION("IMPORTRANGE(""https://docs.google.com/spreadsheets/d/1JWG2rZePOz9pe-f-ObA-yDr0VoOX2kSb0qIix2mTUo8/edit?usp=sharing"",""ตาก!I699"")"),0)</f>
        <v>0</v>
      </c>
      <c r="T17" s="57">
        <f ca="1">IFERROR(__xludf.DUMMYFUNCTION("IMPORTRANGE(""https://docs.google.com/spreadsheets/d/1JWG2rZePOz9pe-f-ObA-yDr0VoOX2kSb0qIix2mTUo8/edit?usp=sharing"",""ตาก!J699"")"),0)</f>
        <v>0</v>
      </c>
      <c r="U17" s="63">
        <f t="shared" ca="1" si="34"/>
        <v>0</v>
      </c>
      <c r="V17" s="57">
        <f ca="1">IFERROR(__xludf.DUMMYFUNCTION("IMPORTRANGE(""https://docs.google.com/spreadsheets/d/1JWG2rZePOz9pe-f-ObA-yDr0VoOX2kSb0qIix2mTUo8/edit?usp=sharing"",""ตาก!I700"")"),0)</f>
        <v>0</v>
      </c>
      <c r="W17" s="57">
        <f ca="1">IFERROR(__xludf.DUMMYFUNCTION("IMPORTRANGE(""https://docs.google.com/spreadsheets/d/1JWG2rZePOz9pe-f-ObA-yDr0VoOX2kSb0qIix2mTUo8/edit?usp=sharing"",""ตาก!J700"")"),0)</f>
        <v>0</v>
      </c>
      <c r="X17" s="63">
        <f t="shared" ca="1" si="35"/>
        <v>0</v>
      </c>
      <c r="Y17" s="57">
        <f ca="1">IFERROR(__xludf.DUMMYFUNCTION("IMPORTRANGE(""https://docs.google.com/spreadsheets/d/1JWG2rZePOz9pe-f-ObA-yDr0VoOX2kSb0qIix2mTUo8/edit?usp=sharing"",""ตาก!I701"")"),0)</f>
        <v>0</v>
      </c>
      <c r="Z17" s="57">
        <f ca="1">IFERROR(__xludf.DUMMYFUNCTION("IMPORTRANGE(""https://docs.google.com/spreadsheets/d/1JWG2rZePOz9pe-f-ObA-yDr0VoOX2kSb0qIix2mTUo8/edit?usp=sharing"",""ตาก!J701"")"),0)</f>
        <v>0</v>
      </c>
      <c r="AA17" s="63">
        <f t="shared" ca="1" si="36"/>
        <v>0</v>
      </c>
      <c r="AB17" s="63">
        <f ca="1">IFERROR(__xludf.DUMMYFUNCTION("IMPORTRANGE(""https://docs.google.com/spreadsheets/d/1JWG2rZePOz9pe-f-ObA-yDr0VoOX2kSb0qIix2mTUo8/edit?usp=sharing"",""ตาก!J702"")"),0)</f>
        <v>0</v>
      </c>
      <c r="AC17" s="63">
        <f ca="1">IFERROR(__xludf.DUMMYFUNCTION("IMPORTRANGE(""https://docs.google.com/spreadsheets/d/1JWG2rZePOz9pe-f-ObA-yDr0VoOX2kSb0qIix2mTUo8/edit?usp=sharing"",""ตาก!J703"")"),0)</f>
        <v>0</v>
      </c>
      <c r="AD17" s="63">
        <f ca="1">IFERROR(__xludf.DUMMYFUNCTION("IMPORTRANGE(""https://docs.google.com/spreadsheets/d/1JWG2rZePOz9pe-f-ObA-yDr0VoOX2kSb0qIix2mTUo8/edit?usp=sharing"",""ตาก!J704"")"),0)</f>
        <v>0</v>
      </c>
      <c r="AE17" s="63">
        <f ca="1">IFERROR(__xludf.DUMMYFUNCTION("IMPORTRANGE(""https://docs.google.com/spreadsheets/d/1JWG2rZePOz9pe-f-ObA-yDr0VoOX2kSb0qIix2mTUo8/edit?usp=sharing"",""ตาก!J705"")"),0)</f>
        <v>0</v>
      </c>
      <c r="AF17" s="63">
        <f ca="1">IFERROR(__xludf.DUMMYFUNCTION("IMPORTRANGE(""https://docs.google.com/spreadsheets/d/1JWG2rZePOz9pe-f-ObA-yDr0VoOX2kSb0qIix2mTUo8/edit?usp=sharing"",""ตาก!J706"")"),0)</f>
        <v>0</v>
      </c>
      <c r="AG17" s="63">
        <f ca="1">IFERROR(__xludf.DUMMYFUNCTION("IMPORTRANGE(""https://docs.google.com/spreadsheets/d/1JWG2rZePOz9pe-f-ObA-yDr0VoOX2kSb0qIix2mTUo8/edit?usp=sharing"",""ตาก!J707"")"),0)</f>
        <v>0</v>
      </c>
      <c r="AH17" s="57">
        <f ca="1">IFERROR(__xludf.DUMMYFUNCTION("IMPORTRANGE(""https://docs.google.com/spreadsheets/d/1JWG2rZePOz9pe-f-ObA-yDr0VoOX2kSb0qIix2mTUo8/edit?usp=sharing"",""ตาก!I708"")"),0)</f>
        <v>0</v>
      </c>
      <c r="AI17" s="57">
        <f ca="1">IFERROR(__xludf.DUMMYFUNCTION("IMPORTRANGE(""https://docs.google.com/spreadsheets/d/1JWG2rZePOz9pe-f-ObA-yDr0VoOX2kSb0qIix2mTUo8/edit?usp=sharing"",""ตาก!J708"")"),0)</f>
        <v>0</v>
      </c>
      <c r="AJ17" s="63">
        <f t="shared" ca="1" si="37"/>
        <v>0</v>
      </c>
      <c r="AK17" s="57">
        <f ca="1">IFERROR(__xludf.DUMMYFUNCTION("IMPORTRANGE(""https://docs.google.com/spreadsheets/d/1JWG2rZePOz9pe-f-ObA-yDr0VoOX2kSb0qIix2mTUo8/edit?usp=sharing"",""ตาก!J709"")"),0)</f>
        <v>0</v>
      </c>
      <c r="AL17" s="57">
        <f ca="1">IFERROR(__xludf.DUMMYFUNCTION("IMPORTRANGE(""https://docs.google.com/spreadsheets/d/1JWG2rZePOz9pe-f-ObA-yDr0VoOX2kSb0qIix2mTUo8/edit?usp=sharing"",""ตาก!J710"")"),0)</f>
        <v>0</v>
      </c>
      <c r="AM17" s="57">
        <f ca="1">IFERROR(__xludf.DUMMYFUNCTION("IMPORTRANGE(""https://docs.google.com/spreadsheets/d/1JWG2rZePOz9pe-f-ObA-yDr0VoOX2kSb0qIix2mTUo8/edit?usp=sharing"",""ตาก!J712"")"),0)</f>
        <v>0</v>
      </c>
      <c r="AN17" s="57">
        <f ca="1">IFERROR(__xludf.DUMMYFUNCTION("IMPORTRANGE(""https://docs.google.com/spreadsheets/d/1JWG2rZePOz9pe-f-ObA-yDr0VoOX2kSb0qIix2mTUo8/edit?usp=sharing"",""ตาก!J713"")"),0)</f>
        <v>0</v>
      </c>
      <c r="AO17" s="57">
        <f ca="1">IFERROR(__xludf.DUMMYFUNCTION("IMPORTRANGE(""https://docs.google.com/spreadsheets/d/1JWG2rZePOz9pe-f-ObA-yDr0VoOX2kSb0qIix2mTUo8/edit?usp=sharing"",""ตาก!J714"")"),0)</f>
        <v>0</v>
      </c>
      <c r="AP17" s="57">
        <f ca="1">IFERROR(__xludf.DUMMYFUNCTION("IMPORTRANGE(""https://docs.google.com/spreadsheets/d/1JWG2rZePOz9pe-f-ObA-yDr0VoOX2kSb0qIix2mTUo8/edit?usp=sharing"",""ตาก!J715"")"),0)</f>
        <v>0</v>
      </c>
      <c r="AQ17" s="57">
        <f ca="1">IFERROR(__xludf.DUMMYFUNCTION("IMPORTRANGE(""https://docs.google.com/spreadsheets/d/1JWG2rZePOz9pe-f-ObA-yDr0VoOX2kSb0qIix2mTUo8/edit?usp=sharing"",""ตาก!J716"")"),0)</f>
        <v>0</v>
      </c>
      <c r="AR17" s="57">
        <f ca="1">IFERROR(__xludf.DUMMYFUNCTION("IMPORTRANGE(""https://docs.google.com/spreadsheets/d/1JWG2rZePOz9pe-f-ObA-yDr0VoOX2kSb0qIix2mTUo8/edit?usp=sharing"",""ตาก!J717"")"),0)</f>
        <v>0</v>
      </c>
      <c r="AS17" s="57">
        <f ca="1">IFERROR(__xludf.DUMMYFUNCTION("IMPORTRANGE(""https://docs.google.com/spreadsheets/d/1JWG2rZePOz9pe-f-ObA-yDr0VoOX2kSb0qIix2mTUo8/edit?usp=sharing"",""ตาก!I720"")"),0)</f>
        <v>0</v>
      </c>
      <c r="AT17" s="57">
        <f ca="1">IFERROR(__xludf.DUMMYFUNCTION("IMPORTRANGE(""https://docs.google.com/spreadsheets/d/1JWG2rZePOz9pe-f-ObA-yDr0VoOX2kSb0qIix2mTUo8/edit?usp=sharing"",""ตาก!J718"")"),0)</f>
        <v>0</v>
      </c>
      <c r="AU17" s="57">
        <f ca="1">IFERROR(__xludf.DUMMYFUNCTION("IMPORTRANGE(""https://docs.google.com/spreadsheets/d/1JWG2rZePOz9pe-f-ObA-yDr0VoOX2kSb0qIix2mTUo8/edit?usp=sharing"",""ตาก!J719"")"),0)</f>
        <v>0</v>
      </c>
      <c r="AV17" s="57">
        <f ca="1">IFERROR(__xludf.DUMMYFUNCTION("IMPORTRANGE(""https://docs.google.com/spreadsheets/d/1JWG2rZePOz9pe-f-ObA-yDr0VoOX2kSb0qIix2mTUo8/edit?usp=sharing"",""ตาก!J720"")"),0)</f>
        <v>0</v>
      </c>
      <c r="AW17" s="63">
        <f t="shared" ca="1" si="14"/>
        <v>0</v>
      </c>
      <c r="AX17" s="57">
        <f ca="1">IFERROR(__xludf.DUMMYFUNCTION("IMPORTRANGE(""https://docs.google.com/spreadsheets/d/1JWG2rZePOz9pe-f-ObA-yDr0VoOX2kSb0qIix2mTUo8/edit?usp=sharing"",""ตาก!I721"")"),0)</f>
        <v>0</v>
      </c>
      <c r="AY17" s="57">
        <f ca="1">IFERROR(__xludf.DUMMYFUNCTION("IMPORTRANGE(""https://docs.google.com/spreadsheets/d/1JWG2rZePOz9pe-f-ObA-yDr0VoOX2kSb0qIix2mTUo8/edit?usp=sharing"",""ตาก!I722"")"),0)</f>
        <v>0</v>
      </c>
      <c r="AZ17" s="57">
        <f ca="1">IFERROR(__xludf.DUMMYFUNCTION("IMPORTRANGE(""https://docs.google.com/spreadsheets/d/1JWG2rZePOz9pe-f-ObA-yDr0VoOX2kSb0qIix2mTUo8/edit?usp=sharing"",""ตาก!J721"")"),0)</f>
        <v>0</v>
      </c>
      <c r="BA17" s="63">
        <f t="shared" ca="1" si="16"/>
        <v>0</v>
      </c>
      <c r="BB17" s="57">
        <f ca="1">IFERROR(__xludf.DUMMYFUNCTION("IMPORTRANGE(""https://docs.google.com/spreadsheets/d/1JWG2rZePOz9pe-f-ObA-yDr0VoOX2kSb0qIix2mTUo8/edit?usp=sharing"",""ตาก!J722"")"),0)</f>
        <v>0</v>
      </c>
      <c r="BC17" s="63">
        <f t="shared" ca="1" si="17"/>
        <v>0</v>
      </c>
      <c r="BD17" s="57">
        <f ca="1">IFERROR(__xludf.DUMMYFUNCTION("IMPORTRANGE(""https://docs.google.com/spreadsheets/d/1JWG2rZePOz9pe-f-ObA-yDr0VoOX2kSb0qIix2mTUo8/edit?usp=sharing"",""ตาก!I723"")"),0)</f>
        <v>0</v>
      </c>
      <c r="BE17" s="57">
        <f ca="1">IFERROR(__xludf.DUMMYFUNCTION("IMPORTRANGE(""https://docs.google.com/spreadsheets/d/1JWG2rZePOz9pe-f-ObA-yDr0VoOX2kSb0qIix2mTUo8/edit?usp=sharing"",""ตาก!I725"")"),0)</f>
        <v>0</v>
      </c>
      <c r="BF17" s="57">
        <f ca="1">IFERROR(__xludf.DUMMYFUNCTION("IMPORTRANGE(""https://docs.google.com/spreadsheets/d/1JWG2rZePOz9pe-f-ObA-yDr0VoOX2kSb0qIix2mTUo8/edit?usp=sharing"",""ตาก!J723"")"),0)</f>
        <v>0</v>
      </c>
      <c r="BG17" s="57">
        <f ca="1">IFERROR(__xludf.DUMMYFUNCTION("IMPORTRANGE(""https://docs.google.com/spreadsheets/d/1JWG2rZePOz9pe-f-ObA-yDr0VoOX2kSb0qIix2mTUo8/edit?usp=sharing"",""ตาก!J724"")"),0)</f>
        <v>0</v>
      </c>
      <c r="BH17" s="57">
        <f ca="1">IFERROR(__xludf.DUMMYFUNCTION("IMPORTRANGE(""https://docs.google.com/spreadsheets/d/1JWG2rZePOz9pe-f-ObA-yDr0VoOX2kSb0qIix2mTUo8/edit?usp=sharing"",""ตาก!J725"")"),0)</f>
        <v>0</v>
      </c>
      <c r="BI17" s="57">
        <f ca="1">IFERROR(__xludf.DUMMYFUNCTION("IMPORTRANGE(""https://docs.google.com/spreadsheets/d/1JWG2rZePOz9pe-f-ObA-yDr0VoOX2kSb0qIix2mTUo8/edit?usp=sharing"",""ตาก!I726"")"),0)</f>
        <v>0</v>
      </c>
      <c r="BJ17" s="57">
        <f ca="1">IFERROR(__xludf.DUMMYFUNCTION("IMPORTRANGE(""https://docs.google.com/spreadsheets/d/1JWG2rZePOz9pe-f-ObA-yDr0VoOX2kSb0qIix2mTUo8/edit?usp=sharing"",""ตาก!I728"")"),0)</f>
        <v>0</v>
      </c>
      <c r="BK17" s="57">
        <f ca="1">IFERROR(__xludf.DUMMYFUNCTION("IMPORTRANGE(""https://docs.google.com/spreadsheets/d/1JWG2rZePOz9pe-f-ObA-yDr0VoOX2kSb0qIix2mTUo8/edit?usp=sharing"",""ตาก!J726"")"),0)</f>
        <v>0</v>
      </c>
      <c r="BL17" s="57">
        <f ca="1">IFERROR(__xludf.DUMMYFUNCTION("IMPORTRANGE(""https://docs.google.com/spreadsheets/d/1JWG2rZePOz9pe-f-ObA-yDr0VoOX2kSb0qIix2mTUo8/edit?usp=sharing"",""ตาก!J727"")"),0)</f>
        <v>0</v>
      </c>
      <c r="BM17" s="57">
        <f ca="1">IFERROR(__xludf.DUMMYFUNCTION("IMPORTRANGE(""https://docs.google.com/spreadsheets/d/1JWG2rZePOz9pe-f-ObA-yDr0VoOX2kSb0qIix2mTUo8/edit?usp=sharing"",""ตาก!J728"")"),0)</f>
        <v>0</v>
      </c>
      <c r="BN17" s="57">
        <f ca="1">IFERROR(__xludf.DUMMYFUNCTION("IMPORTRANGE(""https://docs.google.com/spreadsheets/d/1JWG2rZePOz9pe-f-ObA-yDr0VoOX2kSb0qIix2mTUo8/edit?usp=sharing"",""ตาก!I729"")"),0)</f>
        <v>0</v>
      </c>
      <c r="BO17" s="57">
        <f ca="1">IFERROR(__xludf.DUMMYFUNCTION("IMPORTRANGE(""https://docs.google.com/spreadsheets/d/1JWG2rZePOz9pe-f-ObA-yDr0VoOX2kSb0qIix2mTUo8/edit?usp=sharing"",""ตาก!J729"")"),0)</f>
        <v>0</v>
      </c>
      <c r="BP17" s="63">
        <f t="shared" ca="1" si="19"/>
        <v>0</v>
      </c>
      <c r="BQ17" s="57">
        <f ca="1">IFERROR(__xludf.DUMMYFUNCTION("IMPORTRANGE(""https://docs.google.com/spreadsheets/d/1JWG2rZePOz9pe-f-ObA-yDr0VoOX2kSb0qIix2mTUo8/edit?usp=sharing"",""ตาก!J730"")"),0)</f>
        <v>0</v>
      </c>
      <c r="BR17" s="57">
        <f ca="1">IFERROR(__xludf.DUMMYFUNCTION("IMPORTRANGE(""https://docs.google.com/spreadsheets/d/1JWG2rZePOz9pe-f-ObA-yDr0VoOX2kSb0qIix2mTUo8/edit?usp=sharing"",""ตาก!J731"")"),0)</f>
        <v>0</v>
      </c>
      <c r="BS17" s="57">
        <f ca="1">IFERROR(__xludf.DUMMYFUNCTION("IMPORTRANGE(""https://docs.google.com/spreadsheets/d/1JWG2rZePOz9pe-f-ObA-yDr0VoOX2kSb0qIix2mTUo8/edit?usp=sharing"",""ตาก!J732"")"),0)</f>
        <v>0</v>
      </c>
      <c r="BT17" s="57">
        <f ca="1">IFERROR(__xludf.DUMMYFUNCTION("IMPORTRANGE(""https://docs.google.com/spreadsheets/d/1JWG2rZePOz9pe-f-ObA-yDr0VoOX2kSb0qIix2mTUo8/edit?usp=sharing"",""ตาก!J733"")"),0)</f>
        <v>0</v>
      </c>
      <c r="BU17" s="57">
        <f ca="1">IFERROR(__xludf.DUMMYFUNCTION("IMPORTRANGE(""https://docs.google.com/spreadsheets/d/1JWG2rZePOz9pe-f-ObA-yDr0VoOX2kSb0qIix2mTUo8/edit?usp=sharing"",""ตาก!J734"")"),0)</f>
        <v>0</v>
      </c>
      <c r="BV17" s="57">
        <f ca="1">IFERROR(__xludf.DUMMYFUNCTION("IMPORTRANGE(""https://docs.google.com/spreadsheets/d/1JWG2rZePOz9pe-f-ObA-yDr0VoOX2kSb0qIix2mTUo8/edit?usp=sharing"",""ตาก!J735"")"),0)</f>
        <v>0</v>
      </c>
    </row>
    <row r="18" spans="1:74" ht="24" customHeight="1" x14ac:dyDescent="0.3">
      <c r="A18" s="54">
        <v>5</v>
      </c>
      <c r="B18" s="55" t="s">
        <v>39</v>
      </c>
      <c r="C18" s="56">
        <f t="shared" ca="1" si="51"/>
        <v>164670</v>
      </c>
      <c r="D18" s="57">
        <f ca="1">IFERROR(__xludf.DUMMYFUNCTION("IMPORTRANGE(""https://docs.google.com/spreadsheets/d/10nSRjK08hx8Y6HgSOQKNw81lyY46Zc7U_Cj72hBMp9U/edit?usp=sharing"",""นครสวรรค์!L690"")"),164670)</f>
        <v>164670</v>
      </c>
      <c r="E18" s="64">
        <f ca="1">IFERROR(__xludf.DUMMYFUNCTION("IMPORTRANGE(""https://docs.google.com/spreadsheets/d/10nSRjK08hx8Y6HgSOQKNw81lyY46Zc7U_Cj72hBMp9U/edit?usp=sharing"",""นครสวรรค์!L697"")"),0)</f>
        <v>0</v>
      </c>
      <c r="F18" s="64">
        <f ca="1">IFERROR(__xludf.DUMMYFUNCTION("IMPORTRANGE(""https://docs.google.com/spreadsheets/d/10nSRjK08hx8Y6HgSOQKNw81lyY46Zc7U_Cj72hBMp9U/edit?usp=sharing"",""นครสวรรค์!M690"")"),164670)</f>
        <v>164670</v>
      </c>
      <c r="G18" s="64">
        <f ca="1">IFERROR(__xludf.DUMMYFUNCTION("IMPORTRANGE(""https://docs.google.com/spreadsheets/d/10nSRjK08hx8Y6HgSOQKNw81lyY46Zc7U_Cj72hBMp9U/edit?usp=sharing"",""นครสวรรค์!M697"")"),0)</f>
        <v>0</v>
      </c>
      <c r="H18" s="58">
        <f t="shared" ca="1" si="33"/>
        <v>2960</v>
      </c>
      <c r="I18" s="59">
        <f t="shared" ca="1" si="1"/>
        <v>1.7975344628651242</v>
      </c>
      <c r="J18" s="60">
        <f t="shared" ca="1" si="52"/>
        <v>2960</v>
      </c>
      <c r="K18" s="61">
        <f t="shared" ca="1" si="39"/>
        <v>1.7975344628651242</v>
      </c>
      <c r="L18" s="61">
        <f t="shared" ca="1" si="40"/>
        <v>1.7975344628651242</v>
      </c>
      <c r="M18" s="64">
        <f ca="1">IFERROR(__xludf.DUMMYFUNCTION("IMPORTRANGE(""https://docs.google.com/spreadsheets/d/10nSRjK08hx8Y6HgSOQKNw81lyY46Zc7U_Cj72hBMp9U/edit?usp=sharing"",""นครสวรรค์!N691"")"),0)</f>
        <v>0</v>
      </c>
      <c r="N18" s="64">
        <f ca="1">IFERROR(__xludf.DUMMYFUNCTION("IMPORTRANGE(""https://docs.google.com/spreadsheets/d/10nSRjK08hx8Y6HgSOQKNw81lyY46Zc7U_Cj72hBMp9U/edit?usp=sharing"",""นครสวรรค์!N692"")"),0)</f>
        <v>0</v>
      </c>
      <c r="O18" s="64">
        <f ca="1">IFERROR(__xludf.DUMMYFUNCTION("IMPORTRANGE(""https://docs.google.com/spreadsheets/d/10nSRjK08hx8Y6HgSOQKNw81lyY46Zc7U_Cj72hBMp9U/edit?usp=sharing"",""นครสวรรค์!N693"")"),0)</f>
        <v>0</v>
      </c>
      <c r="P18" s="64">
        <f ca="1">IFERROR(__xludf.DUMMYFUNCTION("IMPORTRANGE(""https://docs.google.com/spreadsheets/d/10nSRjK08hx8Y6HgSOQKNw81lyY46Zc7U_Cj72hBMp9U/edit?usp=sharing"",""นครสวรรค์!N694"")"),2960)</f>
        <v>2960</v>
      </c>
      <c r="Q18" s="62">
        <f ca="1">IFERROR(__xludf.DUMMYFUNCTION("IMPORTRANGE(""https://docs.google.com/spreadsheets/d/10nSRjK08hx8Y6HgSOQKNw81lyY46Zc7U_Cj72hBMp9U/edit?usp=sharing"",""นครสวรรค์!N697"")"),0)</f>
        <v>0</v>
      </c>
      <c r="R18" s="62">
        <f t="shared" ca="1" si="42"/>
        <v>0</v>
      </c>
      <c r="S18" s="57">
        <f ca="1">IFERROR(__xludf.DUMMYFUNCTION("IMPORTRANGE(""https://docs.google.com/spreadsheets/d/10nSRjK08hx8Y6HgSOQKNw81lyY46Zc7U_Cj72hBMp9U/edit?usp=sharing"",""นครสวรรค์!I699"")"),0)</f>
        <v>0</v>
      </c>
      <c r="T18" s="57">
        <f ca="1">IFERROR(__xludf.DUMMYFUNCTION("IMPORTRANGE(""https://docs.google.com/spreadsheets/d/10nSRjK08hx8Y6HgSOQKNw81lyY46Zc7U_Cj72hBMp9U/edit?usp=sharing"",""นครสวรรค์!J699"")"),0)</f>
        <v>0</v>
      </c>
      <c r="U18" s="63">
        <f t="shared" ca="1" si="34"/>
        <v>0</v>
      </c>
      <c r="V18" s="57">
        <f ca="1">IFERROR(__xludf.DUMMYFUNCTION("IMPORTRANGE(""https://docs.google.com/spreadsheets/d/10nSRjK08hx8Y6HgSOQKNw81lyY46Zc7U_Cj72hBMp9U/edit?usp=sharing"",""นครสวรรค์!I700"")"),40)</f>
        <v>40</v>
      </c>
      <c r="W18" s="57">
        <f ca="1">IFERROR(__xludf.DUMMYFUNCTION("IMPORTRANGE(""https://docs.google.com/spreadsheets/d/10nSRjK08hx8Y6HgSOQKNw81lyY46Zc7U_Cj72hBMp9U/edit?usp=sharing"",""นครสวรรค์!J700"")"),0)</f>
        <v>0</v>
      </c>
      <c r="X18" s="63">
        <f t="shared" ca="1" si="35"/>
        <v>0</v>
      </c>
      <c r="Y18" s="57">
        <f ca="1">IFERROR(__xludf.DUMMYFUNCTION("IMPORTRANGE(""https://docs.google.com/spreadsheets/d/10nSRjK08hx8Y6HgSOQKNw81lyY46Zc7U_Cj72hBMp9U/edit?usp=sharing"",""นครสวรรค์!I701"")"),1455)</f>
        <v>1455</v>
      </c>
      <c r="Z18" s="57">
        <f ca="1">IFERROR(__xludf.DUMMYFUNCTION("IMPORTRANGE(""https://docs.google.com/spreadsheets/d/10nSRjK08hx8Y6HgSOQKNw81lyY46Zc7U_Cj72hBMp9U/edit?usp=sharing"",""นครสวรรค์!J701"")"),0)</f>
        <v>0</v>
      </c>
      <c r="AA18" s="63">
        <f t="shared" ca="1" si="36"/>
        <v>0</v>
      </c>
      <c r="AB18" s="63">
        <f ca="1">IFERROR(__xludf.DUMMYFUNCTION("IMPORTRANGE(""https://docs.google.com/spreadsheets/d/10nSRjK08hx8Y6HgSOQKNw81lyY46Zc7U_Cj72hBMp9U/edit?usp=sharing"",""นครสวรรค์!J702"")"),0)</f>
        <v>0</v>
      </c>
      <c r="AC18" s="63">
        <f ca="1">IFERROR(__xludf.DUMMYFUNCTION("IMPORTRANGE(""https://docs.google.com/spreadsheets/d/10nSRjK08hx8Y6HgSOQKNw81lyY46Zc7U_Cj72hBMp9U/edit?usp=sharing"",""นครสวรรค์!J703"")"),0)</f>
        <v>0</v>
      </c>
      <c r="AD18" s="63">
        <f ca="1">IFERROR(__xludf.DUMMYFUNCTION("IMPORTRANGE(""https://docs.google.com/spreadsheets/d/10nSRjK08hx8Y6HgSOQKNw81lyY46Zc7U_Cj72hBMp9U/edit?usp=sharing"",""นครสวรรค์!J704"")"),0)</f>
        <v>0</v>
      </c>
      <c r="AE18" s="63">
        <f ca="1">IFERROR(__xludf.DUMMYFUNCTION("IMPORTRANGE(""https://docs.google.com/spreadsheets/d/10nSRjK08hx8Y6HgSOQKNw81lyY46Zc7U_Cj72hBMp9U/edit?usp=sharing"",""นครสวรรค์!J705"")"),0)</f>
        <v>0</v>
      </c>
      <c r="AF18" s="63">
        <f ca="1">IFERROR(__xludf.DUMMYFUNCTION("IMPORTRANGE(""https://docs.google.com/spreadsheets/d/10nSRjK08hx8Y6HgSOQKNw81lyY46Zc7U_Cj72hBMp9U/edit?usp=sharing"",""นครสวรรค์!J706"")"),0)</f>
        <v>0</v>
      </c>
      <c r="AG18" s="63">
        <f ca="1">IFERROR(__xludf.DUMMYFUNCTION("IMPORTRANGE(""https://docs.google.com/spreadsheets/d/10nSRjK08hx8Y6HgSOQKNw81lyY46Zc7U_Cj72hBMp9U/edit?usp=sharing"",""นครสวรรค์!J707"")"),0)</f>
        <v>0</v>
      </c>
      <c r="AH18" s="57">
        <f ca="1">IFERROR(__xludf.DUMMYFUNCTION("IMPORTRANGE(""https://docs.google.com/spreadsheets/d/10nSRjK08hx8Y6HgSOQKNw81lyY46Zc7U_Cj72hBMp9U/edit?usp=sharing"",""นครสวรรค์!I708"")"),1846)</f>
        <v>1846</v>
      </c>
      <c r="AI18" s="57">
        <f ca="1">IFERROR(__xludf.DUMMYFUNCTION("IMPORTRANGE(""https://docs.google.com/spreadsheets/d/10nSRjK08hx8Y6HgSOQKNw81lyY46Zc7U_Cj72hBMp9U/edit?usp=sharing"",""นครสวรรค์!J708"")"),362)</f>
        <v>362</v>
      </c>
      <c r="AJ18" s="63">
        <f t="shared" ca="1" si="37"/>
        <v>19.609967497291439</v>
      </c>
      <c r="AK18" s="57">
        <f ca="1">IFERROR(__xludf.DUMMYFUNCTION("IMPORTRANGE(""https://docs.google.com/spreadsheets/d/10nSRjK08hx8Y6HgSOQKNw81lyY46Zc7U_Cj72hBMp9U/edit?usp=sharing"",""นครสวรรค์!J709"")"),0)</f>
        <v>0</v>
      </c>
      <c r="AL18" s="57">
        <f ca="1">IFERROR(__xludf.DUMMYFUNCTION("IMPORTRANGE(""https://docs.google.com/spreadsheets/d/10nSRjK08hx8Y6HgSOQKNw81lyY46Zc7U_Cj72hBMp9U/edit?usp=sharing"",""นครสวรรค์!J710"")"),0)</f>
        <v>0</v>
      </c>
      <c r="AM18" s="57">
        <f ca="1">IFERROR(__xludf.DUMMYFUNCTION("IMPORTRANGE(""https://docs.google.com/spreadsheets/d/10nSRjK08hx8Y6HgSOQKNw81lyY46Zc7U_Cj72hBMp9U/edit?usp=sharing"",""นครสวรรค์!J712"")"),32)</f>
        <v>32</v>
      </c>
      <c r="AN18" s="57">
        <f ca="1">IFERROR(__xludf.DUMMYFUNCTION("IMPORTRANGE(""https://docs.google.com/spreadsheets/d/10nSRjK08hx8Y6HgSOQKNw81lyY46Zc7U_Cj72hBMp9U/edit?usp=sharing"",""นครสวรรค์!J713"")"),32)</f>
        <v>32</v>
      </c>
      <c r="AO18" s="57">
        <f ca="1">IFERROR(__xludf.DUMMYFUNCTION("IMPORTRANGE(""https://docs.google.com/spreadsheets/d/10nSRjK08hx8Y6HgSOQKNw81lyY46Zc7U_Cj72hBMp9U/edit?usp=sharing"",""นครสวรรค์!J714"")"),362)</f>
        <v>362</v>
      </c>
      <c r="AP18" s="57">
        <f ca="1">IFERROR(__xludf.DUMMYFUNCTION("IMPORTRANGE(""https://docs.google.com/spreadsheets/d/10nSRjK08hx8Y6HgSOQKNw81lyY46Zc7U_Cj72hBMp9U/edit?usp=sharing"",""นครสวรรค์!J715"")"),0)</f>
        <v>0</v>
      </c>
      <c r="AQ18" s="57">
        <f ca="1">IFERROR(__xludf.DUMMYFUNCTION("IMPORTRANGE(""https://docs.google.com/spreadsheets/d/10nSRjK08hx8Y6HgSOQKNw81lyY46Zc7U_Cj72hBMp9U/edit?usp=sharing"",""นครสวรรค์!J716"")"),0)</f>
        <v>0</v>
      </c>
      <c r="AR18" s="57">
        <f ca="1">IFERROR(__xludf.DUMMYFUNCTION("IMPORTRANGE(""https://docs.google.com/spreadsheets/d/10nSRjK08hx8Y6HgSOQKNw81lyY46Zc7U_Cj72hBMp9U/edit?usp=sharing"",""นครสวรรค์!J717"")"),0)</f>
        <v>0</v>
      </c>
      <c r="AS18" s="57">
        <f ca="1">IFERROR(__xludf.DUMMYFUNCTION("IMPORTRANGE(""https://docs.google.com/spreadsheets/d/10nSRjK08hx8Y6HgSOQKNw81lyY46Zc7U_Cj72hBMp9U/edit?usp=sharing"",""นครสวรรค์!I720"")"),2585)</f>
        <v>2585</v>
      </c>
      <c r="AT18" s="57">
        <f ca="1">IFERROR(__xludf.DUMMYFUNCTION("IMPORTRANGE(""https://docs.google.com/spreadsheets/d/10nSRjK08hx8Y6HgSOQKNw81lyY46Zc7U_Cj72hBMp9U/edit?usp=sharing"",""นครสวรรค์!J718"")"),1)</f>
        <v>1</v>
      </c>
      <c r="AU18" s="57">
        <f ca="1">IFERROR(__xludf.DUMMYFUNCTION("IMPORTRANGE(""https://docs.google.com/spreadsheets/d/10nSRjK08hx8Y6HgSOQKNw81lyY46Zc7U_Cj72hBMp9U/edit?usp=sharing"",""นครสวรรค์!J719"")"),1)</f>
        <v>1</v>
      </c>
      <c r="AV18" s="57">
        <f ca="1">IFERROR(__xludf.DUMMYFUNCTION("IMPORTRANGE(""https://docs.google.com/spreadsheets/d/10nSRjK08hx8Y6HgSOQKNw81lyY46Zc7U_Cj72hBMp9U/edit?usp=sharing"",""นครสวรรค์!J720"")"),11.3)</f>
        <v>11.3</v>
      </c>
      <c r="AW18" s="63">
        <f t="shared" ca="1" si="14"/>
        <v>0.43713733075435202</v>
      </c>
      <c r="AX18" s="57">
        <f ca="1">IFERROR(__xludf.DUMMYFUNCTION("IMPORTRANGE(""https://docs.google.com/spreadsheets/d/10nSRjK08hx8Y6HgSOQKNw81lyY46Zc7U_Cj72hBMp9U/edit?usp=sharing"",""นครสวรรค์!I721"")"),40)</f>
        <v>40</v>
      </c>
      <c r="AY18" s="57">
        <f ca="1">IFERROR(__xludf.DUMMYFUNCTION("IMPORTRANGE(""https://docs.google.com/spreadsheets/d/10nSRjK08hx8Y6HgSOQKNw81lyY46Zc7U_Cj72hBMp9U/edit?usp=sharing"",""นครสวรรค์!I722"")"),1009)</f>
        <v>1009</v>
      </c>
      <c r="AZ18" s="57">
        <f ca="1">IFERROR(__xludf.DUMMYFUNCTION("IMPORTRANGE(""https://docs.google.com/spreadsheets/d/10nSRjK08hx8Y6HgSOQKNw81lyY46Zc7U_Cj72hBMp9U/edit?usp=sharing"",""นครสวรรค์!J721"")"),0)</f>
        <v>0</v>
      </c>
      <c r="BA18" s="63">
        <f t="shared" ca="1" si="16"/>
        <v>0</v>
      </c>
      <c r="BB18" s="57">
        <f ca="1">IFERROR(__xludf.DUMMYFUNCTION("IMPORTRANGE(""https://docs.google.com/spreadsheets/d/10nSRjK08hx8Y6HgSOQKNw81lyY46Zc7U_Cj72hBMp9U/edit?usp=sharing"",""นครสวรรค์!J722"")"),0)</f>
        <v>0</v>
      </c>
      <c r="BC18" s="63">
        <f t="shared" ca="1" si="17"/>
        <v>0</v>
      </c>
      <c r="BD18" s="57">
        <f ca="1">IFERROR(__xludf.DUMMYFUNCTION("IMPORTRANGE(""https://docs.google.com/spreadsheets/d/10nSRjK08hx8Y6HgSOQKNw81lyY46Zc7U_Cj72hBMp9U/edit?usp=sharing"",""นครสวรรค์!I723"")"),40)</f>
        <v>40</v>
      </c>
      <c r="BE18" s="57">
        <f ca="1">IFERROR(__xludf.DUMMYFUNCTION("IMPORTRANGE(""https://docs.google.com/spreadsheets/d/10nSRjK08hx8Y6HgSOQKNw81lyY46Zc7U_Cj72hBMp9U/edit?usp=sharing"",""นครสวรรค์!I725"")"),1009)</f>
        <v>1009</v>
      </c>
      <c r="BF18" s="57">
        <f ca="1">IFERROR(__xludf.DUMMYFUNCTION("IMPORTRANGE(""https://docs.google.com/spreadsheets/d/10nSRjK08hx8Y6HgSOQKNw81lyY46Zc7U_Cj72hBMp9U/edit?usp=sharing"",""นครสวรรค์!J723"")"),0)</f>
        <v>0</v>
      </c>
      <c r="BG18" s="57">
        <f ca="1">IFERROR(__xludf.DUMMYFUNCTION("IMPORTRANGE(""https://docs.google.com/spreadsheets/d/10nSRjK08hx8Y6HgSOQKNw81lyY46Zc7U_Cj72hBMp9U/edit?usp=sharing"",""นครสวรรค์!J724"")"),0)</f>
        <v>0</v>
      </c>
      <c r="BH18" s="57">
        <f ca="1">IFERROR(__xludf.DUMMYFUNCTION("IMPORTRANGE(""https://docs.google.com/spreadsheets/d/10nSRjK08hx8Y6HgSOQKNw81lyY46Zc7U_Cj72hBMp9U/edit?usp=sharing"",""นครสวรรค์!J725"")"),0)</f>
        <v>0</v>
      </c>
      <c r="BI18" s="57">
        <f ca="1">IFERROR(__xludf.DUMMYFUNCTION("IMPORTRANGE(""https://docs.google.com/spreadsheets/d/10nSRjK08hx8Y6HgSOQKNw81lyY46Zc7U_Cj72hBMp9U/edit?usp=sharing"",""นครสวรรค์!I726"")"),0)</f>
        <v>0</v>
      </c>
      <c r="BJ18" s="57">
        <f ca="1">IFERROR(__xludf.DUMMYFUNCTION("IMPORTRANGE(""https://docs.google.com/spreadsheets/d/10nSRjK08hx8Y6HgSOQKNw81lyY46Zc7U_Cj72hBMp9U/edit?usp=sharing"",""นครสวรรค์!I728"")"),0)</f>
        <v>0</v>
      </c>
      <c r="BK18" s="57">
        <f ca="1">IFERROR(__xludf.DUMMYFUNCTION("IMPORTRANGE(""https://docs.google.com/spreadsheets/d/10nSRjK08hx8Y6HgSOQKNw81lyY46Zc7U_Cj72hBMp9U/edit?usp=sharing"",""นครสวรรค์!J726"")"),0)</f>
        <v>0</v>
      </c>
      <c r="BL18" s="57">
        <f ca="1">IFERROR(__xludf.DUMMYFUNCTION("IMPORTRANGE(""https://docs.google.com/spreadsheets/d/10nSRjK08hx8Y6HgSOQKNw81lyY46Zc7U_Cj72hBMp9U/edit?usp=sharing"",""นครสวรรค์!J727"")"),0)</f>
        <v>0</v>
      </c>
      <c r="BM18" s="57">
        <f ca="1">IFERROR(__xludf.DUMMYFUNCTION("IMPORTRANGE(""https://docs.google.com/spreadsheets/d/10nSRjK08hx8Y6HgSOQKNw81lyY46Zc7U_Cj72hBMp9U/edit?usp=sharing"",""นครสวรรค์!J728"")"),0)</f>
        <v>0</v>
      </c>
      <c r="BN18" s="57">
        <f ca="1">IFERROR(__xludf.DUMMYFUNCTION("IMPORTRANGE(""https://docs.google.com/spreadsheets/d/10nSRjK08hx8Y6HgSOQKNw81lyY46Zc7U_Cj72hBMp9U/edit?usp=sharing"",""นครสวรรค์!I729"")"),105)</f>
        <v>105</v>
      </c>
      <c r="BO18" s="57">
        <f ca="1">IFERROR(__xludf.DUMMYFUNCTION("IMPORTRANGE(""https://docs.google.com/spreadsheets/d/10nSRjK08hx8Y6HgSOQKNw81lyY46Zc7U_Cj72hBMp9U/edit?usp=sharing"",""นครสวรรค์!J729"")"),0)</f>
        <v>0</v>
      </c>
      <c r="BP18" s="63">
        <f t="shared" ca="1" si="19"/>
        <v>0</v>
      </c>
      <c r="BQ18" s="57">
        <f ca="1">IFERROR(__xludf.DUMMYFUNCTION("IMPORTRANGE(""https://docs.google.com/spreadsheets/d/10nSRjK08hx8Y6HgSOQKNw81lyY46Zc7U_Cj72hBMp9U/edit?usp=sharing"",""นครสวรรค์!J730"")"),0)</f>
        <v>0</v>
      </c>
      <c r="BR18" s="57">
        <f ca="1">IFERROR(__xludf.DUMMYFUNCTION("IMPORTRANGE(""https://docs.google.com/spreadsheets/d/10nSRjK08hx8Y6HgSOQKNw81lyY46Zc7U_Cj72hBMp9U/edit?usp=sharing"",""นครสวรรค์!J731"")"),0)</f>
        <v>0</v>
      </c>
      <c r="BS18" s="57">
        <f ca="1">IFERROR(__xludf.DUMMYFUNCTION("IMPORTRANGE(""https://docs.google.com/spreadsheets/d/10nSRjK08hx8Y6HgSOQKNw81lyY46Zc7U_Cj72hBMp9U/edit?usp=sharing"",""นครสวรรค์!J732"")"),0)</f>
        <v>0</v>
      </c>
      <c r="BT18" s="57">
        <f ca="1">IFERROR(__xludf.DUMMYFUNCTION("IMPORTRANGE(""https://docs.google.com/spreadsheets/d/10nSRjK08hx8Y6HgSOQKNw81lyY46Zc7U_Cj72hBMp9U/edit?usp=sharing"",""นครสวรรค์!J733"")"),0)</f>
        <v>0</v>
      </c>
      <c r="BU18" s="57">
        <f ca="1">IFERROR(__xludf.DUMMYFUNCTION("IMPORTRANGE(""https://docs.google.com/spreadsheets/d/10nSRjK08hx8Y6HgSOQKNw81lyY46Zc7U_Cj72hBMp9U/edit?usp=sharing"",""นครสวรรค์!J734"")"),0)</f>
        <v>0</v>
      </c>
      <c r="BV18" s="57">
        <f ca="1">IFERROR(__xludf.DUMMYFUNCTION("IMPORTRANGE(""https://docs.google.com/spreadsheets/d/10nSRjK08hx8Y6HgSOQKNw81lyY46Zc7U_Cj72hBMp9U/edit?usp=sharing"",""นครสวรรค์!J735"")"),0)</f>
        <v>0</v>
      </c>
    </row>
    <row r="19" spans="1:74" ht="24" customHeight="1" x14ac:dyDescent="0.3">
      <c r="A19" s="54">
        <v>6</v>
      </c>
      <c r="B19" s="55" t="s">
        <v>40</v>
      </c>
      <c r="C19" s="56">
        <f t="shared" ca="1" si="51"/>
        <v>0</v>
      </c>
      <c r="D19" s="57">
        <f ca="1">IFERROR(__xludf.DUMMYFUNCTION("IMPORTRANGE(""https://docs.google.com/spreadsheets/d/1gFVb7qd7amutrIxAAoM7lcy35hllxznovot8lyOfvDo/edit?usp=sharing"",""น่าน!L690"")"),0)</f>
        <v>0</v>
      </c>
      <c r="E19" s="64">
        <f ca="1">IFERROR(__xludf.DUMMYFUNCTION("IMPORTRANGE(""https://docs.google.com/spreadsheets/d/1gFVb7qd7amutrIxAAoM7lcy35hllxznovot8lyOfvDo/edit?usp=sharing"",""น่าน!L697"")"),0)</f>
        <v>0</v>
      </c>
      <c r="F19" s="64">
        <f ca="1">IFERROR(__xludf.DUMMYFUNCTION("IMPORTRANGE(""https://docs.google.com/spreadsheets/d/1gFVb7qd7amutrIxAAoM7lcy35hllxznovot8lyOfvDo/edit?usp=sharing"",""น่าน!M690"")"),0)</f>
        <v>0</v>
      </c>
      <c r="G19" s="64">
        <f ca="1">IFERROR(__xludf.DUMMYFUNCTION("IMPORTRANGE(""https://docs.google.com/spreadsheets/d/1gFVb7qd7amutrIxAAoM7lcy35hllxznovot8lyOfvDo/edit?usp=sharing"",""น่าน!M697"")"),0)</f>
        <v>0</v>
      </c>
      <c r="H19" s="58">
        <f t="shared" ca="1" si="33"/>
        <v>0</v>
      </c>
      <c r="I19" s="59">
        <f t="shared" ca="1" si="1"/>
        <v>0</v>
      </c>
      <c r="J19" s="60">
        <f t="shared" ca="1" si="52"/>
        <v>0</v>
      </c>
      <c r="K19" s="61">
        <f t="shared" ca="1" si="39"/>
        <v>0</v>
      </c>
      <c r="L19" s="61">
        <f t="shared" ca="1" si="40"/>
        <v>0</v>
      </c>
      <c r="M19" s="64">
        <f ca="1">IFERROR(__xludf.DUMMYFUNCTION("IMPORTRANGE(""https://docs.google.com/spreadsheets/d/1gFVb7qd7amutrIxAAoM7lcy35hllxznovot8lyOfvDo/edit?usp=sharing"",""น่าน!N691"")"),0)</f>
        <v>0</v>
      </c>
      <c r="N19" s="64">
        <f ca="1">IFERROR(__xludf.DUMMYFUNCTION("IMPORTRANGE(""https://docs.google.com/spreadsheets/d/1gFVb7qd7amutrIxAAoM7lcy35hllxznovot8lyOfvDo/edit?usp=sharing"",""น่าน!N692"")"),0)</f>
        <v>0</v>
      </c>
      <c r="O19" s="64">
        <f ca="1">IFERROR(__xludf.DUMMYFUNCTION("IMPORTRANGE(""https://docs.google.com/spreadsheets/d/1gFVb7qd7amutrIxAAoM7lcy35hllxznovot8lyOfvDo/edit?usp=sharing"",""น่าน!N693"")"),0)</f>
        <v>0</v>
      </c>
      <c r="P19" s="64">
        <f ca="1">IFERROR(__xludf.DUMMYFUNCTION("IMPORTRANGE(""https://docs.google.com/spreadsheets/d/1gFVb7qd7amutrIxAAoM7lcy35hllxznovot8lyOfvDo/edit?usp=sharing"",""น่าน!N694"")"),0)</f>
        <v>0</v>
      </c>
      <c r="Q19" s="62">
        <f ca="1">IFERROR(__xludf.DUMMYFUNCTION("IMPORTRANGE(""https://docs.google.com/spreadsheets/d/1gFVb7qd7amutrIxAAoM7lcy35hllxznovot8lyOfvDo/edit?usp=sharing"",""น่าน!N697"")"),0)</f>
        <v>0</v>
      </c>
      <c r="R19" s="62">
        <f t="shared" ca="1" si="42"/>
        <v>0</v>
      </c>
      <c r="S19" s="57">
        <f ca="1">IFERROR(__xludf.DUMMYFUNCTION("IMPORTRANGE(""https://docs.google.com/spreadsheets/d/1gFVb7qd7amutrIxAAoM7lcy35hllxznovot8lyOfvDo/edit?usp=sharing"",""น่าน!I699"")"),0)</f>
        <v>0</v>
      </c>
      <c r="T19" s="57">
        <f ca="1">IFERROR(__xludf.DUMMYFUNCTION("IMPORTRANGE(""https://docs.google.com/spreadsheets/d/1gFVb7qd7amutrIxAAoM7lcy35hllxznovot8lyOfvDo/edit?usp=sharing"",""น่าน!J699"")"),0)</f>
        <v>0</v>
      </c>
      <c r="U19" s="63">
        <f t="shared" ca="1" si="34"/>
        <v>0</v>
      </c>
      <c r="V19" s="57">
        <f ca="1">IFERROR(__xludf.DUMMYFUNCTION("IMPORTRANGE(""https://docs.google.com/spreadsheets/d/1gFVb7qd7amutrIxAAoM7lcy35hllxznovot8lyOfvDo/edit?usp=sharing"",""น่าน!I700"")"),0)</f>
        <v>0</v>
      </c>
      <c r="W19" s="57">
        <f ca="1">IFERROR(__xludf.DUMMYFUNCTION("IMPORTRANGE(""https://docs.google.com/spreadsheets/d/1gFVb7qd7amutrIxAAoM7lcy35hllxznovot8lyOfvDo/edit?usp=sharing"",""น่าน!J700"")"),0)</f>
        <v>0</v>
      </c>
      <c r="X19" s="63">
        <f t="shared" ca="1" si="35"/>
        <v>0</v>
      </c>
      <c r="Y19" s="57">
        <f ca="1">IFERROR(__xludf.DUMMYFUNCTION("IMPORTRANGE(""https://docs.google.com/spreadsheets/d/1gFVb7qd7amutrIxAAoM7lcy35hllxznovot8lyOfvDo/edit?usp=sharing"",""น่าน!I701"")"),0)</f>
        <v>0</v>
      </c>
      <c r="Z19" s="57">
        <f ca="1">IFERROR(__xludf.DUMMYFUNCTION("IMPORTRANGE(""https://docs.google.com/spreadsheets/d/1gFVb7qd7amutrIxAAoM7lcy35hllxznovot8lyOfvDo/edit?usp=sharing"",""น่าน!J701"")"),0)</f>
        <v>0</v>
      </c>
      <c r="AA19" s="63">
        <f t="shared" ca="1" si="36"/>
        <v>0</v>
      </c>
      <c r="AB19" s="63">
        <f ca="1">IFERROR(__xludf.DUMMYFUNCTION("IMPORTRANGE(""https://docs.google.com/spreadsheets/d/1gFVb7qd7amutrIxAAoM7lcy35hllxznovot8lyOfvDo/edit?usp=sharing"",""น่าน!J702"")"),0)</f>
        <v>0</v>
      </c>
      <c r="AC19" s="63">
        <f ca="1">IFERROR(__xludf.DUMMYFUNCTION("IMPORTRANGE(""https://docs.google.com/spreadsheets/d/1gFVb7qd7amutrIxAAoM7lcy35hllxznovot8lyOfvDo/edit?usp=sharing"",""น่าน!J703"")"),0)</f>
        <v>0</v>
      </c>
      <c r="AD19" s="63">
        <f ca="1">IFERROR(__xludf.DUMMYFUNCTION("IMPORTRANGE(""https://docs.google.com/spreadsheets/d/1gFVb7qd7amutrIxAAoM7lcy35hllxznovot8lyOfvDo/edit?usp=sharing"",""น่าน!J704"")"),0)</f>
        <v>0</v>
      </c>
      <c r="AE19" s="63">
        <f ca="1">IFERROR(__xludf.DUMMYFUNCTION("IMPORTRANGE(""https://docs.google.com/spreadsheets/d/1gFVb7qd7amutrIxAAoM7lcy35hllxznovot8lyOfvDo/edit?usp=sharing"",""น่าน!J705"")"),0)</f>
        <v>0</v>
      </c>
      <c r="AF19" s="63">
        <f ca="1">IFERROR(__xludf.DUMMYFUNCTION("IMPORTRANGE(""https://docs.google.com/spreadsheets/d/1gFVb7qd7amutrIxAAoM7lcy35hllxznovot8lyOfvDo/edit?usp=sharing"",""น่าน!J706"")"),0)</f>
        <v>0</v>
      </c>
      <c r="AG19" s="63">
        <f ca="1">IFERROR(__xludf.DUMMYFUNCTION("IMPORTRANGE(""https://docs.google.com/spreadsheets/d/1gFVb7qd7amutrIxAAoM7lcy35hllxznovot8lyOfvDo/edit?usp=sharing"",""น่าน!J707"")"),0)</f>
        <v>0</v>
      </c>
      <c r="AH19" s="57">
        <f ca="1">IFERROR(__xludf.DUMMYFUNCTION("IMPORTRANGE(""https://docs.google.com/spreadsheets/d/1gFVb7qd7amutrIxAAoM7lcy35hllxznovot8lyOfvDo/edit?usp=sharing"",""น่าน!I708"")"),0)</f>
        <v>0</v>
      </c>
      <c r="AI19" s="57">
        <f ca="1">IFERROR(__xludf.DUMMYFUNCTION("IMPORTRANGE(""https://docs.google.com/spreadsheets/d/1gFVb7qd7amutrIxAAoM7lcy35hllxznovot8lyOfvDo/edit?usp=sharing"",""น่าน!J708"")"),0)</f>
        <v>0</v>
      </c>
      <c r="AJ19" s="63">
        <f t="shared" ca="1" si="37"/>
        <v>0</v>
      </c>
      <c r="AK19" s="57">
        <f ca="1">IFERROR(__xludf.DUMMYFUNCTION("IMPORTRANGE(""https://docs.google.com/spreadsheets/d/1gFVb7qd7amutrIxAAoM7lcy35hllxznovot8lyOfvDo/edit?usp=sharing"",""น่าน!J709"")"),0)</f>
        <v>0</v>
      </c>
      <c r="AL19" s="57">
        <f ca="1">IFERROR(__xludf.DUMMYFUNCTION("IMPORTRANGE(""https://docs.google.com/spreadsheets/d/1gFVb7qd7amutrIxAAoM7lcy35hllxznovot8lyOfvDo/edit?usp=sharing"",""น่าน!J710"")"),0)</f>
        <v>0</v>
      </c>
      <c r="AM19" s="57">
        <f ca="1">IFERROR(__xludf.DUMMYFUNCTION("IMPORTRANGE(""https://docs.google.com/spreadsheets/d/1gFVb7qd7amutrIxAAoM7lcy35hllxznovot8lyOfvDo/edit?usp=sharing"",""น่าน!J712"")"),0)</f>
        <v>0</v>
      </c>
      <c r="AN19" s="57">
        <f ca="1">IFERROR(__xludf.DUMMYFUNCTION("IMPORTRANGE(""https://docs.google.com/spreadsheets/d/1gFVb7qd7amutrIxAAoM7lcy35hllxznovot8lyOfvDo/edit?usp=sharing"",""น่าน!J713"")"),0)</f>
        <v>0</v>
      </c>
      <c r="AO19" s="57">
        <f ca="1">IFERROR(__xludf.DUMMYFUNCTION("IMPORTRANGE(""https://docs.google.com/spreadsheets/d/1gFVb7qd7amutrIxAAoM7lcy35hllxznovot8lyOfvDo/edit?usp=sharing"",""น่าน!J714"")"),0)</f>
        <v>0</v>
      </c>
      <c r="AP19" s="57">
        <f ca="1">IFERROR(__xludf.DUMMYFUNCTION("IMPORTRANGE(""https://docs.google.com/spreadsheets/d/1gFVb7qd7amutrIxAAoM7lcy35hllxznovot8lyOfvDo/edit?usp=sharing"",""น่าน!J715"")"),0)</f>
        <v>0</v>
      </c>
      <c r="AQ19" s="57">
        <f ca="1">IFERROR(__xludf.DUMMYFUNCTION("IMPORTRANGE(""https://docs.google.com/spreadsheets/d/1gFVb7qd7amutrIxAAoM7lcy35hllxznovot8lyOfvDo/edit?usp=sharing"",""น่าน!J716"")"),0)</f>
        <v>0</v>
      </c>
      <c r="AR19" s="57">
        <f ca="1">IFERROR(__xludf.DUMMYFUNCTION("IMPORTRANGE(""https://docs.google.com/spreadsheets/d/1gFVb7qd7amutrIxAAoM7lcy35hllxznovot8lyOfvDo/edit?usp=sharing"",""น่าน!J717"")"),0)</f>
        <v>0</v>
      </c>
      <c r="AS19" s="57">
        <f ca="1">IFERROR(__xludf.DUMMYFUNCTION("IMPORTRANGE(""https://docs.google.com/spreadsheets/d/1gFVb7qd7amutrIxAAoM7lcy35hllxznovot8lyOfvDo/edit?usp=sharing"",""น่าน!I720"")"),0)</f>
        <v>0</v>
      </c>
      <c r="AT19" s="57">
        <f ca="1">IFERROR(__xludf.DUMMYFUNCTION("IMPORTRANGE(""https://docs.google.com/spreadsheets/d/1gFVb7qd7amutrIxAAoM7lcy35hllxznovot8lyOfvDo/edit?usp=sharing"",""น่าน!J718"")"),0)</f>
        <v>0</v>
      </c>
      <c r="AU19" s="57">
        <f ca="1">IFERROR(__xludf.DUMMYFUNCTION("IMPORTRANGE(""https://docs.google.com/spreadsheets/d/1gFVb7qd7amutrIxAAoM7lcy35hllxznovot8lyOfvDo/edit?usp=sharing"",""น่าน!J719"")"),0)</f>
        <v>0</v>
      </c>
      <c r="AV19" s="57">
        <f ca="1">IFERROR(__xludf.DUMMYFUNCTION("IMPORTRANGE(""https://docs.google.com/spreadsheets/d/1gFVb7qd7amutrIxAAoM7lcy35hllxznovot8lyOfvDo/edit?usp=sharing"",""น่าน!J720"")"),0)</f>
        <v>0</v>
      </c>
      <c r="AW19" s="63">
        <f t="shared" ca="1" si="14"/>
        <v>0</v>
      </c>
      <c r="AX19" s="57">
        <f ca="1">IFERROR(__xludf.DUMMYFUNCTION("IMPORTRANGE(""https://docs.google.com/spreadsheets/d/1gFVb7qd7amutrIxAAoM7lcy35hllxznovot8lyOfvDo/edit?usp=sharing"",""น่าน!I721"")"),0)</f>
        <v>0</v>
      </c>
      <c r="AY19" s="57">
        <f ca="1">IFERROR(__xludf.DUMMYFUNCTION("IMPORTRANGE(""https://docs.google.com/spreadsheets/d/1gFVb7qd7amutrIxAAoM7lcy35hllxznovot8lyOfvDo/edit?usp=sharing"",""น่าน!I722"")"),0)</f>
        <v>0</v>
      </c>
      <c r="AZ19" s="57">
        <f ca="1">IFERROR(__xludf.DUMMYFUNCTION("IMPORTRANGE(""https://docs.google.com/spreadsheets/d/1gFVb7qd7amutrIxAAoM7lcy35hllxznovot8lyOfvDo/edit?usp=sharing"",""น่าน!J721"")"),0)</f>
        <v>0</v>
      </c>
      <c r="BA19" s="63">
        <f t="shared" ca="1" si="16"/>
        <v>0</v>
      </c>
      <c r="BB19" s="57">
        <f ca="1">IFERROR(__xludf.DUMMYFUNCTION("IMPORTRANGE(""https://docs.google.com/spreadsheets/d/1gFVb7qd7amutrIxAAoM7lcy35hllxznovot8lyOfvDo/edit?usp=sharing"",""น่าน!J722"")"),0)</f>
        <v>0</v>
      </c>
      <c r="BC19" s="63">
        <f t="shared" ca="1" si="17"/>
        <v>0</v>
      </c>
      <c r="BD19" s="57">
        <f ca="1">IFERROR(__xludf.DUMMYFUNCTION("IMPORTRANGE(""https://docs.google.com/spreadsheets/d/1gFVb7qd7amutrIxAAoM7lcy35hllxznovot8lyOfvDo/edit?usp=sharing"",""น่าน!I723"")"),0)</f>
        <v>0</v>
      </c>
      <c r="BE19" s="57">
        <f ca="1">IFERROR(__xludf.DUMMYFUNCTION("IMPORTRANGE(""https://docs.google.com/spreadsheets/d/1gFVb7qd7amutrIxAAoM7lcy35hllxznovot8lyOfvDo/edit?usp=sharing"",""น่าน!I725"")"),0)</f>
        <v>0</v>
      </c>
      <c r="BF19" s="57">
        <f ca="1">IFERROR(__xludf.DUMMYFUNCTION("IMPORTRANGE(""https://docs.google.com/spreadsheets/d/1gFVb7qd7amutrIxAAoM7lcy35hllxznovot8lyOfvDo/edit?usp=sharing"",""น่าน!J723"")"),0)</f>
        <v>0</v>
      </c>
      <c r="BG19" s="57">
        <f ca="1">IFERROR(__xludf.DUMMYFUNCTION("IMPORTRANGE(""https://docs.google.com/spreadsheets/d/1gFVb7qd7amutrIxAAoM7lcy35hllxznovot8lyOfvDo/edit?usp=sharing"",""น่าน!J724"")"),0)</f>
        <v>0</v>
      </c>
      <c r="BH19" s="57">
        <f ca="1">IFERROR(__xludf.DUMMYFUNCTION("IMPORTRANGE(""https://docs.google.com/spreadsheets/d/1gFVb7qd7amutrIxAAoM7lcy35hllxznovot8lyOfvDo/edit?usp=sharing"",""น่าน!J725"")"),0)</f>
        <v>0</v>
      </c>
      <c r="BI19" s="57">
        <f ca="1">IFERROR(__xludf.DUMMYFUNCTION("IMPORTRANGE(""https://docs.google.com/spreadsheets/d/1gFVb7qd7amutrIxAAoM7lcy35hllxznovot8lyOfvDo/edit?usp=sharing"",""น่าน!I726"")"),0)</f>
        <v>0</v>
      </c>
      <c r="BJ19" s="57">
        <f ca="1">IFERROR(__xludf.DUMMYFUNCTION("IMPORTRANGE(""https://docs.google.com/spreadsheets/d/1gFVb7qd7amutrIxAAoM7lcy35hllxznovot8lyOfvDo/edit?usp=sharing"",""น่าน!I728"")"),0)</f>
        <v>0</v>
      </c>
      <c r="BK19" s="57">
        <f ca="1">IFERROR(__xludf.DUMMYFUNCTION("IMPORTRANGE(""https://docs.google.com/spreadsheets/d/1gFVb7qd7amutrIxAAoM7lcy35hllxznovot8lyOfvDo/edit?usp=sharing"",""น่าน!J726"")"),0)</f>
        <v>0</v>
      </c>
      <c r="BL19" s="57">
        <f ca="1">IFERROR(__xludf.DUMMYFUNCTION("IMPORTRANGE(""https://docs.google.com/spreadsheets/d/1gFVb7qd7amutrIxAAoM7lcy35hllxznovot8lyOfvDo/edit?usp=sharing"",""น่าน!J727"")"),0)</f>
        <v>0</v>
      </c>
      <c r="BM19" s="57">
        <f ca="1">IFERROR(__xludf.DUMMYFUNCTION("IMPORTRANGE(""https://docs.google.com/spreadsheets/d/1gFVb7qd7amutrIxAAoM7lcy35hllxznovot8lyOfvDo/edit?usp=sharing"",""น่าน!J728"")"),0)</f>
        <v>0</v>
      </c>
      <c r="BN19" s="57">
        <f ca="1">IFERROR(__xludf.DUMMYFUNCTION("IMPORTRANGE(""https://docs.google.com/spreadsheets/d/1gFVb7qd7amutrIxAAoM7lcy35hllxznovot8lyOfvDo/edit?usp=sharing"",""น่าน!I729"")"),0)</f>
        <v>0</v>
      </c>
      <c r="BO19" s="57">
        <f ca="1">IFERROR(__xludf.DUMMYFUNCTION("IMPORTRANGE(""https://docs.google.com/spreadsheets/d/1gFVb7qd7amutrIxAAoM7lcy35hllxznovot8lyOfvDo/edit?usp=sharing"",""น่าน!J729"")"),0)</f>
        <v>0</v>
      </c>
      <c r="BP19" s="63">
        <f t="shared" ca="1" si="19"/>
        <v>0</v>
      </c>
      <c r="BQ19" s="57">
        <f ca="1">IFERROR(__xludf.DUMMYFUNCTION("IMPORTRANGE(""https://docs.google.com/spreadsheets/d/1gFVb7qd7amutrIxAAoM7lcy35hllxznovot8lyOfvDo/edit?usp=sharing"",""น่าน!J730"")"),0)</f>
        <v>0</v>
      </c>
      <c r="BR19" s="57">
        <f ca="1">IFERROR(__xludf.DUMMYFUNCTION("IMPORTRANGE(""https://docs.google.com/spreadsheets/d/1gFVb7qd7amutrIxAAoM7lcy35hllxznovot8lyOfvDo/edit?usp=sharing"",""น่าน!J731"")"),0)</f>
        <v>0</v>
      </c>
      <c r="BS19" s="57">
        <f ca="1">IFERROR(__xludf.DUMMYFUNCTION("IMPORTRANGE(""https://docs.google.com/spreadsheets/d/1gFVb7qd7amutrIxAAoM7lcy35hllxznovot8lyOfvDo/edit?usp=sharing"",""น่าน!J732"")"),0)</f>
        <v>0</v>
      </c>
      <c r="BT19" s="57">
        <f ca="1">IFERROR(__xludf.DUMMYFUNCTION("IMPORTRANGE(""https://docs.google.com/spreadsheets/d/1gFVb7qd7amutrIxAAoM7lcy35hllxznovot8lyOfvDo/edit?usp=sharing"",""น่าน!J733"")"),0)</f>
        <v>0</v>
      </c>
      <c r="BU19" s="57">
        <f ca="1">IFERROR(__xludf.DUMMYFUNCTION("IMPORTRANGE(""https://docs.google.com/spreadsheets/d/1gFVb7qd7amutrIxAAoM7lcy35hllxznovot8lyOfvDo/edit?usp=sharing"",""น่าน!J734"")"),0)</f>
        <v>0</v>
      </c>
      <c r="BV19" s="57">
        <f ca="1">IFERROR(__xludf.DUMMYFUNCTION("IMPORTRANGE(""https://docs.google.com/spreadsheets/d/1gFVb7qd7amutrIxAAoM7lcy35hllxznovot8lyOfvDo/edit?usp=sharing"",""น่าน!J735"")"),0)</f>
        <v>0</v>
      </c>
    </row>
    <row r="20" spans="1:74" ht="24" customHeight="1" x14ac:dyDescent="0.3">
      <c r="A20" s="54">
        <v>7</v>
      </c>
      <c r="B20" s="55" t="s">
        <v>41</v>
      </c>
      <c r="C20" s="56">
        <f t="shared" ca="1" si="51"/>
        <v>13000</v>
      </c>
      <c r="D20" s="57">
        <f ca="1">IFERROR(__xludf.DUMMYFUNCTION("IMPORTRANGE(""https://docs.google.com/spreadsheets/d/1K0Aa9s-6EuHE5M0FG1F9aHLXRCOV917xvycTdLdct0w/edit?usp=sharing"",""พะเยา!L690"")"),13000)</f>
        <v>13000</v>
      </c>
      <c r="E20" s="64">
        <f ca="1">IFERROR(__xludf.DUMMYFUNCTION("IMPORTRANGE(""https://docs.google.com/spreadsheets/d/1K0Aa9s-6EuHE5M0FG1F9aHLXRCOV917xvycTdLdct0w/edit?usp=sharing"",""พะเยา!L697"")"),0)</f>
        <v>0</v>
      </c>
      <c r="F20" s="64">
        <f ca="1">IFERROR(__xludf.DUMMYFUNCTION("IMPORTRANGE(""https://docs.google.com/spreadsheets/d/1K0Aa9s-6EuHE5M0FG1F9aHLXRCOV917xvycTdLdct0w/edit?usp=sharing"",""พะเยา!M690"")"),13000)</f>
        <v>13000</v>
      </c>
      <c r="G20" s="64">
        <f ca="1">IFERROR(__xludf.DUMMYFUNCTION("IMPORTRANGE(""https://docs.google.com/spreadsheets/d/1K0Aa9s-6EuHE5M0FG1F9aHLXRCOV917xvycTdLdct0w/edit?usp=sharing"",""พะเยา!M697"")"),0)</f>
        <v>0</v>
      </c>
      <c r="H20" s="58">
        <f t="shared" ca="1" si="33"/>
        <v>0</v>
      </c>
      <c r="I20" s="59">
        <f t="shared" ca="1" si="1"/>
        <v>0</v>
      </c>
      <c r="J20" s="60">
        <f t="shared" ca="1" si="52"/>
        <v>0</v>
      </c>
      <c r="K20" s="61">
        <f t="shared" ca="1" si="39"/>
        <v>0</v>
      </c>
      <c r="L20" s="61">
        <f t="shared" ca="1" si="40"/>
        <v>0</v>
      </c>
      <c r="M20" s="64">
        <f ca="1">IFERROR(__xludf.DUMMYFUNCTION("IMPORTRANGE(""https://docs.google.com/spreadsheets/d/1K0Aa9s-6EuHE5M0FG1F9aHLXRCOV917xvycTdLdct0w/edit?usp=sharing"",""พะเยา!N691"")"),0)</f>
        <v>0</v>
      </c>
      <c r="N20" s="64">
        <f ca="1">IFERROR(__xludf.DUMMYFUNCTION("IMPORTRANGE(""https://docs.google.com/spreadsheets/d/1K0Aa9s-6EuHE5M0FG1F9aHLXRCOV917xvycTdLdct0w/edit?usp=sharing"",""พะเยา!N692"")"),0)</f>
        <v>0</v>
      </c>
      <c r="O20" s="64">
        <f ca="1">IFERROR(__xludf.DUMMYFUNCTION("IMPORTRANGE(""https://docs.google.com/spreadsheets/d/1K0Aa9s-6EuHE5M0FG1F9aHLXRCOV917xvycTdLdct0w/edit?usp=sharing"",""พะเยา!N693"")"),0)</f>
        <v>0</v>
      </c>
      <c r="P20" s="64">
        <f ca="1">IFERROR(__xludf.DUMMYFUNCTION("IMPORTRANGE(""https://docs.google.com/spreadsheets/d/1K0Aa9s-6EuHE5M0FG1F9aHLXRCOV917xvycTdLdct0w/edit?usp=sharing"",""พะเยา!N694"")"),0)</f>
        <v>0</v>
      </c>
      <c r="Q20" s="62">
        <f ca="1">IFERROR(__xludf.DUMMYFUNCTION("IMPORTRANGE(""https://docs.google.com/spreadsheets/d/1K0Aa9s-6EuHE5M0FG1F9aHLXRCOV917xvycTdLdct0w/edit?usp=sharing"",""พะเยา!N697"")"),0)</f>
        <v>0</v>
      </c>
      <c r="R20" s="62">
        <f t="shared" ca="1" si="42"/>
        <v>0</v>
      </c>
      <c r="S20" s="57">
        <f ca="1">IFERROR(__xludf.DUMMYFUNCTION("IMPORTRANGE(""https://docs.google.com/spreadsheets/d/1K0Aa9s-6EuHE5M0FG1F9aHLXRCOV917xvycTdLdct0w/edit?usp=sharing"",""พะเยา!I699"")"),0)</f>
        <v>0</v>
      </c>
      <c r="T20" s="57">
        <f ca="1">IFERROR(__xludf.DUMMYFUNCTION("IMPORTRANGE(""https://docs.google.com/spreadsheets/d/1K0Aa9s-6EuHE5M0FG1F9aHLXRCOV917xvycTdLdct0w/edit?usp=sharing"",""พะเยา!J699"")"),0)</f>
        <v>0</v>
      </c>
      <c r="U20" s="63">
        <f t="shared" ca="1" si="34"/>
        <v>0</v>
      </c>
      <c r="V20" s="57">
        <f ca="1">IFERROR(__xludf.DUMMYFUNCTION("IMPORTRANGE(""https://docs.google.com/spreadsheets/d/1K0Aa9s-6EuHE5M0FG1F9aHLXRCOV917xvycTdLdct0w/edit?usp=sharing"",""พะเยา!I700"")"),100)</f>
        <v>100</v>
      </c>
      <c r="W20" s="57">
        <f ca="1">IFERROR(__xludf.DUMMYFUNCTION("IMPORTRANGE(""https://docs.google.com/spreadsheets/d/1K0Aa9s-6EuHE5M0FG1F9aHLXRCOV917xvycTdLdct0w/edit?usp=sharing"",""พะเยา!J700"")"),0)</f>
        <v>0</v>
      </c>
      <c r="X20" s="63">
        <f t="shared" ca="1" si="35"/>
        <v>0</v>
      </c>
      <c r="Y20" s="57">
        <f ca="1">IFERROR(__xludf.DUMMYFUNCTION("IMPORTRANGE(""https://docs.google.com/spreadsheets/d/1K0Aa9s-6EuHE5M0FG1F9aHLXRCOV917xvycTdLdct0w/edit?usp=sharing"",""พะเยา!I701"")"),0)</f>
        <v>0</v>
      </c>
      <c r="Z20" s="57">
        <f ca="1">IFERROR(__xludf.DUMMYFUNCTION("IMPORTRANGE(""https://docs.google.com/spreadsheets/d/1K0Aa9s-6EuHE5M0FG1F9aHLXRCOV917xvycTdLdct0w/edit?usp=sharing"",""พะเยา!J701"")"),0)</f>
        <v>0</v>
      </c>
      <c r="AA20" s="63">
        <f t="shared" ca="1" si="36"/>
        <v>0</v>
      </c>
      <c r="AB20" s="63">
        <f ca="1">IFERROR(__xludf.DUMMYFUNCTION("IMPORTRANGE(""https://docs.google.com/spreadsheets/d/1K0Aa9s-6EuHE5M0FG1F9aHLXRCOV917xvycTdLdct0w/edit?usp=sharing"",""พะเยา!J702"")"),0)</f>
        <v>0</v>
      </c>
      <c r="AC20" s="63">
        <f ca="1">IFERROR(__xludf.DUMMYFUNCTION("IMPORTRANGE(""https://docs.google.com/spreadsheets/d/1K0Aa9s-6EuHE5M0FG1F9aHLXRCOV917xvycTdLdct0w/edit?usp=sharing"",""พะเยา!J703"")"),0)</f>
        <v>0</v>
      </c>
      <c r="AD20" s="63">
        <f ca="1">IFERROR(__xludf.DUMMYFUNCTION("IMPORTRANGE(""https://docs.google.com/spreadsheets/d/1K0Aa9s-6EuHE5M0FG1F9aHLXRCOV917xvycTdLdct0w/edit?usp=sharing"",""พะเยา!J704"")"),0)</f>
        <v>0</v>
      </c>
      <c r="AE20" s="63">
        <f ca="1">IFERROR(__xludf.DUMMYFUNCTION("IMPORTRANGE(""https://docs.google.com/spreadsheets/d/1K0Aa9s-6EuHE5M0FG1F9aHLXRCOV917xvycTdLdct0w/edit?usp=sharing"",""พะเยา!J705"")"),0)</f>
        <v>0</v>
      </c>
      <c r="AF20" s="63">
        <f ca="1">IFERROR(__xludf.DUMMYFUNCTION("IMPORTRANGE(""https://docs.google.com/spreadsheets/d/1K0Aa9s-6EuHE5M0FG1F9aHLXRCOV917xvycTdLdct0w/edit?usp=sharing"",""พะเยา!J706"")"),0)</f>
        <v>0</v>
      </c>
      <c r="AG20" s="63">
        <f ca="1">IFERROR(__xludf.DUMMYFUNCTION("IMPORTRANGE(""https://docs.google.com/spreadsheets/d/1K0Aa9s-6EuHE5M0FG1F9aHLXRCOV917xvycTdLdct0w/edit?usp=sharing"",""พะเยา!J707"")"),0)</f>
        <v>0</v>
      </c>
      <c r="AH20" s="57">
        <f ca="1">IFERROR(__xludf.DUMMYFUNCTION("IMPORTRANGE(""https://docs.google.com/spreadsheets/d/1K0Aa9s-6EuHE5M0FG1F9aHLXRCOV917xvycTdLdct0w/edit?usp=sharing"",""พะเยา!I708"")"),0)</f>
        <v>0</v>
      </c>
      <c r="AI20" s="57">
        <f ca="1">IFERROR(__xludf.DUMMYFUNCTION("IMPORTRANGE(""https://docs.google.com/spreadsheets/d/1K0Aa9s-6EuHE5M0FG1F9aHLXRCOV917xvycTdLdct0w/edit?usp=sharing"",""พะเยา!J708"")"),0)</f>
        <v>0</v>
      </c>
      <c r="AJ20" s="63">
        <f t="shared" ca="1" si="37"/>
        <v>0</v>
      </c>
      <c r="AK20" s="57">
        <f ca="1">IFERROR(__xludf.DUMMYFUNCTION("IMPORTRANGE(""https://docs.google.com/spreadsheets/d/1K0Aa9s-6EuHE5M0FG1F9aHLXRCOV917xvycTdLdct0w/edit?usp=sharing"",""พะเยา!J709"")"),0)</f>
        <v>0</v>
      </c>
      <c r="AL20" s="57">
        <f ca="1">IFERROR(__xludf.DUMMYFUNCTION("IMPORTRANGE(""https://docs.google.com/spreadsheets/d/1K0Aa9s-6EuHE5M0FG1F9aHLXRCOV917xvycTdLdct0w/edit?usp=sharing"",""พะเยา!J710"")"),0)</f>
        <v>0</v>
      </c>
      <c r="AM20" s="57">
        <f ca="1">IFERROR(__xludf.DUMMYFUNCTION("IMPORTRANGE(""https://docs.google.com/spreadsheets/d/1K0Aa9s-6EuHE5M0FG1F9aHLXRCOV917xvycTdLdct0w/edit?usp=sharing"",""พะเยา!J712"")"),0)</f>
        <v>0</v>
      </c>
      <c r="AN20" s="57">
        <f ca="1">IFERROR(__xludf.DUMMYFUNCTION("IMPORTRANGE(""https://docs.google.com/spreadsheets/d/1K0Aa9s-6EuHE5M0FG1F9aHLXRCOV917xvycTdLdct0w/edit?usp=sharing"",""พะเยา!J713"")"),0)</f>
        <v>0</v>
      </c>
      <c r="AO20" s="57">
        <f ca="1">IFERROR(__xludf.DUMMYFUNCTION("IMPORTRANGE(""https://docs.google.com/spreadsheets/d/1K0Aa9s-6EuHE5M0FG1F9aHLXRCOV917xvycTdLdct0w/edit?usp=sharing"",""พะเยา!J714"")"),0)</f>
        <v>0</v>
      </c>
      <c r="AP20" s="57">
        <f ca="1">IFERROR(__xludf.DUMMYFUNCTION("IMPORTRANGE(""https://docs.google.com/spreadsheets/d/1K0Aa9s-6EuHE5M0FG1F9aHLXRCOV917xvycTdLdct0w/edit?usp=sharing"",""พะเยา!J715"")"),0)</f>
        <v>0</v>
      </c>
      <c r="AQ20" s="57">
        <f ca="1">IFERROR(__xludf.DUMMYFUNCTION("IMPORTRANGE(""https://docs.google.com/spreadsheets/d/1K0Aa9s-6EuHE5M0FG1F9aHLXRCOV917xvycTdLdct0w/edit?usp=sharing"",""พะเยา!J716"")"),0)</f>
        <v>0</v>
      </c>
      <c r="AR20" s="57">
        <f ca="1">IFERROR(__xludf.DUMMYFUNCTION("IMPORTRANGE(""https://docs.google.com/spreadsheets/d/1K0Aa9s-6EuHE5M0FG1F9aHLXRCOV917xvycTdLdct0w/edit?usp=sharing"",""พะเยา!J717"")"),0)</f>
        <v>0</v>
      </c>
      <c r="AS20" s="57">
        <f ca="1">IFERROR(__xludf.DUMMYFUNCTION("IMPORTRANGE(""https://docs.google.com/spreadsheets/d/1K0Aa9s-6EuHE5M0FG1F9aHLXRCOV917xvycTdLdct0w/edit?usp=sharing"",""พะเยา!I720"")"),0)</f>
        <v>0</v>
      </c>
      <c r="AT20" s="57">
        <f ca="1">IFERROR(__xludf.DUMMYFUNCTION("IMPORTRANGE(""https://docs.google.com/spreadsheets/d/1K0Aa9s-6EuHE5M0FG1F9aHLXRCOV917xvycTdLdct0w/edit?usp=sharing"",""พะเยา!J718"")"),0)</f>
        <v>0</v>
      </c>
      <c r="AU20" s="57">
        <f ca="1">IFERROR(__xludf.DUMMYFUNCTION("IMPORTRANGE(""https://docs.google.com/spreadsheets/d/1K0Aa9s-6EuHE5M0FG1F9aHLXRCOV917xvycTdLdct0w/edit?usp=sharing"",""พะเยา!J719"")"),0)</f>
        <v>0</v>
      </c>
      <c r="AV20" s="57">
        <f ca="1">IFERROR(__xludf.DUMMYFUNCTION("IMPORTRANGE(""https://docs.google.com/spreadsheets/d/1K0Aa9s-6EuHE5M0FG1F9aHLXRCOV917xvycTdLdct0w/edit?usp=sharing"",""พะเยา!J720"")"),0)</f>
        <v>0</v>
      </c>
      <c r="AW20" s="63">
        <f t="shared" ca="1" si="14"/>
        <v>0</v>
      </c>
      <c r="AX20" s="57">
        <f ca="1">IFERROR(__xludf.DUMMYFUNCTION("IMPORTRANGE(""https://docs.google.com/spreadsheets/d/1K0Aa9s-6EuHE5M0FG1F9aHLXRCOV917xvycTdLdct0w/edit?usp=sharing"",""พะเยา!I721"")"),0)</f>
        <v>0</v>
      </c>
      <c r="AY20" s="57">
        <f ca="1">IFERROR(__xludf.DUMMYFUNCTION("IMPORTRANGE(""https://docs.google.com/spreadsheets/d/1K0Aa9s-6EuHE5M0FG1F9aHLXRCOV917xvycTdLdct0w/edit?usp=sharing"",""พะเยา!I722"")"),0)</f>
        <v>0</v>
      </c>
      <c r="AZ20" s="57">
        <f ca="1">IFERROR(__xludf.DUMMYFUNCTION("IMPORTRANGE(""https://docs.google.com/spreadsheets/d/1K0Aa9s-6EuHE5M0FG1F9aHLXRCOV917xvycTdLdct0w/edit?usp=sharing"",""พะเยา!J721"")"),0)</f>
        <v>0</v>
      </c>
      <c r="BA20" s="63">
        <f t="shared" ca="1" si="16"/>
        <v>0</v>
      </c>
      <c r="BB20" s="57">
        <f ca="1">IFERROR(__xludf.DUMMYFUNCTION("IMPORTRANGE(""https://docs.google.com/spreadsheets/d/1K0Aa9s-6EuHE5M0FG1F9aHLXRCOV917xvycTdLdct0w/edit?usp=sharing"",""พะเยา!J722"")"),0)</f>
        <v>0</v>
      </c>
      <c r="BC20" s="63">
        <f t="shared" ca="1" si="17"/>
        <v>0</v>
      </c>
      <c r="BD20" s="57">
        <f ca="1">IFERROR(__xludf.DUMMYFUNCTION("IMPORTRANGE(""https://docs.google.com/spreadsheets/d/1K0Aa9s-6EuHE5M0FG1F9aHLXRCOV917xvycTdLdct0w/edit?usp=sharing"",""พะเยา!I723"")"),0)</f>
        <v>0</v>
      </c>
      <c r="BE20" s="57">
        <f ca="1">IFERROR(__xludf.DUMMYFUNCTION("IMPORTRANGE(""https://docs.google.com/spreadsheets/d/1K0Aa9s-6EuHE5M0FG1F9aHLXRCOV917xvycTdLdct0w/edit?usp=sharing"",""พะเยา!I725"")"),0)</f>
        <v>0</v>
      </c>
      <c r="BF20" s="57">
        <f ca="1">IFERROR(__xludf.DUMMYFUNCTION("IMPORTRANGE(""https://docs.google.com/spreadsheets/d/1K0Aa9s-6EuHE5M0FG1F9aHLXRCOV917xvycTdLdct0w/edit?usp=sharing"",""พะเยา!J723"")"),0)</f>
        <v>0</v>
      </c>
      <c r="BG20" s="57">
        <f ca="1">IFERROR(__xludf.DUMMYFUNCTION("IMPORTRANGE(""https://docs.google.com/spreadsheets/d/1K0Aa9s-6EuHE5M0FG1F9aHLXRCOV917xvycTdLdct0w/edit?usp=sharing"",""พะเยา!J724"")"),0)</f>
        <v>0</v>
      </c>
      <c r="BH20" s="57">
        <f ca="1">IFERROR(__xludf.DUMMYFUNCTION("IMPORTRANGE(""https://docs.google.com/spreadsheets/d/1K0Aa9s-6EuHE5M0FG1F9aHLXRCOV917xvycTdLdct0w/edit?usp=sharing"",""พะเยา!J725"")"),0)</f>
        <v>0</v>
      </c>
      <c r="BI20" s="57">
        <f ca="1">IFERROR(__xludf.DUMMYFUNCTION("IMPORTRANGE(""https://docs.google.com/spreadsheets/d/1K0Aa9s-6EuHE5M0FG1F9aHLXRCOV917xvycTdLdct0w/edit?usp=sharing"",""พะเยา!I726"")"),0)</f>
        <v>0</v>
      </c>
      <c r="BJ20" s="57">
        <f ca="1">IFERROR(__xludf.DUMMYFUNCTION("IMPORTRANGE(""https://docs.google.com/spreadsheets/d/1K0Aa9s-6EuHE5M0FG1F9aHLXRCOV917xvycTdLdct0w/edit?usp=sharing"",""พะเยา!I728"")"),0)</f>
        <v>0</v>
      </c>
      <c r="BK20" s="57">
        <f ca="1">IFERROR(__xludf.DUMMYFUNCTION("IMPORTRANGE(""https://docs.google.com/spreadsheets/d/1K0Aa9s-6EuHE5M0FG1F9aHLXRCOV917xvycTdLdct0w/edit?usp=sharing"",""พะเยา!J726"")"),0)</f>
        <v>0</v>
      </c>
      <c r="BL20" s="57">
        <f ca="1">IFERROR(__xludf.DUMMYFUNCTION("IMPORTRANGE(""https://docs.google.com/spreadsheets/d/1K0Aa9s-6EuHE5M0FG1F9aHLXRCOV917xvycTdLdct0w/edit?usp=sharing"",""พะเยา!J727"")"),0)</f>
        <v>0</v>
      </c>
      <c r="BM20" s="57">
        <f ca="1">IFERROR(__xludf.DUMMYFUNCTION("IMPORTRANGE(""https://docs.google.com/spreadsheets/d/1K0Aa9s-6EuHE5M0FG1F9aHLXRCOV917xvycTdLdct0w/edit?usp=sharing"",""พะเยา!J728"")"),0)</f>
        <v>0</v>
      </c>
      <c r="BN20" s="57">
        <f ca="1">IFERROR(__xludf.DUMMYFUNCTION("IMPORTRANGE(""https://docs.google.com/spreadsheets/d/1K0Aa9s-6EuHE5M0FG1F9aHLXRCOV917xvycTdLdct0w/edit?usp=sharing"",""พะเยา!I729"")"),0)</f>
        <v>0</v>
      </c>
      <c r="BO20" s="57">
        <f ca="1">IFERROR(__xludf.DUMMYFUNCTION("IMPORTRANGE(""https://docs.google.com/spreadsheets/d/1K0Aa9s-6EuHE5M0FG1F9aHLXRCOV917xvycTdLdct0w/edit?usp=sharing"",""พะเยา!J729"")"),0)</f>
        <v>0</v>
      </c>
      <c r="BP20" s="63">
        <f t="shared" ca="1" si="19"/>
        <v>0</v>
      </c>
      <c r="BQ20" s="57">
        <f ca="1">IFERROR(__xludf.DUMMYFUNCTION("IMPORTRANGE(""https://docs.google.com/spreadsheets/d/1K0Aa9s-6EuHE5M0FG1F9aHLXRCOV917xvycTdLdct0w/edit?usp=sharing"",""พะเยา!J730"")"),0)</f>
        <v>0</v>
      </c>
      <c r="BR20" s="57">
        <f ca="1">IFERROR(__xludf.DUMMYFUNCTION("IMPORTRANGE(""https://docs.google.com/spreadsheets/d/1K0Aa9s-6EuHE5M0FG1F9aHLXRCOV917xvycTdLdct0w/edit?usp=sharing"",""พะเยา!J731"")"),0)</f>
        <v>0</v>
      </c>
      <c r="BS20" s="57">
        <f ca="1">IFERROR(__xludf.DUMMYFUNCTION("IMPORTRANGE(""https://docs.google.com/spreadsheets/d/1K0Aa9s-6EuHE5M0FG1F9aHLXRCOV917xvycTdLdct0w/edit?usp=sharing"",""พะเยา!J732"")"),0)</f>
        <v>0</v>
      </c>
      <c r="BT20" s="57">
        <f ca="1">IFERROR(__xludf.DUMMYFUNCTION("IMPORTRANGE(""https://docs.google.com/spreadsheets/d/1K0Aa9s-6EuHE5M0FG1F9aHLXRCOV917xvycTdLdct0w/edit?usp=sharing"",""พะเยา!J733"")"),0)</f>
        <v>0</v>
      </c>
      <c r="BU20" s="57">
        <f ca="1">IFERROR(__xludf.DUMMYFUNCTION("IMPORTRANGE(""https://docs.google.com/spreadsheets/d/1K0Aa9s-6EuHE5M0FG1F9aHLXRCOV917xvycTdLdct0w/edit?usp=sharing"",""พะเยา!J734"")"),0)</f>
        <v>0</v>
      </c>
      <c r="BV20" s="57">
        <f ca="1">IFERROR(__xludf.DUMMYFUNCTION("IMPORTRANGE(""https://docs.google.com/spreadsheets/d/1K0Aa9s-6EuHE5M0FG1F9aHLXRCOV917xvycTdLdct0w/edit?usp=sharing"",""พะเยา!J735"")"),0)</f>
        <v>0</v>
      </c>
    </row>
    <row r="21" spans="1:74" ht="24" customHeight="1" x14ac:dyDescent="0.3">
      <c r="A21" s="54">
        <v>8</v>
      </c>
      <c r="B21" s="55" t="s">
        <v>42</v>
      </c>
      <c r="C21" s="56">
        <f t="shared" ca="1" si="51"/>
        <v>15760</v>
      </c>
      <c r="D21" s="57">
        <f ca="1">IFERROR(__xludf.DUMMYFUNCTION("IMPORTRANGE(""https://docs.google.com/spreadsheets/d/1Y9LPKx95PyL5OKy09d-KbKJSuuEZCFdkhYjwC0XQjBA/edit?usp=sharing"",""พิจิตร!L690"")"),15760)</f>
        <v>15760</v>
      </c>
      <c r="E21" s="64">
        <f ca="1">IFERROR(__xludf.DUMMYFUNCTION("IMPORTRANGE(""https://docs.google.com/spreadsheets/d/1Y9LPKx95PyL5OKy09d-KbKJSuuEZCFdkhYjwC0XQjBA/edit?usp=sharing"",""พิจิตร!L697"")"),0)</f>
        <v>0</v>
      </c>
      <c r="F21" s="64">
        <f ca="1">IFERROR(__xludf.DUMMYFUNCTION("IMPORTRANGE(""https://docs.google.com/spreadsheets/d/1Y9LPKx95PyL5OKy09d-KbKJSuuEZCFdkhYjwC0XQjBA/edit?usp=sharing"",""พิจิตร!M690"")"),15760)</f>
        <v>15760</v>
      </c>
      <c r="G21" s="64">
        <f ca="1">IFERROR(__xludf.DUMMYFUNCTION("IMPORTRANGE(""https://docs.google.com/spreadsheets/d/1Y9LPKx95PyL5OKy09d-KbKJSuuEZCFdkhYjwC0XQjBA/edit?usp=sharing"",""พิจิตร!M697"")"),0)</f>
        <v>0</v>
      </c>
      <c r="H21" s="58">
        <f t="shared" ca="1" si="33"/>
        <v>0</v>
      </c>
      <c r="I21" s="59">
        <f t="shared" ca="1" si="1"/>
        <v>0</v>
      </c>
      <c r="J21" s="60">
        <f t="shared" ca="1" si="52"/>
        <v>0</v>
      </c>
      <c r="K21" s="61">
        <f t="shared" ca="1" si="39"/>
        <v>0</v>
      </c>
      <c r="L21" s="61">
        <f t="shared" ca="1" si="40"/>
        <v>0</v>
      </c>
      <c r="M21" s="64">
        <f ca="1">IFERROR(__xludf.DUMMYFUNCTION("IMPORTRANGE(""https://docs.google.com/spreadsheets/d/1Y9LPKx95PyL5OKy09d-KbKJSuuEZCFdkhYjwC0XQjBA/edit?usp=sharing"",""พิจิตร!N691"")"),0)</f>
        <v>0</v>
      </c>
      <c r="N21" s="64">
        <f ca="1">IFERROR(__xludf.DUMMYFUNCTION("IMPORTRANGE(""https://docs.google.com/spreadsheets/d/1Y9LPKx95PyL5OKy09d-KbKJSuuEZCFdkhYjwC0XQjBA/edit?usp=sharing"",""พิจิตร!N692"")"),0)</f>
        <v>0</v>
      </c>
      <c r="O21" s="64">
        <f ca="1">IFERROR(__xludf.DUMMYFUNCTION("IMPORTRANGE(""https://docs.google.com/spreadsheets/d/1Y9LPKx95PyL5OKy09d-KbKJSuuEZCFdkhYjwC0XQjBA/edit?usp=sharing"",""พิจิตร!N693"")"),0)</f>
        <v>0</v>
      </c>
      <c r="P21" s="64">
        <f ca="1">IFERROR(__xludf.DUMMYFUNCTION("IMPORTRANGE(""https://docs.google.com/spreadsheets/d/1Y9LPKx95PyL5OKy09d-KbKJSuuEZCFdkhYjwC0XQjBA/edit?usp=sharing"",""พิจิตร!N694"")"),0)</f>
        <v>0</v>
      </c>
      <c r="Q21" s="62">
        <f ca="1">IFERROR(__xludf.DUMMYFUNCTION("IMPORTRANGE(""https://docs.google.com/spreadsheets/d/1Y9LPKx95PyL5OKy09d-KbKJSuuEZCFdkhYjwC0XQjBA/edit?usp=sharing"",""พิจิตร!N697"")"),0)</f>
        <v>0</v>
      </c>
      <c r="R21" s="62">
        <f t="shared" ca="1" si="42"/>
        <v>0</v>
      </c>
      <c r="S21" s="57">
        <f ca="1">IFERROR(__xludf.DUMMYFUNCTION("IMPORTRANGE(""https://docs.google.com/spreadsheets/d/1Y9LPKx95PyL5OKy09d-KbKJSuuEZCFdkhYjwC0XQjBA/edit?usp=sharing"",""พิจิตร!I699"")"),50)</f>
        <v>50</v>
      </c>
      <c r="T21" s="57">
        <f ca="1">IFERROR(__xludf.DUMMYFUNCTION("IMPORTRANGE(""https://docs.google.com/spreadsheets/d/1Y9LPKx95PyL5OKy09d-KbKJSuuEZCFdkhYjwC0XQjBA/edit?usp=sharing"",""พิจิตร!J699"")"),0)</f>
        <v>0</v>
      </c>
      <c r="U21" s="63">
        <f t="shared" ca="1" si="34"/>
        <v>0</v>
      </c>
      <c r="V21" s="57">
        <f ca="1">IFERROR(__xludf.DUMMYFUNCTION("IMPORTRANGE(""https://docs.google.com/spreadsheets/d/1Y9LPKx95PyL5OKy09d-KbKJSuuEZCFdkhYjwC0XQjBA/edit?usp=sharing"",""พิจิตร!I700"")"),0)</f>
        <v>0</v>
      </c>
      <c r="W21" s="57">
        <f ca="1">IFERROR(__xludf.DUMMYFUNCTION("IMPORTRANGE(""https://docs.google.com/spreadsheets/d/1Y9LPKx95PyL5OKy09d-KbKJSuuEZCFdkhYjwC0XQjBA/edit?usp=sharing"",""พิจิตร!J700"")"),0)</f>
        <v>0</v>
      </c>
      <c r="X21" s="63">
        <f t="shared" ca="1" si="35"/>
        <v>0</v>
      </c>
      <c r="Y21" s="57">
        <f ca="1">IFERROR(__xludf.DUMMYFUNCTION("IMPORTRANGE(""https://docs.google.com/spreadsheets/d/1Y9LPKx95PyL5OKy09d-KbKJSuuEZCFdkhYjwC0XQjBA/edit?usp=sharing"",""พิจิตร!I701"")"),120)</f>
        <v>120</v>
      </c>
      <c r="Z21" s="57">
        <f ca="1">IFERROR(__xludf.DUMMYFUNCTION("IMPORTRANGE(""https://docs.google.com/spreadsheets/d/1Y9LPKx95PyL5OKy09d-KbKJSuuEZCFdkhYjwC0XQjBA/edit?usp=sharing"",""พิจิตร!J701"")"),15)</f>
        <v>15</v>
      </c>
      <c r="AA21" s="63">
        <f t="shared" ca="1" si="36"/>
        <v>12.5</v>
      </c>
      <c r="AB21" s="63">
        <f ca="1">IFERROR(__xludf.DUMMYFUNCTION("IMPORTRANGE(""https://docs.google.com/spreadsheets/d/1Y9LPKx95PyL5OKy09d-KbKJSuuEZCFdkhYjwC0XQjBA/edit?usp=sharing"",""พิจิตร!J702"")"),0)</f>
        <v>0</v>
      </c>
      <c r="AC21" s="63">
        <f ca="1">IFERROR(__xludf.DUMMYFUNCTION("IMPORTRANGE(""https://docs.google.com/spreadsheets/d/1Y9LPKx95PyL5OKy09d-KbKJSuuEZCFdkhYjwC0XQjBA/edit?usp=sharing"",""พิจิตร!J703"")"),0)</f>
        <v>0</v>
      </c>
      <c r="AD21" s="63">
        <f ca="1">IFERROR(__xludf.DUMMYFUNCTION("IMPORTRANGE(""https://docs.google.com/spreadsheets/d/1Y9LPKx95PyL5OKy09d-KbKJSuuEZCFdkhYjwC0XQjBA/edit?usp=sharing"",""พิจิตร!J704"")"),0)</f>
        <v>0</v>
      </c>
      <c r="AE21" s="63">
        <f ca="1">IFERROR(__xludf.DUMMYFUNCTION("IMPORTRANGE(""https://docs.google.com/spreadsheets/d/1Y9LPKx95PyL5OKy09d-KbKJSuuEZCFdkhYjwC0XQjBA/edit?usp=sharing"",""พิจิตร!J705"")"),1)</f>
        <v>1</v>
      </c>
      <c r="AF21" s="63">
        <f ca="1">IFERROR(__xludf.DUMMYFUNCTION("IMPORTRANGE(""https://docs.google.com/spreadsheets/d/1Y9LPKx95PyL5OKy09d-KbKJSuuEZCFdkhYjwC0XQjBA/edit?usp=sharing"",""พิจิตร!J706"")"),1)</f>
        <v>1</v>
      </c>
      <c r="AG21" s="63">
        <f ca="1">IFERROR(__xludf.DUMMYFUNCTION("IMPORTRANGE(""https://docs.google.com/spreadsheets/d/1Y9LPKx95PyL5OKy09d-KbKJSuuEZCFdkhYjwC0XQjBA/edit?usp=sharing"",""พิจิตร!J707"")"),15)</f>
        <v>15</v>
      </c>
      <c r="AH21" s="57">
        <f ca="1">IFERROR(__xludf.DUMMYFUNCTION("IMPORTRANGE(""https://docs.google.com/spreadsheets/d/1Y9LPKx95PyL5OKy09d-KbKJSuuEZCFdkhYjwC0XQjBA/edit?usp=sharing"",""พิจิตร!I708"")"),0)</f>
        <v>0</v>
      </c>
      <c r="AI21" s="57">
        <f ca="1">IFERROR(__xludf.DUMMYFUNCTION("IMPORTRANGE(""https://docs.google.com/spreadsheets/d/1Y9LPKx95PyL5OKy09d-KbKJSuuEZCFdkhYjwC0XQjBA/edit?usp=sharing"",""พิจิตร!J708"")"),0)</f>
        <v>0</v>
      </c>
      <c r="AJ21" s="63">
        <f t="shared" ca="1" si="37"/>
        <v>0</v>
      </c>
      <c r="AK21" s="57">
        <f ca="1">IFERROR(__xludf.DUMMYFUNCTION("IMPORTRANGE(""https://docs.google.com/spreadsheets/d/1Y9LPKx95PyL5OKy09d-KbKJSuuEZCFdkhYjwC0XQjBA/edit?usp=sharing"",""พิจิตร!J709"")"),0)</f>
        <v>0</v>
      </c>
      <c r="AL21" s="57">
        <f ca="1">IFERROR(__xludf.DUMMYFUNCTION("IMPORTRANGE(""https://docs.google.com/spreadsheets/d/1Y9LPKx95PyL5OKy09d-KbKJSuuEZCFdkhYjwC0XQjBA/edit?usp=sharing"",""พิจิตร!J710"")"),0)</f>
        <v>0</v>
      </c>
      <c r="AM21" s="57">
        <f ca="1">IFERROR(__xludf.DUMMYFUNCTION("IMPORTRANGE(""https://docs.google.com/spreadsheets/d/1Y9LPKx95PyL5OKy09d-KbKJSuuEZCFdkhYjwC0XQjBA/edit?usp=sharing"",""พิจิตร!J712"")"),0)</f>
        <v>0</v>
      </c>
      <c r="AN21" s="57">
        <f ca="1">IFERROR(__xludf.DUMMYFUNCTION("IMPORTRANGE(""https://docs.google.com/spreadsheets/d/1Y9LPKx95PyL5OKy09d-KbKJSuuEZCFdkhYjwC0XQjBA/edit?usp=sharing"",""พิจิตร!J713"")"),0)</f>
        <v>0</v>
      </c>
      <c r="AO21" s="57">
        <f ca="1">IFERROR(__xludf.DUMMYFUNCTION("IMPORTRANGE(""https://docs.google.com/spreadsheets/d/1Y9LPKx95PyL5OKy09d-KbKJSuuEZCFdkhYjwC0XQjBA/edit?usp=sharing"",""พิจิตร!J714"")"),0)</f>
        <v>0</v>
      </c>
      <c r="AP21" s="57">
        <f ca="1">IFERROR(__xludf.DUMMYFUNCTION("IMPORTRANGE(""https://docs.google.com/spreadsheets/d/1Y9LPKx95PyL5OKy09d-KbKJSuuEZCFdkhYjwC0XQjBA/edit?usp=sharing"",""พิจิตร!J715"")"),0)</f>
        <v>0</v>
      </c>
      <c r="AQ21" s="57">
        <f ca="1">IFERROR(__xludf.DUMMYFUNCTION("IMPORTRANGE(""https://docs.google.com/spreadsheets/d/1Y9LPKx95PyL5OKy09d-KbKJSuuEZCFdkhYjwC0XQjBA/edit?usp=sharing"",""พิจิตร!J716"")"),0)</f>
        <v>0</v>
      </c>
      <c r="AR21" s="57">
        <f ca="1">IFERROR(__xludf.DUMMYFUNCTION("IMPORTRANGE(""https://docs.google.com/spreadsheets/d/1Y9LPKx95PyL5OKy09d-KbKJSuuEZCFdkhYjwC0XQjBA/edit?usp=sharing"",""พิจิตร!J717"")"),0)</f>
        <v>0</v>
      </c>
      <c r="AS21" s="57">
        <f ca="1">IFERROR(__xludf.DUMMYFUNCTION("IMPORTRANGE(""https://docs.google.com/spreadsheets/d/1Y9LPKx95PyL5OKy09d-KbKJSuuEZCFdkhYjwC0XQjBA/edit?usp=sharing"",""พิจิตร!I720"")"),80)</f>
        <v>80</v>
      </c>
      <c r="AT21" s="57">
        <f ca="1">IFERROR(__xludf.DUMMYFUNCTION("IMPORTRANGE(""https://docs.google.com/spreadsheets/d/1Y9LPKx95PyL5OKy09d-KbKJSuuEZCFdkhYjwC0XQjBA/edit?usp=sharing"",""พิจิตร!J718"")"),0)</f>
        <v>0</v>
      </c>
      <c r="AU21" s="57">
        <f ca="1">IFERROR(__xludf.DUMMYFUNCTION("IMPORTRANGE(""https://docs.google.com/spreadsheets/d/1Y9LPKx95PyL5OKy09d-KbKJSuuEZCFdkhYjwC0XQjBA/edit?usp=sharing"",""พิจิตร!J719"")"),0)</f>
        <v>0</v>
      </c>
      <c r="AV21" s="57">
        <f ca="1">IFERROR(__xludf.DUMMYFUNCTION("IMPORTRANGE(""https://docs.google.com/spreadsheets/d/1Y9LPKx95PyL5OKy09d-KbKJSuuEZCFdkhYjwC0XQjBA/edit?usp=sharing"",""พิจิตร!J720"")"),0)</f>
        <v>0</v>
      </c>
      <c r="AW21" s="63">
        <f t="shared" ca="1" si="14"/>
        <v>0</v>
      </c>
      <c r="AX21" s="57">
        <f ca="1">IFERROR(__xludf.DUMMYFUNCTION("IMPORTRANGE(""https://docs.google.com/spreadsheets/d/1Y9LPKx95PyL5OKy09d-KbKJSuuEZCFdkhYjwC0XQjBA/edit?usp=sharing"",""พิจิตร!I721"")"),8)</f>
        <v>8</v>
      </c>
      <c r="AY21" s="57">
        <f ca="1">IFERROR(__xludf.DUMMYFUNCTION("IMPORTRANGE(""https://docs.google.com/spreadsheets/d/1Y9LPKx95PyL5OKy09d-KbKJSuuEZCFdkhYjwC0XQjBA/edit?usp=sharing"",""พิจิตร!I722"")"),80)</f>
        <v>80</v>
      </c>
      <c r="AZ21" s="57">
        <f ca="1">IFERROR(__xludf.DUMMYFUNCTION("IMPORTRANGE(""https://docs.google.com/spreadsheets/d/1Y9LPKx95PyL5OKy09d-KbKJSuuEZCFdkhYjwC0XQjBA/edit?usp=sharing"",""พิจิตร!J721"")"),1)</f>
        <v>1</v>
      </c>
      <c r="BA21" s="63">
        <f t="shared" ca="1" si="16"/>
        <v>12.5</v>
      </c>
      <c r="BB21" s="57">
        <f ca="1">IFERROR(__xludf.DUMMYFUNCTION("IMPORTRANGE(""https://docs.google.com/spreadsheets/d/1Y9LPKx95PyL5OKy09d-KbKJSuuEZCFdkhYjwC0XQjBA/edit?usp=sharing"",""พิจิตร!J722"")"),14.78)</f>
        <v>14.78</v>
      </c>
      <c r="BC21" s="63">
        <f t="shared" ca="1" si="17"/>
        <v>18.475000000000001</v>
      </c>
      <c r="BD21" s="57">
        <f ca="1">IFERROR(__xludf.DUMMYFUNCTION("IMPORTRANGE(""https://docs.google.com/spreadsheets/d/1Y9LPKx95PyL5OKy09d-KbKJSuuEZCFdkhYjwC0XQjBA/edit?usp=sharing"",""พิจิตร!I723"")"),4)</f>
        <v>4</v>
      </c>
      <c r="BE21" s="57">
        <f ca="1">IFERROR(__xludf.DUMMYFUNCTION("IMPORTRANGE(""https://docs.google.com/spreadsheets/d/1Y9LPKx95PyL5OKy09d-KbKJSuuEZCFdkhYjwC0XQjBA/edit?usp=sharing"",""พิจิตร!I725"")"),40)</f>
        <v>40</v>
      </c>
      <c r="BF21" s="57">
        <f ca="1">IFERROR(__xludf.DUMMYFUNCTION("IMPORTRANGE(""https://docs.google.com/spreadsheets/d/1Y9LPKx95PyL5OKy09d-KbKJSuuEZCFdkhYjwC0XQjBA/edit?usp=sharing"",""พิจิตร!J723"")"),1)</f>
        <v>1</v>
      </c>
      <c r="BG21" s="57">
        <f ca="1">IFERROR(__xludf.DUMMYFUNCTION("IMPORTRANGE(""https://docs.google.com/spreadsheets/d/1Y9LPKx95PyL5OKy09d-KbKJSuuEZCFdkhYjwC0XQjBA/edit?usp=sharing"",""พิจิตร!J724"")"),1)</f>
        <v>1</v>
      </c>
      <c r="BH21" s="57">
        <f ca="1">IFERROR(__xludf.DUMMYFUNCTION("IMPORTRANGE(""https://docs.google.com/spreadsheets/d/1Y9LPKx95PyL5OKy09d-KbKJSuuEZCFdkhYjwC0XQjBA/edit?usp=sharing"",""พิจิตร!J725"")"),14.78)</f>
        <v>14.78</v>
      </c>
      <c r="BI21" s="57">
        <f ca="1">IFERROR(__xludf.DUMMYFUNCTION("IMPORTRANGE(""https://docs.google.com/spreadsheets/d/1Y9LPKx95PyL5OKy09d-KbKJSuuEZCFdkhYjwC0XQjBA/edit?usp=sharing"",""พิจิตร!I726"")"),4)</f>
        <v>4</v>
      </c>
      <c r="BJ21" s="57">
        <f ca="1">IFERROR(__xludf.DUMMYFUNCTION("IMPORTRANGE(""https://docs.google.com/spreadsheets/d/1Y9LPKx95PyL5OKy09d-KbKJSuuEZCFdkhYjwC0XQjBA/edit?usp=sharing"",""พิจิตร!I728"")"),40)</f>
        <v>40</v>
      </c>
      <c r="BK21" s="57">
        <f ca="1">IFERROR(__xludf.DUMMYFUNCTION("IMPORTRANGE(""https://docs.google.com/spreadsheets/d/1Y9LPKx95PyL5OKy09d-KbKJSuuEZCFdkhYjwC0XQjBA/edit?usp=sharing"",""พิจิตร!J726"")"),0)</f>
        <v>0</v>
      </c>
      <c r="BL21" s="57">
        <f ca="1">IFERROR(__xludf.DUMMYFUNCTION("IMPORTRANGE(""https://docs.google.com/spreadsheets/d/1Y9LPKx95PyL5OKy09d-KbKJSuuEZCFdkhYjwC0XQjBA/edit?usp=sharing"",""พิจิตร!J727"")"),0)</f>
        <v>0</v>
      </c>
      <c r="BM21" s="57">
        <f ca="1">IFERROR(__xludf.DUMMYFUNCTION("IMPORTRANGE(""https://docs.google.com/spreadsheets/d/1Y9LPKx95PyL5OKy09d-KbKJSuuEZCFdkhYjwC0XQjBA/edit?usp=sharing"",""พิจิตร!J728"")"),0)</f>
        <v>0</v>
      </c>
      <c r="BN21" s="57">
        <f ca="1">IFERROR(__xludf.DUMMYFUNCTION("IMPORTRANGE(""https://docs.google.com/spreadsheets/d/1Y9LPKx95PyL5OKy09d-KbKJSuuEZCFdkhYjwC0XQjBA/edit?usp=sharing"",""พิจิตร!I729"")"),0)</f>
        <v>0</v>
      </c>
      <c r="BO21" s="57">
        <f ca="1">IFERROR(__xludf.DUMMYFUNCTION("IMPORTRANGE(""https://docs.google.com/spreadsheets/d/1Y9LPKx95PyL5OKy09d-KbKJSuuEZCFdkhYjwC0XQjBA/edit?usp=sharing"",""พิจิตร!J729"")"),0)</f>
        <v>0</v>
      </c>
      <c r="BP21" s="63">
        <f t="shared" ca="1" si="19"/>
        <v>0</v>
      </c>
      <c r="BQ21" s="57">
        <f ca="1">IFERROR(__xludf.DUMMYFUNCTION("IMPORTRANGE(""https://docs.google.com/spreadsheets/d/1Y9LPKx95PyL5OKy09d-KbKJSuuEZCFdkhYjwC0XQjBA/edit?usp=sharing"",""พิจิตร!J730"")"),0)</f>
        <v>0</v>
      </c>
      <c r="BR21" s="57">
        <f ca="1">IFERROR(__xludf.DUMMYFUNCTION("IMPORTRANGE(""https://docs.google.com/spreadsheets/d/1Y9LPKx95PyL5OKy09d-KbKJSuuEZCFdkhYjwC0XQjBA/edit?usp=sharing"",""พิจิตร!J731"")"),0)</f>
        <v>0</v>
      </c>
      <c r="BS21" s="57">
        <f ca="1">IFERROR(__xludf.DUMMYFUNCTION("IMPORTRANGE(""https://docs.google.com/spreadsheets/d/1Y9LPKx95PyL5OKy09d-KbKJSuuEZCFdkhYjwC0XQjBA/edit?usp=sharing"",""พิจิตร!J732"")"),0)</f>
        <v>0</v>
      </c>
      <c r="BT21" s="57">
        <f ca="1">IFERROR(__xludf.DUMMYFUNCTION("IMPORTRANGE(""https://docs.google.com/spreadsheets/d/1Y9LPKx95PyL5OKy09d-KbKJSuuEZCFdkhYjwC0XQjBA/edit?usp=sharing"",""พิจิตร!J733"")"),0)</f>
        <v>0</v>
      </c>
      <c r="BU21" s="57">
        <f ca="1">IFERROR(__xludf.DUMMYFUNCTION("IMPORTRANGE(""https://docs.google.com/spreadsheets/d/1Y9LPKx95PyL5OKy09d-KbKJSuuEZCFdkhYjwC0XQjBA/edit?usp=sharing"",""พิจิตร!J734"")"),0)</f>
        <v>0</v>
      </c>
      <c r="BV21" s="57">
        <f ca="1">IFERROR(__xludf.DUMMYFUNCTION("IMPORTRANGE(""https://docs.google.com/spreadsheets/d/1Y9LPKx95PyL5OKy09d-KbKJSuuEZCFdkhYjwC0XQjBA/edit?usp=sharing"",""พิจิตร!J735"")"),0)</f>
        <v>0</v>
      </c>
    </row>
    <row r="22" spans="1:74" ht="24" customHeight="1" x14ac:dyDescent="0.3">
      <c r="A22" s="54">
        <v>9</v>
      </c>
      <c r="B22" s="55" t="s">
        <v>43</v>
      </c>
      <c r="C22" s="56">
        <f t="shared" ca="1" si="51"/>
        <v>0</v>
      </c>
      <c r="D22" s="57">
        <f ca="1">IFERROR(__xludf.DUMMYFUNCTION("IMPORTRANGE(""https://docs.google.com/spreadsheets/d/16OMuOwy2eVqZcYWOouQtTpa8X1L23h4660uVHc0C8os/edit?usp=sharing"",""พิษณุโลก!L690"")"),0)</f>
        <v>0</v>
      </c>
      <c r="E22" s="64">
        <f ca="1">IFERROR(__xludf.DUMMYFUNCTION("IMPORTRANGE(""https://docs.google.com/spreadsheets/d/16OMuOwy2eVqZcYWOouQtTpa8X1L23h4660uVHc0C8os/edit?usp=sharing"",""พิษณุโลก!L697"")"),0)</f>
        <v>0</v>
      </c>
      <c r="F22" s="64">
        <f ca="1">IFERROR(__xludf.DUMMYFUNCTION("IMPORTRANGE(""https://docs.google.com/spreadsheets/d/16OMuOwy2eVqZcYWOouQtTpa8X1L23h4660uVHc0C8os/edit?usp=sharing"",""พิษณุโลก!M690"")"),0)</f>
        <v>0</v>
      </c>
      <c r="G22" s="64">
        <f ca="1">IFERROR(__xludf.DUMMYFUNCTION("IMPORTRANGE(""https://docs.google.com/spreadsheets/d/16OMuOwy2eVqZcYWOouQtTpa8X1L23h4660uVHc0C8os/edit?usp=sharing"",""พิษณุโลก!M697"")"),0)</f>
        <v>0</v>
      </c>
      <c r="H22" s="58">
        <f t="shared" ca="1" si="33"/>
        <v>0</v>
      </c>
      <c r="I22" s="59">
        <f t="shared" ca="1" si="1"/>
        <v>0</v>
      </c>
      <c r="J22" s="60">
        <f t="shared" ca="1" si="52"/>
        <v>0</v>
      </c>
      <c r="K22" s="61">
        <f t="shared" ca="1" si="39"/>
        <v>0</v>
      </c>
      <c r="L22" s="61">
        <f t="shared" ca="1" si="40"/>
        <v>0</v>
      </c>
      <c r="M22" s="64">
        <f ca="1">IFERROR(__xludf.DUMMYFUNCTION("IMPORTRANGE(""https://docs.google.com/spreadsheets/d/16OMuOwy2eVqZcYWOouQtTpa8X1L23h4660uVHc0C8os/edit?usp=sharing"",""พิษณุโลก!N691"")"),0)</f>
        <v>0</v>
      </c>
      <c r="N22" s="64">
        <f ca="1">IFERROR(__xludf.DUMMYFUNCTION("IMPORTRANGE(""https://docs.google.com/spreadsheets/d/16OMuOwy2eVqZcYWOouQtTpa8X1L23h4660uVHc0C8os/edit?usp=sharing"",""พิษณุโลก!N692"")"),0)</f>
        <v>0</v>
      </c>
      <c r="O22" s="64">
        <f ca="1">IFERROR(__xludf.DUMMYFUNCTION("IMPORTRANGE(""https://docs.google.com/spreadsheets/d/16OMuOwy2eVqZcYWOouQtTpa8X1L23h4660uVHc0C8os/edit?usp=sharing"",""พิษณุโลก!N693"")"),0)</f>
        <v>0</v>
      </c>
      <c r="P22" s="64">
        <f ca="1">IFERROR(__xludf.DUMMYFUNCTION("IMPORTRANGE(""https://docs.google.com/spreadsheets/d/16OMuOwy2eVqZcYWOouQtTpa8X1L23h4660uVHc0C8os/edit?usp=sharing"",""พิษณุโลก!N694"")"),0)</f>
        <v>0</v>
      </c>
      <c r="Q22" s="62">
        <f ca="1">IFERROR(__xludf.DUMMYFUNCTION("IMPORTRANGE(""https://docs.google.com/spreadsheets/d/16OMuOwy2eVqZcYWOouQtTpa8X1L23h4660uVHc0C8os/edit?usp=sharing"",""พิษณุโลก!N697"")"),0)</f>
        <v>0</v>
      </c>
      <c r="R22" s="62">
        <f t="shared" ca="1" si="42"/>
        <v>0</v>
      </c>
      <c r="S22" s="57">
        <f ca="1">IFERROR(__xludf.DUMMYFUNCTION("IMPORTRANGE(""https://docs.google.com/spreadsheets/d/16OMuOwy2eVqZcYWOouQtTpa8X1L23h4660uVHc0C8os/edit?usp=sharing"",""พิษณุโลก!I699"")"),0)</f>
        <v>0</v>
      </c>
      <c r="T22" s="57">
        <f ca="1">IFERROR(__xludf.DUMMYFUNCTION("IMPORTRANGE(""https://docs.google.com/spreadsheets/d/16OMuOwy2eVqZcYWOouQtTpa8X1L23h4660uVHc0C8os/edit?usp=sharing"",""พิษณุโลก!J699"")"),0)</f>
        <v>0</v>
      </c>
      <c r="U22" s="63">
        <f t="shared" ca="1" si="34"/>
        <v>0</v>
      </c>
      <c r="V22" s="57">
        <f ca="1">IFERROR(__xludf.DUMMYFUNCTION("IMPORTRANGE(""https://docs.google.com/spreadsheets/d/16OMuOwy2eVqZcYWOouQtTpa8X1L23h4660uVHc0C8os/edit?usp=sharing"",""พิษณุโลก!I700"")"),0)</f>
        <v>0</v>
      </c>
      <c r="W22" s="57">
        <f ca="1">IFERROR(__xludf.DUMMYFUNCTION("IMPORTRANGE(""https://docs.google.com/spreadsheets/d/16OMuOwy2eVqZcYWOouQtTpa8X1L23h4660uVHc0C8os/edit?usp=sharing"",""พิษณุโลก!J700"")"),0)</f>
        <v>0</v>
      </c>
      <c r="X22" s="63">
        <f t="shared" ca="1" si="35"/>
        <v>0</v>
      </c>
      <c r="Y22" s="57">
        <f ca="1">IFERROR(__xludf.DUMMYFUNCTION("IMPORTRANGE(""https://docs.google.com/spreadsheets/d/16OMuOwy2eVqZcYWOouQtTpa8X1L23h4660uVHc0C8os/edit?usp=sharing"",""พิษณุโลก!I701"")"),0)</f>
        <v>0</v>
      </c>
      <c r="Z22" s="57">
        <f ca="1">IFERROR(__xludf.DUMMYFUNCTION("IMPORTRANGE(""https://docs.google.com/spreadsheets/d/16OMuOwy2eVqZcYWOouQtTpa8X1L23h4660uVHc0C8os/edit?usp=sharing"",""พิษณุโลก!J701"")"),0)</f>
        <v>0</v>
      </c>
      <c r="AA22" s="63">
        <f t="shared" ca="1" si="36"/>
        <v>0</v>
      </c>
      <c r="AB22" s="63">
        <f ca="1">IFERROR(__xludf.DUMMYFUNCTION("IMPORTRANGE(""https://docs.google.com/spreadsheets/d/16OMuOwy2eVqZcYWOouQtTpa8X1L23h4660uVHc0C8os/edit?usp=sharing"",""พิษณุโลก!J702"")"),0)</f>
        <v>0</v>
      </c>
      <c r="AC22" s="63">
        <f ca="1">IFERROR(__xludf.DUMMYFUNCTION("IMPORTRANGE(""https://docs.google.com/spreadsheets/d/16OMuOwy2eVqZcYWOouQtTpa8X1L23h4660uVHc0C8os/edit?usp=sharing"",""พิษณุโลก!J703"")"),0)</f>
        <v>0</v>
      </c>
      <c r="AD22" s="63">
        <f ca="1">IFERROR(__xludf.DUMMYFUNCTION("IMPORTRANGE(""https://docs.google.com/spreadsheets/d/16OMuOwy2eVqZcYWOouQtTpa8X1L23h4660uVHc0C8os/edit?usp=sharing"",""พิษณุโลก!J704"")"),0)</f>
        <v>0</v>
      </c>
      <c r="AE22" s="63">
        <f ca="1">IFERROR(__xludf.DUMMYFUNCTION("IMPORTRANGE(""https://docs.google.com/spreadsheets/d/16OMuOwy2eVqZcYWOouQtTpa8X1L23h4660uVHc0C8os/edit?usp=sharing"",""พิษณุโลก!J705"")"),0)</f>
        <v>0</v>
      </c>
      <c r="AF22" s="63">
        <f ca="1">IFERROR(__xludf.DUMMYFUNCTION("IMPORTRANGE(""https://docs.google.com/spreadsheets/d/16OMuOwy2eVqZcYWOouQtTpa8X1L23h4660uVHc0C8os/edit?usp=sharing"",""พิษณุโลก!J706"")"),0)</f>
        <v>0</v>
      </c>
      <c r="AG22" s="63">
        <f ca="1">IFERROR(__xludf.DUMMYFUNCTION("IMPORTRANGE(""https://docs.google.com/spreadsheets/d/16OMuOwy2eVqZcYWOouQtTpa8X1L23h4660uVHc0C8os/edit?usp=sharing"",""พิษณุโลก!J707"")"),0)</f>
        <v>0</v>
      </c>
      <c r="AH22" s="57">
        <f ca="1">IFERROR(__xludf.DUMMYFUNCTION("IMPORTRANGE(""https://docs.google.com/spreadsheets/d/16OMuOwy2eVqZcYWOouQtTpa8X1L23h4660uVHc0C8os/edit?usp=sharing"",""พิษณุโลก!I708"")"),0)</f>
        <v>0</v>
      </c>
      <c r="AI22" s="57">
        <f ca="1">IFERROR(__xludf.DUMMYFUNCTION("IMPORTRANGE(""https://docs.google.com/spreadsheets/d/16OMuOwy2eVqZcYWOouQtTpa8X1L23h4660uVHc0C8os/edit?usp=sharing"",""พิษณุโลก!J708"")"),0)</f>
        <v>0</v>
      </c>
      <c r="AJ22" s="63">
        <f t="shared" ca="1" si="37"/>
        <v>0</v>
      </c>
      <c r="AK22" s="57">
        <f ca="1">IFERROR(__xludf.DUMMYFUNCTION("IMPORTRANGE(""https://docs.google.com/spreadsheets/d/16OMuOwy2eVqZcYWOouQtTpa8X1L23h4660uVHc0C8os/edit?usp=sharing"",""พิษณุโลก!J709"")"),0)</f>
        <v>0</v>
      </c>
      <c r="AL22" s="57">
        <f ca="1">IFERROR(__xludf.DUMMYFUNCTION("IMPORTRANGE(""https://docs.google.com/spreadsheets/d/16OMuOwy2eVqZcYWOouQtTpa8X1L23h4660uVHc0C8os/edit?usp=sharing"",""พิษณุโลก!J710"")"),0)</f>
        <v>0</v>
      </c>
      <c r="AM22" s="57">
        <f ca="1">IFERROR(__xludf.DUMMYFUNCTION("IMPORTRANGE(""https://docs.google.com/spreadsheets/d/16OMuOwy2eVqZcYWOouQtTpa8X1L23h4660uVHc0C8os/edit?usp=sharing"",""พิษณุโลก!J712"")"),0)</f>
        <v>0</v>
      </c>
      <c r="AN22" s="57">
        <f ca="1">IFERROR(__xludf.DUMMYFUNCTION("IMPORTRANGE(""https://docs.google.com/spreadsheets/d/16OMuOwy2eVqZcYWOouQtTpa8X1L23h4660uVHc0C8os/edit?usp=sharing"",""พิษณุโลก!J713"")"),0)</f>
        <v>0</v>
      </c>
      <c r="AO22" s="57">
        <f ca="1">IFERROR(__xludf.DUMMYFUNCTION("IMPORTRANGE(""https://docs.google.com/spreadsheets/d/16OMuOwy2eVqZcYWOouQtTpa8X1L23h4660uVHc0C8os/edit?usp=sharing"",""พิษณุโลก!J714"")"),0)</f>
        <v>0</v>
      </c>
      <c r="AP22" s="57">
        <f ca="1">IFERROR(__xludf.DUMMYFUNCTION("IMPORTRANGE(""https://docs.google.com/spreadsheets/d/16OMuOwy2eVqZcYWOouQtTpa8X1L23h4660uVHc0C8os/edit?usp=sharing"",""พิษณุโลก!J715"")"),0)</f>
        <v>0</v>
      </c>
      <c r="AQ22" s="57">
        <f ca="1">IFERROR(__xludf.DUMMYFUNCTION("IMPORTRANGE(""https://docs.google.com/spreadsheets/d/16OMuOwy2eVqZcYWOouQtTpa8X1L23h4660uVHc0C8os/edit?usp=sharing"",""พิษณุโลก!J716"")"),0)</f>
        <v>0</v>
      </c>
      <c r="AR22" s="57">
        <f ca="1">IFERROR(__xludf.DUMMYFUNCTION("IMPORTRANGE(""https://docs.google.com/spreadsheets/d/16OMuOwy2eVqZcYWOouQtTpa8X1L23h4660uVHc0C8os/edit?usp=sharing"",""พิษณุโลก!J717"")"),0)</f>
        <v>0</v>
      </c>
      <c r="AS22" s="57">
        <f ca="1">IFERROR(__xludf.DUMMYFUNCTION("IMPORTRANGE(""https://docs.google.com/spreadsheets/d/16OMuOwy2eVqZcYWOouQtTpa8X1L23h4660uVHc0C8os/edit?usp=sharing"",""พิษณุโลก!I720"")"),0)</f>
        <v>0</v>
      </c>
      <c r="AT22" s="57">
        <f ca="1">IFERROR(__xludf.DUMMYFUNCTION("IMPORTRANGE(""https://docs.google.com/spreadsheets/d/16OMuOwy2eVqZcYWOouQtTpa8X1L23h4660uVHc0C8os/edit?usp=sharing"",""พิษณุโลก!J718"")"),0)</f>
        <v>0</v>
      </c>
      <c r="AU22" s="57">
        <f ca="1">IFERROR(__xludf.DUMMYFUNCTION("IMPORTRANGE(""https://docs.google.com/spreadsheets/d/16OMuOwy2eVqZcYWOouQtTpa8X1L23h4660uVHc0C8os/edit?usp=sharing"",""พิษณุโลก!J719"")"),0)</f>
        <v>0</v>
      </c>
      <c r="AV22" s="57">
        <f ca="1">IFERROR(__xludf.DUMMYFUNCTION("IMPORTRANGE(""https://docs.google.com/spreadsheets/d/16OMuOwy2eVqZcYWOouQtTpa8X1L23h4660uVHc0C8os/edit?usp=sharing"",""พิษณุโลก!J720"")"),0)</f>
        <v>0</v>
      </c>
      <c r="AW22" s="63">
        <f t="shared" ca="1" si="14"/>
        <v>0</v>
      </c>
      <c r="AX22" s="57">
        <f ca="1">IFERROR(__xludf.DUMMYFUNCTION("IMPORTRANGE(""https://docs.google.com/spreadsheets/d/16OMuOwy2eVqZcYWOouQtTpa8X1L23h4660uVHc0C8os/edit?usp=sharing"",""พิษณุโลก!I721"")"),0)</f>
        <v>0</v>
      </c>
      <c r="AY22" s="57">
        <f ca="1">IFERROR(__xludf.DUMMYFUNCTION("IMPORTRANGE(""https://docs.google.com/spreadsheets/d/16OMuOwy2eVqZcYWOouQtTpa8X1L23h4660uVHc0C8os/edit?usp=sharing"",""พิษณุโลก!I722"")"),0)</f>
        <v>0</v>
      </c>
      <c r="AZ22" s="57">
        <f ca="1">IFERROR(__xludf.DUMMYFUNCTION("IMPORTRANGE(""https://docs.google.com/spreadsheets/d/16OMuOwy2eVqZcYWOouQtTpa8X1L23h4660uVHc0C8os/edit?usp=sharing"",""พิษณุโลก!J721"")"),0)</f>
        <v>0</v>
      </c>
      <c r="BA22" s="63">
        <f t="shared" ca="1" si="16"/>
        <v>0</v>
      </c>
      <c r="BB22" s="57">
        <f ca="1">IFERROR(__xludf.DUMMYFUNCTION("IMPORTRANGE(""https://docs.google.com/spreadsheets/d/16OMuOwy2eVqZcYWOouQtTpa8X1L23h4660uVHc0C8os/edit?usp=sharing"",""พิษณุโลก!J722"")"),0)</f>
        <v>0</v>
      </c>
      <c r="BC22" s="63">
        <f t="shared" ca="1" si="17"/>
        <v>0</v>
      </c>
      <c r="BD22" s="57">
        <f ca="1">IFERROR(__xludf.DUMMYFUNCTION("IMPORTRANGE(""https://docs.google.com/spreadsheets/d/16OMuOwy2eVqZcYWOouQtTpa8X1L23h4660uVHc0C8os/edit?usp=sharing"",""พิษณุโลก!I723"")"),0)</f>
        <v>0</v>
      </c>
      <c r="BE22" s="57">
        <f ca="1">IFERROR(__xludf.DUMMYFUNCTION("IMPORTRANGE(""https://docs.google.com/spreadsheets/d/16OMuOwy2eVqZcYWOouQtTpa8X1L23h4660uVHc0C8os/edit?usp=sharing"",""พิษณุโลก!I725"")"),0)</f>
        <v>0</v>
      </c>
      <c r="BF22" s="57">
        <f ca="1">IFERROR(__xludf.DUMMYFUNCTION("IMPORTRANGE(""https://docs.google.com/spreadsheets/d/16OMuOwy2eVqZcYWOouQtTpa8X1L23h4660uVHc0C8os/edit?usp=sharing"",""พิษณุโลก!J723"")"),0)</f>
        <v>0</v>
      </c>
      <c r="BG22" s="57">
        <f ca="1">IFERROR(__xludf.DUMMYFUNCTION("IMPORTRANGE(""https://docs.google.com/spreadsheets/d/16OMuOwy2eVqZcYWOouQtTpa8X1L23h4660uVHc0C8os/edit?usp=sharing"",""พิษณุโลก!J724"")"),0)</f>
        <v>0</v>
      </c>
      <c r="BH22" s="57">
        <f ca="1">IFERROR(__xludf.DUMMYFUNCTION("IMPORTRANGE(""https://docs.google.com/spreadsheets/d/16OMuOwy2eVqZcYWOouQtTpa8X1L23h4660uVHc0C8os/edit?usp=sharing"",""พิษณุโลก!J725"")"),0)</f>
        <v>0</v>
      </c>
      <c r="BI22" s="57">
        <f ca="1">IFERROR(__xludf.DUMMYFUNCTION("IMPORTRANGE(""https://docs.google.com/spreadsheets/d/16OMuOwy2eVqZcYWOouQtTpa8X1L23h4660uVHc0C8os/edit?usp=sharing"",""พิษณุโลก!I726"")"),0)</f>
        <v>0</v>
      </c>
      <c r="BJ22" s="57">
        <f ca="1">IFERROR(__xludf.DUMMYFUNCTION("IMPORTRANGE(""https://docs.google.com/spreadsheets/d/16OMuOwy2eVqZcYWOouQtTpa8X1L23h4660uVHc0C8os/edit?usp=sharing"",""พิษณุโลก!I728"")"),0)</f>
        <v>0</v>
      </c>
      <c r="BK22" s="57">
        <f ca="1">IFERROR(__xludf.DUMMYFUNCTION("IMPORTRANGE(""https://docs.google.com/spreadsheets/d/16OMuOwy2eVqZcYWOouQtTpa8X1L23h4660uVHc0C8os/edit?usp=sharing"",""พิษณุโลก!J726"")"),0)</f>
        <v>0</v>
      </c>
      <c r="BL22" s="57">
        <f ca="1">IFERROR(__xludf.DUMMYFUNCTION("IMPORTRANGE(""https://docs.google.com/spreadsheets/d/16OMuOwy2eVqZcYWOouQtTpa8X1L23h4660uVHc0C8os/edit?usp=sharing"",""พิษณุโลก!J727"")"),0)</f>
        <v>0</v>
      </c>
      <c r="BM22" s="57">
        <f ca="1">IFERROR(__xludf.DUMMYFUNCTION("IMPORTRANGE(""https://docs.google.com/spreadsheets/d/16OMuOwy2eVqZcYWOouQtTpa8X1L23h4660uVHc0C8os/edit?usp=sharing"",""พิษณุโลก!J728"")"),0)</f>
        <v>0</v>
      </c>
      <c r="BN22" s="57">
        <f ca="1">IFERROR(__xludf.DUMMYFUNCTION("IMPORTRANGE(""https://docs.google.com/spreadsheets/d/16OMuOwy2eVqZcYWOouQtTpa8X1L23h4660uVHc0C8os/edit?usp=sharing"",""พิษณุโลก!I729"")"),0)</f>
        <v>0</v>
      </c>
      <c r="BO22" s="57">
        <f ca="1">IFERROR(__xludf.DUMMYFUNCTION("IMPORTRANGE(""https://docs.google.com/spreadsheets/d/16OMuOwy2eVqZcYWOouQtTpa8X1L23h4660uVHc0C8os/edit?usp=sharing"",""พิษณุโลก!J729"")"),0)</f>
        <v>0</v>
      </c>
      <c r="BP22" s="63">
        <f t="shared" ca="1" si="19"/>
        <v>0</v>
      </c>
      <c r="BQ22" s="57">
        <f ca="1">IFERROR(__xludf.DUMMYFUNCTION("IMPORTRANGE(""https://docs.google.com/spreadsheets/d/16OMuOwy2eVqZcYWOouQtTpa8X1L23h4660uVHc0C8os/edit?usp=sharing"",""พิษณุโลก!J730"")"),0)</f>
        <v>0</v>
      </c>
      <c r="BR22" s="57">
        <f ca="1">IFERROR(__xludf.DUMMYFUNCTION("IMPORTRANGE(""https://docs.google.com/spreadsheets/d/16OMuOwy2eVqZcYWOouQtTpa8X1L23h4660uVHc0C8os/edit?usp=sharing"",""พิษณุโลก!J731"")"),0)</f>
        <v>0</v>
      </c>
      <c r="BS22" s="57">
        <f ca="1">IFERROR(__xludf.DUMMYFUNCTION("IMPORTRANGE(""https://docs.google.com/spreadsheets/d/16OMuOwy2eVqZcYWOouQtTpa8X1L23h4660uVHc0C8os/edit?usp=sharing"",""พิษณุโลก!J732"")"),0)</f>
        <v>0</v>
      </c>
      <c r="BT22" s="57">
        <f ca="1">IFERROR(__xludf.DUMMYFUNCTION("IMPORTRANGE(""https://docs.google.com/spreadsheets/d/16OMuOwy2eVqZcYWOouQtTpa8X1L23h4660uVHc0C8os/edit?usp=sharing"",""พิษณุโลก!J733"")"),0)</f>
        <v>0</v>
      </c>
      <c r="BU22" s="57">
        <f ca="1">IFERROR(__xludf.DUMMYFUNCTION("IMPORTRANGE(""https://docs.google.com/spreadsheets/d/16OMuOwy2eVqZcYWOouQtTpa8X1L23h4660uVHc0C8os/edit?usp=sharing"",""พิษณุโลก!J734"")"),0)</f>
        <v>0</v>
      </c>
      <c r="BV22" s="57">
        <f ca="1">IFERROR(__xludf.DUMMYFUNCTION("IMPORTRANGE(""https://docs.google.com/spreadsheets/d/16OMuOwy2eVqZcYWOouQtTpa8X1L23h4660uVHc0C8os/edit?usp=sharing"",""พิษณุโลก!J735"")"),0)</f>
        <v>0</v>
      </c>
    </row>
    <row r="23" spans="1:74" ht="24" customHeight="1" x14ac:dyDescent="0.3">
      <c r="A23" s="54">
        <v>10</v>
      </c>
      <c r="B23" s="55" t="s">
        <v>44</v>
      </c>
      <c r="C23" s="56">
        <f t="shared" ca="1" si="51"/>
        <v>14880</v>
      </c>
      <c r="D23" s="57">
        <f ca="1">IFERROR(__xludf.DUMMYFUNCTION("IMPORTRANGE(""https://docs.google.com/spreadsheets/d/1GfgTldLG6k77HXaMQzaafODklYuucJZQNs_GAPEfZyY/edit?usp=sharing"",""เพชรบูรณ์!L690"")"),14880)</f>
        <v>14880</v>
      </c>
      <c r="E23" s="64">
        <f ca="1">IFERROR(__xludf.DUMMYFUNCTION("IMPORTRANGE(""https://docs.google.com/spreadsheets/d/1GfgTldLG6k77HXaMQzaafODklYuucJZQNs_GAPEfZyY/edit?usp=sharing"",""เพชรบูรณ์!L697"")"),0)</f>
        <v>0</v>
      </c>
      <c r="F23" s="64">
        <f ca="1">IFERROR(__xludf.DUMMYFUNCTION("IMPORTRANGE(""https://docs.google.com/spreadsheets/d/1GfgTldLG6k77HXaMQzaafODklYuucJZQNs_GAPEfZyY/edit?usp=sharing"",""เพชรบูรณ์!M690"")"),14880)</f>
        <v>14880</v>
      </c>
      <c r="G23" s="64">
        <f ca="1">IFERROR(__xludf.DUMMYFUNCTION("IMPORTRANGE(""https://docs.google.com/spreadsheets/d/1GfgTldLG6k77HXaMQzaafODklYuucJZQNs_GAPEfZyY/edit?usp=sharing"",""เพชรบูรณ์!M697"")"),0)</f>
        <v>0</v>
      </c>
      <c r="H23" s="58">
        <f t="shared" ca="1" si="33"/>
        <v>0</v>
      </c>
      <c r="I23" s="59">
        <f t="shared" ca="1" si="1"/>
        <v>0</v>
      </c>
      <c r="J23" s="60">
        <f t="shared" ca="1" si="52"/>
        <v>0</v>
      </c>
      <c r="K23" s="61">
        <f t="shared" ca="1" si="39"/>
        <v>0</v>
      </c>
      <c r="L23" s="61">
        <f t="shared" ca="1" si="40"/>
        <v>0</v>
      </c>
      <c r="M23" s="64">
        <f ca="1">IFERROR(__xludf.DUMMYFUNCTION("IMPORTRANGE(""https://docs.google.com/spreadsheets/d/1GfgTldLG6k77HXaMQzaafODklYuucJZQNs_GAPEfZyY/edit?usp=sharing"",""เพชรบูรณ์!N691"")"),0)</f>
        <v>0</v>
      </c>
      <c r="N23" s="64">
        <f ca="1">IFERROR(__xludf.DUMMYFUNCTION("IMPORTRANGE(""https://docs.google.com/spreadsheets/d/1GfgTldLG6k77HXaMQzaafODklYuucJZQNs_GAPEfZyY/edit?usp=sharing"",""เพชรบูรณ์!N692"")"),0)</f>
        <v>0</v>
      </c>
      <c r="O23" s="64">
        <f ca="1">IFERROR(__xludf.DUMMYFUNCTION("IMPORTRANGE(""https://docs.google.com/spreadsheets/d/1GfgTldLG6k77HXaMQzaafODklYuucJZQNs_GAPEfZyY/edit?usp=sharing"",""เพชรบูรณ์!N693"")"),0)</f>
        <v>0</v>
      </c>
      <c r="P23" s="64">
        <f ca="1">IFERROR(__xludf.DUMMYFUNCTION("IMPORTRANGE(""https://docs.google.com/spreadsheets/d/1GfgTldLG6k77HXaMQzaafODklYuucJZQNs_GAPEfZyY/edit?usp=sharing"",""เพชรบูรณ์!N694"")"),0)</f>
        <v>0</v>
      </c>
      <c r="Q23" s="62">
        <f ca="1">IFERROR(__xludf.DUMMYFUNCTION("IMPORTRANGE(""https://docs.google.com/spreadsheets/d/1GfgTldLG6k77HXaMQzaafODklYuucJZQNs_GAPEfZyY/edit?usp=sharing"",""เพชรบูรณ์!N697"")"),0)</f>
        <v>0</v>
      </c>
      <c r="R23" s="62">
        <f t="shared" ca="1" si="42"/>
        <v>0</v>
      </c>
      <c r="S23" s="57">
        <f ca="1">IFERROR(__xludf.DUMMYFUNCTION("IMPORTRANGE(""https://docs.google.com/spreadsheets/d/1GfgTldLG6k77HXaMQzaafODklYuucJZQNs_GAPEfZyY/edit?usp=sharing"",""เพชรบูรณ์!I699"")"),50)</f>
        <v>50</v>
      </c>
      <c r="T23" s="57">
        <f ca="1">IFERROR(__xludf.DUMMYFUNCTION("IMPORTRANGE(""https://docs.google.com/spreadsheets/d/1GfgTldLG6k77HXaMQzaafODklYuucJZQNs_GAPEfZyY/edit?usp=sharing"",""เพชรบูรณ์!J699"")"),0)</f>
        <v>0</v>
      </c>
      <c r="U23" s="63">
        <f t="shared" ca="1" si="34"/>
        <v>0</v>
      </c>
      <c r="V23" s="57">
        <f ca="1">IFERROR(__xludf.DUMMYFUNCTION("IMPORTRANGE(""https://docs.google.com/spreadsheets/d/1GfgTldLG6k77HXaMQzaafODklYuucJZQNs_GAPEfZyY/edit?usp=sharing"",""เพชรบูรณ์!I700"")"),10)</f>
        <v>10</v>
      </c>
      <c r="W23" s="57">
        <f ca="1">IFERROR(__xludf.DUMMYFUNCTION("IMPORTRANGE(""https://docs.google.com/spreadsheets/d/1GfgTldLG6k77HXaMQzaafODklYuucJZQNs_GAPEfZyY/edit?usp=sharing"",""เพชรบูรณ์!J700"")"),0)</f>
        <v>0</v>
      </c>
      <c r="X23" s="63">
        <f t="shared" ca="1" si="35"/>
        <v>0</v>
      </c>
      <c r="Y23" s="57">
        <f ca="1">IFERROR(__xludf.DUMMYFUNCTION("IMPORTRANGE(""https://docs.google.com/spreadsheets/d/1GfgTldLG6k77HXaMQzaafODklYuucJZQNs_GAPEfZyY/edit?usp=sharing"",""เพชรบูรณ์!I701"")"),52)</f>
        <v>52</v>
      </c>
      <c r="Z23" s="57">
        <f ca="1">IFERROR(__xludf.DUMMYFUNCTION("IMPORTRANGE(""https://docs.google.com/spreadsheets/d/1GfgTldLG6k77HXaMQzaafODklYuucJZQNs_GAPEfZyY/edit?usp=sharing"",""เพชรบูรณ์!J701"")"),45.74)</f>
        <v>45.74</v>
      </c>
      <c r="AA23" s="63">
        <f t="shared" ca="1" si="36"/>
        <v>87.961538461538467</v>
      </c>
      <c r="AB23" s="63">
        <f ca="1">IFERROR(__xludf.DUMMYFUNCTION("IMPORTRANGE(""https://docs.google.com/spreadsheets/d/1GfgTldLG6k77HXaMQzaafODklYuucJZQNs_GAPEfZyY/edit?usp=sharing"",""เพชรบูรณ์!J702"")"),0)</f>
        <v>0</v>
      </c>
      <c r="AC23" s="63">
        <f ca="1">IFERROR(__xludf.DUMMYFUNCTION("IMPORTRANGE(""https://docs.google.com/spreadsheets/d/1GfgTldLG6k77HXaMQzaafODklYuucJZQNs_GAPEfZyY/edit?usp=sharing"",""เพชรบูรณ์!J703"")"),0)</f>
        <v>0</v>
      </c>
      <c r="AD23" s="63">
        <f ca="1">IFERROR(__xludf.DUMMYFUNCTION("IMPORTRANGE(""https://docs.google.com/spreadsheets/d/1GfgTldLG6k77HXaMQzaafODklYuucJZQNs_GAPEfZyY/edit?usp=sharing"",""เพชรบูรณ์!J704"")"),45.74)</f>
        <v>45.74</v>
      </c>
      <c r="AE23" s="63">
        <f ca="1">IFERROR(__xludf.DUMMYFUNCTION("IMPORTRANGE(""https://docs.google.com/spreadsheets/d/1GfgTldLG6k77HXaMQzaafODklYuucJZQNs_GAPEfZyY/edit?usp=sharing"",""เพชรบูรณ์!J705"")"),0)</f>
        <v>0</v>
      </c>
      <c r="AF23" s="63">
        <f ca="1">IFERROR(__xludf.DUMMYFUNCTION("IMPORTRANGE(""https://docs.google.com/spreadsheets/d/1GfgTldLG6k77HXaMQzaafODklYuucJZQNs_GAPEfZyY/edit?usp=sharing"",""เพชรบูรณ์!J706"")"),0)</f>
        <v>0</v>
      </c>
      <c r="AG23" s="63">
        <f ca="1">IFERROR(__xludf.DUMMYFUNCTION("IMPORTRANGE(""https://docs.google.com/spreadsheets/d/1GfgTldLG6k77HXaMQzaafODklYuucJZQNs_GAPEfZyY/edit?usp=sharing"",""เพชรบูรณ์!J707"")"),0)</f>
        <v>0</v>
      </c>
      <c r="AH23" s="57">
        <f ca="1">IFERROR(__xludf.DUMMYFUNCTION("IMPORTRANGE(""https://docs.google.com/spreadsheets/d/1GfgTldLG6k77HXaMQzaafODklYuucJZQNs_GAPEfZyY/edit?usp=sharing"",""เพชรบูรณ์!I708"")"),0)</f>
        <v>0</v>
      </c>
      <c r="AI23" s="57">
        <f ca="1">IFERROR(__xludf.DUMMYFUNCTION("IMPORTRANGE(""https://docs.google.com/spreadsheets/d/1GfgTldLG6k77HXaMQzaafODklYuucJZQNs_GAPEfZyY/edit?usp=sharing"",""เพชรบูรณ์!J708"")"),0)</f>
        <v>0</v>
      </c>
      <c r="AJ23" s="63">
        <f t="shared" ca="1" si="37"/>
        <v>0</v>
      </c>
      <c r="AK23" s="57">
        <f ca="1">IFERROR(__xludf.DUMMYFUNCTION("IMPORTRANGE(""https://docs.google.com/spreadsheets/d/1GfgTldLG6k77HXaMQzaafODklYuucJZQNs_GAPEfZyY/edit?usp=sharing"",""เพชรบูรณ์!J709"")"),0)</f>
        <v>0</v>
      </c>
      <c r="AL23" s="57">
        <f ca="1">IFERROR(__xludf.DUMMYFUNCTION("IMPORTRANGE(""https://docs.google.com/spreadsheets/d/1GfgTldLG6k77HXaMQzaafODklYuucJZQNs_GAPEfZyY/edit?usp=sharing"",""เพชรบูรณ์!J710"")"),0)</f>
        <v>0</v>
      </c>
      <c r="AM23" s="57">
        <f ca="1">IFERROR(__xludf.DUMMYFUNCTION("IMPORTRANGE(""https://docs.google.com/spreadsheets/d/1GfgTldLG6k77HXaMQzaafODklYuucJZQNs_GAPEfZyY/edit?usp=sharing"",""เพชรบูรณ์!J712"")"),0)</f>
        <v>0</v>
      </c>
      <c r="AN23" s="57">
        <f ca="1">IFERROR(__xludf.DUMMYFUNCTION("IMPORTRANGE(""https://docs.google.com/spreadsheets/d/1GfgTldLG6k77HXaMQzaafODklYuucJZQNs_GAPEfZyY/edit?usp=sharing"",""เพชรบูรณ์!J713"")"),0)</f>
        <v>0</v>
      </c>
      <c r="AO23" s="57">
        <f ca="1">IFERROR(__xludf.DUMMYFUNCTION("IMPORTRANGE(""https://docs.google.com/spreadsheets/d/1GfgTldLG6k77HXaMQzaafODklYuucJZQNs_GAPEfZyY/edit?usp=sharing"",""เพชรบูรณ์!J714"")"),0)</f>
        <v>0</v>
      </c>
      <c r="AP23" s="57">
        <f ca="1">IFERROR(__xludf.DUMMYFUNCTION("IMPORTRANGE(""https://docs.google.com/spreadsheets/d/1GfgTldLG6k77HXaMQzaafODklYuucJZQNs_GAPEfZyY/edit?usp=sharing"",""เพชรบูรณ์!J715"")"),0)</f>
        <v>0</v>
      </c>
      <c r="AQ23" s="57">
        <f ca="1">IFERROR(__xludf.DUMMYFUNCTION("IMPORTRANGE(""https://docs.google.com/spreadsheets/d/1GfgTldLG6k77HXaMQzaafODklYuucJZQNs_GAPEfZyY/edit?usp=sharing"",""เพชรบูรณ์!J716"")"),0)</f>
        <v>0</v>
      </c>
      <c r="AR23" s="57">
        <f ca="1">IFERROR(__xludf.DUMMYFUNCTION("IMPORTRANGE(""https://docs.google.com/spreadsheets/d/1GfgTldLG6k77HXaMQzaafODklYuucJZQNs_GAPEfZyY/edit?usp=sharing"",""เพชรบูรณ์!J717"")"),0)</f>
        <v>0</v>
      </c>
      <c r="AS23" s="57">
        <f ca="1">IFERROR(__xludf.DUMMYFUNCTION("IMPORTRANGE(""https://docs.google.com/spreadsheets/d/1GfgTldLG6k77HXaMQzaafODklYuucJZQNs_GAPEfZyY/edit?usp=sharing"",""เพชรบูรณ์!I720"")"),0)</f>
        <v>0</v>
      </c>
      <c r="AT23" s="57">
        <f ca="1">IFERROR(__xludf.DUMMYFUNCTION("IMPORTRANGE(""https://docs.google.com/spreadsheets/d/1GfgTldLG6k77HXaMQzaafODklYuucJZQNs_GAPEfZyY/edit?usp=sharing"",""เพชรบูรณ์!J718"")"),0)</f>
        <v>0</v>
      </c>
      <c r="AU23" s="57">
        <f ca="1">IFERROR(__xludf.DUMMYFUNCTION("IMPORTRANGE(""https://docs.google.com/spreadsheets/d/1GfgTldLG6k77HXaMQzaafODklYuucJZQNs_GAPEfZyY/edit?usp=sharing"",""เพชรบูรณ์!J719"")"),0)</f>
        <v>0</v>
      </c>
      <c r="AV23" s="57">
        <f ca="1">IFERROR(__xludf.DUMMYFUNCTION("IMPORTRANGE(""https://docs.google.com/spreadsheets/d/1GfgTldLG6k77HXaMQzaafODklYuucJZQNs_GAPEfZyY/edit?usp=sharing"",""เพชรบูรณ์!J720"")"),0)</f>
        <v>0</v>
      </c>
      <c r="AW23" s="63">
        <f t="shared" ca="1" si="14"/>
        <v>0</v>
      </c>
      <c r="AX23" s="57">
        <f ca="1">IFERROR(__xludf.DUMMYFUNCTION("IMPORTRANGE(""https://docs.google.com/spreadsheets/d/1GfgTldLG6k77HXaMQzaafODklYuucJZQNs_GAPEfZyY/edit?usp=sharing"",""เพชรบูรณ์!I721"")"),12)</f>
        <v>12</v>
      </c>
      <c r="AY23" s="57">
        <f ca="1">IFERROR(__xludf.DUMMYFUNCTION("IMPORTRANGE(""https://docs.google.com/spreadsheets/d/1GfgTldLG6k77HXaMQzaafODklYuucJZQNs_GAPEfZyY/edit?usp=sharing"",""เพชรบูรณ์!I722"")"),52)</f>
        <v>52</v>
      </c>
      <c r="AZ23" s="57">
        <f ca="1">IFERROR(__xludf.DUMMYFUNCTION("IMPORTRANGE(""https://docs.google.com/spreadsheets/d/1GfgTldLG6k77HXaMQzaafODklYuucJZQNs_GAPEfZyY/edit?usp=sharing"",""เพชรบูรณ์!J721"")"),0)</f>
        <v>0</v>
      </c>
      <c r="BA23" s="63">
        <f t="shared" ca="1" si="16"/>
        <v>0</v>
      </c>
      <c r="BB23" s="57">
        <f ca="1">IFERROR(__xludf.DUMMYFUNCTION("IMPORTRANGE(""https://docs.google.com/spreadsheets/d/1GfgTldLG6k77HXaMQzaafODklYuucJZQNs_GAPEfZyY/edit?usp=sharing"",""เพชรบูรณ์!J722"")"),0)</f>
        <v>0</v>
      </c>
      <c r="BC23" s="63">
        <f t="shared" ca="1" si="17"/>
        <v>0</v>
      </c>
      <c r="BD23" s="57">
        <f ca="1">IFERROR(__xludf.DUMMYFUNCTION("IMPORTRANGE(""https://docs.google.com/spreadsheets/d/1GfgTldLG6k77HXaMQzaafODklYuucJZQNs_GAPEfZyY/edit?usp=sharing"",""เพชรบูรณ์!I723"")"),0)</f>
        <v>0</v>
      </c>
      <c r="BE23" s="57">
        <f ca="1">IFERROR(__xludf.DUMMYFUNCTION("IMPORTRANGE(""https://docs.google.com/spreadsheets/d/1GfgTldLG6k77HXaMQzaafODklYuucJZQNs_GAPEfZyY/edit?usp=sharing"",""เพชรบูรณ์!I725"")"),0)</f>
        <v>0</v>
      </c>
      <c r="BF23" s="57">
        <f ca="1">IFERROR(__xludf.DUMMYFUNCTION("IMPORTRANGE(""https://docs.google.com/spreadsheets/d/1GfgTldLG6k77HXaMQzaafODklYuucJZQNs_GAPEfZyY/edit?usp=sharing"",""เพชรบูรณ์!J723"")"),0)</f>
        <v>0</v>
      </c>
      <c r="BG23" s="57">
        <f ca="1">IFERROR(__xludf.DUMMYFUNCTION("IMPORTRANGE(""https://docs.google.com/spreadsheets/d/1GfgTldLG6k77HXaMQzaafODklYuucJZQNs_GAPEfZyY/edit?usp=sharing"",""เพชรบูรณ์!J724"")"),0)</f>
        <v>0</v>
      </c>
      <c r="BH23" s="57">
        <f ca="1">IFERROR(__xludf.DUMMYFUNCTION("IMPORTRANGE(""https://docs.google.com/spreadsheets/d/1GfgTldLG6k77HXaMQzaafODklYuucJZQNs_GAPEfZyY/edit?usp=sharing"",""เพชรบูรณ์!J725"")"),0)</f>
        <v>0</v>
      </c>
      <c r="BI23" s="57">
        <f ca="1">IFERROR(__xludf.DUMMYFUNCTION("IMPORTRANGE(""https://docs.google.com/spreadsheets/d/1GfgTldLG6k77HXaMQzaafODklYuucJZQNs_GAPEfZyY/edit?usp=sharing"",""เพชรบูรณ์!I726"")"),12)</f>
        <v>12</v>
      </c>
      <c r="BJ23" s="57">
        <f ca="1">IFERROR(__xludf.DUMMYFUNCTION("IMPORTRANGE(""https://docs.google.com/spreadsheets/d/1GfgTldLG6k77HXaMQzaafODklYuucJZQNs_GAPEfZyY/edit?usp=sharing"",""เพชรบูรณ์!I728"")"),52)</f>
        <v>52</v>
      </c>
      <c r="BK23" s="57">
        <f ca="1">IFERROR(__xludf.DUMMYFUNCTION("IMPORTRANGE(""https://docs.google.com/spreadsheets/d/1GfgTldLG6k77HXaMQzaafODklYuucJZQNs_GAPEfZyY/edit?usp=sharing"",""เพชรบูรณ์!J726"")"),0)</f>
        <v>0</v>
      </c>
      <c r="BL23" s="57">
        <f ca="1">IFERROR(__xludf.DUMMYFUNCTION("IMPORTRANGE(""https://docs.google.com/spreadsheets/d/1GfgTldLG6k77HXaMQzaafODklYuucJZQNs_GAPEfZyY/edit?usp=sharing"",""เพชรบูรณ์!J727"")"),0)</f>
        <v>0</v>
      </c>
      <c r="BM23" s="57">
        <f ca="1">IFERROR(__xludf.DUMMYFUNCTION("IMPORTRANGE(""https://docs.google.com/spreadsheets/d/1GfgTldLG6k77HXaMQzaafODklYuucJZQNs_GAPEfZyY/edit?usp=sharing"",""เพชรบูรณ์!J728"")"),0)</f>
        <v>0</v>
      </c>
      <c r="BN23" s="57">
        <f ca="1">IFERROR(__xludf.DUMMYFUNCTION("IMPORTRANGE(""https://docs.google.com/spreadsheets/d/1GfgTldLG6k77HXaMQzaafODklYuucJZQNs_GAPEfZyY/edit?usp=sharing"",""เพชรบูรณ์!I729"")"),0)</f>
        <v>0</v>
      </c>
      <c r="BO23" s="57">
        <f ca="1">IFERROR(__xludf.DUMMYFUNCTION("IMPORTRANGE(""https://docs.google.com/spreadsheets/d/1GfgTldLG6k77HXaMQzaafODklYuucJZQNs_GAPEfZyY/edit?usp=sharing"",""เพชรบูรณ์!J729"")"),0)</f>
        <v>0</v>
      </c>
      <c r="BP23" s="63">
        <f t="shared" ca="1" si="19"/>
        <v>0</v>
      </c>
      <c r="BQ23" s="57">
        <f ca="1">IFERROR(__xludf.DUMMYFUNCTION("IMPORTRANGE(""https://docs.google.com/spreadsheets/d/1GfgTldLG6k77HXaMQzaafODklYuucJZQNs_GAPEfZyY/edit?usp=sharing"",""เพชรบูรณ์!J730"")"),0)</f>
        <v>0</v>
      </c>
      <c r="BR23" s="57">
        <f ca="1">IFERROR(__xludf.DUMMYFUNCTION("IMPORTRANGE(""https://docs.google.com/spreadsheets/d/1GfgTldLG6k77HXaMQzaafODklYuucJZQNs_GAPEfZyY/edit?usp=sharing"",""เพชรบูรณ์!J731"")"),0)</f>
        <v>0</v>
      </c>
      <c r="BS23" s="57">
        <f ca="1">IFERROR(__xludf.DUMMYFUNCTION("IMPORTRANGE(""https://docs.google.com/spreadsheets/d/1GfgTldLG6k77HXaMQzaafODklYuucJZQNs_GAPEfZyY/edit?usp=sharing"",""เพชรบูรณ์!J732"")"),0)</f>
        <v>0</v>
      </c>
      <c r="BT23" s="57">
        <f ca="1">IFERROR(__xludf.DUMMYFUNCTION("IMPORTRANGE(""https://docs.google.com/spreadsheets/d/1GfgTldLG6k77HXaMQzaafODklYuucJZQNs_GAPEfZyY/edit?usp=sharing"",""เพชรบูรณ์!J733"")"),0)</f>
        <v>0</v>
      </c>
      <c r="BU23" s="57">
        <f ca="1">IFERROR(__xludf.DUMMYFUNCTION("IMPORTRANGE(""https://docs.google.com/spreadsheets/d/1GfgTldLG6k77HXaMQzaafODklYuucJZQNs_GAPEfZyY/edit?usp=sharing"",""เพชรบูรณ์!J734"")"),0)</f>
        <v>0</v>
      </c>
      <c r="BV23" s="57">
        <f ca="1">IFERROR(__xludf.DUMMYFUNCTION("IMPORTRANGE(""https://docs.google.com/spreadsheets/d/1GfgTldLG6k77HXaMQzaafODklYuucJZQNs_GAPEfZyY/edit?usp=sharing"",""เพชรบูรณ์!J735"")"),0)</f>
        <v>0</v>
      </c>
    </row>
    <row r="24" spans="1:74" ht="24" customHeight="1" x14ac:dyDescent="0.3">
      <c r="A24" s="54">
        <v>11</v>
      </c>
      <c r="B24" s="55" t="s">
        <v>45</v>
      </c>
      <c r="C24" s="56">
        <f t="shared" ca="1" si="51"/>
        <v>0</v>
      </c>
      <c r="D24" s="57">
        <f ca="1">IFERROR(__xludf.DUMMYFUNCTION("IMPORTRANGE(""https://docs.google.com/spreadsheets/d/1gvTMYAnm7v1yG1BKWFtr0DnaTsq59oW9dwWvFgq6hs0/edit?usp=sharing"",""แพร่!L690"")"),0)</f>
        <v>0</v>
      </c>
      <c r="E24" s="64">
        <f ca="1">IFERROR(__xludf.DUMMYFUNCTION("IMPORTRANGE(""https://docs.google.com/spreadsheets/d/1gvTMYAnm7v1yG1BKWFtr0DnaTsq59oW9dwWvFgq6hs0/edit?usp=sharing"",""แพร่!L697"")"),0)</f>
        <v>0</v>
      </c>
      <c r="F24" s="64">
        <f ca="1">IFERROR(__xludf.DUMMYFUNCTION("IMPORTRANGE(""https://docs.google.com/spreadsheets/d/1gvTMYAnm7v1yG1BKWFtr0DnaTsq59oW9dwWvFgq6hs0/edit?usp=sharing"",""แพร่!M690"")"),0)</f>
        <v>0</v>
      </c>
      <c r="G24" s="64">
        <f ca="1">IFERROR(__xludf.DUMMYFUNCTION("IMPORTRANGE(""https://docs.google.com/spreadsheets/d/1gvTMYAnm7v1yG1BKWFtr0DnaTsq59oW9dwWvFgq6hs0/edit?usp=sharing"",""แพร่!M697"")"),0)</f>
        <v>0</v>
      </c>
      <c r="H24" s="58">
        <f t="shared" ca="1" si="33"/>
        <v>0</v>
      </c>
      <c r="I24" s="59">
        <f t="shared" ca="1" si="1"/>
        <v>0</v>
      </c>
      <c r="J24" s="60">
        <f t="shared" ca="1" si="52"/>
        <v>0</v>
      </c>
      <c r="K24" s="61">
        <f t="shared" ca="1" si="39"/>
        <v>0</v>
      </c>
      <c r="L24" s="61">
        <f t="shared" ca="1" si="40"/>
        <v>0</v>
      </c>
      <c r="M24" s="64">
        <f ca="1">IFERROR(__xludf.DUMMYFUNCTION("IMPORTRANGE(""https://docs.google.com/spreadsheets/d/1gvTMYAnm7v1yG1BKWFtr0DnaTsq59oW9dwWvFgq6hs0/edit?usp=sharing"",""แพร่!N691"")"),0)</f>
        <v>0</v>
      </c>
      <c r="N24" s="64">
        <f ca="1">IFERROR(__xludf.DUMMYFUNCTION("IMPORTRANGE(""https://docs.google.com/spreadsheets/d/1gvTMYAnm7v1yG1BKWFtr0DnaTsq59oW9dwWvFgq6hs0/edit?usp=sharing"",""แพร่!N692"")"),0)</f>
        <v>0</v>
      </c>
      <c r="O24" s="64">
        <f ca="1">IFERROR(__xludf.DUMMYFUNCTION("IMPORTRANGE(""https://docs.google.com/spreadsheets/d/1gvTMYAnm7v1yG1BKWFtr0DnaTsq59oW9dwWvFgq6hs0/edit?usp=sharing"",""แพร่!N693"")"),0)</f>
        <v>0</v>
      </c>
      <c r="P24" s="64">
        <f ca="1">IFERROR(__xludf.DUMMYFUNCTION("IMPORTRANGE(""https://docs.google.com/spreadsheets/d/1gvTMYAnm7v1yG1BKWFtr0DnaTsq59oW9dwWvFgq6hs0/edit?usp=sharing"",""แพร่!N694"")"),0)</f>
        <v>0</v>
      </c>
      <c r="Q24" s="62">
        <f ca="1">IFERROR(__xludf.DUMMYFUNCTION("IMPORTRANGE(""https://docs.google.com/spreadsheets/d/1gvTMYAnm7v1yG1BKWFtr0DnaTsq59oW9dwWvFgq6hs0/edit?usp=sharing"",""แพร่!N697"")"),0)</f>
        <v>0</v>
      </c>
      <c r="R24" s="62">
        <f t="shared" ca="1" si="42"/>
        <v>0</v>
      </c>
      <c r="S24" s="57">
        <f ca="1">IFERROR(__xludf.DUMMYFUNCTION("IMPORTRANGE(""https://docs.google.com/spreadsheets/d/1gvTMYAnm7v1yG1BKWFtr0DnaTsq59oW9dwWvFgq6hs0/edit?usp=sharing"",""แพร่!I699"")"),0)</f>
        <v>0</v>
      </c>
      <c r="T24" s="57">
        <f ca="1">IFERROR(__xludf.DUMMYFUNCTION("IMPORTRANGE(""https://docs.google.com/spreadsheets/d/1gvTMYAnm7v1yG1BKWFtr0DnaTsq59oW9dwWvFgq6hs0/edit?usp=sharing"",""แพร่!J699"")"),0)</f>
        <v>0</v>
      </c>
      <c r="U24" s="63">
        <f t="shared" ca="1" si="34"/>
        <v>0</v>
      </c>
      <c r="V24" s="57">
        <f ca="1">IFERROR(__xludf.DUMMYFUNCTION("IMPORTRANGE(""https://docs.google.com/spreadsheets/d/1gvTMYAnm7v1yG1BKWFtr0DnaTsq59oW9dwWvFgq6hs0/edit?usp=sharing"",""แพร่!I700"")"),0)</f>
        <v>0</v>
      </c>
      <c r="W24" s="57">
        <f ca="1">IFERROR(__xludf.DUMMYFUNCTION("IMPORTRANGE(""https://docs.google.com/spreadsheets/d/1gvTMYAnm7v1yG1BKWFtr0DnaTsq59oW9dwWvFgq6hs0/edit?usp=sharing"",""แพร่!J700"")"),0)</f>
        <v>0</v>
      </c>
      <c r="X24" s="63">
        <f t="shared" ca="1" si="35"/>
        <v>0</v>
      </c>
      <c r="Y24" s="57">
        <f ca="1">IFERROR(__xludf.DUMMYFUNCTION("IMPORTRANGE(""https://docs.google.com/spreadsheets/d/1gvTMYAnm7v1yG1BKWFtr0DnaTsq59oW9dwWvFgq6hs0/edit?usp=sharing"",""แพร่!I701"")"),0)</f>
        <v>0</v>
      </c>
      <c r="Z24" s="57">
        <f ca="1">IFERROR(__xludf.DUMMYFUNCTION("IMPORTRANGE(""https://docs.google.com/spreadsheets/d/1gvTMYAnm7v1yG1BKWFtr0DnaTsq59oW9dwWvFgq6hs0/edit?usp=sharing"",""แพร่!J701"")"),0)</f>
        <v>0</v>
      </c>
      <c r="AA24" s="63">
        <f t="shared" ca="1" si="36"/>
        <v>0</v>
      </c>
      <c r="AB24" s="63">
        <f ca="1">IFERROR(__xludf.DUMMYFUNCTION("IMPORTRANGE(""https://docs.google.com/spreadsheets/d/1gvTMYAnm7v1yG1BKWFtr0DnaTsq59oW9dwWvFgq6hs0/edit?usp=sharing"",""แพร่!J702"")"),0)</f>
        <v>0</v>
      </c>
      <c r="AC24" s="63">
        <f ca="1">IFERROR(__xludf.DUMMYFUNCTION("IMPORTRANGE(""https://docs.google.com/spreadsheets/d/1gvTMYAnm7v1yG1BKWFtr0DnaTsq59oW9dwWvFgq6hs0/edit?usp=sharing"",""แพร่!J703"")"),0)</f>
        <v>0</v>
      </c>
      <c r="AD24" s="63">
        <f ca="1">IFERROR(__xludf.DUMMYFUNCTION("IMPORTRANGE(""https://docs.google.com/spreadsheets/d/1gvTMYAnm7v1yG1BKWFtr0DnaTsq59oW9dwWvFgq6hs0/edit?usp=sharing"",""แพร่!J704"")"),0)</f>
        <v>0</v>
      </c>
      <c r="AE24" s="63">
        <f ca="1">IFERROR(__xludf.DUMMYFUNCTION("IMPORTRANGE(""https://docs.google.com/spreadsheets/d/1gvTMYAnm7v1yG1BKWFtr0DnaTsq59oW9dwWvFgq6hs0/edit?usp=sharing"",""แพร่!J705"")"),0)</f>
        <v>0</v>
      </c>
      <c r="AF24" s="63">
        <f ca="1">IFERROR(__xludf.DUMMYFUNCTION("IMPORTRANGE(""https://docs.google.com/spreadsheets/d/1gvTMYAnm7v1yG1BKWFtr0DnaTsq59oW9dwWvFgq6hs0/edit?usp=sharing"",""แพร่!J706"")"),0)</f>
        <v>0</v>
      </c>
      <c r="AG24" s="63">
        <f ca="1">IFERROR(__xludf.DUMMYFUNCTION("IMPORTRANGE(""https://docs.google.com/spreadsheets/d/1gvTMYAnm7v1yG1BKWFtr0DnaTsq59oW9dwWvFgq6hs0/edit?usp=sharing"",""แพร่!J707"")"),0)</f>
        <v>0</v>
      </c>
      <c r="AH24" s="57">
        <f ca="1">IFERROR(__xludf.DUMMYFUNCTION("IMPORTRANGE(""https://docs.google.com/spreadsheets/d/1gvTMYAnm7v1yG1BKWFtr0DnaTsq59oW9dwWvFgq6hs0/edit?usp=sharing"",""แพร่!I708"")"),0)</f>
        <v>0</v>
      </c>
      <c r="AI24" s="57">
        <f ca="1">IFERROR(__xludf.DUMMYFUNCTION("IMPORTRANGE(""https://docs.google.com/spreadsheets/d/1gvTMYAnm7v1yG1BKWFtr0DnaTsq59oW9dwWvFgq6hs0/edit?usp=sharing"",""แพร่!J708"")"),0)</f>
        <v>0</v>
      </c>
      <c r="AJ24" s="63">
        <f t="shared" ca="1" si="37"/>
        <v>0</v>
      </c>
      <c r="AK24" s="57">
        <f ca="1">IFERROR(__xludf.DUMMYFUNCTION("IMPORTRANGE(""https://docs.google.com/spreadsheets/d/1gvTMYAnm7v1yG1BKWFtr0DnaTsq59oW9dwWvFgq6hs0/edit?usp=sharing"",""แพร่!J709"")"),0)</f>
        <v>0</v>
      </c>
      <c r="AL24" s="57">
        <f ca="1">IFERROR(__xludf.DUMMYFUNCTION("IMPORTRANGE(""https://docs.google.com/spreadsheets/d/1gvTMYAnm7v1yG1BKWFtr0DnaTsq59oW9dwWvFgq6hs0/edit?usp=sharing"",""แพร่!J710"")"),0)</f>
        <v>0</v>
      </c>
      <c r="AM24" s="57">
        <f ca="1">IFERROR(__xludf.DUMMYFUNCTION("IMPORTRANGE(""https://docs.google.com/spreadsheets/d/1gvTMYAnm7v1yG1BKWFtr0DnaTsq59oW9dwWvFgq6hs0/edit?usp=sharing"",""แพร่!J712"")"),0)</f>
        <v>0</v>
      </c>
      <c r="AN24" s="57">
        <f ca="1">IFERROR(__xludf.DUMMYFUNCTION("IMPORTRANGE(""https://docs.google.com/spreadsheets/d/1gvTMYAnm7v1yG1BKWFtr0DnaTsq59oW9dwWvFgq6hs0/edit?usp=sharing"",""แพร่!J713"")"),0)</f>
        <v>0</v>
      </c>
      <c r="AO24" s="57">
        <f ca="1">IFERROR(__xludf.DUMMYFUNCTION("IMPORTRANGE(""https://docs.google.com/spreadsheets/d/1gvTMYAnm7v1yG1BKWFtr0DnaTsq59oW9dwWvFgq6hs0/edit?usp=sharing"",""แพร่!J714"")"),0)</f>
        <v>0</v>
      </c>
      <c r="AP24" s="57">
        <f ca="1">IFERROR(__xludf.DUMMYFUNCTION("IMPORTRANGE(""https://docs.google.com/spreadsheets/d/1gvTMYAnm7v1yG1BKWFtr0DnaTsq59oW9dwWvFgq6hs0/edit?usp=sharing"",""แพร่!J715"")"),0)</f>
        <v>0</v>
      </c>
      <c r="AQ24" s="57">
        <f ca="1">IFERROR(__xludf.DUMMYFUNCTION("IMPORTRANGE(""https://docs.google.com/spreadsheets/d/1gvTMYAnm7v1yG1BKWFtr0DnaTsq59oW9dwWvFgq6hs0/edit?usp=sharing"",""แพร่!J716"")"),0)</f>
        <v>0</v>
      </c>
      <c r="AR24" s="57">
        <f ca="1">IFERROR(__xludf.DUMMYFUNCTION("IMPORTRANGE(""https://docs.google.com/spreadsheets/d/1gvTMYAnm7v1yG1BKWFtr0DnaTsq59oW9dwWvFgq6hs0/edit?usp=sharing"",""แพร่!J717"")"),0)</f>
        <v>0</v>
      </c>
      <c r="AS24" s="57">
        <f ca="1">IFERROR(__xludf.DUMMYFUNCTION("IMPORTRANGE(""https://docs.google.com/spreadsheets/d/1gvTMYAnm7v1yG1BKWFtr0DnaTsq59oW9dwWvFgq6hs0/edit?usp=sharing"",""แพร่!I720"")"),0)</f>
        <v>0</v>
      </c>
      <c r="AT24" s="57">
        <f ca="1">IFERROR(__xludf.DUMMYFUNCTION("IMPORTRANGE(""https://docs.google.com/spreadsheets/d/1gvTMYAnm7v1yG1BKWFtr0DnaTsq59oW9dwWvFgq6hs0/edit?usp=sharing"",""แพร่!J718"")"),0)</f>
        <v>0</v>
      </c>
      <c r="AU24" s="57">
        <f ca="1">IFERROR(__xludf.DUMMYFUNCTION("IMPORTRANGE(""https://docs.google.com/spreadsheets/d/1gvTMYAnm7v1yG1BKWFtr0DnaTsq59oW9dwWvFgq6hs0/edit?usp=sharing"",""แพร่!J719"")"),0)</f>
        <v>0</v>
      </c>
      <c r="AV24" s="57">
        <f ca="1">IFERROR(__xludf.DUMMYFUNCTION("IMPORTRANGE(""https://docs.google.com/spreadsheets/d/1gvTMYAnm7v1yG1BKWFtr0DnaTsq59oW9dwWvFgq6hs0/edit?usp=sharing"",""แพร่!J720"")"),0)</f>
        <v>0</v>
      </c>
      <c r="AW24" s="63">
        <f t="shared" ca="1" si="14"/>
        <v>0</v>
      </c>
      <c r="AX24" s="57">
        <f ca="1">IFERROR(__xludf.DUMMYFUNCTION("IMPORTRANGE(""https://docs.google.com/spreadsheets/d/1gvTMYAnm7v1yG1BKWFtr0DnaTsq59oW9dwWvFgq6hs0/edit?usp=sharing"",""แพร่!I721"")"),0)</f>
        <v>0</v>
      </c>
      <c r="AY24" s="57">
        <f ca="1">IFERROR(__xludf.DUMMYFUNCTION("IMPORTRANGE(""https://docs.google.com/spreadsheets/d/1gvTMYAnm7v1yG1BKWFtr0DnaTsq59oW9dwWvFgq6hs0/edit?usp=sharing"",""แพร่!I722"")"),0)</f>
        <v>0</v>
      </c>
      <c r="AZ24" s="57">
        <f ca="1">IFERROR(__xludf.DUMMYFUNCTION("IMPORTRANGE(""https://docs.google.com/spreadsheets/d/1gvTMYAnm7v1yG1BKWFtr0DnaTsq59oW9dwWvFgq6hs0/edit?usp=sharing"",""แพร่!J721"")"),0)</f>
        <v>0</v>
      </c>
      <c r="BA24" s="63">
        <f t="shared" ca="1" si="16"/>
        <v>0</v>
      </c>
      <c r="BB24" s="57">
        <f ca="1">IFERROR(__xludf.DUMMYFUNCTION("IMPORTRANGE(""https://docs.google.com/spreadsheets/d/1gvTMYAnm7v1yG1BKWFtr0DnaTsq59oW9dwWvFgq6hs0/edit?usp=sharing"",""แพร่!J722"")"),0)</f>
        <v>0</v>
      </c>
      <c r="BC24" s="63">
        <f t="shared" ca="1" si="17"/>
        <v>0</v>
      </c>
      <c r="BD24" s="57">
        <f ca="1">IFERROR(__xludf.DUMMYFUNCTION("IMPORTRANGE(""https://docs.google.com/spreadsheets/d/1gvTMYAnm7v1yG1BKWFtr0DnaTsq59oW9dwWvFgq6hs0/edit?usp=sharing"",""แพร่!I723"")"),0)</f>
        <v>0</v>
      </c>
      <c r="BE24" s="57">
        <f ca="1">IFERROR(__xludf.DUMMYFUNCTION("IMPORTRANGE(""https://docs.google.com/spreadsheets/d/1gvTMYAnm7v1yG1BKWFtr0DnaTsq59oW9dwWvFgq6hs0/edit?usp=sharing"",""แพร่!I725"")"),0)</f>
        <v>0</v>
      </c>
      <c r="BF24" s="57">
        <f ca="1">IFERROR(__xludf.DUMMYFUNCTION("IMPORTRANGE(""https://docs.google.com/spreadsheets/d/1gvTMYAnm7v1yG1BKWFtr0DnaTsq59oW9dwWvFgq6hs0/edit?usp=sharing"",""แพร่!J723"")"),0)</f>
        <v>0</v>
      </c>
      <c r="BG24" s="57">
        <f ca="1">IFERROR(__xludf.DUMMYFUNCTION("IMPORTRANGE(""https://docs.google.com/spreadsheets/d/1gvTMYAnm7v1yG1BKWFtr0DnaTsq59oW9dwWvFgq6hs0/edit?usp=sharing"",""แพร่!J724"")"),0)</f>
        <v>0</v>
      </c>
      <c r="BH24" s="57">
        <f ca="1">IFERROR(__xludf.DUMMYFUNCTION("IMPORTRANGE(""https://docs.google.com/spreadsheets/d/1gvTMYAnm7v1yG1BKWFtr0DnaTsq59oW9dwWvFgq6hs0/edit?usp=sharing"",""แพร่!J725"")"),0)</f>
        <v>0</v>
      </c>
      <c r="BI24" s="57">
        <f ca="1">IFERROR(__xludf.DUMMYFUNCTION("IMPORTRANGE(""https://docs.google.com/spreadsheets/d/1gvTMYAnm7v1yG1BKWFtr0DnaTsq59oW9dwWvFgq6hs0/edit?usp=sharing"",""แพร่!I726"")"),0)</f>
        <v>0</v>
      </c>
      <c r="BJ24" s="57">
        <f ca="1">IFERROR(__xludf.DUMMYFUNCTION("IMPORTRANGE(""https://docs.google.com/spreadsheets/d/1gvTMYAnm7v1yG1BKWFtr0DnaTsq59oW9dwWvFgq6hs0/edit?usp=sharing"",""แพร่!I728"")"),0)</f>
        <v>0</v>
      </c>
      <c r="BK24" s="57">
        <f ca="1">IFERROR(__xludf.DUMMYFUNCTION("IMPORTRANGE(""https://docs.google.com/spreadsheets/d/1gvTMYAnm7v1yG1BKWFtr0DnaTsq59oW9dwWvFgq6hs0/edit?usp=sharing"",""แพร่!J726"")"),0)</f>
        <v>0</v>
      </c>
      <c r="BL24" s="57">
        <f ca="1">IFERROR(__xludf.DUMMYFUNCTION("IMPORTRANGE(""https://docs.google.com/spreadsheets/d/1gvTMYAnm7v1yG1BKWFtr0DnaTsq59oW9dwWvFgq6hs0/edit?usp=sharing"",""แพร่!J727"")"),0)</f>
        <v>0</v>
      </c>
      <c r="BM24" s="57">
        <f ca="1">IFERROR(__xludf.DUMMYFUNCTION("IMPORTRANGE(""https://docs.google.com/spreadsheets/d/1gvTMYAnm7v1yG1BKWFtr0DnaTsq59oW9dwWvFgq6hs0/edit?usp=sharing"",""แพร่!J728"")"),0)</f>
        <v>0</v>
      </c>
      <c r="BN24" s="57">
        <f ca="1">IFERROR(__xludf.DUMMYFUNCTION("IMPORTRANGE(""https://docs.google.com/spreadsheets/d/1gvTMYAnm7v1yG1BKWFtr0DnaTsq59oW9dwWvFgq6hs0/edit?usp=sharing"",""แพร่!I729"")"),0)</f>
        <v>0</v>
      </c>
      <c r="BO24" s="57">
        <f ca="1">IFERROR(__xludf.DUMMYFUNCTION("IMPORTRANGE(""https://docs.google.com/spreadsheets/d/1gvTMYAnm7v1yG1BKWFtr0DnaTsq59oW9dwWvFgq6hs0/edit?usp=sharing"",""แพร่!J729"")"),0)</f>
        <v>0</v>
      </c>
      <c r="BP24" s="63">
        <f t="shared" ca="1" si="19"/>
        <v>0</v>
      </c>
      <c r="BQ24" s="57">
        <f ca="1">IFERROR(__xludf.DUMMYFUNCTION("IMPORTRANGE(""https://docs.google.com/spreadsheets/d/1gvTMYAnm7v1yG1BKWFtr0DnaTsq59oW9dwWvFgq6hs0/edit?usp=sharing"",""แพร่!J730"")"),0)</f>
        <v>0</v>
      </c>
      <c r="BR24" s="57">
        <f ca="1">IFERROR(__xludf.DUMMYFUNCTION("IMPORTRANGE(""https://docs.google.com/spreadsheets/d/1gvTMYAnm7v1yG1BKWFtr0DnaTsq59oW9dwWvFgq6hs0/edit?usp=sharing"",""แพร่!J731"")"),0)</f>
        <v>0</v>
      </c>
      <c r="BS24" s="57">
        <f ca="1">IFERROR(__xludf.DUMMYFUNCTION("IMPORTRANGE(""https://docs.google.com/spreadsheets/d/1gvTMYAnm7v1yG1BKWFtr0DnaTsq59oW9dwWvFgq6hs0/edit?usp=sharing"",""แพร่!J732"")"),0)</f>
        <v>0</v>
      </c>
      <c r="BT24" s="57">
        <f ca="1">IFERROR(__xludf.DUMMYFUNCTION("IMPORTRANGE(""https://docs.google.com/spreadsheets/d/1gvTMYAnm7v1yG1BKWFtr0DnaTsq59oW9dwWvFgq6hs0/edit?usp=sharing"",""แพร่!J733"")"),0)</f>
        <v>0</v>
      </c>
      <c r="BU24" s="57">
        <f ca="1">IFERROR(__xludf.DUMMYFUNCTION("IMPORTRANGE(""https://docs.google.com/spreadsheets/d/1gvTMYAnm7v1yG1BKWFtr0DnaTsq59oW9dwWvFgq6hs0/edit?usp=sharing"",""แพร่!J734"")"),0)</f>
        <v>0</v>
      </c>
      <c r="BV24" s="57">
        <f ca="1">IFERROR(__xludf.DUMMYFUNCTION("IMPORTRANGE(""https://docs.google.com/spreadsheets/d/1gvTMYAnm7v1yG1BKWFtr0DnaTsq59oW9dwWvFgq6hs0/edit?usp=sharing"",""แพร่!J735"")"),0)</f>
        <v>0</v>
      </c>
    </row>
    <row r="25" spans="1:74" ht="24" customHeight="1" x14ac:dyDescent="0.3">
      <c r="A25" s="54">
        <v>12</v>
      </c>
      <c r="B25" s="55" t="s">
        <v>46</v>
      </c>
      <c r="C25" s="56">
        <f t="shared" ca="1" si="51"/>
        <v>0</v>
      </c>
      <c r="D25" s="57">
        <f ca="1">IFERROR(__xludf.DUMMYFUNCTION("IMPORTRANGE(""https://docs.google.com/spreadsheets/d/1Wbcosgy-Xa1xXUArJSOenub6EfZHUSzc_bpJFWwQUf0/edit?usp=sharing"",""แม่ฮ่องสอน!L690"")"),0)</f>
        <v>0</v>
      </c>
      <c r="E25" s="64">
        <f ca="1">IFERROR(__xludf.DUMMYFUNCTION("IMPORTRANGE(""https://docs.google.com/spreadsheets/d/1Wbcosgy-Xa1xXUArJSOenub6EfZHUSzc_bpJFWwQUf0/edit?usp=sharing"",""แม่ฮ่องสอน!L697"")"),0)</f>
        <v>0</v>
      </c>
      <c r="F25" s="64">
        <f ca="1">IFERROR(__xludf.DUMMYFUNCTION("IMPORTRANGE(""https://docs.google.com/spreadsheets/d/1Wbcosgy-Xa1xXUArJSOenub6EfZHUSzc_bpJFWwQUf0/edit?usp=sharing"",""แม่ฮ่องสอน!M690"")"),0)</f>
        <v>0</v>
      </c>
      <c r="G25" s="64">
        <f ca="1">IFERROR(__xludf.DUMMYFUNCTION("IMPORTRANGE(""https://docs.google.com/spreadsheets/d/1Wbcosgy-Xa1xXUArJSOenub6EfZHUSzc_bpJFWwQUf0/edit?usp=sharing"",""แม่ฮ่องสอน!M697"")"),0)</f>
        <v>0</v>
      </c>
      <c r="H25" s="58">
        <f t="shared" ca="1" si="33"/>
        <v>0</v>
      </c>
      <c r="I25" s="59">
        <f t="shared" ca="1" si="1"/>
        <v>0</v>
      </c>
      <c r="J25" s="60">
        <f t="shared" ca="1" si="52"/>
        <v>0</v>
      </c>
      <c r="K25" s="61">
        <f t="shared" ca="1" si="39"/>
        <v>0</v>
      </c>
      <c r="L25" s="61">
        <f t="shared" ca="1" si="40"/>
        <v>0</v>
      </c>
      <c r="M25" s="64">
        <f ca="1">IFERROR(__xludf.DUMMYFUNCTION("IMPORTRANGE(""https://docs.google.com/spreadsheets/d/1Wbcosgy-Xa1xXUArJSOenub6EfZHUSzc_bpJFWwQUf0/edit?usp=sharing"",""แม่ฮ่องสอน!N691"")"),0)</f>
        <v>0</v>
      </c>
      <c r="N25" s="64">
        <f ca="1">IFERROR(__xludf.DUMMYFUNCTION("IMPORTRANGE(""https://docs.google.com/spreadsheets/d/1Wbcosgy-Xa1xXUArJSOenub6EfZHUSzc_bpJFWwQUf0/edit?usp=sharing"",""แม่ฮ่องสอน!N692"")"),0)</f>
        <v>0</v>
      </c>
      <c r="O25" s="64">
        <f ca="1">IFERROR(__xludf.DUMMYFUNCTION("IMPORTRANGE(""https://docs.google.com/spreadsheets/d/1Wbcosgy-Xa1xXUArJSOenub6EfZHUSzc_bpJFWwQUf0/edit?usp=sharing"",""แม่ฮ่องสอน!N693"")"),0)</f>
        <v>0</v>
      </c>
      <c r="P25" s="64">
        <f ca="1">IFERROR(__xludf.DUMMYFUNCTION("IMPORTRANGE(""https://docs.google.com/spreadsheets/d/1Wbcosgy-Xa1xXUArJSOenub6EfZHUSzc_bpJFWwQUf0/edit?usp=sharing"",""แม่ฮ่องสอน!N694"")"),0)</f>
        <v>0</v>
      </c>
      <c r="Q25" s="62">
        <f ca="1">IFERROR(__xludf.DUMMYFUNCTION("IMPORTRANGE(""https://docs.google.com/spreadsheets/d/1Wbcosgy-Xa1xXUArJSOenub6EfZHUSzc_bpJFWwQUf0/edit?usp=sharing"",""แม่ฮ่องสอน!N697"")"),0)</f>
        <v>0</v>
      </c>
      <c r="R25" s="62">
        <f t="shared" ca="1" si="42"/>
        <v>0</v>
      </c>
      <c r="S25" s="57">
        <f ca="1">IFERROR(__xludf.DUMMYFUNCTION("IMPORTRANGE(""https://docs.google.com/spreadsheets/d/1Wbcosgy-Xa1xXUArJSOenub6EfZHUSzc_bpJFWwQUf0/edit?usp=sharing"",""แม่ฮ่องสอน!I699"")"),0)</f>
        <v>0</v>
      </c>
      <c r="T25" s="57">
        <f ca="1">IFERROR(__xludf.DUMMYFUNCTION("IMPORTRANGE(""https://docs.google.com/spreadsheets/d/1Wbcosgy-Xa1xXUArJSOenub6EfZHUSzc_bpJFWwQUf0/edit?usp=sharing"",""แม่ฮ่องสอน!J699"")"),0)</f>
        <v>0</v>
      </c>
      <c r="U25" s="63">
        <f t="shared" ca="1" si="34"/>
        <v>0</v>
      </c>
      <c r="V25" s="57">
        <f ca="1">IFERROR(__xludf.DUMMYFUNCTION("IMPORTRANGE(""https://docs.google.com/spreadsheets/d/1Wbcosgy-Xa1xXUArJSOenub6EfZHUSzc_bpJFWwQUf0/edit?usp=sharing"",""แม่ฮ่องสอน!I700"")"),0)</f>
        <v>0</v>
      </c>
      <c r="W25" s="57">
        <f ca="1">IFERROR(__xludf.DUMMYFUNCTION("IMPORTRANGE(""https://docs.google.com/spreadsheets/d/1Wbcosgy-Xa1xXUArJSOenub6EfZHUSzc_bpJFWwQUf0/edit?usp=sharing"",""แม่ฮ่องสอน!J700"")"),0)</f>
        <v>0</v>
      </c>
      <c r="X25" s="63">
        <f t="shared" ca="1" si="35"/>
        <v>0</v>
      </c>
      <c r="Y25" s="57">
        <f ca="1">IFERROR(__xludf.DUMMYFUNCTION("IMPORTRANGE(""https://docs.google.com/spreadsheets/d/1Wbcosgy-Xa1xXUArJSOenub6EfZHUSzc_bpJFWwQUf0/edit?usp=sharing"",""แม่ฮ่องสอน!I701"")"),0)</f>
        <v>0</v>
      </c>
      <c r="Z25" s="57">
        <f ca="1">IFERROR(__xludf.DUMMYFUNCTION("IMPORTRANGE(""https://docs.google.com/spreadsheets/d/1Wbcosgy-Xa1xXUArJSOenub6EfZHUSzc_bpJFWwQUf0/edit?usp=sharing"",""แม่ฮ่องสอน!J701"")"),0)</f>
        <v>0</v>
      </c>
      <c r="AA25" s="63">
        <f t="shared" ca="1" si="36"/>
        <v>0</v>
      </c>
      <c r="AB25" s="63">
        <f ca="1">IFERROR(__xludf.DUMMYFUNCTION("IMPORTRANGE(""https://docs.google.com/spreadsheets/d/1Wbcosgy-Xa1xXUArJSOenub6EfZHUSzc_bpJFWwQUf0/edit?usp=sharing"",""แม่ฮ่องสอน!J702"")"),0)</f>
        <v>0</v>
      </c>
      <c r="AC25" s="63">
        <f ca="1">IFERROR(__xludf.DUMMYFUNCTION("IMPORTRANGE(""https://docs.google.com/spreadsheets/d/1Wbcosgy-Xa1xXUArJSOenub6EfZHUSzc_bpJFWwQUf0/edit?usp=sharing"",""แม่ฮ่องสอน!J703"")"),0)</f>
        <v>0</v>
      </c>
      <c r="AD25" s="63">
        <f ca="1">IFERROR(__xludf.DUMMYFUNCTION("IMPORTRANGE(""https://docs.google.com/spreadsheets/d/1Wbcosgy-Xa1xXUArJSOenub6EfZHUSzc_bpJFWwQUf0/edit?usp=sharing"",""แม่ฮ่องสอน!J704"")"),0)</f>
        <v>0</v>
      </c>
      <c r="AE25" s="63">
        <f ca="1">IFERROR(__xludf.DUMMYFUNCTION("IMPORTRANGE(""https://docs.google.com/spreadsheets/d/1Wbcosgy-Xa1xXUArJSOenub6EfZHUSzc_bpJFWwQUf0/edit?usp=sharing"",""แม่ฮ่องสอน!J705"")"),0)</f>
        <v>0</v>
      </c>
      <c r="AF25" s="63">
        <f ca="1">IFERROR(__xludf.DUMMYFUNCTION("IMPORTRANGE(""https://docs.google.com/spreadsheets/d/1Wbcosgy-Xa1xXUArJSOenub6EfZHUSzc_bpJFWwQUf0/edit?usp=sharing"",""แม่ฮ่องสอน!J706"")"),0)</f>
        <v>0</v>
      </c>
      <c r="AG25" s="63">
        <f ca="1">IFERROR(__xludf.DUMMYFUNCTION("IMPORTRANGE(""https://docs.google.com/spreadsheets/d/1Wbcosgy-Xa1xXUArJSOenub6EfZHUSzc_bpJFWwQUf0/edit?usp=sharing"",""แม่ฮ่องสอน!J707"")"),0)</f>
        <v>0</v>
      </c>
      <c r="AH25" s="57">
        <f ca="1">IFERROR(__xludf.DUMMYFUNCTION("IMPORTRANGE(""https://docs.google.com/spreadsheets/d/1Wbcosgy-Xa1xXUArJSOenub6EfZHUSzc_bpJFWwQUf0/edit?usp=sharing"",""แม่ฮ่องสอน!I708"")"),0)</f>
        <v>0</v>
      </c>
      <c r="AI25" s="57">
        <f ca="1">IFERROR(__xludf.DUMMYFUNCTION("IMPORTRANGE(""https://docs.google.com/spreadsheets/d/1Wbcosgy-Xa1xXUArJSOenub6EfZHUSzc_bpJFWwQUf0/edit?usp=sharing"",""แม่ฮ่องสอน!J708"")"),0)</f>
        <v>0</v>
      </c>
      <c r="AJ25" s="63">
        <f t="shared" ca="1" si="37"/>
        <v>0</v>
      </c>
      <c r="AK25" s="57">
        <f ca="1">IFERROR(__xludf.DUMMYFUNCTION("IMPORTRANGE(""https://docs.google.com/spreadsheets/d/1Wbcosgy-Xa1xXUArJSOenub6EfZHUSzc_bpJFWwQUf0/edit?usp=sharing"",""แม่ฮ่องสอน!J709"")"),0)</f>
        <v>0</v>
      </c>
      <c r="AL25" s="57">
        <f ca="1">IFERROR(__xludf.DUMMYFUNCTION("IMPORTRANGE(""https://docs.google.com/spreadsheets/d/1Wbcosgy-Xa1xXUArJSOenub6EfZHUSzc_bpJFWwQUf0/edit?usp=sharing"",""แม่ฮ่องสอน!J710"")"),0)</f>
        <v>0</v>
      </c>
      <c r="AM25" s="57">
        <f ca="1">IFERROR(__xludf.DUMMYFUNCTION("IMPORTRANGE(""https://docs.google.com/spreadsheets/d/1Wbcosgy-Xa1xXUArJSOenub6EfZHUSzc_bpJFWwQUf0/edit?usp=sharing"",""แม่ฮ่องสอน!J712"")"),0)</f>
        <v>0</v>
      </c>
      <c r="AN25" s="57">
        <f ca="1">IFERROR(__xludf.DUMMYFUNCTION("IMPORTRANGE(""https://docs.google.com/spreadsheets/d/1Wbcosgy-Xa1xXUArJSOenub6EfZHUSzc_bpJFWwQUf0/edit?usp=sharing"",""แม่ฮ่องสอน!J713"")"),0)</f>
        <v>0</v>
      </c>
      <c r="AO25" s="57">
        <f ca="1">IFERROR(__xludf.DUMMYFUNCTION("IMPORTRANGE(""https://docs.google.com/spreadsheets/d/1Wbcosgy-Xa1xXUArJSOenub6EfZHUSzc_bpJFWwQUf0/edit?usp=sharing"",""แม่ฮ่องสอน!J714"")"),0)</f>
        <v>0</v>
      </c>
      <c r="AP25" s="57">
        <f ca="1">IFERROR(__xludf.DUMMYFUNCTION("IMPORTRANGE(""https://docs.google.com/spreadsheets/d/1Wbcosgy-Xa1xXUArJSOenub6EfZHUSzc_bpJFWwQUf0/edit?usp=sharing"",""แม่ฮ่องสอน!J715"")"),0)</f>
        <v>0</v>
      </c>
      <c r="AQ25" s="57">
        <f ca="1">IFERROR(__xludf.DUMMYFUNCTION("IMPORTRANGE(""https://docs.google.com/spreadsheets/d/1Wbcosgy-Xa1xXUArJSOenub6EfZHUSzc_bpJFWwQUf0/edit?usp=sharing"",""แม่ฮ่องสอน!J716"")"),0)</f>
        <v>0</v>
      </c>
      <c r="AR25" s="57">
        <f ca="1">IFERROR(__xludf.DUMMYFUNCTION("IMPORTRANGE(""https://docs.google.com/spreadsheets/d/1Wbcosgy-Xa1xXUArJSOenub6EfZHUSzc_bpJFWwQUf0/edit?usp=sharing"",""แม่ฮ่องสอน!J717"")"),0)</f>
        <v>0</v>
      </c>
      <c r="AS25" s="57">
        <f ca="1">IFERROR(__xludf.DUMMYFUNCTION("IMPORTRANGE(""https://docs.google.com/spreadsheets/d/1Wbcosgy-Xa1xXUArJSOenub6EfZHUSzc_bpJFWwQUf0/edit?usp=sharing"",""แม่ฮ่องสอน!I720"")"),0)</f>
        <v>0</v>
      </c>
      <c r="AT25" s="57">
        <f ca="1">IFERROR(__xludf.DUMMYFUNCTION("IMPORTRANGE(""https://docs.google.com/spreadsheets/d/1Wbcosgy-Xa1xXUArJSOenub6EfZHUSzc_bpJFWwQUf0/edit?usp=sharing"",""แม่ฮ่องสอน!J718"")"),0)</f>
        <v>0</v>
      </c>
      <c r="AU25" s="57">
        <f ca="1">IFERROR(__xludf.DUMMYFUNCTION("IMPORTRANGE(""https://docs.google.com/spreadsheets/d/1Wbcosgy-Xa1xXUArJSOenub6EfZHUSzc_bpJFWwQUf0/edit?usp=sharing"",""แม่ฮ่องสอน!J719"")"),0)</f>
        <v>0</v>
      </c>
      <c r="AV25" s="57">
        <f ca="1">IFERROR(__xludf.DUMMYFUNCTION("IMPORTRANGE(""https://docs.google.com/spreadsheets/d/1Wbcosgy-Xa1xXUArJSOenub6EfZHUSzc_bpJFWwQUf0/edit?usp=sharing"",""แม่ฮ่องสอน!J720"")"),0)</f>
        <v>0</v>
      </c>
      <c r="AW25" s="63">
        <f t="shared" ca="1" si="14"/>
        <v>0</v>
      </c>
      <c r="AX25" s="57">
        <f ca="1">IFERROR(__xludf.DUMMYFUNCTION("IMPORTRANGE(""https://docs.google.com/spreadsheets/d/1Wbcosgy-Xa1xXUArJSOenub6EfZHUSzc_bpJFWwQUf0/edit?usp=sharing"",""แม่ฮ่องสอน!I721"")"),0)</f>
        <v>0</v>
      </c>
      <c r="AY25" s="57">
        <f ca="1">IFERROR(__xludf.DUMMYFUNCTION("IMPORTRANGE(""https://docs.google.com/spreadsheets/d/1Wbcosgy-Xa1xXUArJSOenub6EfZHUSzc_bpJFWwQUf0/edit?usp=sharing"",""แม่ฮ่องสอน!I722"")"),0)</f>
        <v>0</v>
      </c>
      <c r="AZ25" s="57">
        <f ca="1">IFERROR(__xludf.DUMMYFUNCTION("IMPORTRANGE(""https://docs.google.com/spreadsheets/d/1Wbcosgy-Xa1xXUArJSOenub6EfZHUSzc_bpJFWwQUf0/edit?usp=sharing"",""แม่ฮ่องสอน!J721"")"),0)</f>
        <v>0</v>
      </c>
      <c r="BA25" s="63">
        <f t="shared" ca="1" si="16"/>
        <v>0</v>
      </c>
      <c r="BB25" s="57">
        <f ca="1">IFERROR(__xludf.DUMMYFUNCTION("IMPORTRANGE(""https://docs.google.com/spreadsheets/d/1Wbcosgy-Xa1xXUArJSOenub6EfZHUSzc_bpJFWwQUf0/edit?usp=sharing"",""แม่ฮ่องสอน!J722"")"),0)</f>
        <v>0</v>
      </c>
      <c r="BC25" s="63">
        <f t="shared" ca="1" si="17"/>
        <v>0</v>
      </c>
      <c r="BD25" s="57">
        <f ca="1">IFERROR(__xludf.DUMMYFUNCTION("IMPORTRANGE(""https://docs.google.com/spreadsheets/d/1Wbcosgy-Xa1xXUArJSOenub6EfZHUSzc_bpJFWwQUf0/edit?usp=sharing"",""แม่ฮ่องสอน!I723"")"),0)</f>
        <v>0</v>
      </c>
      <c r="BE25" s="57">
        <f ca="1">IFERROR(__xludf.DUMMYFUNCTION("IMPORTRANGE(""https://docs.google.com/spreadsheets/d/1Wbcosgy-Xa1xXUArJSOenub6EfZHUSzc_bpJFWwQUf0/edit?usp=sharing"",""แม่ฮ่องสอน!I725"")"),0)</f>
        <v>0</v>
      </c>
      <c r="BF25" s="57">
        <f ca="1">IFERROR(__xludf.DUMMYFUNCTION("IMPORTRANGE(""https://docs.google.com/spreadsheets/d/1Wbcosgy-Xa1xXUArJSOenub6EfZHUSzc_bpJFWwQUf0/edit?usp=sharing"",""แม่ฮ่องสอน!J723"")"),0)</f>
        <v>0</v>
      </c>
      <c r="BG25" s="57">
        <f ca="1">IFERROR(__xludf.DUMMYFUNCTION("IMPORTRANGE(""https://docs.google.com/spreadsheets/d/1Wbcosgy-Xa1xXUArJSOenub6EfZHUSzc_bpJFWwQUf0/edit?usp=sharing"",""แม่ฮ่องสอน!J724"")"),0)</f>
        <v>0</v>
      </c>
      <c r="BH25" s="57">
        <f ca="1">IFERROR(__xludf.DUMMYFUNCTION("IMPORTRANGE(""https://docs.google.com/spreadsheets/d/1Wbcosgy-Xa1xXUArJSOenub6EfZHUSzc_bpJFWwQUf0/edit?usp=sharing"",""แม่ฮ่องสอน!J725"")"),0)</f>
        <v>0</v>
      </c>
      <c r="BI25" s="57">
        <f ca="1">IFERROR(__xludf.DUMMYFUNCTION("IMPORTRANGE(""https://docs.google.com/spreadsheets/d/1Wbcosgy-Xa1xXUArJSOenub6EfZHUSzc_bpJFWwQUf0/edit?usp=sharing"",""แม่ฮ่องสอน!I726"")"),0)</f>
        <v>0</v>
      </c>
      <c r="BJ25" s="57">
        <f ca="1">IFERROR(__xludf.DUMMYFUNCTION("IMPORTRANGE(""https://docs.google.com/spreadsheets/d/1Wbcosgy-Xa1xXUArJSOenub6EfZHUSzc_bpJFWwQUf0/edit?usp=sharing"",""แม่ฮ่องสอน!I728"")"),0)</f>
        <v>0</v>
      </c>
      <c r="BK25" s="57">
        <f ca="1">IFERROR(__xludf.DUMMYFUNCTION("IMPORTRANGE(""https://docs.google.com/spreadsheets/d/1Wbcosgy-Xa1xXUArJSOenub6EfZHUSzc_bpJFWwQUf0/edit?usp=sharing"",""แม่ฮ่องสอน!J726"")"),0)</f>
        <v>0</v>
      </c>
      <c r="BL25" s="57">
        <f ca="1">IFERROR(__xludf.DUMMYFUNCTION("IMPORTRANGE(""https://docs.google.com/spreadsheets/d/1Wbcosgy-Xa1xXUArJSOenub6EfZHUSzc_bpJFWwQUf0/edit?usp=sharing"",""แม่ฮ่องสอน!J727"")"),0)</f>
        <v>0</v>
      </c>
      <c r="BM25" s="57">
        <f ca="1">IFERROR(__xludf.DUMMYFUNCTION("IMPORTRANGE(""https://docs.google.com/spreadsheets/d/1Wbcosgy-Xa1xXUArJSOenub6EfZHUSzc_bpJFWwQUf0/edit?usp=sharing"",""แม่ฮ่องสอน!J728"")"),0)</f>
        <v>0</v>
      </c>
      <c r="BN25" s="57">
        <f ca="1">IFERROR(__xludf.DUMMYFUNCTION("IMPORTRANGE(""https://docs.google.com/spreadsheets/d/1Wbcosgy-Xa1xXUArJSOenub6EfZHUSzc_bpJFWwQUf0/edit?usp=sharing"",""แม่ฮ่องสอน!I729"")"),0)</f>
        <v>0</v>
      </c>
      <c r="BO25" s="57">
        <f ca="1">IFERROR(__xludf.DUMMYFUNCTION("IMPORTRANGE(""https://docs.google.com/spreadsheets/d/1Wbcosgy-Xa1xXUArJSOenub6EfZHUSzc_bpJFWwQUf0/edit?usp=sharing"",""แม่ฮ่องสอน!J729"")"),0)</f>
        <v>0</v>
      </c>
      <c r="BP25" s="63">
        <f t="shared" ca="1" si="19"/>
        <v>0</v>
      </c>
      <c r="BQ25" s="57">
        <f ca="1">IFERROR(__xludf.DUMMYFUNCTION("IMPORTRANGE(""https://docs.google.com/spreadsheets/d/1Wbcosgy-Xa1xXUArJSOenub6EfZHUSzc_bpJFWwQUf0/edit?usp=sharing"",""แม่ฮ่องสอน!J730"")"),0)</f>
        <v>0</v>
      </c>
      <c r="BR25" s="57">
        <f ca="1">IFERROR(__xludf.DUMMYFUNCTION("IMPORTRANGE(""https://docs.google.com/spreadsheets/d/1Wbcosgy-Xa1xXUArJSOenub6EfZHUSzc_bpJFWwQUf0/edit?usp=sharing"",""แม่ฮ่องสอน!J731"")"),0)</f>
        <v>0</v>
      </c>
      <c r="BS25" s="57">
        <f ca="1">IFERROR(__xludf.DUMMYFUNCTION("IMPORTRANGE(""https://docs.google.com/spreadsheets/d/1Wbcosgy-Xa1xXUArJSOenub6EfZHUSzc_bpJFWwQUf0/edit?usp=sharing"",""แม่ฮ่องสอน!J732"")"),0)</f>
        <v>0</v>
      </c>
      <c r="BT25" s="57">
        <f ca="1">IFERROR(__xludf.DUMMYFUNCTION("IMPORTRANGE(""https://docs.google.com/spreadsheets/d/1Wbcosgy-Xa1xXUArJSOenub6EfZHUSzc_bpJFWwQUf0/edit?usp=sharing"",""แม่ฮ่องสอน!J733"")"),0)</f>
        <v>0</v>
      </c>
      <c r="BU25" s="57">
        <f ca="1">IFERROR(__xludf.DUMMYFUNCTION("IMPORTRANGE(""https://docs.google.com/spreadsheets/d/1Wbcosgy-Xa1xXUArJSOenub6EfZHUSzc_bpJFWwQUf0/edit?usp=sharing"",""แม่ฮ่องสอน!J734"")"),0)</f>
        <v>0</v>
      </c>
      <c r="BV25" s="57">
        <f ca="1">IFERROR(__xludf.DUMMYFUNCTION("IMPORTRANGE(""https://docs.google.com/spreadsheets/d/1Wbcosgy-Xa1xXUArJSOenub6EfZHUSzc_bpJFWwQUf0/edit?usp=sharing"",""แม่ฮ่องสอน!J735"")"),0)</f>
        <v>0</v>
      </c>
    </row>
    <row r="26" spans="1:74" ht="24" customHeight="1" x14ac:dyDescent="0.3">
      <c r="A26" s="54">
        <v>13</v>
      </c>
      <c r="B26" s="55" t="s">
        <v>47</v>
      </c>
      <c r="C26" s="56">
        <f t="shared" ca="1" si="51"/>
        <v>0</v>
      </c>
      <c r="D26" s="57">
        <f ca="1">IFERROR(__xludf.DUMMYFUNCTION("IMPORTRANGE(""https://docs.google.com/spreadsheets/d/1p7ERhsr0qZeSn-KSOdeHS9r0heI-lHtkcn2OH7hP0jQ/edit?usp=sharing"",""ลำปาง!L690"")"),0)</f>
        <v>0</v>
      </c>
      <c r="E26" s="64">
        <f ca="1">IFERROR(__xludf.DUMMYFUNCTION("IMPORTRANGE(""https://docs.google.com/spreadsheets/d/1p7ERhsr0qZeSn-KSOdeHS9r0heI-lHtkcn2OH7hP0jQ/edit?usp=sharing"",""ลำปาง!L697"")"),0)</f>
        <v>0</v>
      </c>
      <c r="F26" s="64">
        <f ca="1">IFERROR(__xludf.DUMMYFUNCTION("IMPORTRANGE(""https://docs.google.com/spreadsheets/d/1p7ERhsr0qZeSn-KSOdeHS9r0heI-lHtkcn2OH7hP0jQ/edit?usp=sharing"",""ลำปาง!M690"")"),0)</f>
        <v>0</v>
      </c>
      <c r="G26" s="64">
        <f ca="1">IFERROR(__xludf.DUMMYFUNCTION("IMPORTRANGE(""https://docs.google.com/spreadsheets/d/1p7ERhsr0qZeSn-KSOdeHS9r0heI-lHtkcn2OH7hP0jQ/edit?usp=sharing"",""ลำปาง!M697"")"),0)</f>
        <v>0</v>
      </c>
      <c r="H26" s="58">
        <f t="shared" ca="1" si="33"/>
        <v>0</v>
      </c>
      <c r="I26" s="59">
        <f t="shared" ca="1" si="1"/>
        <v>0</v>
      </c>
      <c r="J26" s="60">
        <f t="shared" ca="1" si="52"/>
        <v>0</v>
      </c>
      <c r="K26" s="61">
        <f t="shared" ca="1" si="39"/>
        <v>0</v>
      </c>
      <c r="L26" s="61">
        <f t="shared" ca="1" si="40"/>
        <v>0</v>
      </c>
      <c r="M26" s="64">
        <f ca="1">IFERROR(__xludf.DUMMYFUNCTION("IMPORTRANGE(""https://docs.google.com/spreadsheets/d/1p7ERhsr0qZeSn-KSOdeHS9r0heI-lHtkcn2OH7hP0jQ/edit?usp=sharing"",""ลำปาง!N691"")"),0)</f>
        <v>0</v>
      </c>
      <c r="N26" s="64">
        <f ca="1">IFERROR(__xludf.DUMMYFUNCTION("IMPORTRANGE(""https://docs.google.com/spreadsheets/d/1p7ERhsr0qZeSn-KSOdeHS9r0heI-lHtkcn2OH7hP0jQ/edit?usp=sharing"",""ลำปาง!N692"")"),0)</f>
        <v>0</v>
      </c>
      <c r="O26" s="64">
        <f ca="1">IFERROR(__xludf.DUMMYFUNCTION("IMPORTRANGE(""https://docs.google.com/spreadsheets/d/1p7ERhsr0qZeSn-KSOdeHS9r0heI-lHtkcn2OH7hP0jQ/edit?usp=sharing"",""ลำปาง!N693"")"),0)</f>
        <v>0</v>
      </c>
      <c r="P26" s="64">
        <f ca="1">IFERROR(__xludf.DUMMYFUNCTION("IMPORTRANGE(""https://docs.google.com/spreadsheets/d/1p7ERhsr0qZeSn-KSOdeHS9r0heI-lHtkcn2OH7hP0jQ/edit?usp=sharing"",""ลำปาง!N694"")"),0)</f>
        <v>0</v>
      </c>
      <c r="Q26" s="62">
        <f ca="1">IFERROR(__xludf.DUMMYFUNCTION("IMPORTRANGE(""https://docs.google.com/spreadsheets/d/1p7ERhsr0qZeSn-KSOdeHS9r0heI-lHtkcn2OH7hP0jQ/edit?usp=sharing"",""ลำปาง!N697"")"),0)</f>
        <v>0</v>
      </c>
      <c r="R26" s="62">
        <f t="shared" ca="1" si="42"/>
        <v>0</v>
      </c>
      <c r="S26" s="57">
        <f ca="1">IFERROR(__xludf.DUMMYFUNCTION("IMPORTRANGE(""https://docs.google.com/spreadsheets/d/1p7ERhsr0qZeSn-KSOdeHS9r0heI-lHtkcn2OH7hP0jQ/edit?usp=sharing"",""ลำปาง!I699"")"),0)</f>
        <v>0</v>
      </c>
      <c r="T26" s="57">
        <f ca="1">IFERROR(__xludf.DUMMYFUNCTION("IMPORTRANGE(""https://docs.google.com/spreadsheets/d/1p7ERhsr0qZeSn-KSOdeHS9r0heI-lHtkcn2OH7hP0jQ/edit?usp=sharing"",""ลำปาง!J699"")"),0)</f>
        <v>0</v>
      </c>
      <c r="U26" s="63">
        <f t="shared" ca="1" si="34"/>
        <v>0</v>
      </c>
      <c r="V26" s="57">
        <f ca="1">IFERROR(__xludf.DUMMYFUNCTION("IMPORTRANGE(""https://docs.google.com/spreadsheets/d/1p7ERhsr0qZeSn-KSOdeHS9r0heI-lHtkcn2OH7hP0jQ/edit?usp=sharing"",""ลำปาง!I700"")"),0)</f>
        <v>0</v>
      </c>
      <c r="W26" s="57">
        <f ca="1">IFERROR(__xludf.DUMMYFUNCTION("IMPORTRANGE(""https://docs.google.com/spreadsheets/d/1p7ERhsr0qZeSn-KSOdeHS9r0heI-lHtkcn2OH7hP0jQ/edit?usp=sharing"",""ลำปาง!J700"")"),0)</f>
        <v>0</v>
      </c>
      <c r="X26" s="63">
        <f t="shared" ca="1" si="35"/>
        <v>0</v>
      </c>
      <c r="Y26" s="57">
        <f ca="1">IFERROR(__xludf.DUMMYFUNCTION("IMPORTRANGE(""https://docs.google.com/spreadsheets/d/1p7ERhsr0qZeSn-KSOdeHS9r0heI-lHtkcn2OH7hP0jQ/edit?usp=sharing"",""ลำปาง!I701"")"),0)</f>
        <v>0</v>
      </c>
      <c r="Z26" s="57">
        <f ca="1">IFERROR(__xludf.DUMMYFUNCTION("IMPORTRANGE(""https://docs.google.com/spreadsheets/d/1p7ERhsr0qZeSn-KSOdeHS9r0heI-lHtkcn2OH7hP0jQ/edit?usp=sharing"",""ลำปาง!J701"")"),0)</f>
        <v>0</v>
      </c>
      <c r="AA26" s="63">
        <f t="shared" ca="1" si="36"/>
        <v>0</v>
      </c>
      <c r="AB26" s="63">
        <f ca="1">IFERROR(__xludf.DUMMYFUNCTION("IMPORTRANGE(""https://docs.google.com/spreadsheets/d/1p7ERhsr0qZeSn-KSOdeHS9r0heI-lHtkcn2OH7hP0jQ/edit?usp=sharing"",""ลำปาง!J702"")"),0)</f>
        <v>0</v>
      </c>
      <c r="AC26" s="63">
        <f ca="1">IFERROR(__xludf.DUMMYFUNCTION("IMPORTRANGE(""https://docs.google.com/spreadsheets/d/1p7ERhsr0qZeSn-KSOdeHS9r0heI-lHtkcn2OH7hP0jQ/edit?usp=sharing"",""ลำปาง!J703"")"),0)</f>
        <v>0</v>
      </c>
      <c r="AD26" s="63">
        <f ca="1">IFERROR(__xludf.DUMMYFUNCTION("IMPORTRANGE(""https://docs.google.com/spreadsheets/d/1p7ERhsr0qZeSn-KSOdeHS9r0heI-lHtkcn2OH7hP0jQ/edit?usp=sharing"",""ลำปาง!J704"")"),0)</f>
        <v>0</v>
      </c>
      <c r="AE26" s="63">
        <f ca="1">IFERROR(__xludf.DUMMYFUNCTION("IMPORTRANGE(""https://docs.google.com/spreadsheets/d/1p7ERhsr0qZeSn-KSOdeHS9r0heI-lHtkcn2OH7hP0jQ/edit?usp=sharing"",""ลำปาง!J705"")"),0)</f>
        <v>0</v>
      </c>
      <c r="AF26" s="63">
        <f ca="1">IFERROR(__xludf.DUMMYFUNCTION("IMPORTRANGE(""https://docs.google.com/spreadsheets/d/1p7ERhsr0qZeSn-KSOdeHS9r0heI-lHtkcn2OH7hP0jQ/edit?usp=sharing"",""ลำปาง!J706"")"),0)</f>
        <v>0</v>
      </c>
      <c r="AG26" s="63">
        <f ca="1">IFERROR(__xludf.DUMMYFUNCTION("IMPORTRANGE(""https://docs.google.com/spreadsheets/d/1p7ERhsr0qZeSn-KSOdeHS9r0heI-lHtkcn2OH7hP0jQ/edit?usp=sharing"",""ลำปาง!J707"")"),0)</f>
        <v>0</v>
      </c>
      <c r="AH26" s="57">
        <f ca="1">IFERROR(__xludf.DUMMYFUNCTION("IMPORTRANGE(""https://docs.google.com/spreadsheets/d/1p7ERhsr0qZeSn-KSOdeHS9r0heI-lHtkcn2OH7hP0jQ/edit?usp=sharing"",""ลำปาง!I708"")"),0)</f>
        <v>0</v>
      </c>
      <c r="AI26" s="57">
        <f ca="1">IFERROR(__xludf.DUMMYFUNCTION("IMPORTRANGE(""https://docs.google.com/spreadsheets/d/1p7ERhsr0qZeSn-KSOdeHS9r0heI-lHtkcn2OH7hP0jQ/edit?usp=sharing"",""ลำปาง!J708"")"),0)</f>
        <v>0</v>
      </c>
      <c r="AJ26" s="63">
        <f t="shared" ca="1" si="37"/>
        <v>0</v>
      </c>
      <c r="AK26" s="57">
        <f ca="1">IFERROR(__xludf.DUMMYFUNCTION("IMPORTRANGE(""https://docs.google.com/spreadsheets/d/1p7ERhsr0qZeSn-KSOdeHS9r0heI-lHtkcn2OH7hP0jQ/edit?usp=sharing"",""ลำปาง!J709"")"),0)</f>
        <v>0</v>
      </c>
      <c r="AL26" s="57">
        <f ca="1">IFERROR(__xludf.DUMMYFUNCTION("IMPORTRANGE(""https://docs.google.com/spreadsheets/d/1p7ERhsr0qZeSn-KSOdeHS9r0heI-lHtkcn2OH7hP0jQ/edit?usp=sharing"",""ลำปาง!J710"")"),0)</f>
        <v>0</v>
      </c>
      <c r="AM26" s="57">
        <f ca="1">IFERROR(__xludf.DUMMYFUNCTION("IMPORTRANGE(""https://docs.google.com/spreadsheets/d/1p7ERhsr0qZeSn-KSOdeHS9r0heI-lHtkcn2OH7hP0jQ/edit?usp=sharing"",""ลำปาง!J712"")"),0)</f>
        <v>0</v>
      </c>
      <c r="AN26" s="57">
        <f ca="1">IFERROR(__xludf.DUMMYFUNCTION("IMPORTRANGE(""https://docs.google.com/spreadsheets/d/1p7ERhsr0qZeSn-KSOdeHS9r0heI-lHtkcn2OH7hP0jQ/edit?usp=sharing"",""ลำปาง!J713"")"),0)</f>
        <v>0</v>
      </c>
      <c r="AO26" s="57">
        <f ca="1">IFERROR(__xludf.DUMMYFUNCTION("IMPORTRANGE(""https://docs.google.com/spreadsheets/d/1p7ERhsr0qZeSn-KSOdeHS9r0heI-lHtkcn2OH7hP0jQ/edit?usp=sharing"",""ลำปาง!J714"")"),0)</f>
        <v>0</v>
      </c>
      <c r="AP26" s="57">
        <f ca="1">IFERROR(__xludf.DUMMYFUNCTION("IMPORTRANGE(""https://docs.google.com/spreadsheets/d/1p7ERhsr0qZeSn-KSOdeHS9r0heI-lHtkcn2OH7hP0jQ/edit?usp=sharing"",""ลำปาง!J715"")"),0)</f>
        <v>0</v>
      </c>
      <c r="AQ26" s="57">
        <f ca="1">IFERROR(__xludf.DUMMYFUNCTION("IMPORTRANGE(""https://docs.google.com/spreadsheets/d/1p7ERhsr0qZeSn-KSOdeHS9r0heI-lHtkcn2OH7hP0jQ/edit?usp=sharing"",""ลำปาง!J716"")"),0)</f>
        <v>0</v>
      </c>
      <c r="AR26" s="57">
        <f ca="1">IFERROR(__xludf.DUMMYFUNCTION("IMPORTRANGE(""https://docs.google.com/spreadsheets/d/1p7ERhsr0qZeSn-KSOdeHS9r0heI-lHtkcn2OH7hP0jQ/edit?usp=sharing"",""ลำปาง!J717"")"),0)</f>
        <v>0</v>
      </c>
      <c r="AS26" s="57">
        <f ca="1">IFERROR(__xludf.DUMMYFUNCTION("IMPORTRANGE(""https://docs.google.com/spreadsheets/d/1p7ERhsr0qZeSn-KSOdeHS9r0heI-lHtkcn2OH7hP0jQ/edit?usp=sharing"",""ลำปาง!I720"")"),0)</f>
        <v>0</v>
      </c>
      <c r="AT26" s="57">
        <f ca="1">IFERROR(__xludf.DUMMYFUNCTION("IMPORTRANGE(""https://docs.google.com/spreadsheets/d/1p7ERhsr0qZeSn-KSOdeHS9r0heI-lHtkcn2OH7hP0jQ/edit?usp=sharing"",""ลำปาง!J718"")"),0)</f>
        <v>0</v>
      </c>
      <c r="AU26" s="57">
        <f ca="1">IFERROR(__xludf.DUMMYFUNCTION("IMPORTRANGE(""https://docs.google.com/spreadsheets/d/1p7ERhsr0qZeSn-KSOdeHS9r0heI-lHtkcn2OH7hP0jQ/edit?usp=sharing"",""ลำปาง!J719"")"),0)</f>
        <v>0</v>
      </c>
      <c r="AV26" s="57">
        <f ca="1">IFERROR(__xludf.DUMMYFUNCTION("IMPORTRANGE(""https://docs.google.com/spreadsheets/d/1p7ERhsr0qZeSn-KSOdeHS9r0heI-lHtkcn2OH7hP0jQ/edit?usp=sharing"",""ลำปาง!J720"")"),0)</f>
        <v>0</v>
      </c>
      <c r="AW26" s="63">
        <f t="shared" ca="1" si="14"/>
        <v>0</v>
      </c>
      <c r="AX26" s="57">
        <f ca="1">IFERROR(__xludf.DUMMYFUNCTION("IMPORTRANGE(""https://docs.google.com/spreadsheets/d/1p7ERhsr0qZeSn-KSOdeHS9r0heI-lHtkcn2OH7hP0jQ/edit?usp=sharing"",""ลำปาง!I721"")"),0)</f>
        <v>0</v>
      </c>
      <c r="AY26" s="57">
        <f ca="1">IFERROR(__xludf.DUMMYFUNCTION("IMPORTRANGE(""https://docs.google.com/spreadsheets/d/1p7ERhsr0qZeSn-KSOdeHS9r0heI-lHtkcn2OH7hP0jQ/edit?usp=sharing"",""ลำปาง!I722"")"),0)</f>
        <v>0</v>
      </c>
      <c r="AZ26" s="57">
        <f ca="1">IFERROR(__xludf.DUMMYFUNCTION("IMPORTRANGE(""https://docs.google.com/spreadsheets/d/1p7ERhsr0qZeSn-KSOdeHS9r0heI-lHtkcn2OH7hP0jQ/edit?usp=sharing"",""ลำปาง!J721"")"),0)</f>
        <v>0</v>
      </c>
      <c r="BA26" s="63">
        <f t="shared" ca="1" si="16"/>
        <v>0</v>
      </c>
      <c r="BB26" s="57">
        <f ca="1">IFERROR(__xludf.DUMMYFUNCTION("IMPORTRANGE(""https://docs.google.com/spreadsheets/d/1p7ERhsr0qZeSn-KSOdeHS9r0heI-lHtkcn2OH7hP0jQ/edit?usp=sharing"",""ลำปาง!J722"")"),0)</f>
        <v>0</v>
      </c>
      <c r="BC26" s="63">
        <f t="shared" ca="1" si="17"/>
        <v>0</v>
      </c>
      <c r="BD26" s="57">
        <f ca="1">IFERROR(__xludf.DUMMYFUNCTION("IMPORTRANGE(""https://docs.google.com/spreadsheets/d/1p7ERhsr0qZeSn-KSOdeHS9r0heI-lHtkcn2OH7hP0jQ/edit?usp=sharing"",""ลำปาง!I723"")"),0)</f>
        <v>0</v>
      </c>
      <c r="BE26" s="57">
        <f ca="1">IFERROR(__xludf.DUMMYFUNCTION("IMPORTRANGE(""https://docs.google.com/spreadsheets/d/1p7ERhsr0qZeSn-KSOdeHS9r0heI-lHtkcn2OH7hP0jQ/edit?usp=sharing"",""ลำปาง!I725"")"),0)</f>
        <v>0</v>
      </c>
      <c r="BF26" s="57">
        <f ca="1">IFERROR(__xludf.DUMMYFUNCTION("IMPORTRANGE(""https://docs.google.com/spreadsheets/d/1p7ERhsr0qZeSn-KSOdeHS9r0heI-lHtkcn2OH7hP0jQ/edit?usp=sharing"",""ลำปาง!J723"")"),0)</f>
        <v>0</v>
      </c>
      <c r="BG26" s="57">
        <f ca="1">IFERROR(__xludf.DUMMYFUNCTION("IMPORTRANGE(""https://docs.google.com/spreadsheets/d/1p7ERhsr0qZeSn-KSOdeHS9r0heI-lHtkcn2OH7hP0jQ/edit?usp=sharing"",""ลำปาง!J724"")"),0)</f>
        <v>0</v>
      </c>
      <c r="BH26" s="57">
        <f ca="1">IFERROR(__xludf.DUMMYFUNCTION("IMPORTRANGE(""https://docs.google.com/spreadsheets/d/1p7ERhsr0qZeSn-KSOdeHS9r0heI-lHtkcn2OH7hP0jQ/edit?usp=sharing"",""ลำปาง!J725"")"),0)</f>
        <v>0</v>
      </c>
      <c r="BI26" s="57">
        <f ca="1">IFERROR(__xludf.DUMMYFUNCTION("IMPORTRANGE(""https://docs.google.com/spreadsheets/d/1p7ERhsr0qZeSn-KSOdeHS9r0heI-lHtkcn2OH7hP0jQ/edit?usp=sharing"",""ลำปาง!I726"")"),0)</f>
        <v>0</v>
      </c>
      <c r="BJ26" s="57">
        <f ca="1">IFERROR(__xludf.DUMMYFUNCTION("IMPORTRANGE(""https://docs.google.com/spreadsheets/d/1p7ERhsr0qZeSn-KSOdeHS9r0heI-lHtkcn2OH7hP0jQ/edit?usp=sharing"",""ลำปาง!I728"")"),0)</f>
        <v>0</v>
      </c>
      <c r="BK26" s="57">
        <f ca="1">IFERROR(__xludf.DUMMYFUNCTION("IMPORTRANGE(""https://docs.google.com/spreadsheets/d/1p7ERhsr0qZeSn-KSOdeHS9r0heI-lHtkcn2OH7hP0jQ/edit?usp=sharing"",""ลำปาง!J726"")"),0)</f>
        <v>0</v>
      </c>
      <c r="BL26" s="57">
        <f ca="1">IFERROR(__xludf.DUMMYFUNCTION("IMPORTRANGE(""https://docs.google.com/spreadsheets/d/1p7ERhsr0qZeSn-KSOdeHS9r0heI-lHtkcn2OH7hP0jQ/edit?usp=sharing"",""ลำปาง!J727"")"),0)</f>
        <v>0</v>
      </c>
      <c r="BM26" s="57">
        <f ca="1">IFERROR(__xludf.DUMMYFUNCTION("IMPORTRANGE(""https://docs.google.com/spreadsheets/d/1p7ERhsr0qZeSn-KSOdeHS9r0heI-lHtkcn2OH7hP0jQ/edit?usp=sharing"",""ลำปาง!J728"")"),0)</f>
        <v>0</v>
      </c>
      <c r="BN26" s="57">
        <f ca="1">IFERROR(__xludf.DUMMYFUNCTION("IMPORTRANGE(""https://docs.google.com/spreadsheets/d/1p7ERhsr0qZeSn-KSOdeHS9r0heI-lHtkcn2OH7hP0jQ/edit?usp=sharing"",""ลำปาง!I729"")"),0)</f>
        <v>0</v>
      </c>
      <c r="BO26" s="57">
        <f ca="1">IFERROR(__xludf.DUMMYFUNCTION("IMPORTRANGE(""https://docs.google.com/spreadsheets/d/1p7ERhsr0qZeSn-KSOdeHS9r0heI-lHtkcn2OH7hP0jQ/edit?usp=sharing"",""ลำปาง!J729"")"),0)</f>
        <v>0</v>
      </c>
      <c r="BP26" s="63">
        <f t="shared" ca="1" si="19"/>
        <v>0</v>
      </c>
      <c r="BQ26" s="57">
        <f ca="1">IFERROR(__xludf.DUMMYFUNCTION("IMPORTRANGE(""https://docs.google.com/spreadsheets/d/1p7ERhsr0qZeSn-KSOdeHS9r0heI-lHtkcn2OH7hP0jQ/edit?usp=sharing"",""ลำปาง!J730"")"),0)</f>
        <v>0</v>
      </c>
      <c r="BR26" s="57">
        <f ca="1">IFERROR(__xludf.DUMMYFUNCTION("IMPORTRANGE(""https://docs.google.com/spreadsheets/d/1p7ERhsr0qZeSn-KSOdeHS9r0heI-lHtkcn2OH7hP0jQ/edit?usp=sharing"",""ลำปาง!J731"")"),0)</f>
        <v>0</v>
      </c>
      <c r="BS26" s="57">
        <f ca="1">IFERROR(__xludf.DUMMYFUNCTION("IMPORTRANGE(""https://docs.google.com/spreadsheets/d/1p7ERhsr0qZeSn-KSOdeHS9r0heI-lHtkcn2OH7hP0jQ/edit?usp=sharing"",""ลำปาง!J732"")"),0)</f>
        <v>0</v>
      </c>
      <c r="BT26" s="57">
        <f ca="1">IFERROR(__xludf.DUMMYFUNCTION("IMPORTRANGE(""https://docs.google.com/spreadsheets/d/1p7ERhsr0qZeSn-KSOdeHS9r0heI-lHtkcn2OH7hP0jQ/edit?usp=sharing"",""ลำปาง!J733"")"),0)</f>
        <v>0</v>
      </c>
      <c r="BU26" s="57">
        <f ca="1">IFERROR(__xludf.DUMMYFUNCTION("IMPORTRANGE(""https://docs.google.com/spreadsheets/d/1p7ERhsr0qZeSn-KSOdeHS9r0heI-lHtkcn2OH7hP0jQ/edit?usp=sharing"",""ลำปาง!J734"")"),0)</f>
        <v>0</v>
      </c>
      <c r="BV26" s="57">
        <f ca="1">IFERROR(__xludf.DUMMYFUNCTION("IMPORTRANGE(""https://docs.google.com/spreadsheets/d/1p7ERhsr0qZeSn-KSOdeHS9r0heI-lHtkcn2OH7hP0jQ/edit?usp=sharing"",""ลำปาง!J735"")"),0)</f>
        <v>0</v>
      </c>
    </row>
    <row r="27" spans="1:74" ht="24" customHeight="1" x14ac:dyDescent="0.3">
      <c r="A27" s="54">
        <v>14</v>
      </c>
      <c r="B27" s="55" t="s">
        <v>48</v>
      </c>
      <c r="C27" s="56">
        <f t="shared" ca="1" si="51"/>
        <v>40200</v>
      </c>
      <c r="D27" s="57">
        <f ca="1">IFERROR(__xludf.DUMMYFUNCTION("IMPORTRANGE(""https://docs.google.com/spreadsheets/d/1-uUXvimVhiU2U0bMN-xi2te0tS4X7DI2GLPnMjzl8cA/edit?usp=sharing"",""ลำพูน!L690"")"),40200)</f>
        <v>40200</v>
      </c>
      <c r="E27" s="64">
        <f ca="1">IFERROR(__xludf.DUMMYFUNCTION("IMPORTRANGE(""https://docs.google.com/spreadsheets/d/1-uUXvimVhiU2U0bMN-xi2te0tS4X7DI2GLPnMjzl8cA/edit?usp=sharing"",""ลำพูน!L697"")"),0)</f>
        <v>0</v>
      </c>
      <c r="F27" s="64">
        <f ca="1">IFERROR(__xludf.DUMMYFUNCTION("IMPORTRANGE(""https://docs.google.com/spreadsheets/d/1-uUXvimVhiU2U0bMN-xi2te0tS4X7DI2GLPnMjzl8cA/edit?usp=sharing"",""ลำพูน!M690"")"),40200)</f>
        <v>40200</v>
      </c>
      <c r="G27" s="64">
        <f ca="1">IFERROR(__xludf.DUMMYFUNCTION("IMPORTRANGE(""https://docs.google.com/spreadsheets/d/1-uUXvimVhiU2U0bMN-xi2te0tS4X7DI2GLPnMjzl8cA/edit?usp=sharing"",""ลำพูน!M697"")"),0)</f>
        <v>0</v>
      </c>
      <c r="H27" s="58">
        <f t="shared" ca="1" si="33"/>
        <v>1000</v>
      </c>
      <c r="I27" s="59">
        <f t="shared" ca="1" si="1"/>
        <v>2.4875621890547261</v>
      </c>
      <c r="J27" s="60">
        <f t="shared" ca="1" si="52"/>
        <v>1000</v>
      </c>
      <c r="K27" s="61">
        <f t="shared" ca="1" si="39"/>
        <v>2.4875621890547261</v>
      </c>
      <c r="L27" s="61">
        <f t="shared" ca="1" si="40"/>
        <v>2.4875621890547261</v>
      </c>
      <c r="M27" s="64">
        <f ca="1">IFERROR(__xludf.DUMMYFUNCTION("IMPORTRANGE(""https://docs.google.com/spreadsheets/d/1-uUXvimVhiU2U0bMN-xi2te0tS4X7DI2GLPnMjzl8cA/edit?usp=sharing"",""ลำพูน!N691"")"),0)</f>
        <v>0</v>
      </c>
      <c r="N27" s="64">
        <f ca="1">IFERROR(__xludf.DUMMYFUNCTION("IMPORTRANGE(""https://docs.google.com/spreadsheets/d/1-uUXvimVhiU2U0bMN-xi2te0tS4X7DI2GLPnMjzl8cA/edit?usp=sharing"",""ลำพูน!N692"")"),0)</f>
        <v>0</v>
      </c>
      <c r="O27" s="64">
        <f ca="1">IFERROR(__xludf.DUMMYFUNCTION("IMPORTRANGE(""https://docs.google.com/spreadsheets/d/1-uUXvimVhiU2U0bMN-xi2te0tS4X7DI2GLPnMjzl8cA/edit?usp=sharing"",""ลำพูน!N693"")"),0)</f>
        <v>0</v>
      </c>
      <c r="P27" s="64">
        <f ca="1">IFERROR(__xludf.DUMMYFUNCTION("IMPORTRANGE(""https://docs.google.com/spreadsheets/d/1-uUXvimVhiU2U0bMN-xi2te0tS4X7DI2GLPnMjzl8cA/edit?usp=sharing"",""ลำพูน!N694"")"),1000)</f>
        <v>1000</v>
      </c>
      <c r="Q27" s="62">
        <f ca="1">IFERROR(__xludf.DUMMYFUNCTION("IMPORTRANGE(""https://docs.google.com/spreadsheets/d/1-uUXvimVhiU2U0bMN-xi2te0tS4X7DI2GLPnMjzl8cA/edit?usp=sharing"",""ลำพูน!N697"")"),0)</f>
        <v>0</v>
      </c>
      <c r="R27" s="62">
        <f t="shared" ca="1" si="42"/>
        <v>0</v>
      </c>
      <c r="S27" s="57">
        <f ca="1">IFERROR(__xludf.DUMMYFUNCTION("IMPORTRANGE(""https://docs.google.com/spreadsheets/d/1-uUXvimVhiU2U0bMN-xi2te0tS4X7DI2GLPnMjzl8cA/edit?usp=sharing"",""ลำพูน!I699"")"),0)</f>
        <v>0</v>
      </c>
      <c r="T27" s="57">
        <f ca="1">IFERROR(__xludf.DUMMYFUNCTION("IMPORTRANGE(""https://docs.google.com/spreadsheets/d/1-uUXvimVhiU2U0bMN-xi2te0tS4X7DI2GLPnMjzl8cA/edit?usp=sharing"",""ลำพูน!J699"")"),0)</f>
        <v>0</v>
      </c>
      <c r="U27" s="63">
        <f t="shared" ca="1" si="34"/>
        <v>0</v>
      </c>
      <c r="V27" s="57">
        <f ca="1">IFERROR(__xludf.DUMMYFUNCTION("IMPORTRANGE(""https://docs.google.com/spreadsheets/d/1-uUXvimVhiU2U0bMN-xi2te0tS4X7DI2GLPnMjzl8cA/edit?usp=sharing"",""ลำพูน!I700"")"),30)</f>
        <v>30</v>
      </c>
      <c r="W27" s="57">
        <f ca="1">IFERROR(__xludf.DUMMYFUNCTION("IMPORTRANGE(""https://docs.google.com/spreadsheets/d/1-uUXvimVhiU2U0bMN-xi2te0tS4X7DI2GLPnMjzl8cA/edit?usp=sharing"",""ลำพูน!J700"")"),3)</f>
        <v>3</v>
      </c>
      <c r="X27" s="63">
        <f t="shared" ca="1" si="35"/>
        <v>10</v>
      </c>
      <c r="Y27" s="57">
        <f ca="1">IFERROR(__xludf.DUMMYFUNCTION("IMPORTRANGE(""https://docs.google.com/spreadsheets/d/1-uUXvimVhiU2U0bMN-xi2te0tS4X7DI2GLPnMjzl8cA/edit?usp=sharing"",""ลำพูน!I701"")"),200)</f>
        <v>200</v>
      </c>
      <c r="Z27" s="57">
        <f ca="1">IFERROR(__xludf.DUMMYFUNCTION("IMPORTRANGE(""https://docs.google.com/spreadsheets/d/1-uUXvimVhiU2U0bMN-xi2te0tS4X7DI2GLPnMjzl8cA/edit?usp=sharing"",""ลำพูน!J701"")"),0)</f>
        <v>0</v>
      </c>
      <c r="AA27" s="63">
        <f t="shared" ca="1" si="36"/>
        <v>0</v>
      </c>
      <c r="AB27" s="63">
        <f ca="1">IFERROR(__xludf.DUMMYFUNCTION("IMPORTRANGE(""https://docs.google.com/spreadsheets/d/1-uUXvimVhiU2U0bMN-xi2te0tS4X7DI2GLPnMjzl8cA/edit?usp=sharing"",""ลำพูน!J702"")"),0)</f>
        <v>0</v>
      </c>
      <c r="AC27" s="63">
        <f ca="1">IFERROR(__xludf.DUMMYFUNCTION("IMPORTRANGE(""https://docs.google.com/spreadsheets/d/1-uUXvimVhiU2U0bMN-xi2te0tS4X7DI2GLPnMjzl8cA/edit?usp=sharing"",""ลำพูน!J703"")"),0)</f>
        <v>0</v>
      </c>
      <c r="AD27" s="63">
        <f ca="1">IFERROR(__xludf.DUMMYFUNCTION("IMPORTRANGE(""https://docs.google.com/spreadsheets/d/1-uUXvimVhiU2U0bMN-xi2te0tS4X7DI2GLPnMjzl8cA/edit?usp=sharing"",""ลำพูน!J704"")"),0)</f>
        <v>0</v>
      </c>
      <c r="AE27" s="63">
        <f ca="1">IFERROR(__xludf.DUMMYFUNCTION("IMPORTRANGE(""https://docs.google.com/spreadsheets/d/1-uUXvimVhiU2U0bMN-xi2te0tS4X7DI2GLPnMjzl8cA/edit?usp=sharing"",""ลำพูน!J705"")"),0)</f>
        <v>0</v>
      </c>
      <c r="AF27" s="63">
        <f ca="1">IFERROR(__xludf.DUMMYFUNCTION("IMPORTRANGE(""https://docs.google.com/spreadsheets/d/1-uUXvimVhiU2U0bMN-xi2te0tS4X7DI2GLPnMjzl8cA/edit?usp=sharing"",""ลำพูน!J706"")"),0)</f>
        <v>0</v>
      </c>
      <c r="AG27" s="63">
        <f ca="1">IFERROR(__xludf.DUMMYFUNCTION("IMPORTRANGE(""https://docs.google.com/spreadsheets/d/1-uUXvimVhiU2U0bMN-xi2te0tS4X7DI2GLPnMjzl8cA/edit?usp=sharing"",""ลำพูน!J707"")"),0)</f>
        <v>0</v>
      </c>
      <c r="AH27" s="57">
        <f ca="1">IFERROR(__xludf.DUMMYFUNCTION("IMPORTRANGE(""https://docs.google.com/spreadsheets/d/1-uUXvimVhiU2U0bMN-xi2te0tS4X7DI2GLPnMjzl8cA/edit?usp=sharing"",""ลำพูน!I708"")"),100)</f>
        <v>100</v>
      </c>
      <c r="AI27" s="57">
        <f ca="1">IFERROR(__xludf.DUMMYFUNCTION("IMPORTRANGE(""https://docs.google.com/spreadsheets/d/1-uUXvimVhiU2U0bMN-xi2te0tS4X7DI2GLPnMjzl8cA/edit?usp=sharing"",""ลำพูน!J708"")"),42)</f>
        <v>42</v>
      </c>
      <c r="AJ27" s="63">
        <f t="shared" ca="1" si="37"/>
        <v>42</v>
      </c>
      <c r="AK27" s="57">
        <f ca="1">IFERROR(__xludf.DUMMYFUNCTION("IMPORTRANGE(""https://docs.google.com/spreadsheets/d/1-uUXvimVhiU2U0bMN-xi2te0tS4X7DI2GLPnMjzl8cA/edit?usp=sharing"",""ลำพูน!J709"")"),4)</f>
        <v>4</v>
      </c>
      <c r="AL27" s="57">
        <f ca="1">IFERROR(__xludf.DUMMYFUNCTION("IMPORTRANGE(""https://docs.google.com/spreadsheets/d/1-uUXvimVhiU2U0bMN-xi2te0tS4X7DI2GLPnMjzl8cA/edit?usp=sharing"",""ลำพูน!J710"")"),41)</f>
        <v>41</v>
      </c>
      <c r="AM27" s="57">
        <f ca="1">IFERROR(__xludf.DUMMYFUNCTION("IMPORTRANGE(""https://docs.google.com/spreadsheets/d/1-uUXvimVhiU2U0bMN-xi2te0tS4X7DI2GLPnMjzl8cA/edit?usp=sharing"",""ลำพูน!J712"")"),9)</f>
        <v>9</v>
      </c>
      <c r="AN27" s="57">
        <f ca="1">IFERROR(__xludf.DUMMYFUNCTION("IMPORTRANGE(""https://docs.google.com/spreadsheets/d/1-uUXvimVhiU2U0bMN-xi2te0tS4X7DI2GLPnMjzl8cA/edit?usp=sharing"",""ลำพูน!J713"")"),9)</f>
        <v>9</v>
      </c>
      <c r="AO27" s="57">
        <f ca="1">IFERROR(__xludf.DUMMYFUNCTION("IMPORTRANGE(""https://docs.google.com/spreadsheets/d/1-uUXvimVhiU2U0bMN-xi2te0tS4X7DI2GLPnMjzl8cA/edit?usp=sharing"",""ลำพูน!J714"")"),42)</f>
        <v>42</v>
      </c>
      <c r="AP27" s="57">
        <f ca="1">IFERROR(__xludf.DUMMYFUNCTION("IMPORTRANGE(""https://docs.google.com/spreadsheets/d/1-uUXvimVhiU2U0bMN-xi2te0tS4X7DI2GLPnMjzl8cA/edit?usp=sharing"",""ลำพูน!J715"")"),0)</f>
        <v>0</v>
      </c>
      <c r="AQ27" s="57">
        <f ca="1">IFERROR(__xludf.DUMMYFUNCTION("IMPORTRANGE(""https://docs.google.com/spreadsheets/d/1-uUXvimVhiU2U0bMN-xi2te0tS4X7DI2GLPnMjzl8cA/edit?usp=sharing"",""ลำพูน!J716"")"),0)</f>
        <v>0</v>
      </c>
      <c r="AR27" s="57">
        <f ca="1">IFERROR(__xludf.DUMMYFUNCTION("IMPORTRANGE(""https://docs.google.com/spreadsheets/d/1-uUXvimVhiU2U0bMN-xi2te0tS4X7DI2GLPnMjzl8cA/edit?usp=sharing"",""ลำพูน!J717"")"),0)</f>
        <v>0</v>
      </c>
      <c r="AS27" s="57">
        <f ca="1">IFERROR(__xludf.DUMMYFUNCTION("IMPORTRANGE(""https://docs.google.com/spreadsheets/d/1-uUXvimVhiU2U0bMN-xi2te0tS4X7DI2GLPnMjzl8cA/edit?usp=sharing"",""ลำพูน!I720"")"),400)</f>
        <v>400</v>
      </c>
      <c r="AT27" s="57">
        <f ca="1">IFERROR(__xludf.DUMMYFUNCTION("IMPORTRANGE(""https://docs.google.com/spreadsheets/d/1-uUXvimVhiU2U0bMN-xi2te0tS4X7DI2GLPnMjzl8cA/edit?usp=sharing"",""ลำพูน!J718"")"),0)</f>
        <v>0</v>
      </c>
      <c r="AU27" s="57">
        <f ca="1">IFERROR(__xludf.DUMMYFUNCTION("IMPORTRANGE(""https://docs.google.com/spreadsheets/d/1-uUXvimVhiU2U0bMN-xi2te0tS4X7DI2GLPnMjzl8cA/edit?usp=sharing"",""ลำพูน!J719"")"),0)</f>
        <v>0</v>
      </c>
      <c r="AV27" s="57">
        <f ca="1">IFERROR(__xludf.DUMMYFUNCTION("IMPORTRANGE(""https://docs.google.com/spreadsheets/d/1-uUXvimVhiU2U0bMN-xi2te0tS4X7DI2GLPnMjzl8cA/edit?usp=sharing"",""ลำพูน!J720"")"),0)</f>
        <v>0</v>
      </c>
      <c r="AW27" s="63">
        <f t="shared" ca="1" si="14"/>
        <v>0</v>
      </c>
      <c r="AX27" s="57">
        <f ca="1">IFERROR(__xludf.DUMMYFUNCTION("IMPORTRANGE(""https://docs.google.com/spreadsheets/d/1-uUXvimVhiU2U0bMN-xi2te0tS4X7DI2GLPnMjzl8cA/edit?usp=sharing"",""ลำพูน!I721"")"),30)</f>
        <v>30</v>
      </c>
      <c r="AY27" s="57">
        <f ca="1">IFERROR(__xludf.DUMMYFUNCTION("IMPORTRANGE(""https://docs.google.com/spreadsheets/d/1-uUXvimVhiU2U0bMN-xi2te0tS4X7DI2GLPnMjzl8cA/edit?usp=sharing"",""ลำพูน!I722"")"),300)</f>
        <v>300</v>
      </c>
      <c r="AZ27" s="57">
        <f ca="1">IFERROR(__xludf.DUMMYFUNCTION("IMPORTRANGE(""https://docs.google.com/spreadsheets/d/1-uUXvimVhiU2U0bMN-xi2te0tS4X7DI2GLPnMjzl8cA/edit?usp=sharing"",""ลำพูน!J721"")"),12)</f>
        <v>12</v>
      </c>
      <c r="BA27" s="63">
        <f t="shared" ca="1" si="16"/>
        <v>40</v>
      </c>
      <c r="BB27" s="57">
        <f ca="1">IFERROR(__xludf.DUMMYFUNCTION("IMPORTRANGE(""https://docs.google.com/spreadsheets/d/1-uUXvimVhiU2U0bMN-xi2te0tS4X7DI2GLPnMjzl8cA/edit?usp=sharing"",""ลำพูน!J722"")"),43.8099999999999)</f>
        <v>43.809999999999903</v>
      </c>
      <c r="BC27" s="63">
        <f t="shared" ca="1" si="17"/>
        <v>14.6033333333333</v>
      </c>
      <c r="BD27" s="57">
        <f ca="1">IFERROR(__xludf.DUMMYFUNCTION("IMPORTRANGE(""https://docs.google.com/spreadsheets/d/1-uUXvimVhiU2U0bMN-xi2te0tS4X7DI2GLPnMjzl8cA/edit?usp=sharing"",""ลำพูน!I723"")"),20)</f>
        <v>20</v>
      </c>
      <c r="BE27" s="57">
        <f ca="1">IFERROR(__xludf.DUMMYFUNCTION("IMPORTRANGE(""https://docs.google.com/spreadsheets/d/1-uUXvimVhiU2U0bMN-xi2te0tS4X7DI2GLPnMjzl8cA/edit?usp=sharing"",""ลำพูน!I725"")"),200)</f>
        <v>200</v>
      </c>
      <c r="BF27" s="57">
        <f ca="1">IFERROR(__xludf.DUMMYFUNCTION("IMPORTRANGE(""https://docs.google.com/spreadsheets/d/1-uUXvimVhiU2U0bMN-xi2te0tS4X7DI2GLPnMjzl8cA/edit?usp=sharing"",""ลำพูน!J723"")"),3)</f>
        <v>3</v>
      </c>
      <c r="BG27" s="57">
        <f ca="1">IFERROR(__xludf.DUMMYFUNCTION("IMPORTRANGE(""https://docs.google.com/spreadsheets/d/1-uUXvimVhiU2U0bMN-xi2te0tS4X7DI2GLPnMjzl8cA/edit?usp=sharing"",""ลำพูน!J724"")"),3)</f>
        <v>3</v>
      </c>
      <c r="BH27" s="57">
        <f ca="1">IFERROR(__xludf.DUMMYFUNCTION("IMPORTRANGE(""https://docs.google.com/spreadsheets/d/1-uUXvimVhiU2U0bMN-xi2te0tS4X7DI2GLPnMjzl8cA/edit?usp=sharing"",""ลำพูน!J725"")"),1.8)</f>
        <v>1.8</v>
      </c>
      <c r="BI27" s="57">
        <f ca="1">IFERROR(__xludf.DUMMYFUNCTION("IMPORTRANGE(""https://docs.google.com/spreadsheets/d/1-uUXvimVhiU2U0bMN-xi2te0tS4X7DI2GLPnMjzl8cA/edit?usp=sharing"",""ลำพูน!I726"")"),10)</f>
        <v>10</v>
      </c>
      <c r="BJ27" s="57">
        <f ca="1">IFERROR(__xludf.DUMMYFUNCTION("IMPORTRANGE(""https://docs.google.com/spreadsheets/d/1-uUXvimVhiU2U0bMN-xi2te0tS4X7DI2GLPnMjzl8cA/edit?usp=sharing"",""ลำพูน!I728"")"),100)</f>
        <v>100</v>
      </c>
      <c r="BK27" s="57">
        <f ca="1">IFERROR(__xludf.DUMMYFUNCTION("IMPORTRANGE(""https://docs.google.com/spreadsheets/d/1-uUXvimVhiU2U0bMN-xi2te0tS4X7DI2GLPnMjzl8cA/edit?usp=sharing"",""ลำพูน!J726"")"),9)</f>
        <v>9</v>
      </c>
      <c r="BL27" s="57">
        <f ca="1">IFERROR(__xludf.DUMMYFUNCTION("IMPORTRANGE(""https://docs.google.com/spreadsheets/d/1-uUXvimVhiU2U0bMN-xi2te0tS4X7DI2GLPnMjzl8cA/edit?usp=sharing"",""ลำพูน!J727"")"),9)</f>
        <v>9</v>
      </c>
      <c r="BM27" s="57">
        <f ca="1">IFERROR(__xludf.DUMMYFUNCTION("IMPORTRANGE(""https://docs.google.com/spreadsheets/d/1-uUXvimVhiU2U0bMN-xi2te0tS4X7DI2GLPnMjzl8cA/edit?usp=sharing"",""ลำพูน!J728"")"),42.01)</f>
        <v>42.01</v>
      </c>
      <c r="BN27" s="57">
        <f ca="1">IFERROR(__xludf.DUMMYFUNCTION("IMPORTRANGE(""https://docs.google.com/spreadsheets/d/1-uUXvimVhiU2U0bMN-xi2te0tS4X7DI2GLPnMjzl8cA/edit?usp=sharing"",""ลำพูน!I729"")"),40)</f>
        <v>40</v>
      </c>
      <c r="BO27" s="57">
        <f ca="1">IFERROR(__xludf.DUMMYFUNCTION("IMPORTRANGE(""https://docs.google.com/spreadsheets/d/1-uUXvimVhiU2U0bMN-xi2te0tS4X7DI2GLPnMjzl8cA/edit?usp=sharing"",""ลำพูน!J729"")"),0)</f>
        <v>0</v>
      </c>
      <c r="BP27" s="63">
        <f t="shared" ca="1" si="19"/>
        <v>0</v>
      </c>
      <c r="BQ27" s="57">
        <f ca="1">IFERROR(__xludf.DUMMYFUNCTION("IMPORTRANGE(""https://docs.google.com/spreadsheets/d/1-uUXvimVhiU2U0bMN-xi2te0tS4X7DI2GLPnMjzl8cA/edit?usp=sharing"",""ลำพูน!J730"")"),0)</f>
        <v>0</v>
      </c>
      <c r="BR27" s="57">
        <f ca="1">IFERROR(__xludf.DUMMYFUNCTION("IMPORTRANGE(""https://docs.google.com/spreadsheets/d/1-uUXvimVhiU2U0bMN-xi2te0tS4X7DI2GLPnMjzl8cA/edit?usp=sharing"",""ลำพูน!J731"")"),0)</f>
        <v>0</v>
      </c>
      <c r="BS27" s="57">
        <f ca="1">IFERROR(__xludf.DUMMYFUNCTION("IMPORTRANGE(""https://docs.google.com/spreadsheets/d/1-uUXvimVhiU2U0bMN-xi2te0tS4X7DI2GLPnMjzl8cA/edit?usp=sharing"",""ลำพูน!J732"")"),0)</f>
        <v>0</v>
      </c>
      <c r="BT27" s="57">
        <f ca="1">IFERROR(__xludf.DUMMYFUNCTION("IMPORTRANGE(""https://docs.google.com/spreadsheets/d/1-uUXvimVhiU2U0bMN-xi2te0tS4X7DI2GLPnMjzl8cA/edit?usp=sharing"",""ลำพูน!J733"")"),0)</f>
        <v>0</v>
      </c>
      <c r="BU27" s="57">
        <f ca="1">IFERROR(__xludf.DUMMYFUNCTION("IMPORTRANGE(""https://docs.google.com/spreadsheets/d/1-uUXvimVhiU2U0bMN-xi2te0tS4X7DI2GLPnMjzl8cA/edit?usp=sharing"",""ลำพูน!J734"")"),0)</f>
        <v>0</v>
      </c>
      <c r="BV27" s="57">
        <f ca="1">IFERROR(__xludf.DUMMYFUNCTION("IMPORTRANGE(""https://docs.google.com/spreadsheets/d/1-uUXvimVhiU2U0bMN-xi2te0tS4X7DI2GLPnMjzl8cA/edit?usp=sharing"",""ลำพูน!J735"")"),0)</f>
        <v>0</v>
      </c>
    </row>
    <row r="28" spans="1:74" ht="24" customHeight="1" x14ac:dyDescent="0.3">
      <c r="A28" s="54">
        <v>15</v>
      </c>
      <c r="B28" s="55" t="s">
        <v>49</v>
      </c>
      <c r="C28" s="56">
        <f t="shared" ca="1" si="51"/>
        <v>3060</v>
      </c>
      <c r="D28" s="57">
        <f ca="1">IFERROR(__xludf.DUMMYFUNCTION("IMPORTRANGE(""https://docs.google.com/spreadsheets/d/17HrOaa5pBUI1onckFfumXB8xlg35qb2uBAFfF1D-Myo/edit?usp=sharing"",""สุโขทัย!L690"")"),3060)</f>
        <v>3060</v>
      </c>
      <c r="E28" s="64">
        <f ca="1">IFERROR(__xludf.DUMMYFUNCTION("IMPORTRANGE(""https://docs.google.com/spreadsheets/d/17HrOaa5pBUI1onckFfumXB8xlg35qb2uBAFfF1D-Myo/edit?usp=sharing"",""สุโขทัย!L697"")"),0)</f>
        <v>0</v>
      </c>
      <c r="F28" s="64">
        <f ca="1">IFERROR(__xludf.DUMMYFUNCTION("IMPORTRANGE(""https://docs.google.com/spreadsheets/d/17HrOaa5pBUI1onckFfumXB8xlg35qb2uBAFfF1D-Myo/edit?usp=sharing"",""สุโขทัย!M690"")"),3060)</f>
        <v>3060</v>
      </c>
      <c r="G28" s="64">
        <f ca="1">IFERROR(__xludf.DUMMYFUNCTION("IMPORTRANGE(""https://docs.google.com/spreadsheets/d/17HrOaa5pBUI1onckFfumXB8xlg35qb2uBAFfF1D-Myo/edit?usp=sharing"",""สุโขทัย!M697"")"),0)</f>
        <v>0</v>
      </c>
      <c r="H28" s="58">
        <f t="shared" ca="1" si="33"/>
        <v>0</v>
      </c>
      <c r="I28" s="59">
        <f t="shared" ca="1" si="1"/>
        <v>0</v>
      </c>
      <c r="J28" s="60">
        <f t="shared" ca="1" si="52"/>
        <v>0</v>
      </c>
      <c r="K28" s="61">
        <f t="shared" ca="1" si="39"/>
        <v>0</v>
      </c>
      <c r="L28" s="61">
        <f t="shared" ca="1" si="40"/>
        <v>0</v>
      </c>
      <c r="M28" s="64">
        <f ca="1">IFERROR(__xludf.DUMMYFUNCTION("IMPORTRANGE(""https://docs.google.com/spreadsheets/d/17HrOaa5pBUI1onckFfumXB8xlg35qb2uBAFfF1D-Myo/edit?usp=sharing"",""สุโขทัย!N691"")"),0)</f>
        <v>0</v>
      </c>
      <c r="N28" s="64">
        <f ca="1">IFERROR(__xludf.DUMMYFUNCTION("IMPORTRANGE(""https://docs.google.com/spreadsheets/d/17HrOaa5pBUI1onckFfumXB8xlg35qb2uBAFfF1D-Myo/edit?usp=sharing"",""สุโขทัย!N692"")"),0)</f>
        <v>0</v>
      </c>
      <c r="O28" s="64">
        <f ca="1">IFERROR(__xludf.DUMMYFUNCTION("IMPORTRANGE(""https://docs.google.com/spreadsheets/d/17HrOaa5pBUI1onckFfumXB8xlg35qb2uBAFfF1D-Myo/edit?usp=sharing"",""สุโขทัย!N693"")"),0)</f>
        <v>0</v>
      </c>
      <c r="P28" s="64">
        <f ca="1">IFERROR(__xludf.DUMMYFUNCTION("IMPORTRANGE(""https://docs.google.com/spreadsheets/d/17HrOaa5pBUI1onckFfumXB8xlg35qb2uBAFfF1D-Myo/edit?usp=sharing"",""สุโขทัย!N694"")"),0)</f>
        <v>0</v>
      </c>
      <c r="Q28" s="62">
        <f ca="1">IFERROR(__xludf.DUMMYFUNCTION("IMPORTRANGE(""https://docs.google.com/spreadsheets/d/17HrOaa5pBUI1onckFfumXB8xlg35qb2uBAFfF1D-Myo/edit?usp=sharing"",""สุโขทัย!N697"")"),0)</f>
        <v>0</v>
      </c>
      <c r="R28" s="62">
        <f t="shared" ca="1" si="42"/>
        <v>0</v>
      </c>
      <c r="S28" s="57">
        <f ca="1">IFERROR(__xludf.DUMMYFUNCTION("IMPORTRANGE(""https://docs.google.com/spreadsheets/d/17HrOaa5pBUI1onckFfumXB8xlg35qb2uBAFfF1D-Myo/edit?usp=sharing"",""สุโขทัย!I699"")"),0)</f>
        <v>0</v>
      </c>
      <c r="T28" s="57">
        <f ca="1">IFERROR(__xludf.DUMMYFUNCTION("IMPORTRANGE(""https://docs.google.com/spreadsheets/d/17HrOaa5pBUI1onckFfumXB8xlg35qb2uBAFfF1D-Myo/edit?usp=sharing"",""สุโขทัย!J699"")"),0)</f>
        <v>0</v>
      </c>
      <c r="U28" s="63">
        <f t="shared" ca="1" si="34"/>
        <v>0</v>
      </c>
      <c r="V28" s="57">
        <f ca="1">IFERROR(__xludf.DUMMYFUNCTION("IMPORTRANGE(""https://docs.google.com/spreadsheets/d/17HrOaa5pBUI1onckFfumXB8xlg35qb2uBAFfF1D-Myo/edit?usp=sharing"",""สุโขทัย!I700"")"),0)</f>
        <v>0</v>
      </c>
      <c r="W28" s="57">
        <f ca="1">IFERROR(__xludf.DUMMYFUNCTION("IMPORTRANGE(""https://docs.google.com/spreadsheets/d/17HrOaa5pBUI1onckFfumXB8xlg35qb2uBAFfF1D-Myo/edit?usp=sharing"",""สุโขทัย!J700"")"),0)</f>
        <v>0</v>
      </c>
      <c r="X28" s="63">
        <f t="shared" ca="1" si="35"/>
        <v>0</v>
      </c>
      <c r="Y28" s="57">
        <f ca="1">IFERROR(__xludf.DUMMYFUNCTION("IMPORTRANGE(""https://docs.google.com/spreadsheets/d/17HrOaa5pBUI1onckFfumXB8xlg35qb2uBAFfF1D-Myo/edit?usp=sharing"",""สุโขทัย!I701"")"),70)</f>
        <v>70</v>
      </c>
      <c r="Z28" s="57">
        <f ca="1">IFERROR(__xludf.DUMMYFUNCTION("IMPORTRANGE(""https://docs.google.com/spreadsheets/d/17HrOaa5pBUI1onckFfumXB8xlg35qb2uBAFfF1D-Myo/edit?usp=sharing"",""สุโขทัย!J701"")"),76)</f>
        <v>76</v>
      </c>
      <c r="AA28" s="63">
        <f t="shared" ca="1" si="36"/>
        <v>108.57142857142857</v>
      </c>
      <c r="AB28" s="63">
        <f ca="1">IFERROR(__xludf.DUMMYFUNCTION("IMPORTRANGE(""https://docs.google.com/spreadsheets/d/17HrOaa5pBUI1onckFfumXB8xlg35qb2uBAFfF1D-Myo/edit?usp=sharing"",""สุโขทัย!J702"")"),5)</f>
        <v>5</v>
      </c>
      <c r="AC28" s="63">
        <f ca="1">IFERROR(__xludf.DUMMYFUNCTION("IMPORTRANGE(""https://docs.google.com/spreadsheets/d/17HrOaa5pBUI1onckFfumXB8xlg35qb2uBAFfF1D-Myo/edit?usp=sharing"",""สุโขทัย!J703"")"),6)</f>
        <v>6</v>
      </c>
      <c r="AD28" s="63">
        <f ca="1">IFERROR(__xludf.DUMMYFUNCTION("IMPORTRANGE(""https://docs.google.com/spreadsheets/d/17HrOaa5pBUI1onckFfumXB8xlg35qb2uBAFfF1D-Myo/edit?usp=sharing"",""สุโขทัย!J704"")"),76)</f>
        <v>76</v>
      </c>
      <c r="AE28" s="63">
        <f ca="1">IFERROR(__xludf.DUMMYFUNCTION("IMPORTRANGE(""https://docs.google.com/spreadsheets/d/17HrOaa5pBUI1onckFfumXB8xlg35qb2uBAFfF1D-Myo/edit?usp=sharing"",""สุโขทัย!J705"")"),0)</f>
        <v>0</v>
      </c>
      <c r="AF28" s="63">
        <f ca="1">IFERROR(__xludf.DUMMYFUNCTION("IMPORTRANGE(""https://docs.google.com/spreadsheets/d/17HrOaa5pBUI1onckFfumXB8xlg35qb2uBAFfF1D-Myo/edit?usp=sharing"",""สุโขทัย!J706"")"),0)</f>
        <v>0</v>
      </c>
      <c r="AG28" s="63">
        <f ca="1">IFERROR(__xludf.DUMMYFUNCTION("IMPORTRANGE(""https://docs.google.com/spreadsheets/d/17HrOaa5pBUI1onckFfumXB8xlg35qb2uBAFfF1D-Myo/edit?usp=sharing"",""สุโขทัย!J707"")"),0)</f>
        <v>0</v>
      </c>
      <c r="AH28" s="57">
        <f ca="1">IFERROR(__xludf.DUMMYFUNCTION("IMPORTRANGE(""https://docs.google.com/spreadsheets/d/17HrOaa5pBUI1onckFfumXB8xlg35qb2uBAFfF1D-Myo/edit?usp=sharing"",""สุโขทัย!I708"")"),0)</f>
        <v>0</v>
      </c>
      <c r="AI28" s="57">
        <f ca="1">IFERROR(__xludf.DUMMYFUNCTION("IMPORTRANGE(""https://docs.google.com/spreadsheets/d/17HrOaa5pBUI1onckFfumXB8xlg35qb2uBAFfF1D-Myo/edit?usp=sharing"",""สุโขทัย!J708"")"),0)</f>
        <v>0</v>
      </c>
      <c r="AJ28" s="63">
        <f t="shared" ca="1" si="37"/>
        <v>0</v>
      </c>
      <c r="AK28" s="57">
        <f ca="1">IFERROR(__xludf.DUMMYFUNCTION("IMPORTRANGE(""https://docs.google.com/spreadsheets/d/17HrOaa5pBUI1onckFfumXB8xlg35qb2uBAFfF1D-Myo/edit?usp=sharing"",""สุโขทัย!J709"")"),0)</f>
        <v>0</v>
      </c>
      <c r="AL28" s="57">
        <f ca="1">IFERROR(__xludf.DUMMYFUNCTION("IMPORTRANGE(""https://docs.google.com/spreadsheets/d/17HrOaa5pBUI1onckFfumXB8xlg35qb2uBAFfF1D-Myo/edit?usp=sharing"",""สุโขทัย!J710"")"),0)</f>
        <v>0</v>
      </c>
      <c r="AM28" s="57">
        <f ca="1">IFERROR(__xludf.DUMMYFUNCTION("IMPORTRANGE(""https://docs.google.com/spreadsheets/d/17HrOaa5pBUI1onckFfumXB8xlg35qb2uBAFfF1D-Myo/edit?usp=sharing"",""สุโขทัย!J712"")"),0)</f>
        <v>0</v>
      </c>
      <c r="AN28" s="57">
        <f ca="1">IFERROR(__xludf.DUMMYFUNCTION("IMPORTRANGE(""https://docs.google.com/spreadsheets/d/17HrOaa5pBUI1onckFfumXB8xlg35qb2uBAFfF1D-Myo/edit?usp=sharing"",""สุโขทัย!J713"")"),0)</f>
        <v>0</v>
      </c>
      <c r="AO28" s="57">
        <f ca="1">IFERROR(__xludf.DUMMYFUNCTION("IMPORTRANGE(""https://docs.google.com/spreadsheets/d/17HrOaa5pBUI1onckFfumXB8xlg35qb2uBAFfF1D-Myo/edit?usp=sharing"",""สุโขทัย!J714"")"),0)</f>
        <v>0</v>
      </c>
      <c r="AP28" s="57">
        <f ca="1">IFERROR(__xludf.DUMMYFUNCTION("IMPORTRANGE(""https://docs.google.com/spreadsheets/d/17HrOaa5pBUI1onckFfumXB8xlg35qb2uBAFfF1D-Myo/edit?usp=sharing"",""สุโขทัย!J715"")"),0)</f>
        <v>0</v>
      </c>
      <c r="AQ28" s="57">
        <f ca="1">IFERROR(__xludf.DUMMYFUNCTION("IMPORTRANGE(""https://docs.google.com/spreadsheets/d/17HrOaa5pBUI1onckFfumXB8xlg35qb2uBAFfF1D-Myo/edit?usp=sharing"",""สุโขทัย!J716"")"),0)</f>
        <v>0</v>
      </c>
      <c r="AR28" s="57">
        <f ca="1">IFERROR(__xludf.DUMMYFUNCTION("IMPORTRANGE(""https://docs.google.com/spreadsheets/d/17HrOaa5pBUI1onckFfumXB8xlg35qb2uBAFfF1D-Myo/edit?usp=sharing"",""สุโขทัย!J717"")"),0)</f>
        <v>0</v>
      </c>
      <c r="AS28" s="57">
        <f ca="1">IFERROR(__xludf.DUMMYFUNCTION("IMPORTRANGE(""https://docs.google.com/spreadsheets/d/17HrOaa5pBUI1onckFfumXB8xlg35qb2uBAFfF1D-Myo/edit?usp=sharing"",""สุโขทัย!I720"")"),14)</f>
        <v>14</v>
      </c>
      <c r="AT28" s="57">
        <f ca="1">IFERROR(__xludf.DUMMYFUNCTION("IMPORTRANGE(""https://docs.google.com/spreadsheets/d/17HrOaa5pBUI1onckFfumXB8xlg35qb2uBAFfF1D-Myo/edit?usp=sharing"",""สุโขทัย!J718"")"),0)</f>
        <v>0</v>
      </c>
      <c r="AU28" s="57">
        <f ca="1">IFERROR(__xludf.DUMMYFUNCTION("IMPORTRANGE(""https://docs.google.com/spreadsheets/d/17HrOaa5pBUI1onckFfumXB8xlg35qb2uBAFfF1D-Myo/edit?usp=sharing"",""สุโขทัย!J719"")"),0)</f>
        <v>0</v>
      </c>
      <c r="AV28" s="57">
        <f ca="1">IFERROR(__xludf.DUMMYFUNCTION("IMPORTRANGE(""https://docs.google.com/spreadsheets/d/17HrOaa5pBUI1onckFfumXB8xlg35qb2uBAFfF1D-Myo/edit?usp=sharing"",""สุโขทัย!J720"")"),0)</f>
        <v>0</v>
      </c>
      <c r="AW28" s="63">
        <f t="shared" ca="1" si="14"/>
        <v>0</v>
      </c>
      <c r="AX28" s="57">
        <f ca="1">IFERROR(__xludf.DUMMYFUNCTION("IMPORTRANGE(""https://docs.google.com/spreadsheets/d/17HrOaa5pBUI1onckFfumXB8xlg35qb2uBAFfF1D-Myo/edit?usp=sharing"",""สุโขทัย!I721"")"),2)</f>
        <v>2</v>
      </c>
      <c r="AY28" s="57">
        <f ca="1">IFERROR(__xludf.DUMMYFUNCTION("IMPORTRANGE(""https://docs.google.com/spreadsheets/d/17HrOaa5pBUI1onckFfumXB8xlg35qb2uBAFfF1D-Myo/edit?usp=sharing"",""สุโขทัย!I722"")"),29)</f>
        <v>29</v>
      </c>
      <c r="AZ28" s="57">
        <f ca="1">IFERROR(__xludf.DUMMYFUNCTION("IMPORTRANGE(""https://docs.google.com/spreadsheets/d/17HrOaa5pBUI1onckFfumXB8xlg35qb2uBAFfF1D-Myo/edit?usp=sharing"",""สุโขทัย!J721"")"),0)</f>
        <v>0</v>
      </c>
      <c r="BA28" s="63">
        <f t="shared" ca="1" si="16"/>
        <v>0</v>
      </c>
      <c r="BB28" s="57">
        <f ca="1">IFERROR(__xludf.DUMMYFUNCTION("IMPORTRANGE(""https://docs.google.com/spreadsheets/d/17HrOaa5pBUI1onckFfumXB8xlg35qb2uBAFfF1D-Myo/edit?usp=sharing"",""สุโขทัย!J722"")"),0)</f>
        <v>0</v>
      </c>
      <c r="BC28" s="63">
        <f t="shared" ca="1" si="17"/>
        <v>0</v>
      </c>
      <c r="BD28" s="57">
        <f ca="1">IFERROR(__xludf.DUMMYFUNCTION("IMPORTRANGE(""https://docs.google.com/spreadsheets/d/17HrOaa5pBUI1onckFfumXB8xlg35qb2uBAFfF1D-Myo/edit?usp=sharing"",""สุโขทัย!I723"")"),2)</f>
        <v>2</v>
      </c>
      <c r="BE28" s="57">
        <f ca="1">IFERROR(__xludf.DUMMYFUNCTION("IMPORTRANGE(""https://docs.google.com/spreadsheets/d/17HrOaa5pBUI1onckFfumXB8xlg35qb2uBAFfF1D-Myo/edit?usp=sharing"",""สุโขทัย!I725"")"),29)</f>
        <v>29</v>
      </c>
      <c r="BF28" s="57">
        <f ca="1">IFERROR(__xludf.DUMMYFUNCTION("IMPORTRANGE(""https://docs.google.com/spreadsheets/d/17HrOaa5pBUI1onckFfumXB8xlg35qb2uBAFfF1D-Myo/edit?usp=sharing"",""สุโขทัย!J723"")"),0)</f>
        <v>0</v>
      </c>
      <c r="BG28" s="57">
        <f ca="1">IFERROR(__xludf.DUMMYFUNCTION("IMPORTRANGE(""https://docs.google.com/spreadsheets/d/17HrOaa5pBUI1onckFfumXB8xlg35qb2uBAFfF1D-Myo/edit?usp=sharing"",""สุโขทัย!J724"")"),0)</f>
        <v>0</v>
      </c>
      <c r="BH28" s="57">
        <f ca="1">IFERROR(__xludf.DUMMYFUNCTION("IMPORTRANGE(""https://docs.google.com/spreadsheets/d/17HrOaa5pBUI1onckFfumXB8xlg35qb2uBAFfF1D-Myo/edit?usp=sharing"",""สุโขทัย!J725"")"),0)</f>
        <v>0</v>
      </c>
      <c r="BI28" s="57">
        <f ca="1">IFERROR(__xludf.DUMMYFUNCTION("IMPORTRANGE(""https://docs.google.com/spreadsheets/d/17HrOaa5pBUI1onckFfumXB8xlg35qb2uBAFfF1D-Myo/edit?usp=sharing"",""สุโขทัย!I726"")"),0)</f>
        <v>0</v>
      </c>
      <c r="BJ28" s="57">
        <f ca="1">IFERROR(__xludf.DUMMYFUNCTION("IMPORTRANGE(""https://docs.google.com/spreadsheets/d/17HrOaa5pBUI1onckFfumXB8xlg35qb2uBAFfF1D-Myo/edit?usp=sharing"",""สุโขทัย!I728"")"),0)</f>
        <v>0</v>
      </c>
      <c r="BK28" s="57">
        <f ca="1">IFERROR(__xludf.DUMMYFUNCTION("IMPORTRANGE(""https://docs.google.com/spreadsheets/d/17HrOaa5pBUI1onckFfumXB8xlg35qb2uBAFfF1D-Myo/edit?usp=sharing"",""สุโขทัย!J726"")"),0)</f>
        <v>0</v>
      </c>
      <c r="BL28" s="57">
        <f ca="1">IFERROR(__xludf.DUMMYFUNCTION("IMPORTRANGE(""https://docs.google.com/spreadsheets/d/17HrOaa5pBUI1onckFfumXB8xlg35qb2uBAFfF1D-Myo/edit?usp=sharing"",""สุโขทัย!J727"")"),0)</f>
        <v>0</v>
      </c>
      <c r="BM28" s="57">
        <f ca="1">IFERROR(__xludf.DUMMYFUNCTION("IMPORTRANGE(""https://docs.google.com/spreadsheets/d/17HrOaa5pBUI1onckFfumXB8xlg35qb2uBAFfF1D-Myo/edit?usp=sharing"",""สุโขทัย!J728"")"),0)</f>
        <v>0</v>
      </c>
      <c r="BN28" s="57">
        <f ca="1">IFERROR(__xludf.DUMMYFUNCTION("IMPORTRANGE(""https://docs.google.com/spreadsheets/d/17HrOaa5pBUI1onckFfumXB8xlg35qb2uBAFfF1D-Myo/edit?usp=sharing"",""สุโขทัย!I729"")"),0)</f>
        <v>0</v>
      </c>
      <c r="BO28" s="57">
        <f ca="1">IFERROR(__xludf.DUMMYFUNCTION("IMPORTRANGE(""https://docs.google.com/spreadsheets/d/17HrOaa5pBUI1onckFfumXB8xlg35qb2uBAFfF1D-Myo/edit?usp=sharing"",""สุโขทัย!J729"")"),0)</f>
        <v>0</v>
      </c>
      <c r="BP28" s="63">
        <f t="shared" ca="1" si="19"/>
        <v>0</v>
      </c>
      <c r="BQ28" s="57">
        <f ca="1">IFERROR(__xludf.DUMMYFUNCTION("IMPORTRANGE(""https://docs.google.com/spreadsheets/d/17HrOaa5pBUI1onckFfumXB8xlg35qb2uBAFfF1D-Myo/edit?usp=sharing"",""สุโขทัย!J730"")"),0)</f>
        <v>0</v>
      </c>
      <c r="BR28" s="57">
        <f ca="1">IFERROR(__xludf.DUMMYFUNCTION("IMPORTRANGE(""https://docs.google.com/spreadsheets/d/17HrOaa5pBUI1onckFfumXB8xlg35qb2uBAFfF1D-Myo/edit?usp=sharing"",""สุโขทัย!J731"")"),0)</f>
        <v>0</v>
      </c>
      <c r="BS28" s="57">
        <f ca="1">IFERROR(__xludf.DUMMYFUNCTION("IMPORTRANGE(""https://docs.google.com/spreadsheets/d/17HrOaa5pBUI1onckFfumXB8xlg35qb2uBAFfF1D-Myo/edit?usp=sharing"",""สุโขทัย!J732"")"),0)</f>
        <v>0</v>
      </c>
      <c r="BT28" s="57">
        <f ca="1">IFERROR(__xludf.DUMMYFUNCTION("IMPORTRANGE(""https://docs.google.com/spreadsheets/d/17HrOaa5pBUI1onckFfumXB8xlg35qb2uBAFfF1D-Myo/edit?usp=sharing"",""สุโขทัย!J733"")"),0)</f>
        <v>0</v>
      </c>
      <c r="BU28" s="57">
        <f ca="1">IFERROR(__xludf.DUMMYFUNCTION("IMPORTRANGE(""https://docs.google.com/spreadsheets/d/17HrOaa5pBUI1onckFfumXB8xlg35qb2uBAFfF1D-Myo/edit?usp=sharing"",""สุโขทัย!J734"")"),0)</f>
        <v>0</v>
      </c>
      <c r="BV28" s="57">
        <f ca="1">IFERROR(__xludf.DUMMYFUNCTION("IMPORTRANGE(""https://docs.google.com/spreadsheets/d/17HrOaa5pBUI1onckFfumXB8xlg35qb2uBAFfF1D-Myo/edit?usp=sharing"",""สุโขทัย!J735"")"),0)</f>
        <v>0</v>
      </c>
    </row>
    <row r="29" spans="1:74" ht="24" customHeight="1" x14ac:dyDescent="0.3">
      <c r="A29" s="54">
        <v>16</v>
      </c>
      <c r="B29" s="55" t="s">
        <v>50</v>
      </c>
      <c r="C29" s="56">
        <f t="shared" ca="1" si="51"/>
        <v>0</v>
      </c>
      <c r="D29" s="57">
        <f ca="1">IFERROR(__xludf.DUMMYFUNCTION("IMPORTRANGE(""https://docs.google.com/spreadsheets/d/1ubs5cl16eYL9gHbdHTJtmtYb9MGzHBs7CAphn8kNCgM/edit?usp=sharing"",""อุตรดิตถ์!L690"")"),0)</f>
        <v>0</v>
      </c>
      <c r="E29" s="64">
        <f ca="1">IFERROR(__xludf.DUMMYFUNCTION("IMPORTRANGE(""https://docs.google.com/spreadsheets/d/1ubs5cl16eYL9gHbdHTJtmtYb9MGzHBs7CAphn8kNCgM/edit?usp=sharing"",""อุตรดิตถ์!L697"")"),0)</f>
        <v>0</v>
      </c>
      <c r="F29" s="64">
        <f ca="1">IFERROR(__xludf.DUMMYFUNCTION("IMPORTRANGE(""https://docs.google.com/spreadsheets/d/1ubs5cl16eYL9gHbdHTJtmtYb9MGzHBs7CAphn8kNCgM/edit?usp=sharing"",""อุตรดิตถ์!M690"")"),0)</f>
        <v>0</v>
      </c>
      <c r="G29" s="64">
        <f ca="1">IFERROR(__xludf.DUMMYFUNCTION("IMPORTRANGE(""https://docs.google.com/spreadsheets/d/1ubs5cl16eYL9gHbdHTJtmtYb9MGzHBs7CAphn8kNCgM/edit?usp=sharing"",""อุตรดิตถ์!M697"")"),0)</f>
        <v>0</v>
      </c>
      <c r="H29" s="58">
        <f t="shared" ca="1" si="33"/>
        <v>0</v>
      </c>
      <c r="I29" s="59">
        <f t="shared" ca="1" si="1"/>
        <v>0</v>
      </c>
      <c r="J29" s="60">
        <f t="shared" ca="1" si="52"/>
        <v>0</v>
      </c>
      <c r="K29" s="61">
        <f t="shared" ca="1" si="39"/>
        <v>0</v>
      </c>
      <c r="L29" s="61">
        <f t="shared" ca="1" si="40"/>
        <v>0</v>
      </c>
      <c r="M29" s="64">
        <f ca="1">IFERROR(__xludf.DUMMYFUNCTION("IMPORTRANGE(""https://docs.google.com/spreadsheets/d/1ubs5cl16eYL9gHbdHTJtmtYb9MGzHBs7CAphn8kNCgM/edit?usp=sharing"",""อุตรดิตถ์!N691"")"),0)</f>
        <v>0</v>
      </c>
      <c r="N29" s="64">
        <f ca="1">IFERROR(__xludf.DUMMYFUNCTION("IMPORTRANGE(""https://docs.google.com/spreadsheets/d/1ubs5cl16eYL9gHbdHTJtmtYb9MGzHBs7CAphn8kNCgM/edit?usp=sharing"",""อุตรดิตถ์!N692"")"),0)</f>
        <v>0</v>
      </c>
      <c r="O29" s="64">
        <f ca="1">IFERROR(__xludf.DUMMYFUNCTION("IMPORTRANGE(""https://docs.google.com/spreadsheets/d/1ubs5cl16eYL9gHbdHTJtmtYb9MGzHBs7CAphn8kNCgM/edit?usp=sharing"",""อุตรดิตถ์!N693"")"),0)</f>
        <v>0</v>
      </c>
      <c r="P29" s="64">
        <f ca="1">IFERROR(__xludf.DUMMYFUNCTION("IMPORTRANGE(""https://docs.google.com/spreadsheets/d/1ubs5cl16eYL9gHbdHTJtmtYb9MGzHBs7CAphn8kNCgM/edit?usp=sharing"",""อุตรดิตถ์!N694"")"),0)</f>
        <v>0</v>
      </c>
      <c r="Q29" s="62">
        <f ca="1">IFERROR(__xludf.DUMMYFUNCTION("IMPORTRANGE(""https://docs.google.com/spreadsheets/d/1ubs5cl16eYL9gHbdHTJtmtYb9MGzHBs7CAphn8kNCgM/edit?usp=sharing"",""อุตรดิตถ์!N697"")"),0)</f>
        <v>0</v>
      </c>
      <c r="R29" s="62">
        <f t="shared" ca="1" si="42"/>
        <v>0</v>
      </c>
      <c r="S29" s="57">
        <f ca="1">IFERROR(__xludf.DUMMYFUNCTION("IMPORTRANGE(""https://docs.google.com/spreadsheets/d/1ubs5cl16eYL9gHbdHTJtmtYb9MGzHBs7CAphn8kNCgM/edit?usp=sharing"",""อุตรดิตถ์!I699"")"),0)</f>
        <v>0</v>
      </c>
      <c r="T29" s="57">
        <f ca="1">IFERROR(__xludf.DUMMYFUNCTION("IMPORTRANGE(""https://docs.google.com/spreadsheets/d/1ubs5cl16eYL9gHbdHTJtmtYb9MGzHBs7CAphn8kNCgM/edit?usp=sharing"",""อุตรดิตถ์!J699"")"),0)</f>
        <v>0</v>
      </c>
      <c r="U29" s="63">
        <f t="shared" ca="1" si="34"/>
        <v>0</v>
      </c>
      <c r="V29" s="57">
        <f ca="1">IFERROR(__xludf.DUMMYFUNCTION("IMPORTRANGE(""https://docs.google.com/spreadsheets/d/1ubs5cl16eYL9gHbdHTJtmtYb9MGzHBs7CAphn8kNCgM/edit?usp=sharing"",""อุตรดิตถ์!I700"")"),0)</f>
        <v>0</v>
      </c>
      <c r="W29" s="57">
        <f ca="1">IFERROR(__xludf.DUMMYFUNCTION("IMPORTRANGE(""https://docs.google.com/spreadsheets/d/1ubs5cl16eYL9gHbdHTJtmtYb9MGzHBs7CAphn8kNCgM/edit?usp=sharing"",""อุตรดิตถ์!J700"")"),0)</f>
        <v>0</v>
      </c>
      <c r="X29" s="63">
        <f t="shared" ca="1" si="35"/>
        <v>0</v>
      </c>
      <c r="Y29" s="57">
        <f ca="1">IFERROR(__xludf.DUMMYFUNCTION("IMPORTRANGE(""https://docs.google.com/spreadsheets/d/1ubs5cl16eYL9gHbdHTJtmtYb9MGzHBs7CAphn8kNCgM/edit?usp=sharing"",""อุตรดิตถ์!I701"")"),0)</f>
        <v>0</v>
      </c>
      <c r="Z29" s="57">
        <f ca="1">IFERROR(__xludf.DUMMYFUNCTION("IMPORTRANGE(""https://docs.google.com/spreadsheets/d/1ubs5cl16eYL9gHbdHTJtmtYb9MGzHBs7CAphn8kNCgM/edit?usp=sharing"",""อุตรดิตถ์!J701"")"),0)</f>
        <v>0</v>
      </c>
      <c r="AA29" s="63">
        <f t="shared" ca="1" si="36"/>
        <v>0</v>
      </c>
      <c r="AB29" s="63">
        <f ca="1">IFERROR(__xludf.DUMMYFUNCTION("IMPORTRANGE(""https://docs.google.com/spreadsheets/d/1ubs5cl16eYL9gHbdHTJtmtYb9MGzHBs7CAphn8kNCgM/edit?usp=sharing"",""อุตรดิตถ์!J702"")"),0)</f>
        <v>0</v>
      </c>
      <c r="AC29" s="63">
        <f ca="1">IFERROR(__xludf.DUMMYFUNCTION("IMPORTRANGE(""https://docs.google.com/spreadsheets/d/1ubs5cl16eYL9gHbdHTJtmtYb9MGzHBs7CAphn8kNCgM/edit?usp=sharing"",""อุตรดิตถ์!J703"")"),0)</f>
        <v>0</v>
      </c>
      <c r="AD29" s="63">
        <f ca="1">IFERROR(__xludf.DUMMYFUNCTION("IMPORTRANGE(""https://docs.google.com/spreadsheets/d/1ubs5cl16eYL9gHbdHTJtmtYb9MGzHBs7CAphn8kNCgM/edit?usp=sharing"",""อุตรดิตถ์!J704"")"),0)</f>
        <v>0</v>
      </c>
      <c r="AE29" s="63">
        <f ca="1">IFERROR(__xludf.DUMMYFUNCTION("IMPORTRANGE(""https://docs.google.com/spreadsheets/d/1ubs5cl16eYL9gHbdHTJtmtYb9MGzHBs7CAphn8kNCgM/edit?usp=sharing"",""อุตรดิตถ์!J705"")"),0)</f>
        <v>0</v>
      </c>
      <c r="AF29" s="63">
        <f ca="1">IFERROR(__xludf.DUMMYFUNCTION("IMPORTRANGE(""https://docs.google.com/spreadsheets/d/1ubs5cl16eYL9gHbdHTJtmtYb9MGzHBs7CAphn8kNCgM/edit?usp=sharing"",""อุตรดิตถ์!J706"")"),0)</f>
        <v>0</v>
      </c>
      <c r="AG29" s="63">
        <f ca="1">IFERROR(__xludf.DUMMYFUNCTION("IMPORTRANGE(""https://docs.google.com/spreadsheets/d/1ubs5cl16eYL9gHbdHTJtmtYb9MGzHBs7CAphn8kNCgM/edit?usp=sharing"",""อุตรดิตถ์!J707"")"),0)</f>
        <v>0</v>
      </c>
      <c r="AH29" s="57">
        <f ca="1">IFERROR(__xludf.DUMMYFUNCTION("IMPORTRANGE(""https://docs.google.com/spreadsheets/d/1ubs5cl16eYL9gHbdHTJtmtYb9MGzHBs7CAphn8kNCgM/edit?usp=sharing"",""อุตรดิตถ์!I708"")"),0)</f>
        <v>0</v>
      </c>
      <c r="AI29" s="57">
        <f ca="1">IFERROR(__xludf.DUMMYFUNCTION("IMPORTRANGE(""https://docs.google.com/spreadsheets/d/1ubs5cl16eYL9gHbdHTJtmtYb9MGzHBs7CAphn8kNCgM/edit?usp=sharing"",""อุตรดิตถ์!J708"")"),0)</f>
        <v>0</v>
      </c>
      <c r="AJ29" s="63">
        <f t="shared" ca="1" si="37"/>
        <v>0</v>
      </c>
      <c r="AK29" s="57">
        <f ca="1">IFERROR(__xludf.DUMMYFUNCTION("IMPORTRANGE(""https://docs.google.com/spreadsheets/d/1ubs5cl16eYL9gHbdHTJtmtYb9MGzHBs7CAphn8kNCgM/edit?usp=sharing"",""อุตรดิตถ์!J709"")"),0)</f>
        <v>0</v>
      </c>
      <c r="AL29" s="57">
        <f ca="1">IFERROR(__xludf.DUMMYFUNCTION("IMPORTRANGE(""https://docs.google.com/spreadsheets/d/1ubs5cl16eYL9gHbdHTJtmtYb9MGzHBs7CAphn8kNCgM/edit?usp=sharing"",""อุตรดิตถ์!J710"")"),0)</f>
        <v>0</v>
      </c>
      <c r="AM29" s="57">
        <f ca="1">IFERROR(__xludf.DUMMYFUNCTION("IMPORTRANGE(""https://docs.google.com/spreadsheets/d/1ubs5cl16eYL9gHbdHTJtmtYb9MGzHBs7CAphn8kNCgM/edit?usp=sharing"",""อุตรดิตถ์!J712"")"),0)</f>
        <v>0</v>
      </c>
      <c r="AN29" s="57">
        <f ca="1">IFERROR(__xludf.DUMMYFUNCTION("IMPORTRANGE(""https://docs.google.com/spreadsheets/d/1ubs5cl16eYL9gHbdHTJtmtYb9MGzHBs7CAphn8kNCgM/edit?usp=sharing"",""อุตรดิตถ์!J713"")"),0)</f>
        <v>0</v>
      </c>
      <c r="AO29" s="57">
        <f ca="1">IFERROR(__xludf.DUMMYFUNCTION("IMPORTRANGE(""https://docs.google.com/spreadsheets/d/1ubs5cl16eYL9gHbdHTJtmtYb9MGzHBs7CAphn8kNCgM/edit?usp=sharing"",""อุตรดิตถ์!J714"")"),0)</f>
        <v>0</v>
      </c>
      <c r="AP29" s="57">
        <f ca="1">IFERROR(__xludf.DUMMYFUNCTION("IMPORTRANGE(""https://docs.google.com/spreadsheets/d/1ubs5cl16eYL9gHbdHTJtmtYb9MGzHBs7CAphn8kNCgM/edit?usp=sharing"",""อุตรดิตถ์!J715"")"),0)</f>
        <v>0</v>
      </c>
      <c r="AQ29" s="57">
        <f ca="1">IFERROR(__xludf.DUMMYFUNCTION("IMPORTRANGE(""https://docs.google.com/spreadsheets/d/1ubs5cl16eYL9gHbdHTJtmtYb9MGzHBs7CAphn8kNCgM/edit?usp=sharing"",""อุตรดิตถ์!J716"")"),0)</f>
        <v>0</v>
      </c>
      <c r="AR29" s="57">
        <f ca="1">IFERROR(__xludf.DUMMYFUNCTION("IMPORTRANGE(""https://docs.google.com/spreadsheets/d/1ubs5cl16eYL9gHbdHTJtmtYb9MGzHBs7CAphn8kNCgM/edit?usp=sharing"",""อุตรดิตถ์!J717"")"),0)</f>
        <v>0</v>
      </c>
      <c r="AS29" s="57">
        <f ca="1">IFERROR(__xludf.DUMMYFUNCTION("IMPORTRANGE(""https://docs.google.com/spreadsheets/d/1ubs5cl16eYL9gHbdHTJtmtYb9MGzHBs7CAphn8kNCgM/edit?usp=sharing"",""อุตรดิตถ์!I720"")"),0)</f>
        <v>0</v>
      </c>
      <c r="AT29" s="57">
        <f ca="1">IFERROR(__xludf.DUMMYFUNCTION("IMPORTRANGE(""https://docs.google.com/spreadsheets/d/1ubs5cl16eYL9gHbdHTJtmtYb9MGzHBs7CAphn8kNCgM/edit?usp=sharing"",""อุตรดิตถ์!J718"")"),0)</f>
        <v>0</v>
      </c>
      <c r="AU29" s="57">
        <f ca="1">IFERROR(__xludf.DUMMYFUNCTION("IMPORTRANGE(""https://docs.google.com/spreadsheets/d/1ubs5cl16eYL9gHbdHTJtmtYb9MGzHBs7CAphn8kNCgM/edit?usp=sharing"",""อุตรดิตถ์!J719"")"),0)</f>
        <v>0</v>
      </c>
      <c r="AV29" s="57">
        <f ca="1">IFERROR(__xludf.DUMMYFUNCTION("IMPORTRANGE(""https://docs.google.com/spreadsheets/d/1ubs5cl16eYL9gHbdHTJtmtYb9MGzHBs7CAphn8kNCgM/edit?usp=sharing"",""อุตรดิตถ์!J720"")"),0)</f>
        <v>0</v>
      </c>
      <c r="AW29" s="63">
        <f t="shared" ca="1" si="14"/>
        <v>0</v>
      </c>
      <c r="AX29" s="57">
        <f ca="1">IFERROR(__xludf.DUMMYFUNCTION("IMPORTRANGE(""https://docs.google.com/spreadsheets/d/1ubs5cl16eYL9gHbdHTJtmtYb9MGzHBs7CAphn8kNCgM/edit?usp=sharing"",""อุตรดิตถ์!I721"")"),0)</f>
        <v>0</v>
      </c>
      <c r="AY29" s="57">
        <f ca="1">IFERROR(__xludf.DUMMYFUNCTION("IMPORTRANGE(""https://docs.google.com/spreadsheets/d/1ubs5cl16eYL9gHbdHTJtmtYb9MGzHBs7CAphn8kNCgM/edit?usp=sharing"",""อุตรดิตถ์!I722"")"),0)</f>
        <v>0</v>
      </c>
      <c r="AZ29" s="57">
        <f ca="1">IFERROR(__xludf.DUMMYFUNCTION("IMPORTRANGE(""https://docs.google.com/spreadsheets/d/1ubs5cl16eYL9gHbdHTJtmtYb9MGzHBs7CAphn8kNCgM/edit?usp=sharing"",""อุตรดิตถ์!J721"")"),2)</f>
        <v>2</v>
      </c>
      <c r="BA29" s="63">
        <f t="shared" ca="1" si="16"/>
        <v>0</v>
      </c>
      <c r="BB29" s="57">
        <f ca="1">IFERROR(__xludf.DUMMYFUNCTION("IMPORTRANGE(""https://docs.google.com/spreadsheets/d/1ubs5cl16eYL9gHbdHTJtmtYb9MGzHBs7CAphn8kNCgM/edit?usp=sharing"",""อุตรดิตถ์!J722"")"),21.11)</f>
        <v>21.11</v>
      </c>
      <c r="BC29" s="63">
        <f t="shared" ca="1" si="17"/>
        <v>0</v>
      </c>
      <c r="BD29" s="57">
        <f ca="1">IFERROR(__xludf.DUMMYFUNCTION("IMPORTRANGE(""https://docs.google.com/spreadsheets/d/1ubs5cl16eYL9gHbdHTJtmtYb9MGzHBs7CAphn8kNCgM/edit?usp=sharing"",""อุตรดิตถ์!I723"")"),0)</f>
        <v>0</v>
      </c>
      <c r="BE29" s="57">
        <f ca="1">IFERROR(__xludf.DUMMYFUNCTION("IMPORTRANGE(""https://docs.google.com/spreadsheets/d/1ubs5cl16eYL9gHbdHTJtmtYb9MGzHBs7CAphn8kNCgM/edit?usp=sharing"",""อุตรดิตถ์!I725"")"),0)</f>
        <v>0</v>
      </c>
      <c r="BF29" s="57">
        <f ca="1">IFERROR(__xludf.DUMMYFUNCTION("IMPORTRANGE(""https://docs.google.com/spreadsheets/d/1ubs5cl16eYL9gHbdHTJtmtYb9MGzHBs7CAphn8kNCgM/edit?usp=sharing"",""อุตรดิตถ์!J723"")"),2)</f>
        <v>2</v>
      </c>
      <c r="BG29" s="57">
        <f ca="1">IFERROR(__xludf.DUMMYFUNCTION("IMPORTRANGE(""https://docs.google.com/spreadsheets/d/1ubs5cl16eYL9gHbdHTJtmtYb9MGzHBs7CAphn8kNCgM/edit?usp=sharing"",""อุตรดิตถ์!J724"")"),3)</f>
        <v>3</v>
      </c>
      <c r="BH29" s="57">
        <f ca="1">IFERROR(__xludf.DUMMYFUNCTION("IMPORTRANGE(""https://docs.google.com/spreadsheets/d/1ubs5cl16eYL9gHbdHTJtmtYb9MGzHBs7CAphn8kNCgM/edit?usp=sharing"",""อุตรดิตถ์!J725"")"),21.11)</f>
        <v>21.11</v>
      </c>
      <c r="BI29" s="57">
        <f ca="1">IFERROR(__xludf.DUMMYFUNCTION("IMPORTRANGE(""https://docs.google.com/spreadsheets/d/1ubs5cl16eYL9gHbdHTJtmtYb9MGzHBs7CAphn8kNCgM/edit?usp=sharing"",""อุตรดิตถ์!I726"")"),0)</f>
        <v>0</v>
      </c>
      <c r="BJ29" s="57">
        <f ca="1">IFERROR(__xludf.DUMMYFUNCTION("IMPORTRANGE(""https://docs.google.com/spreadsheets/d/1ubs5cl16eYL9gHbdHTJtmtYb9MGzHBs7CAphn8kNCgM/edit?usp=sharing"",""อุตรดิตถ์!I728"")"),0)</f>
        <v>0</v>
      </c>
      <c r="BK29" s="57">
        <f ca="1">IFERROR(__xludf.DUMMYFUNCTION("IMPORTRANGE(""https://docs.google.com/spreadsheets/d/1ubs5cl16eYL9gHbdHTJtmtYb9MGzHBs7CAphn8kNCgM/edit?usp=sharing"",""อุตรดิตถ์!J726"")"),0)</f>
        <v>0</v>
      </c>
      <c r="BL29" s="57">
        <f ca="1">IFERROR(__xludf.DUMMYFUNCTION("IMPORTRANGE(""https://docs.google.com/spreadsheets/d/1ubs5cl16eYL9gHbdHTJtmtYb9MGzHBs7CAphn8kNCgM/edit?usp=sharing"",""อุตรดิตถ์!J727"")"),0)</f>
        <v>0</v>
      </c>
      <c r="BM29" s="57">
        <f ca="1">IFERROR(__xludf.DUMMYFUNCTION("IMPORTRANGE(""https://docs.google.com/spreadsheets/d/1ubs5cl16eYL9gHbdHTJtmtYb9MGzHBs7CAphn8kNCgM/edit?usp=sharing"",""อุตรดิตถ์!J728"")"),0)</f>
        <v>0</v>
      </c>
      <c r="BN29" s="57">
        <f ca="1">IFERROR(__xludf.DUMMYFUNCTION("IMPORTRANGE(""https://docs.google.com/spreadsheets/d/1ubs5cl16eYL9gHbdHTJtmtYb9MGzHBs7CAphn8kNCgM/edit?usp=sharing"",""อุตรดิตถ์!I729"")"),0)</f>
        <v>0</v>
      </c>
      <c r="BO29" s="57">
        <f ca="1">IFERROR(__xludf.DUMMYFUNCTION("IMPORTRANGE(""https://docs.google.com/spreadsheets/d/1ubs5cl16eYL9gHbdHTJtmtYb9MGzHBs7CAphn8kNCgM/edit?usp=sharing"",""อุตรดิตถ์!J729"")"),0)</f>
        <v>0</v>
      </c>
      <c r="BP29" s="63">
        <f t="shared" ca="1" si="19"/>
        <v>0</v>
      </c>
      <c r="BQ29" s="57">
        <f ca="1">IFERROR(__xludf.DUMMYFUNCTION("IMPORTRANGE(""https://docs.google.com/spreadsheets/d/1ubs5cl16eYL9gHbdHTJtmtYb9MGzHBs7CAphn8kNCgM/edit?usp=sharing"",""อุตรดิตถ์!J730"")"),0)</f>
        <v>0</v>
      </c>
      <c r="BR29" s="57">
        <f ca="1">IFERROR(__xludf.DUMMYFUNCTION("IMPORTRANGE(""https://docs.google.com/spreadsheets/d/1ubs5cl16eYL9gHbdHTJtmtYb9MGzHBs7CAphn8kNCgM/edit?usp=sharing"",""อุตรดิตถ์!J731"")"),0)</f>
        <v>0</v>
      </c>
      <c r="BS29" s="57">
        <f ca="1">IFERROR(__xludf.DUMMYFUNCTION("IMPORTRANGE(""https://docs.google.com/spreadsheets/d/1ubs5cl16eYL9gHbdHTJtmtYb9MGzHBs7CAphn8kNCgM/edit?usp=sharing"",""อุตรดิตถ์!J732"")"),0)</f>
        <v>0</v>
      </c>
      <c r="BT29" s="57">
        <f ca="1">IFERROR(__xludf.DUMMYFUNCTION("IMPORTRANGE(""https://docs.google.com/spreadsheets/d/1ubs5cl16eYL9gHbdHTJtmtYb9MGzHBs7CAphn8kNCgM/edit?usp=sharing"",""อุตรดิตถ์!J733"")"),0)</f>
        <v>0</v>
      </c>
      <c r="BU29" s="57">
        <f ca="1">IFERROR(__xludf.DUMMYFUNCTION("IMPORTRANGE(""https://docs.google.com/spreadsheets/d/1ubs5cl16eYL9gHbdHTJtmtYb9MGzHBs7CAphn8kNCgM/edit?usp=sharing"",""อุตรดิตถ์!J734"")"),0)</f>
        <v>0</v>
      </c>
      <c r="BV29" s="57">
        <f ca="1">IFERROR(__xludf.DUMMYFUNCTION("IMPORTRANGE(""https://docs.google.com/spreadsheets/d/1ubs5cl16eYL9gHbdHTJtmtYb9MGzHBs7CAphn8kNCgM/edit?usp=sharing"",""อุตรดิตถ์!J735"")"),0)</f>
        <v>0</v>
      </c>
    </row>
    <row r="30" spans="1:74" ht="24" customHeight="1" x14ac:dyDescent="0.3">
      <c r="A30" s="65">
        <v>17</v>
      </c>
      <c r="B30" s="66" t="s">
        <v>51</v>
      </c>
      <c r="C30" s="67">
        <f t="shared" ca="1" si="51"/>
        <v>40660</v>
      </c>
      <c r="D30" s="68">
        <f ca="1">IFERROR(__xludf.DUMMYFUNCTION("IMPORTRANGE(""https://docs.google.com/spreadsheets/d/1kII0BjS6CtVrBvI8IrytgPdxDrlyQDyigzMsohRtDMs/edit?usp=sharing"",""อุทัยธานี!L690"")"),40660)</f>
        <v>40660</v>
      </c>
      <c r="E30" s="69">
        <f ca="1">IFERROR(__xludf.DUMMYFUNCTION("IMPORTRANGE(""https://docs.google.com/spreadsheets/d/1kII0BjS6CtVrBvI8IrytgPdxDrlyQDyigzMsohRtDMs/edit?usp=sharing"",""อุทัยธานี!L697"")"),0)</f>
        <v>0</v>
      </c>
      <c r="F30" s="69">
        <f ca="1">IFERROR(__xludf.DUMMYFUNCTION("IMPORTRANGE(""https://docs.google.com/spreadsheets/d/1kII0BjS6CtVrBvI8IrytgPdxDrlyQDyigzMsohRtDMs/edit?usp=sharing"",""อุทัยธานี!M690"")"),40660)</f>
        <v>40660</v>
      </c>
      <c r="G30" s="69">
        <f ca="1">IFERROR(__xludf.DUMMYFUNCTION("IMPORTRANGE(""https://docs.google.com/spreadsheets/d/1kII0BjS6CtVrBvI8IrytgPdxDrlyQDyigzMsohRtDMs/edit?usp=sharing"",""อุทัยธานี!M697"")"),0)</f>
        <v>0</v>
      </c>
      <c r="H30" s="70">
        <f t="shared" ca="1" si="33"/>
        <v>1000</v>
      </c>
      <c r="I30" s="71">
        <f t="shared" ca="1" si="1"/>
        <v>2.4594195769798328</v>
      </c>
      <c r="J30" s="72">
        <f t="shared" ca="1" si="52"/>
        <v>1000</v>
      </c>
      <c r="K30" s="73">
        <f t="shared" ca="1" si="39"/>
        <v>2.4594195769798328</v>
      </c>
      <c r="L30" s="73">
        <f t="shared" ca="1" si="40"/>
        <v>2.4594195769798328</v>
      </c>
      <c r="M30" s="69">
        <f ca="1">IFERROR(__xludf.DUMMYFUNCTION("IMPORTRANGE(""https://docs.google.com/spreadsheets/d/1kII0BjS6CtVrBvI8IrytgPdxDrlyQDyigzMsohRtDMs/edit?usp=sharing"",""อุทัยธานี!N691"")"),0)</f>
        <v>0</v>
      </c>
      <c r="N30" s="69">
        <f ca="1">IFERROR(__xludf.DUMMYFUNCTION("IMPORTRANGE(""https://docs.google.com/spreadsheets/d/1kII0BjS6CtVrBvI8IrytgPdxDrlyQDyigzMsohRtDMs/edit?usp=sharing"",""อุทัยธานี!N692"")"),0)</f>
        <v>0</v>
      </c>
      <c r="O30" s="69">
        <f ca="1">IFERROR(__xludf.DUMMYFUNCTION("IMPORTRANGE(""https://docs.google.com/spreadsheets/d/1kII0BjS6CtVrBvI8IrytgPdxDrlyQDyigzMsohRtDMs/edit?usp=sharing"",""อุทัยธานี!N693"")"),0)</f>
        <v>0</v>
      </c>
      <c r="P30" s="69">
        <f ca="1">IFERROR(__xludf.DUMMYFUNCTION("IMPORTRANGE(""https://docs.google.com/spreadsheets/d/1kII0BjS6CtVrBvI8IrytgPdxDrlyQDyigzMsohRtDMs/edit?usp=sharing"",""อุทัยธานี!N694"")"),1000)</f>
        <v>1000</v>
      </c>
      <c r="Q30" s="74">
        <f ca="1">IFERROR(__xludf.DUMMYFUNCTION("IMPORTRANGE(""https://docs.google.com/spreadsheets/d/1kII0BjS6CtVrBvI8IrytgPdxDrlyQDyigzMsohRtDMs/edit?usp=sharing"",""อุทัยธานี!N697"")"),0)</f>
        <v>0</v>
      </c>
      <c r="R30" s="74">
        <f t="shared" ca="1" si="42"/>
        <v>0</v>
      </c>
      <c r="S30" s="68">
        <f ca="1">IFERROR(__xludf.DUMMYFUNCTION("IMPORTRANGE(""https://docs.google.com/spreadsheets/d/1kII0BjS6CtVrBvI8IrytgPdxDrlyQDyigzMsohRtDMs/edit?usp=sharing"",""อุทัยธานี!I699"")"),18)</f>
        <v>18</v>
      </c>
      <c r="T30" s="68">
        <f ca="1">IFERROR(__xludf.DUMMYFUNCTION("IMPORTRANGE(""https://docs.google.com/spreadsheets/d/1kII0BjS6CtVrBvI8IrytgPdxDrlyQDyigzMsohRtDMs/edit?usp=sharing"",""อุทัยธานี!J699"")"),18.28)</f>
        <v>18.28</v>
      </c>
      <c r="U30" s="75">
        <f t="shared" ca="1" si="34"/>
        <v>101.55555555555556</v>
      </c>
      <c r="V30" s="68">
        <f ca="1">IFERROR(__xludf.DUMMYFUNCTION("IMPORTRANGE(""https://docs.google.com/spreadsheets/d/1kII0BjS6CtVrBvI8IrytgPdxDrlyQDyigzMsohRtDMs/edit?usp=sharing"",""อุทัยธานี!I700"")"),3)</f>
        <v>3</v>
      </c>
      <c r="W30" s="68">
        <f ca="1">IFERROR(__xludf.DUMMYFUNCTION("IMPORTRANGE(""https://docs.google.com/spreadsheets/d/1kII0BjS6CtVrBvI8IrytgPdxDrlyQDyigzMsohRtDMs/edit?usp=sharing"",""อุทัยธานี!J700"")"),0)</f>
        <v>0</v>
      </c>
      <c r="X30" s="75">
        <f t="shared" ca="1" si="35"/>
        <v>0</v>
      </c>
      <c r="Y30" s="68">
        <f ca="1">IFERROR(__xludf.DUMMYFUNCTION("IMPORTRANGE(""https://docs.google.com/spreadsheets/d/1kII0BjS6CtVrBvI8IrytgPdxDrlyQDyigzMsohRtDMs/edit?usp=sharing"",""อุทัยธานี!I701"")"),151)</f>
        <v>151</v>
      </c>
      <c r="Z30" s="68">
        <f ca="1">IFERROR(__xludf.DUMMYFUNCTION("IMPORTRANGE(""https://docs.google.com/spreadsheets/d/1kII0BjS6CtVrBvI8IrytgPdxDrlyQDyigzMsohRtDMs/edit?usp=sharing"",""อุทัยธานี!J701"")"),55.04)</f>
        <v>55.04</v>
      </c>
      <c r="AA30" s="75">
        <f t="shared" ca="1" si="36"/>
        <v>36.450331125827816</v>
      </c>
      <c r="AB30" s="75">
        <f ca="1">IFERROR(__xludf.DUMMYFUNCTION("IMPORTRANGE(""https://docs.google.com/spreadsheets/d/1kII0BjS6CtVrBvI8IrytgPdxDrlyQDyigzMsohRtDMs/edit?usp=sharing"",""อุทัยธานี!J702"")"),0)</f>
        <v>0</v>
      </c>
      <c r="AC30" s="75">
        <f ca="1">IFERROR(__xludf.DUMMYFUNCTION("IMPORTRANGE(""https://docs.google.com/spreadsheets/d/1kII0BjS6CtVrBvI8IrytgPdxDrlyQDyigzMsohRtDMs/edit?usp=sharing"",""อุทัยธานี!J703"")"),0)</f>
        <v>0</v>
      </c>
      <c r="AD30" s="75">
        <f ca="1">IFERROR(__xludf.DUMMYFUNCTION("IMPORTRANGE(""https://docs.google.com/spreadsheets/d/1kII0BjS6CtVrBvI8IrytgPdxDrlyQDyigzMsohRtDMs/edit?usp=sharing"",""อุทัยธานี!J704"")"),0)</f>
        <v>0</v>
      </c>
      <c r="AE30" s="75">
        <f ca="1">IFERROR(__xludf.DUMMYFUNCTION("IMPORTRANGE(""https://docs.google.com/spreadsheets/d/1kII0BjS6CtVrBvI8IrytgPdxDrlyQDyigzMsohRtDMs/edit?usp=sharing"",""อุทัยธานี!J705"")"),3)</f>
        <v>3</v>
      </c>
      <c r="AF30" s="75">
        <f ca="1">IFERROR(__xludf.DUMMYFUNCTION("IMPORTRANGE(""https://docs.google.com/spreadsheets/d/1kII0BjS6CtVrBvI8IrytgPdxDrlyQDyigzMsohRtDMs/edit?usp=sharing"",""อุทัยธานี!J706"")"),3)</f>
        <v>3</v>
      </c>
      <c r="AG30" s="75">
        <f ca="1">IFERROR(__xludf.DUMMYFUNCTION("IMPORTRANGE(""https://docs.google.com/spreadsheets/d/1kII0BjS6CtVrBvI8IrytgPdxDrlyQDyigzMsohRtDMs/edit?usp=sharing"",""อุทัยธานี!J707"")"),55.04)</f>
        <v>55.04</v>
      </c>
      <c r="AH30" s="68">
        <f ca="1">IFERROR(__xludf.DUMMYFUNCTION("IMPORTRANGE(""https://docs.google.com/spreadsheets/d/1kII0BjS6CtVrBvI8IrytgPdxDrlyQDyigzMsohRtDMs/edit?usp=sharing"",""อุทัยธานี!I708"")"),260)</f>
        <v>260</v>
      </c>
      <c r="AI30" s="68">
        <f ca="1">IFERROR(__xludf.DUMMYFUNCTION("IMPORTRANGE(""https://docs.google.com/spreadsheets/d/1kII0BjS6CtVrBvI8IrytgPdxDrlyQDyigzMsohRtDMs/edit?usp=sharing"",""อุทัยธานี!J708"")"),0)</f>
        <v>0</v>
      </c>
      <c r="AJ30" s="75">
        <f t="shared" ca="1" si="37"/>
        <v>0</v>
      </c>
      <c r="AK30" s="68">
        <f ca="1">IFERROR(__xludf.DUMMYFUNCTION("IMPORTRANGE(""https://docs.google.com/spreadsheets/d/1kII0BjS6CtVrBvI8IrytgPdxDrlyQDyigzMsohRtDMs/edit?usp=sharing"",""อุทัยธานี!J709"")"),0)</f>
        <v>0</v>
      </c>
      <c r="AL30" s="68">
        <f ca="1">IFERROR(__xludf.DUMMYFUNCTION("IMPORTRANGE(""https://docs.google.com/spreadsheets/d/1kII0BjS6CtVrBvI8IrytgPdxDrlyQDyigzMsohRtDMs/edit?usp=sharing"",""อุทัยธานี!J710"")"),0)</f>
        <v>0</v>
      </c>
      <c r="AM30" s="68">
        <f ca="1">IFERROR(__xludf.DUMMYFUNCTION("IMPORTRANGE(""https://docs.google.com/spreadsheets/d/1kII0BjS6CtVrBvI8IrytgPdxDrlyQDyigzMsohRtDMs/edit?usp=sharing"",""อุทัยธานี!J712"")"),0)</f>
        <v>0</v>
      </c>
      <c r="AN30" s="68">
        <f ca="1">IFERROR(__xludf.DUMMYFUNCTION("IMPORTRANGE(""https://docs.google.com/spreadsheets/d/1kII0BjS6CtVrBvI8IrytgPdxDrlyQDyigzMsohRtDMs/edit?usp=sharing"",""อุทัยธานี!J713"")"),0)</f>
        <v>0</v>
      </c>
      <c r="AO30" s="68">
        <f ca="1">IFERROR(__xludf.DUMMYFUNCTION("IMPORTRANGE(""https://docs.google.com/spreadsheets/d/1kII0BjS6CtVrBvI8IrytgPdxDrlyQDyigzMsohRtDMs/edit?usp=sharing"",""อุทัยธานี!J714"")"),0)</f>
        <v>0</v>
      </c>
      <c r="AP30" s="68">
        <f ca="1">IFERROR(__xludf.DUMMYFUNCTION("IMPORTRANGE(""https://docs.google.com/spreadsheets/d/1kII0BjS6CtVrBvI8IrytgPdxDrlyQDyigzMsohRtDMs/edit?usp=sharing"",""อุทัยธานี!J715"")"),0)</f>
        <v>0</v>
      </c>
      <c r="AQ30" s="68">
        <f ca="1">IFERROR(__xludf.DUMMYFUNCTION("IMPORTRANGE(""https://docs.google.com/spreadsheets/d/1kII0BjS6CtVrBvI8IrytgPdxDrlyQDyigzMsohRtDMs/edit?usp=sharing"",""อุทัยธานี!J716"")"),0)</f>
        <v>0</v>
      </c>
      <c r="AR30" s="68">
        <f ca="1">IFERROR(__xludf.DUMMYFUNCTION("IMPORTRANGE(""https://docs.google.com/spreadsheets/d/1kII0BjS6CtVrBvI8IrytgPdxDrlyQDyigzMsohRtDMs/edit?usp=sharing"",""อุทัยธานี!J717"")"),0)</f>
        <v>0</v>
      </c>
      <c r="AS30" s="68">
        <f ca="1">IFERROR(__xludf.DUMMYFUNCTION("IMPORTRANGE(""https://docs.google.com/spreadsheets/d/1kII0BjS6CtVrBvI8IrytgPdxDrlyQDyigzMsohRtDMs/edit?usp=sharing"",""อุทัยธานี!I720"")"),640)</f>
        <v>640</v>
      </c>
      <c r="AT30" s="68">
        <f ca="1">IFERROR(__xludf.DUMMYFUNCTION("IMPORTRANGE(""https://docs.google.com/spreadsheets/d/1kII0BjS6CtVrBvI8IrytgPdxDrlyQDyigzMsohRtDMs/edit?usp=sharing"",""อุทัยธานี!J718"")"),1)</f>
        <v>1</v>
      </c>
      <c r="AU30" s="68">
        <f ca="1">IFERROR(__xludf.DUMMYFUNCTION("IMPORTRANGE(""https://docs.google.com/spreadsheets/d/1kII0BjS6CtVrBvI8IrytgPdxDrlyQDyigzMsohRtDMs/edit?usp=sharing"",""อุทัยธานี!J719"")"),1)</f>
        <v>1</v>
      </c>
      <c r="AV30" s="68">
        <f ca="1">IFERROR(__xludf.DUMMYFUNCTION("IMPORTRANGE(""https://docs.google.com/spreadsheets/d/1kII0BjS6CtVrBvI8IrytgPdxDrlyQDyigzMsohRtDMs/edit?usp=sharing"",""อุทัยธานี!J720"")"),10.05)</f>
        <v>10.050000000000001</v>
      </c>
      <c r="AW30" s="75">
        <f t="shared" ca="1" si="14"/>
        <v>1.5703125000000002</v>
      </c>
      <c r="AX30" s="68">
        <f ca="1">IFERROR(__xludf.DUMMYFUNCTION("IMPORTRANGE(""https://docs.google.com/spreadsheets/d/1kII0BjS6CtVrBvI8IrytgPdxDrlyQDyigzMsohRtDMs/edit?usp=sharing"",""อุทัยธานี!I721"")"),9)</f>
        <v>9</v>
      </c>
      <c r="AY30" s="68">
        <f ca="1">IFERROR(__xludf.DUMMYFUNCTION("IMPORTRANGE(""https://docs.google.com/spreadsheets/d/1kII0BjS6CtVrBvI8IrytgPdxDrlyQDyigzMsohRtDMs/edit?usp=sharing"",""อุทัยธานี!I722"")"),139)</f>
        <v>139</v>
      </c>
      <c r="AZ30" s="68">
        <f ca="1">IFERROR(__xludf.DUMMYFUNCTION("IMPORTRANGE(""https://docs.google.com/spreadsheets/d/1kII0BjS6CtVrBvI8IrytgPdxDrlyQDyigzMsohRtDMs/edit?usp=sharing"",""อุทัยธานี!J721"")"),9)</f>
        <v>9</v>
      </c>
      <c r="BA30" s="75">
        <f t="shared" ca="1" si="16"/>
        <v>100</v>
      </c>
      <c r="BB30" s="68">
        <f ca="1">IFERROR(__xludf.DUMMYFUNCTION("IMPORTRANGE(""https://docs.google.com/spreadsheets/d/1kII0BjS6CtVrBvI8IrytgPdxDrlyQDyigzMsohRtDMs/edit?usp=sharing"",""อุทัยธานี!J722"")"),180.05)</f>
        <v>180.05</v>
      </c>
      <c r="BC30" s="75">
        <f t="shared" ca="1" si="17"/>
        <v>129.53237410071944</v>
      </c>
      <c r="BD30" s="68">
        <f ca="1">IFERROR(__xludf.DUMMYFUNCTION("IMPORTRANGE(""https://docs.google.com/spreadsheets/d/1kII0BjS6CtVrBvI8IrytgPdxDrlyQDyigzMsohRtDMs/edit?usp=sharing"",""อุทัยธานี!I723"")"),7)</f>
        <v>7</v>
      </c>
      <c r="BE30" s="68">
        <f ca="1">IFERROR(__xludf.DUMMYFUNCTION("IMPORTRANGE(""https://docs.google.com/spreadsheets/d/1kII0BjS6CtVrBvI8IrytgPdxDrlyQDyigzMsohRtDMs/edit?usp=sharing"",""อุทัยธานี!I725"")"),114)</f>
        <v>114</v>
      </c>
      <c r="BF30" s="68">
        <f ca="1">IFERROR(__xludf.DUMMYFUNCTION("IMPORTRANGE(""https://docs.google.com/spreadsheets/d/1kII0BjS6CtVrBvI8IrytgPdxDrlyQDyigzMsohRtDMs/edit?usp=sharing"",""อุทัยธานี!J723"")"),9)</f>
        <v>9</v>
      </c>
      <c r="BG30" s="68">
        <f ca="1">IFERROR(__xludf.DUMMYFUNCTION("IMPORTRANGE(""https://docs.google.com/spreadsheets/d/1kII0BjS6CtVrBvI8IrytgPdxDrlyQDyigzMsohRtDMs/edit?usp=sharing"",""อุทัยธานี!J724"")"),9)</f>
        <v>9</v>
      </c>
      <c r="BH30" s="68">
        <f ca="1">IFERROR(__xludf.DUMMYFUNCTION("IMPORTRANGE(""https://docs.google.com/spreadsheets/d/1kII0BjS6CtVrBvI8IrytgPdxDrlyQDyigzMsohRtDMs/edit?usp=sharing"",""อุทัยธานี!J725"")"),180.05)</f>
        <v>180.05</v>
      </c>
      <c r="BI30" s="68">
        <f ca="1">IFERROR(__xludf.DUMMYFUNCTION("IMPORTRANGE(""https://docs.google.com/spreadsheets/d/1kII0BjS6CtVrBvI8IrytgPdxDrlyQDyigzMsohRtDMs/edit?usp=sharing"",""อุทัยธานี!I726"")"),2)</f>
        <v>2</v>
      </c>
      <c r="BJ30" s="68">
        <f ca="1">IFERROR(__xludf.DUMMYFUNCTION("IMPORTRANGE(""https://docs.google.com/spreadsheets/d/1kII0BjS6CtVrBvI8IrytgPdxDrlyQDyigzMsohRtDMs/edit?usp=sharing"",""อุทัยธานี!I728"")"),25)</f>
        <v>25</v>
      </c>
      <c r="BK30" s="68">
        <f ca="1">IFERROR(__xludf.DUMMYFUNCTION("IMPORTRANGE(""https://docs.google.com/spreadsheets/d/1kII0BjS6CtVrBvI8IrytgPdxDrlyQDyigzMsohRtDMs/edit?usp=sharing"",""อุทัยธานี!J726"")"),0)</f>
        <v>0</v>
      </c>
      <c r="BL30" s="68">
        <f ca="1">IFERROR(__xludf.DUMMYFUNCTION("IMPORTRANGE(""https://docs.google.com/spreadsheets/d/1kII0BjS6CtVrBvI8IrytgPdxDrlyQDyigzMsohRtDMs/edit?usp=sharing"",""อุทัยธานี!J727"")"),0)</f>
        <v>0</v>
      </c>
      <c r="BM30" s="68">
        <f ca="1">IFERROR(__xludf.DUMMYFUNCTION("IMPORTRANGE(""https://docs.google.com/spreadsheets/d/1kII0BjS6CtVrBvI8IrytgPdxDrlyQDyigzMsohRtDMs/edit?usp=sharing"",""อุทัยธานี!J728"")"),0)</f>
        <v>0</v>
      </c>
      <c r="BN30" s="68">
        <f ca="1">IFERROR(__xludf.DUMMYFUNCTION("IMPORTRANGE(""https://docs.google.com/spreadsheets/d/1kII0BjS6CtVrBvI8IrytgPdxDrlyQDyigzMsohRtDMs/edit?usp=sharing"",""อุทัยธานี!I729"")"),65)</f>
        <v>65</v>
      </c>
      <c r="BO30" s="68">
        <f ca="1">IFERROR(__xludf.DUMMYFUNCTION("IMPORTRANGE(""https://docs.google.com/spreadsheets/d/1kII0BjS6CtVrBvI8IrytgPdxDrlyQDyigzMsohRtDMs/edit?usp=sharing"",""อุทัยธานี!J729"")"),151.72)</f>
        <v>151.72</v>
      </c>
      <c r="BP30" s="75">
        <f t="shared" ca="1" si="19"/>
        <v>233.41538461538462</v>
      </c>
      <c r="BQ30" s="68">
        <f ca="1">IFERROR(__xludf.DUMMYFUNCTION("IMPORTRANGE(""https://docs.google.com/spreadsheets/d/1kII0BjS6CtVrBvI8IrytgPdxDrlyQDyigzMsohRtDMs/edit?usp=sharing"",""อุทัยธานี!J730"")"),5)</f>
        <v>5</v>
      </c>
      <c r="BR30" s="68">
        <f ca="1">IFERROR(__xludf.DUMMYFUNCTION("IMPORTRANGE(""https://docs.google.com/spreadsheets/d/1kII0BjS6CtVrBvI8IrytgPdxDrlyQDyigzMsohRtDMs/edit?usp=sharing"",""อุทัยธานี!J731"")"),5)</f>
        <v>5</v>
      </c>
      <c r="BS30" s="68">
        <f ca="1">IFERROR(__xludf.DUMMYFUNCTION("IMPORTRANGE(""https://docs.google.com/spreadsheets/d/1kII0BjS6CtVrBvI8IrytgPdxDrlyQDyigzMsohRtDMs/edit?usp=sharing"",""อุทัยธานี!J732"")"),94.48)</f>
        <v>94.48</v>
      </c>
      <c r="BT30" s="68">
        <f ca="1">IFERROR(__xludf.DUMMYFUNCTION("IMPORTRANGE(""https://docs.google.com/spreadsheets/d/1kII0BjS6CtVrBvI8IrytgPdxDrlyQDyigzMsohRtDMs/edit?usp=sharing"",""อุทัยธานี!J733"")"),3)</f>
        <v>3</v>
      </c>
      <c r="BU30" s="68">
        <f ca="1">IFERROR(__xludf.DUMMYFUNCTION("IMPORTRANGE(""https://docs.google.com/spreadsheets/d/1kII0BjS6CtVrBvI8IrytgPdxDrlyQDyigzMsohRtDMs/edit?usp=sharing"",""อุทัยธานี!J734"")"),3)</f>
        <v>3</v>
      </c>
      <c r="BV30" s="68">
        <f ca="1">IFERROR(__xludf.DUMMYFUNCTION("IMPORTRANGE(""https://docs.google.com/spreadsheets/d/1kII0BjS6CtVrBvI8IrytgPdxDrlyQDyigzMsohRtDMs/edit?usp=sharing"",""อุทัยธานี!J735"")"),57.24)</f>
        <v>57.24</v>
      </c>
    </row>
    <row r="31" spans="1:74" ht="21" customHeight="1" x14ac:dyDescent="0.3">
      <c r="A31" s="177" t="s">
        <v>52</v>
      </c>
      <c r="B31" s="178"/>
      <c r="C31" s="76">
        <f t="shared" ref="C31:G31" ca="1" si="53">SUM(C32:C51)</f>
        <v>346040</v>
      </c>
      <c r="D31" s="34">
        <f t="shared" ca="1" si="53"/>
        <v>346040</v>
      </c>
      <c r="E31" s="34">
        <f t="shared" ca="1" si="53"/>
        <v>0</v>
      </c>
      <c r="F31" s="34">
        <f t="shared" ca="1" si="53"/>
        <v>346040</v>
      </c>
      <c r="G31" s="34">
        <f t="shared" ca="1" si="53"/>
        <v>0</v>
      </c>
      <c r="H31" s="34">
        <f t="shared" ca="1" si="33"/>
        <v>105904</v>
      </c>
      <c r="I31" s="35">
        <f t="shared" ca="1" si="1"/>
        <v>30.604554386776094</v>
      </c>
      <c r="J31" s="34">
        <f ca="1">SUM(J32:J51)</f>
        <v>105904</v>
      </c>
      <c r="K31" s="35">
        <f t="shared" ca="1" si="39"/>
        <v>30.604554386776094</v>
      </c>
      <c r="L31" s="35">
        <f t="shared" ca="1" si="40"/>
        <v>30.604554386776094</v>
      </c>
      <c r="M31" s="34">
        <f t="shared" ref="M31:Q31" ca="1" si="54">SUM(M32:M51)</f>
        <v>360</v>
      </c>
      <c r="N31" s="34">
        <f t="shared" ca="1" si="54"/>
        <v>0</v>
      </c>
      <c r="O31" s="34">
        <f t="shared" ca="1" si="54"/>
        <v>0</v>
      </c>
      <c r="P31" s="34">
        <f t="shared" ca="1" si="54"/>
        <v>105544</v>
      </c>
      <c r="Q31" s="36">
        <f t="shared" ca="1" si="54"/>
        <v>0</v>
      </c>
      <c r="R31" s="36">
        <f t="shared" ca="1" si="42"/>
        <v>0</v>
      </c>
      <c r="S31" s="34">
        <f t="shared" ref="S31:T31" ca="1" si="55">SUM(S32:S51)</f>
        <v>839</v>
      </c>
      <c r="T31" s="34">
        <f t="shared" ca="1" si="55"/>
        <v>362.21</v>
      </c>
      <c r="U31" s="37">
        <f t="shared" ca="1" si="34"/>
        <v>43.171632896305127</v>
      </c>
      <c r="V31" s="34">
        <f t="shared" ref="V31:W31" ca="1" si="56">SUM(V32:V51)</f>
        <v>211</v>
      </c>
      <c r="W31" s="34">
        <f t="shared" ca="1" si="56"/>
        <v>97</v>
      </c>
      <c r="X31" s="37">
        <f t="shared" ca="1" si="35"/>
        <v>45.971563981042657</v>
      </c>
      <c r="Y31" s="34">
        <f t="shared" ref="Y31:Z31" ca="1" si="57">SUM(Y32:Y51)</f>
        <v>1815</v>
      </c>
      <c r="Z31" s="34">
        <f t="shared" ca="1" si="57"/>
        <v>237.95</v>
      </c>
      <c r="AA31" s="37">
        <f t="shared" ca="1" si="36"/>
        <v>13.110192837465565</v>
      </c>
      <c r="AB31" s="37">
        <f t="shared" ref="AB31:AI31" ca="1" si="58">SUM(AB32:AB51)</f>
        <v>11</v>
      </c>
      <c r="AC31" s="37">
        <f t="shared" ca="1" si="58"/>
        <v>17</v>
      </c>
      <c r="AD31" s="37">
        <f t="shared" ca="1" si="58"/>
        <v>137.94999999999999</v>
      </c>
      <c r="AE31" s="37">
        <f t="shared" ca="1" si="58"/>
        <v>10</v>
      </c>
      <c r="AF31" s="37">
        <f t="shared" ca="1" si="58"/>
        <v>10</v>
      </c>
      <c r="AG31" s="37">
        <f t="shared" ca="1" si="58"/>
        <v>100</v>
      </c>
      <c r="AH31" s="34">
        <f t="shared" ca="1" si="58"/>
        <v>459</v>
      </c>
      <c r="AI31" s="34">
        <f t="shared" ca="1" si="58"/>
        <v>379</v>
      </c>
      <c r="AJ31" s="37">
        <f t="shared" ca="1" si="37"/>
        <v>82.570806100217865</v>
      </c>
      <c r="AK31" s="34">
        <f t="shared" ref="AK31:AV31" ca="1" si="59">SUM(AK32:AK51)</f>
        <v>3</v>
      </c>
      <c r="AL31" s="34">
        <f t="shared" ca="1" si="59"/>
        <v>59</v>
      </c>
      <c r="AM31" s="34">
        <f t="shared" ca="1" si="59"/>
        <v>26</v>
      </c>
      <c r="AN31" s="34">
        <f t="shared" ca="1" si="59"/>
        <v>26</v>
      </c>
      <c r="AO31" s="34">
        <f t="shared" ca="1" si="59"/>
        <v>379</v>
      </c>
      <c r="AP31" s="34">
        <f t="shared" ca="1" si="59"/>
        <v>0</v>
      </c>
      <c r="AQ31" s="34">
        <f t="shared" ca="1" si="59"/>
        <v>0</v>
      </c>
      <c r="AR31" s="34">
        <f t="shared" ca="1" si="59"/>
        <v>0</v>
      </c>
      <c r="AS31" s="34">
        <f t="shared" ca="1" si="59"/>
        <v>334</v>
      </c>
      <c r="AT31" s="34">
        <f t="shared" ca="1" si="59"/>
        <v>8</v>
      </c>
      <c r="AU31" s="34">
        <f t="shared" ca="1" si="59"/>
        <v>8</v>
      </c>
      <c r="AV31" s="34">
        <f t="shared" ca="1" si="59"/>
        <v>79.83</v>
      </c>
      <c r="AW31" s="37">
        <f t="shared" ca="1" si="14"/>
        <v>23.901197604790418</v>
      </c>
      <c r="AX31" s="34">
        <f t="shared" ref="AX31:AZ31" ca="1" si="60">SUM(AX32:AX51)</f>
        <v>101</v>
      </c>
      <c r="AY31" s="34">
        <f t="shared" ca="1" si="60"/>
        <v>1076</v>
      </c>
      <c r="AZ31" s="34">
        <f t="shared" ca="1" si="60"/>
        <v>6</v>
      </c>
      <c r="BA31" s="37">
        <f t="shared" ca="1" si="16"/>
        <v>5.9405940594059405</v>
      </c>
      <c r="BB31" s="34">
        <f ca="1">SUM(BB32:BB51)</f>
        <v>65.600000000000009</v>
      </c>
      <c r="BC31" s="37">
        <f t="shared" ca="1" si="17"/>
        <v>6.0966542750929378</v>
      </c>
      <c r="BD31" s="34">
        <f t="shared" ref="BD31:BO31" ca="1" si="61">SUM(BD32:BD51)</f>
        <v>99</v>
      </c>
      <c r="BE31" s="34">
        <f t="shared" ca="1" si="61"/>
        <v>1056</v>
      </c>
      <c r="BF31" s="34">
        <f t="shared" ca="1" si="61"/>
        <v>6</v>
      </c>
      <c r="BG31" s="34">
        <f t="shared" ca="1" si="61"/>
        <v>7</v>
      </c>
      <c r="BH31" s="34">
        <f t="shared" ca="1" si="61"/>
        <v>65.600000000000009</v>
      </c>
      <c r="BI31" s="34">
        <f t="shared" ca="1" si="61"/>
        <v>2</v>
      </c>
      <c r="BJ31" s="34">
        <f t="shared" ca="1" si="61"/>
        <v>20</v>
      </c>
      <c r="BK31" s="34">
        <f t="shared" ca="1" si="61"/>
        <v>0</v>
      </c>
      <c r="BL31" s="34">
        <f t="shared" ca="1" si="61"/>
        <v>0</v>
      </c>
      <c r="BM31" s="34">
        <f t="shared" ca="1" si="61"/>
        <v>0</v>
      </c>
      <c r="BN31" s="34">
        <f t="shared" ca="1" si="61"/>
        <v>1522</v>
      </c>
      <c r="BO31" s="34">
        <f t="shared" ca="1" si="61"/>
        <v>707</v>
      </c>
      <c r="BP31" s="37">
        <f t="shared" ca="1" si="19"/>
        <v>46.452036793692507</v>
      </c>
      <c r="BQ31" s="34">
        <f t="shared" ref="BQ31:BV31" ca="1" si="62">SUM(BQ32:BQ51)</f>
        <v>0</v>
      </c>
      <c r="BR31" s="34">
        <f t="shared" ca="1" si="62"/>
        <v>0</v>
      </c>
      <c r="BS31" s="34">
        <f t="shared" ca="1" si="62"/>
        <v>0</v>
      </c>
      <c r="BT31" s="34">
        <f t="shared" ca="1" si="62"/>
        <v>81</v>
      </c>
      <c r="BU31" s="34">
        <f t="shared" ca="1" si="62"/>
        <v>95</v>
      </c>
      <c r="BV31" s="34">
        <f t="shared" ca="1" si="62"/>
        <v>707</v>
      </c>
    </row>
    <row r="32" spans="1:74" ht="21" customHeight="1" x14ac:dyDescent="0.3">
      <c r="A32" s="54">
        <v>1</v>
      </c>
      <c r="B32" s="55" t="s">
        <v>53</v>
      </c>
      <c r="C32" s="56">
        <f t="shared" ref="C32:C51" ca="1" si="63">D32+E32</f>
        <v>7440</v>
      </c>
      <c r="D32" s="57">
        <f ca="1">IFERROR(__xludf.DUMMYFUNCTION("IMPORTRANGE(""https://docs.google.com/spreadsheets/d/1fb2B9NLcpJgjIieIJvenUTNPn0TimZDUi0OtYeiSQ_s/edit?usp=sharing"",""กาฬสินธุ์!L690"")"),7440)</f>
        <v>7440</v>
      </c>
      <c r="E32" s="57">
        <f ca="1">IFERROR(__xludf.DUMMYFUNCTION("IMPORTRANGE(""https://docs.google.com/spreadsheets/d/1fb2B9NLcpJgjIieIJvenUTNPn0TimZDUi0OtYeiSQ_s/edit?usp=sharing"",""กาฬสินธุ์!L697"")"),0)</f>
        <v>0</v>
      </c>
      <c r="F32" s="57">
        <f ca="1">IFERROR(__xludf.DUMMYFUNCTION("IMPORTRANGE(""https://docs.google.com/spreadsheets/d/1fb2B9NLcpJgjIieIJvenUTNPn0TimZDUi0OtYeiSQ_s/edit?usp=sharing"",""กาฬสินธุ์!M690"")"),7440)</f>
        <v>7440</v>
      </c>
      <c r="G32" s="57">
        <f ca="1">IFERROR(__xludf.DUMMYFUNCTION("IMPORTRANGE(""https://docs.google.com/spreadsheets/d/1fb2B9NLcpJgjIieIJvenUTNPn0TimZDUi0OtYeiSQ_s/edit?usp=sharing"",""กาฬสินธุ์!M697"")"),0)</f>
        <v>0</v>
      </c>
      <c r="H32" s="58">
        <f t="shared" ca="1" si="33"/>
        <v>0</v>
      </c>
      <c r="I32" s="59">
        <f t="shared" ca="1" si="1"/>
        <v>0</v>
      </c>
      <c r="J32" s="60">
        <f t="shared" ref="J32:J51" ca="1" si="64">M32+N32+O32+P32</f>
        <v>0</v>
      </c>
      <c r="K32" s="61">
        <f t="shared" ca="1" si="39"/>
        <v>0</v>
      </c>
      <c r="L32" s="61">
        <f t="shared" ca="1" si="40"/>
        <v>0</v>
      </c>
      <c r="M32" s="57">
        <f ca="1">IFERROR(__xludf.DUMMYFUNCTION("IMPORTRANGE(""https://docs.google.com/spreadsheets/d/1fb2B9NLcpJgjIieIJvenUTNPn0TimZDUi0OtYeiSQ_s/edit?usp=sharing"",""กาฬสินธุ์!N691"")"),0)</f>
        <v>0</v>
      </c>
      <c r="N32" s="57">
        <f ca="1">IFERROR(__xludf.DUMMYFUNCTION("IMPORTRANGE(""https://docs.google.com/spreadsheets/d/1fb2B9NLcpJgjIieIJvenUTNPn0TimZDUi0OtYeiSQ_s/edit?usp=sharing"",""กาฬสินธุ์!N692"")"),0)</f>
        <v>0</v>
      </c>
      <c r="O32" s="57">
        <f ca="1">IFERROR(__xludf.DUMMYFUNCTION("IMPORTRANGE(""https://docs.google.com/spreadsheets/d/1fb2B9NLcpJgjIieIJvenUTNPn0TimZDUi0OtYeiSQ_s/edit?usp=sharing"",""กาฬสินธุ์!N693"")"),0)</f>
        <v>0</v>
      </c>
      <c r="P32" s="57">
        <f ca="1">IFERROR(__xludf.DUMMYFUNCTION("IMPORTRANGE(""https://docs.google.com/spreadsheets/d/1fb2B9NLcpJgjIieIJvenUTNPn0TimZDUi0OtYeiSQ_s/edit?usp=sharing"",""กาฬสินธุ์!N694"")"),0)</f>
        <v>0</v>
      </c>
      <c r="Q32" s="62">
        <f ca="1">IFERROR(__xludf.DUMMYFUNCTION("IMPORTRANGE(""https://docs.google.com/spreadsheets/d/1fb2B9NLcpJgjIieIJvenUTNPn0TimZDUi0OtYeiSQ_s/edit?usp=sharing"",""กาฬสินธุ์!N697"")"),0)</f>
        <v>0</v>
      </c>
      <c r="R32" s="62">
        <f t="shared" ca="1" si="42"/>
        <v>0</v>
      </c>
      <c r="S32" s="57">
        <f ca="1">IFERROR(__xludf.DUMMYFUNCTION("IMPORTRANGE(""https://docs.google.com/spreadsheets/d/1fb2B9NLcpJgjIieIJvenUTNPn0TimZDUi0OtYeiSQ_s/edit?usp=sharing"",""กาฬสินธุ์!I699"")"),0)</f>
        <v>0</v>
      </c>
      <c r="T32" s="57">
        <f ca="1">IFERROR(__xludf.DUMMYFUNCTION("IMPORTRANGE(""https://docs.google.com/spreadsheets/d/1fb2B9NLcpJgjIieIJvenUTNPn0TimZDUi0OtYeiSQ_s/edit?usp=sharing"",""กาฬสินธุ์!J699"")"),0)</f>
        <v>0</v>
      </c>
      <c r="U32" s="63">
        <f t="shared" ca="1" si="34"/>
        <v>0</v>
      </c>
      <c r="V32" s="57">
        <f ca="1">IFERROR(__xludf.DUMMYFUNCTION("IMPORTRANGE(""https://docs.google.com/spreadsheets/d/1fb2B9NLcpJgjIieIJvenUTNPn0TimZDUi0OtYeiSQ_s/edit?usp=sharing"",""กาฬสินธุ์!I700"")"),50)</f>
        <v>50</v>
      </c>
      <c r="W32" s="57">
        <f ca="1">IFERROR(__xludf.DUMMYFUNCTION("IMPORTRANGE(""https://docs.google.com/spreadsheets/d/1fb2B9NLcpJgjIieIJvenUTNPn0TimZDUi0OtYeiSQ_s/edit?usp=sharing"",""กาฬสินธุ์!J700"")"),37)</f>
        <v>37</v>
      </c>
      <c r="X32" s="63">
        <f t="shared" ca="1" si="35"/>
        <v>74</v>
      </c>
      <c r="Y32" s="57">
        <f ca="1">IFERROR(__xludf.DUMMYFUNCTION("IMPORTRANGE(""https://docs.google.com/spreadsheets/d/1fb2B9NLcpJgjIieIJvenUTNPn0TimZDUi0OtYeiSQ_s/edit?usp=sharing"",""กาฬสินธุ์!I701"")"),4)</f>
        <v>4</v>
      </c>
      <c r="Z32" s="57">
        <f ca="1">IFERROR(__xludf.DUMMYFUNCTION("IMPORTRANGE(""https://docs.google.com/spreadsheets/d/1fb2B9NLcpJgjIieIJvenUTNPn0TimZDUi0OtYeiSQ_s/edit?usp=sharing"",""กาฬสินธุ์!J701"")"),4)</f>
        <v>4</v>
      </c>
      <c r="AA32" s="63">
        <f t="shared" ca="1" si="36"/>
        <v>100</v>
      </c>
      <c r="AB32" s="63">
        <f ca="1">IFERROR(__xludf.DUMMYFUNCTION("IMPORTRANGE(""https://docs.google.com/spreadsheets/d/1fb2B9NLcpJgjIieIJvenUTNPn0TimZDUi0OtYeiSQ_s/edit?usp=sharing"",""กาฬสินธุ์!J702"")"),0)</f>
        <v>0</v>
      </c>
      <c r="AC32" s="63">
        <f ca="1">IFERROR(__xludf.DUMMYFUNCTION("IMPORTRANGE(""https://docs.google.com/spreadsheets/d/1fb2B9NLcpJgjIieIJvenUTNPn0TimZDUi0OtYeiSQ_s/edit?usp=sharing"",""กาฬสินธุ์!J703"")"),0)</f>
        <v>0</v>
      </c>
      <c r="AD32" s="63">
        <f ca="1">IFERROR(__xludf.DUMMYFUNCTION("IMPORTRANGE(""https://docs.google.com/spreadsheets/d/1fb2B9NLcpJgjIieIJvenUTNPn0TimZDUi0OtYeiSQ_s/edit?usp=sharing"",""กาฬสินธุ์!J704"")"),4)</f>
        <v>4</v>
      </c>
      <c r="AE32" s="63">
        <f ca="1">IFERROR(__xludf.DUMMYFUNCTION("IMPORTRANGE(""https://docs.google.com/spreadsheets/d/1fb2B9NLcpJgjIieIJvenUTNPn0TimZDUi0OtYeiSQ_s/edit?usp=sharing"",""กาฬสินธุ์!J705"")"),0)</f>
        <v>0</v>
      </c>
      <c r="AF32" s="63">
        <f ca="1">IFERROR(__xludf.DUMMYFUNCTION("IMPORTRANGE(""https://docs.google.com/spreadsheets/d/1fb2B9NLcpJgjIieIJvenUTNPn0TimZDUi0OtYeiSQ_s/edit?usp=sharing"",""กาฬสินธุ์!J706"")"),0)</f>
        <v>0</v>
      </c>
      <c r="AG32" s="63">
        <f ca="1">IFERROR(__xludf.DUMMYFUNCTION("IMPORTRANGE(""https://docs.google.com/spreadsheets/d/1fb2B9NLcpJgjIieIJvenUTNPn0TimZDUi0OtYeiSQ_s/edit?usp=sharing"",""กาฬสินธุ์!J707"")"),0)</f>
        <v>0</v>
      </c>
      <c r="AH32" s="57">
        <f ca="1">IFERROR(__xludf.DUMMYFUNCTION("IMPORTRANGE(""https://docs.google.com/spreadsheets/d/1fb2B9NLcpJgjIieIJvenUTNPn0TimZDUi0OtYeiSQ_s/edit?usp=sharing"",""กาฬสินธุ์!I708"")"),0)</f>
        <v>0</v>
      </c>
      <c r="AI32" s="57">
        <f ca="1">IFERROR(__xludf.DUMMYFUNCTION("IMPORTRANGE(""https://docs.google.com/spreadsheets/d/1fb2B9NLcpJgjIieIJvenUTNPn0TimZDUi0OtYeiSQ_s/edit?usp=sharing"",""กาฬสินธุ์!J708"")"),0)</f>
        <v>0</v>
      </c>
      <c r="AJ32" s="63">
        <f t="shared" ca="1" si="37"/>
        <v>0</v>
      </c>
      <c r="AK32" s="57">
        <f ca="1">IFERROR(__xludf.DUMMYFUNCTION("IMPORTRANGE(""https://docs.google.com/spreadsheets/d/1fb2B9NLcpJgjIieIJvenUTNPn0TimZDUi0OtYeiSQ_s/edit?usp=sharing"",""กาฬสินธุ์!J709"")"),0)</f>
        <v>0</v>
      </c>
      <c r="AL32" s="57">
        <f ca="1">IFERROR(__xludf.DUMMYFUNCTION("IMPORTRANGE(""https://docs.google.com/spreadsheets/d/1fb2B9NLcpJgjIieIJvenUTNPn0TimZDUi0OtYeiSQ_s/edit?usp=sharing"",""กาฬสินธุ์!J710"")"),0)</f>
        <v>0</v>
      </c>
      <c r="AM32" s="57">
        <f ca="1">IFERROR(__xludf.DUMMYFUNCTION("IMPORTRANGE(""https://docs.google.com/spreadsheets/d/1fb2B9NLcpJgjIieIJvenUTNPn0TimZDUi0OtYeiSQ_s/edit?usp=sharing"",""กาฬสินธุ์!J712"")"),0)</f>
        <v>0</v>
      </c>
      <c r="AN32" s="57">
        <f ca="1">IFERROR(__xludf.DUMMYFUNCTION("IMPORTRANGE(""https://docs.google.com/spreadsheets/d/1fb2B9NLcpJgjIieIJvenUTNPn0TimZDUi0OtYeiSQ_s/edit?usp=sharing"",""กาฬสินธุ์!J713"")"),0)</f>
        <v>0</v>
      </c>
      <c r="AO32" s="57">
        <f ca="1">IFERROR(__xludf.DUMMYFUNCTION("IMPORTRANGE(""https://docs.google.com/spreadsheets/d/1fb2B9NLcpJgjIieIJvenUTNPn0TimZDUi0OtYeiSQ_s/edit?usp=sharing"",""กาฬสินธุ์!J714"")"),0)</f>
        <v>0</v>
      </c>
      <c r="AP32" s="57">
        <f ca="1">IFERROR(__xludf.DUMMYFUNCTION("IMPORTRANGE(""https://docs.google.com/spreadsheets/d/1fb2B9NLcpJgjIieIJvenUTNPn0TimZDUi0OtYeiSQ_s/edit?usp=sharing"",""กาฬสินธุ์!J715"")"),0)</f>
        <v>0</v>
      </c>
      <c r="AQ32" s="57">
        <f ca="1">IFERROR(__xludf.DUMMYFUNCTION("IMPORTRANGE(""https://docs.google.com/spreadsheets/d/1fb2B9NLcpJgjIieIJvenUTNPn0TimZDUi0OtYeiSQ_s/edit?usp=sharing"",""กาฬสินธุ์!J716"")"),0)</f>
        <v>0</v>
      </c>
      <c r="AR32" s="57">
        <f ca="1">IFERROR(__xludf.DUMMYFUNCTION("IMPORTRANGE(""https://docs.google.com/spreadsheets/d/1fb2B9NLcpJgjIieIJvenUTNPn0TimZDUi0OtYeiSQ_s/edit?usp=sharing"",""กาฬสินธุ์!J717"")"),0)</f>
        <v>0</v>
      </c>
      <c r="AS32" s="57">
        <f ca="1">IFERROR(__xludf.DUMMYFUNCTION("IMPORTRANGE(""https://docs.google.com/spreadsheets/d/1fb2B9NLcpJgjIieIJvenUTNPn0TimZDUi0OtYeiSQ_s/edit?usp=sharing"",""กาฬสินธุ์!I720"")"),0)</f>
        <v>0</v>
      </c>
      <c r="AT32" s="57">
        <f ca="1">IFERROR(__xludf.DUMMYFUNCTION("IMPORTRANGE(""https://docs.google.com/spreadsheets/d/1fb2B9NLcpJgjIieIJvenUTNPn0TimZDUi0OtYeiSQ_s/edit?usp=sharing"",""กาฬสินธุ์!J718"")"),0)</f>
        <v>0</v>
      </c>
      <c r="AU32" s="57">
        <f ca="1">IFERROR(__xludf.DUMMYFUNCTION("IMPORTRANGE(""https://docs.google.com/spreadsheets/d/1fb2B9NLcpJgjIieIJvenUTNPn0TimZDUi0OtYeiSQ_s/edit?usp=sharing"",""กาฬสินธุ์!J719"")"),0)</f>
        <v>0</v>
      </c>
      <c r="AV32" s="57">
        <f ca="1">IFERROR(__xludf.DUMMYFUNCTION("IMPORTRANGE(""https://docs.google.com/spreadsheets/d/1fb2B9NLcpJgjIieIJvenUTNPn0TimZDUi0OtYeiSQ_s/edit?usp=sharing"",""กาฬสินธุ์!J720"")"),0)</f>
        <v>0</v>
      </c>
      <c r="AW32" s="63">
        <f t="shared" ca="1" si="14"/>
        <v>0</v>
      </c>
      <c r="AX32" s="57">
        <f ca="1">IFERROR(__xludf.DUMMYFUNCTION("IMPORTRANGE(""https://docs.google.com/spreadsheets/d/1fb2B9NLcpJgjIieIJvenUTNPn0TimZDUi0OtYeiSQ_s/edit?usp=sharing"",""กาฬสินธุ์!I721"")"),3)</f>
        <v>3</v>
      </c>
      <c r="AY32" s="57">
        <f ca="1">IFERROR(__xludf.DUMMYFUNCTION("IMPORTRANGE(""https://docs.google.com/spreadsheets/d/1fb2B9NLcpJgjIieIJvenUTNPn0TimZDUi0OtYeiSQ_s/edit?usp=sharing"",""กาฬสินธุ์!I722"")"),2)</f>
        <v>2</v>
      </c>
      <c r="AZ32" s="57">
        <f ca="1">IFERROR(__xludf.DUMMYFUNCTION("IMPORTRANGE(""https://docs.google.com/spreadsheets/d/1fb2B9NLcpJgjIieIJvenUTNPn0TimZDUi0OtYeiSQ_s/edit?usp=sharing"",""กาฬสินธุ์!J721"")"),3)</f>
        <v>3</v>
      </c>
      <c r="BA32" s="63">
        <f t="shared" ca="1" si="16"/>
        <v>100</v>
      </c>
      <c r="BB32" s="57">
        <f ca="1">IFERROR(__xludf.DUMMYFUNCTION("IMPORTRANGE(""https://docs.google.com/spreadsheets/d/1fb2B9NLcpJgjIieIJvenUTNPn0TimZDUi0OtYeiSQ_s/edit?usp=sharing"",""กาฬสินธุ์!J722"")"),44.59)</f>
        <v>44.59</v>
      </c>
      <c r="BC32" s="63">
        <f t="shared" ca="1" si="17"/>
        <v>2229.5</v>
      </c>
      <c r="BD32" s="57">
        <f ca="1">IFERROR(__xludf.DUMMYFUNCTION("IMPORTRANGE(""https://docs.google.com/spreadsheets/d/1fb2B9NLcpJgjIieIJvenUTNPn0TimZDUi0OtYeiSQ_s/edit?usp=sharing"",""กาฬสินธุ์!I723"")"),3)</f>
        <v>3</v>
      </c>
      <c r="BE32" s="57">
        <f ca="1">IFERROR(__xludf.DUMMYFUNCTION("IMPORTRANGE(""https://docs.google.com/spreadsheets/d/1fb2B9NLcpJgjIieIJvenUTNPn0TimZDUi0OtYeiSQ_s/edit?usp=sharing"",""กาฬสินธุ์!I725"")"),2)</f>
        <v>2</v>
      </c>
      <c r="BF32" s="57">
        <f ca="1">IFERROR(__xludf.DUMMYFUNCTION("IMPORTRANGE(""https://docs.google.com/spreadsheets/d/1fb2B9NLcpJgjIieIJvenUTNPn0TimZDUi0OtYeiSQ_s/edit?usp=sharing"",""กาฬสินธุ์!J723"")"),3)</f>
        <v>3</v>
      </c>
      <c r="BG32" s="57">
        <f ca="1">IFERROR(__xludf.DUMMYFUNCTION("IMPORTRANGE(""https://docs.google.com/spreadsheets/d/1fb2B9NLcpJgjIieIJvenUTNPn0TimZDUi0OtYeiSQ_s/edit?usp=sharing"",""กาฬสินธุ์!J724"")"),3)</f>
        <v>3</v>
      </c>
      <c r="BH32" s="57">
        <f ca="1">IFERROR(__xludf.DUMMYFUNCTION("IMPORTRANGE(""https://docs.google.com/spreadsheets/d/1fb2B9NLcpJgjIieIJvenUTNPn0TimZDUi0OtYeiSQ_s/edit?usp=sharing"",""กาฬสินธุ์!J725"")"),44.59)</f>
        <v>44.59</v>
      </c>
      <c r="BI32" s="57">
        <f ca="1">IFERROR(__xludf.DUMMYFUNCTION("IMPORTRANGE(""https://docs.google.com/spreadsheets/d/1fb2B9NLcpJgjIieIJvenUTNPn0TimZDUi0OtYeiSQ_s/edit?usp=sharing"",""กาฬสินธุ์!I726"")"),0)</f>
        <v>0</v>
      </c>
      <c r="BJ32" s="57">
        <f ca="1">IFERROR(__xludf.DUMMYFUNCTION("IMPORTRANGE(""https://docs.google.com/spreadsheets/d/1fb2B9NLcpJgjIieIJvenUTNPn0TimZDUi0OtYeiSQ_s/edit?usp=sharing"",""กาฬสินธุ์!I728"")"),0)</f>
        <v>0</v>
      </c>
      <c r="BK32" s="57">
        <f ca="1">IFERROR(__xludf.DUMMYFUNCTION("IMPORTRANGE(""https://docs.google.com/spreadsheets/d/1fb2B9NLcpJgjIieIJvenUTNPn0TimZDUi0OtYeiSQ_s/edit?usp=sharing"",""กาฬสินธุ์!J726"")"),0)</f>
        <v>0</v>
      </c>
      <c r="BL32" s="57">
        <f ca="1">IFERROR(__xludf.DUMMYFUNCTION("IMPORTRANGE(""https://docs.google.com/spreadsheets/d/1fb2B9NLcpJgjIieIJvenUTNPn0TimZDUi0OtYeiSQ_s/edit?usp=sharing"",""กาฬสินธุ์!J727"")"),0)</f>
        <v>0</v>
      </c>
      <c r="BM32" s="57">
        <f ca="1">IFERROR(__xludf.DUMMYFUNCTION("IMPORTRANGE(""https://docs.google.com/spreadsheets/d/1fb2B9NLcpJgjIieIJvenUTNPn0TimZDUi0OtYeiSQ_s/edit?usp=sharing"",""กาฬสินธุ์!J728"")"),0)</f>
        <v>0</v>
      </c>
      <c r="BN32" s="57">
        <f ca="1">IFERROR(__xludf.DUMMYFUNCTION("IMPORTRANGE(""https://docs.google.com/spreadsheets/d/1fb2B9NLcpJgjIieIJvenUTNPn0TimZDUi0OtYeiSQ_s/edit?usp=sharing"",""กาฬสินธุ์!I729"")"),0)</f>
        <v>0</v>
      </c>
      <c r="BO32" s="57">
        <f ca="1">IFERROR(__xludf.DUMMYFUNCTION("IMPORTRANGE(""https://docs.google.com/spreadsheets/d/1fb2B9NLcpJgjIieIJvenUTNPn0TimZDUi0OtYeiSQ_s/edit?usp=sharing"",""กาฬสินธุ์!J729"")"),0)</f>
        <v>0</v>
      </c>
      <c r="BP32" s="63">
        <f t="shared" ca="1" si="19"/>
        <v>0</v>
      </c>
      <c r="BQ32" s="57">
        <f ca="1">IFERROR(__xludf.DUMMYFUNCTION("IMPORTRANGE(""https://docs.google.com/spreadsheets/d/1fb2B9NLcpJgjIieIJvenUTNPn0TimZDUi0OtYeiSQ_s/edit?usp=sharing"",""กาฬสินธุ์!J730"")"),0)</f>
        <v>0</v>
      </c>
      <c r="BR32" s="57">
        <f ca="1">IFERROR(__xludf.DUMMYFUNCTION("IMPORTRANGE(""https://docs.google.com/spreadsheets/d/1fb2B9NLcpJgjIieIJvenUTNPn0TimZDUi0OtYeiSQ_s/edit?usp=sharing"",""กาฬสินธุ์!J731"")"),0)</f>
        <v>0</v>
      </c>
      <c r="BS32" s="57">
        <f ca="1">IFERROR(__xludf.DUMMYFUNCTION("IMPORTRANGE(""https://docs.google.com/spreadsheets/d/1fb2B9NLcpJgjIieIJvenUTNPn0TimZDUi0OtYeiSQ_s/edit?usp=sharing"",""กาฬสินธุ์!J732"")"),0)</f>
        <v>0</v>
      </c>
      <c r="BT32" s="57">
        <f ca="1">IFERROR(__xludf.DUMMYFUNCTION("IMPORTRANGE(""https://docs.google.com/spreadsheets/d/1fb2B9NLcpJgjIieIJvenUTNPn0TimZDUi0OtYeiSQ_s/edit?usp=sharing"",""กาฬสินธุ์!J733"")"),0)</f>
        <v>0</v>
      </c>
      <c r="BU32" s="57">
        <f ca="1">IFERROR(__xludf.DUMMYFUNCTION("IMPORTRANGE(""https://docs.google.com/spreadsheets/d/1fb2B9NLcpJgjIieIJvenUTNPn0TimZDUi0OtYeiSQ_s/edit?usp=sharing"",""กาฬสินธุ์!J734"")"),0)</f>
        <v>0</v>
      </c>
      <c r="BV32" s="57">
        <f ca="1">IFERROR(__xludf.DUMMYFUNCTION("IMPORTRANGE(""https://docs.google.com/spreadsheets/d/1fb2B9NLcpJgjIieIJvenUTNPn0TimZDUi0OtYeiSQ_s/edit?usp=sharing"",""กาฬสินธุ์!J735"")"),0)</f>
        <v>0</v>
      </c>
    </row>
    <row r="33" spans="1:74" ht="21" customHeight="1" x14ac:dyDescent="0.3">
      <c r="A33" s="54">
        <v>2</v>
      </c>
      <c r="B33" s="55" t="s">
        <v>54</v>
      </c>
      <c r="C33" s="56">
        <f t="shared" ca="1" si="63"/>
        <v>1920</v>
      </c>
      <c r="D33" s="57">
        <f ca="1">IFERROR(__xludf.DUMMYFUNCTION("IMPORTRANGE(""https://docs.google.com/spreadsheets/d/1SaMnqrwRGmFYNR0MhpWmHuL5niYUd5E7vDq8X7whAlI/edit?usp=sharing"",""ขอนแก่น!L690"")"),1920)</f>
        <v>1920</v>
      </c>
      <c r="E33" s="64">
        <f ca="1">IFERROR(__xludf.DUMMYFUNCTION("IMPORTRANGE(""https://docs.google.com/spreadsheets/d/1SaMnqrwRGmFYNR0MhpWmHuL5niYUd5E7vDq8X7whAlI/edit?usp=sharing"",""ขอนแก่น!L697"")"),0)</f>
        <v>0</v>
      </c>
      <c r="F33" s="64">
        <f ca="1">IFERROR(__xludf.DUMMYFUNCTION("IMPORTRANGE(""https://docs.google.com/spreadsheets/d/1SaMnqrwRGmFYNR0MhpWmHuL5niYUd5E7vDq8X7whAlI/edit?usp=sharing"",""ขอนแก่น!M690"")"),1920)</f>
        <v>1920</v>
      </c>
      <c r="G33" s="64">
        <f ca="1">IFERROR(__xludf.DUMMYFUNCTION("IMPORTRANGE(""https://docs.google.com/spreadsheets/d/1SaMnqrwRGmFYNR0MhpWmHuL5niYUd5E7vDq8X7whAlI/edit?usp=sharing"",""ขอนแก่น!M697"")"),0)</f>
        <v>0</v>
      </c>
      <c r="H33" s="58">
        <f t="shared" ca="1" si="33"/>
        <v>0</v>
      </c>
      <c r="I33" s="59">
        <f t="shared" ca="1" si="1"/>
        <v>0</v>
      </c>
      <c r="J33" s="60">
        <f t="shared" ca="1" si="64"/>
        <v>0</v>
      </c>
      <c r="K33" s="61">
        <f t="shared" ca="1" si="39"/>
        <v>0</v>
      </c>
      <c r="L33" s="61">
        <f t="shared" ca="1" si="40"/>
        <v>0</v>
      </c>
      <c r="M33" s="64">
        <f ca="1">IFERROR(__xludf.DUMMYFUNCTION("IMPORTRANGE(""https://docs.google.com/spreadsheets/d/1SaMnqrwRGmFYNR0MhpWmHuL5niYUd5E7vDq8X7whAlI/edit?usp=sharing"",""ขอนแก่น!N691"")"),0)</f>
        <v>0</v>
      </c>
      <c r="N33" s="64">
        <f ca="1">IFERROR(__xludf.DUMMYFUNCTION("IMPORTRANGE(""https://docs.google.com/spreadsheets/d/1SaMnqrwRGmFYNR0MhpWmHuL5niYUd5E7vDq8X7whAlI/edit?usp=sharing"",""ขอนแก่น!N692"")"),0)</f>
        <v>0</v>
      </c>
      <c r="O33" s="64">
        <f ca="1">IFERROR(__xludf.DUMMYFUNCTION("IMPORTRANGE(""https://docs.google.com/spreadsheets/d/1SaMnqrwRGmFYNR0MhpWmHuL5niYUd5E7vDq8X7whAlI/edit?usp=sharing"",""ขอนแก่น!N693"")"),0)</f>
        <v>0</v>
      </c>
      <c r="P33" s="64">
        <f ca="1">IFERROR(__xludf.DUMMYFUNCTION("IMPORTRANGE(""https://docs.google.com/spreadsheets/d/1SaMnqrwRGmFYNR0MhpWmHuL5niYUd5E7vDq8X7whAlI/edit?usp=sharing"",""ขอนแก่น!N694"")"),0)</f>
        <v>0</v>
      </c>
      <c r="Q33" s="62">
        <f ca="1">IFERROR(__xludf.DUMMYFUNCTION("IMPORTRANGE(""https://docs.google.com/spreadsheets/d/1SaMnqrwRGmFYNR0MhpWmHuL5niYUd5E7vDq8X7whAlI/edit?usp=sharing"",""ขอนแก่น!N697"")"),0)</f>
        <v>0</v>
      </c>
      <c r="R33" s="62">
        <f t="shared" ca="1" si="42"/>
        <v>0</v>
      </c>
      <c r="S33" s="57">
        <f ca="1">IFERROR(__xludf.DUMMYFUNCTION("IMPORTRANGE(""https://docs.google.com/spreadsheets/d/1SaMnqrwRGmFYNR0MhpWmHuL5niYUd5E7vDq8X7whAlI/edit?usp=sharing"",""ขอนแก่น!I699"")"),0)</f>
        <v>0</v>
      </c>
      <c r="T33" s="57">
        <f ca="1">IFERROR(__xludf.DUMMYFUNCTION("IMPORTRANGE(""https://docs.google.com/spreadsheets/d/1SaMnqrwRGmFYNR0MhpWmHuL5niYUd5E7vDq8X7whAlI/edit?usp=sharing"",""ขอนแก่น!J699"")"),0)</f>
        <v>0</v>
      </c>
      <c r="U33" s="63">
        <f t="shared" ca="1" si="34"/>
        <v>0</v>
      </c>
      <c r="V33" s="57">
        <f ca="1">IFERROR(__xludf.DUMMYFUNCTION("IMPORTRANGE(""https://docs.google.com/spreadsheets/d/1SaMnqrwRGmFYNR0MhpWmHuL5niYUd5E7vDq8X7whAlI/edit?usp=sharing"",""ขอนแก่น!I700"")"),0)</f>
        <v>0</v>
      </c>
      <c r="W33" s="57">
        <f ca="1">IFERROR(__xludf.DUMMYFUNCTION("IMPORTRANGE(""https://docs.google.com/spreadsheets/d/1SaMnqrwRGmFYNR0MhpWmHuL5niYUd5E7vDq8X7whAlI/edit?usp=sharing"",""ขอนแก่น!J700"")"),0)</f>
        <v>0</v>
      </c>
      <c r="X33" s="63">
        <f t="shared" ca="1" si="35"/>
        <v>0</v>
      </c>
      <c r="Y33" s="57">
        <f ca="1">IFERROR(__xludf.DUMMYFUNCTION("IMPORTRANGE(""https://docs.google.com/spreadsheets/d/1SaMnqrwRGmFYNR0MhpWmHuL5niYUd5E7vDq8X7whAlI/edit?usp=sharing"",""ขอนแก่น!I701"")"),10)</f>
        <v>10</v>
      </c>
      <c r="Z33" s="57">
        <f ca="1">IFERROR(__xludf.DUMMYFUNCTION("IMPORTRANGE(""https://docs.google.com/spreadsheets/d/1SaMnqrwRGmFYNR0MhpWmHuL5niYUd5E7vDq8X7whAlI/edit?usp=sharing"",""ขอนแก่น!J701"")"),10)</f>
        <v>10</v>
      </c>
      <c r="AA33" s="63">
        <f t="shared" ca="1" si="36"/>
        <v>100</v>
      </c>
      <c r="AB33" s="63">
        <f ca="1">IFERROR(__xludf.DUMMYFUNCTION("IMPORTRANGE(""https://docs.google.com/spreadsheets/d/1SaMnqrwRGmFYNR0MhpWmHuL5niYUd5E7vDq8X7whAlI/edit?usp=sharing"",""ขอนแก่น!J702"")"),1)</f>
        <v>1</v>
      </c>
      <c r="AC33" s="63">
        <f ca="1">IFERROR(__xludf.DUMMYFUNCTION("IMPORTRANGE(""https://docs.google.com/spreadsheets/d/1SaMnqrwRGmFYNR0MhpWmHuL5niYUd5E7vDq8X7whAlI/edit?usp=sharing"",""ขอนแก่น!J703"")"),2)</f>
        <v>2</v>
      </c>
      <c r="AD33" s="63">
        <f ca="1">IFERROR(__xludf.DUMMYFUNCTION("IMPORTRANGE(""https://docs.google.com/spreadsheets/d/1SaMnqrwRGmFYNR0MhpWmHuL5niYUd5E7vDq8X7whAlI/edit?usp=sharing"",""ขอนแก่น!J704"")"),10)</f>
        <v>10</v>
      </c>
      <c r="AE33" s="63">
        <f ca="1">IFERROR(__xludf.DUMMYFUNCTION("IMPORTRANGE(""https://docs.google.com/spreadsheets/d/1SaMnqrwRGmFYNR0MhpWmHuL5niYUd5E7vDq8X7whAlI/edit?usp=sharing"",""ขอนแก่น!J705"")"),0)</f>
        <v>0</v>
      </c>
      <c r="AF33" s="63">
        <f ca="1">IFERROR(__xludf.DUMMYFUNCTION("IMPORTRANGE(""https://docs.google.com/spreadsheets/d/1SaMnqrwRGmFYNR0MhpWmHuL5niYUd5E7vDq8X7whAlI/edit?usp=sharing"",""ขอนแก่น!J706"")"),0)</f>
        <v>0</v>
      </c>
      <c r="AG33" s="63">
        <f ca="1">IFERROR(__xludf.DUMMYFUNCTION("IMPORTRANGE(""https://docs.google.com/spreadsheets/d/1SaMnqrwRGmFYNR0MhpWmHuL5niYUd5E7vDq8X7whAlI/edit?usp=sharing"",""ขอนแก่น!J707"")"),0)</f>
        <v>0</v>
      </c>
      <c r="AH33" s="57">
        <f ca="1">IFERROR(__xludf.DUMMYFUNCTION("IMPORTRANGE(""https://docs.google.com/spreadsheets/d/1SaMnqrwRGmFYNR0MhpWmHuL5niYUd5E7vDq8X7whAlI/edit?usp=sharing"",""ขอนแก่น!I708"")"),0)</f>
        <v>0</v>
      </c>
      <c r="AI33" s="57">
        <f ca="1">IFERROR(__xludf.DUMMYFUNCTION("IMPORTRANGE(""https://docs.google.com/spreadsheets/d/1SaMnqrwRGmFYNR0MhpWmHuL5niYUd5E7vDq8X7whAlI/edit?usp=sharing"",""ขอนแก่น!J708"")"),0)</f>
        <v>0</v>
      </c>
      <c r="AJ33" s="63">
        <f t="shared" ca="1" si="37"/>
        <v>0</v>
      </c>
      <c r="AK33" s="57">
        <f ca="1">IFERROR(__xludf.DUMMYFUNCTION("IMPORTRANGE(""https://docs.google.com/spreadsheets/d/1SaMnqrwRGmFYNR0MhpWmHuL5niYUd5E7vDq8X7whAlI/edit?usp=sharing"",""ขอนแก่น!J709"")"),0)</f>
        <v>0</v>
      </c>
      <c r="AL33" s="57">
        <f ca="1">IFERROR(__xludf.DUMMYFUNCTION("IMPORTRANGE(""https://docs.google.com/spreadsheets/d/1SaMnqrwRGmFYNR0MhpWmHuL5niYUd5E7vDq8X7whAlI/edit?usp=sharing"",""ขอนแก่น!J710"")"),0)</f>
        <v>0</v>
      </c>
      <c r="AM33" s="57">
        <f ca="1">IFERROR(__xludf.DUMMYFUNCTION("IMPORTRANGE(""https://docs.google.com/spreadsheets/d/1SaMnqrwRGmFYNR0MhpWmHuL5niYUd5E7vDq8X7whAlI/edit?usp=sharing"",""ขอนแก่น!J712"")"),0)</f>
        <v>0</v>
      </c>
      <c r="AN33" s="57">
        <f ca="1">IFERROR(__xludf.DUMMYFUNCTION("IMPORTRANGE(""https://docs.google.com/spreadsheets/d/1SaMnqrwRGmFYNR0MhpWmHuL5niYUd5E7vDq8X7whAlI/edit?usp=sharing"",""ขอนแก่น!J713"")"),0)</f>
        <v>0</v>
      </c>
      <c r="AO33" s="57">
        <f ca="1">IFERROR(__xludf.DUMMYFUNCTION("IMPORTRANGE(""https://docs.google.com/spreadsheets/d/1SaMnqrwRGmFYNR0MhpWmHuL5niYUd5E7vDq8X7whAlI/edit?usp=sharing"",""ขอนแก่น!J714"")"),0)</f>
        <v>0</v>
      </c>
      <c r="AP33" s="57">
        <f ca="1">IFERROR(__xludf.DUMMYFUNCTION("IMPORTRANGE(""https://docs.google.com/spreadsheets/d/1SaMnqrwRGmFYNR0MhpWmHuL5niYUd5E7vDq8X7whAlI/edit?usp=sharing"",""ขอนแก่น!J715"")"),0)</f>
        <v>0</v>
      </c>
      <c r="AQ33" s="57">
        <f ca="1">IFERROR(__xludf.DUMMYFUNCTION("IMPORTRANGE(""https://docs.google.com/spreadsheets/d/1SaMnqrwRGmFYNR0MhpWmHuL5niYUd5E7vDq8X7whAlI/edit?usp=sharing"",""ขอนแก่น!J716"")"),0)</f>
        <v>0</v>
      </c>
      <c r="AR33" s="57">
        <f ca="1">IFERROR(__xludf.DUMMYFUNCTION("IMPORTRANGE(""https://docs.google.com/spreadsheets/d/1SaMnqrwRGmFYNR0MhpWmHuL5niYUd5E7vDq8X7whAlI/edit?usp=sharing"",""ขอนแก่น!J717"")"),0)</f>
        <v>0</v>
      </c>
      <c r="AS33" s="57">
        <f ca="1">IFERROR(__xludf.DUMMYFUNCTION("IMPORTRANGE(""https://docs.google.com/spreadsheets/d/1SaMnqrwRGmFYNR0MhpWmHuL5niYUd5E7vDq8X7whAlI/edit?usp=sharing"",""ขอนแก่น!I720"")"),0)</f>
        <v>0</v>
      </c>
      <c r="AT33" s="57">
        <f ca="1">IFERROR(__xludf.DUMMYFUNCTION("IMPORTRANGE(""https://docs.google.com/spreadsheets/d/1SaMnqrwRGmFYNR0MhpWmHuL5niYUd5E7vDq8X7whAlI/edit?usp=sharing"",""ขอนแก่น!J718"")"),0)</f>
        <v>0</v>
      </c>
      <c r="AU33" s="57">
        <f ca="1">IFERROR(__xludf.DUMMYFUNCTION("IMPORTRANGE(""https://docs.google.com/spreadsheets/d/1SaMnqrwRGmFYNR0MhpWmHuL5niYUd5E7vDq8X7whAlI/edit?usp=sharing"",""ขอนแก่น!J719"")"),0)</f>
        <v>0</v>
      </c>
      <c r="AV33" s="57">
        <f ca="1">IFERROR(__xludf.DUMMYFUNCTION("IMPORTRANGE(""https://docs.google.com/spreadsheets/d/1SaMnqrwRGmFYNR0MhpWmHuL5niYUd5E7vDq8X7whAlI/edit?usp=sharing"",""ขอนแก่น!J720"")"),0)</f>
        <v>0</v>
      </c>
      <c r="AW33" s="63">
        <f t="shared" ca="1" si="14"/>
        <v>0</v>
      </c>
      <c r="AX33" s="57">
        <f ca="1">IFERROR(__xludf.DUMMYFUNCTION("IMPORTRANGE(""https://docs.google.com/spreadsheets/d/1SaMnqrwRGmFYNR0MhpWmHuL5niYUd5E7vDq8X7whAlI/edit?usp=sharing"",""ขอนแก่น!I721"")"),6)</f>
        <v>6</v>
      </c>
      <c r="AY33" s="57">
        <f ca="1">IFERROR(__xludf.DUMMYFUNCTION("IMPORTRANGE(""https://docs.google.com/spreadsheets/d/1SaMnqrwRGmFYNR0MhpWmHuL5niYUd5E7vDq8X7whAlI/edit?usp=sharing"",""ขอนแก่น!I722"")"),62)</f>
        <v>62</v>
      </c>
      <c r="AZ33" s="57">
        <f ca="1">IFERROR(__xludf.DUMMYFUNCTION("IMPORTRANGE(""https://docs.google.com/spreadsheets/d/1SaMnqrwRGmFYNR0MhpWmHuL5niYUd5E7vDq8X7whAlI/edit?usp=sharing"",""ขอนแก่น!J721"")"),1)</f>
        <v>1</v>
      </c>
      <c r="BA33" s="63">
        <f t="shared" ca="1" si="16"/>
        <v>16.666666666666668</v>
      </c>
      <c r="BB33" s="57">
        <f ca="1">IFERROR(__xludf.DUMMYFUNCTION("IMPORTRANGE(""https://docs.google.com/spreadsheets/d/1SaMnqrwRGmFYNR0MhpWmHuL5niYUd5E7vDq8X7whAlI/edit?usp=sharing"",""ขอนแก่น!J722"")"),10)</f>
        <v>10</v>
      </c>
      <c r="BC33" s="63">
        <f t="shared" ca="1" si="17"/>
        <v>16.129032258064516</v>
      </c>
      <c r="BD33" s="57">
        <f ca="1">IFERROR(__xludf.DUMMYFUNCTION("IMPORTRANGE(""https://docs.google.com/spreadsheets/d/1SaMnqrwRGmFYNR0MhpWmHuL5niYUd5E7vDq8X7whAlI/edit?usp=sharing"",""ขอนแก่น!I723"")"),6)</f>
        <v>6</v>
      </c>
      <c r="BE33" s="57">
        <f ca="1">IFERROR(__xludf.DUMMYFUNCTION("IMPORTRANGE(""https://docs.google.com/spreadsheets/d/1SaMnqrwRGmFYNR0MhpWmHuL5niYUd5E7vDq8X7whAlI/edit?usp=sharing"",""ขอนแก่น!I725"")"),62)</f>
        <v>62</v>
      </c>
      <c r="BF33" s="57">
        <f ca="1">IFERROR(__xludf.DUMMYFUNCTION("IMPORTRANGE(""https://docs.google.com/spreadsheets/d/1SaMnqrwRGmFYNR0MhpWmHuL5niYUd5E7vDq8X7whAlI/edit?usp=sharing"",""ขอนแก่น!J723"")"),1)</f>
        <v>1</v>
      </c>
      <c r="BG33" s="57">
        <f ca="1">IFERROR(__xludf.DUMMYFUNCTION("IMPORTRANGE(""https://docs.google.com/spreadsheets/d/1SaMnqrwRGmFYNR0MhpWmHuL5niYUd5E7vDq8X7whAlI/edit?usp=sharing"",""ขอนแก่น!J724"")"),2)</f>
        <v>2</v>
      </c>
      <c r="BH33" s="57">
        <f ca="1">IFERROR(__xludf.DUMMYFUNCTION("IMPORTRANGE(""https://docs.google.com/spreadsheets/d/1SaMnqrwRGmFYNR0MhpWmHuL5niYUd5E7vDq8X7whAlI/edit?usp=sharing"",""ขอนแก่น!J725"")"),10)</f>
        <v>10</v>
      </c>
      <c r="BI33" s="57">
        <f ca="1">IFERROR(__xludf.DUMMYFUNCTION("IMPORTRANGE(""https://docs.google.com/spreadsheets/d/1SaMnqrwRGmFYNR0MhpWmHuL5niYUd5E7vDq8X7whAlI/edit?usp=sharing"",""ขอนแก่น!I726"")"),0)</f>
        <v>0</v>
      </c>
      <c r="BJ33" s="57">
        <f ca="1">IFERROR(__xludf.DUMMYFUNCTION("IMPORTRANGE(""https://docs.google.com/spreadsheets/d/1SaMnqrwRGmFYNR0MhpWmHuL5niYUd5E7vDq8X7whAlI/edit?usp=sharing"",""ขอนแก่น!I728"")"),0)</f>
        <v>0</v>
      </c>
      <c r="BK33" s="57">
        <f ca="1">IFERROR(__xludf.DUMMYFUNCTION("IMPORTRANGE(""https://docs.google.com/spreadsheets/d/1SaMnqrwRGmFYNR0MhpWmHuL5niYUd5E7vDq8X7whAlI/edit?usp=sharing"",""ขอนแก่น!J726"")"),0)</f>
        <v>0</v>
      </c>
      <c r="BL33" s="57">
        <f ca="1">IFERROR(__xludf.DUMMYFUNCTION("IMPORTRANGE(""https://docs.google.com/spreadsheets/d/1SaMnqrwRGmFYNR0MhpWmHuL5niYUd5E7vDq8X7whAlI/edit?usp=sharing"",""ขอนแก่น!J727"")"),0)</f>
        <v>0</v>
      </c>
      <c r="BM33" s="57">
        <f ca="1">IFERROR(__xludf.DUMMYFUNCTION("IMPORTRANGE(""https://docs.google.com/spreadsheets/d/1SaMnqrwRGmFYNR0MhpWmHuL5niYUd5E7vDq8X7whAlI/edit?usp=sharing"",""ขอนแก่น!J728"")"),0)</f>
        <v>0</v>
      </c>
      <c r="BN33" s="57">
        <f ca="1">IFERROR(__xludf.DUMMYFUNCTION("IMPORTRANGE(""https://docs.google.com/spreadsheets/d/1SaMnqrwRGmFYNR0MhpWmHuL5niYUd5E7vDq8X7whAlI/edit?usp=sharing"",""ขอนแก่น!I729"")"),0)</f>
        <v>0</v>
      </c>
      <c r="BO33" s="57">
        <f ca="1">IFERROR(__xludf.DUMMYFUNCTION("IMPORTRANGE(""https://docs.google.com/spreadsheets/d/1SaMnqrwRGmFYNR0MhpWmHuL5niYUd5E7vDq8X7whAlI/edit?usp=sharing"",""ขอนแก่น!J729"")"),0)</f>
        <v>0</v>
      </c>
      <c r="BP33" s="63">
        <f t="shared" ca="1" si="19"/>
        <v>0</v>
      </c>
      <c r="BQ33" s="57">
        <f ca="1">IFERROR(__xludf.DUMMYFUNCTION("IMPORTRANGE(""https://docs.google.com/spreadsheets/d/1SaMnqrwRGmFYNR0MhpWmHuL5niYUd5E7vDq8X7whAlI/edit?usp=sharing"",""ขอนแก่น!J730"")"),0)</f>
        <v>0</v>
      </c>
      <c r="BR33" s="57">
        <f ca="1">IFERROR(__xludf.DUMMYFUNCTION("IMPORTRANGE(""https://docs.google.com/spreadsheets/d/1SaMnqrwRGmFYNR0MhpWmHuL5niYUd5E7vDq8X7whAlI/edit?usp=sharing"",""ขอนแก่น!J731"")"),0)</f>
        <v>0</v>
      </c>
      <c r="BS33" s="57">
        <f ca="1">IFERROR(__xludf.DUMMYFUNCTION("IMPORTRANGE(""https://docs.google.com/spreadsheets/d/1SaMnqrwRGmFYNR0MhpWmHuL5niYUd5E7vDq8X7whAlI/edit?usp=sharing"",""ขอนแก่น!J732"")"),0)</f>
        <v>0</v>
      </c>
      <c r="BT33" s="57">
        <f ca="1">IFERROR(__xludf.DUMMYFUNCTION("IMPORTRANGE(""https://docs.google.com/spreadsheets/d/1SaMnqrwRGmFYNR0MhpWmHuL5niYUd5E7vDq8X7whAlI/edit?usp=sharing"",""ขอนแก่น!J733"")"),0)</f>
        <v>0</v>
      </c>
      <c r="BU33" s="57">
        <f ca="1">IFERROR(__xludf.DUMMYFUNCTION("IMPORTRANGE(""https://docs.google.com/spreadsheets/d/1SaMnqrwRGmFYNR0MhpWmHuL5niYUd5E7vDq8X7whAlI/edit?usp=sharing"",""ขอนแก่น!J734"")"),0)</f>
        <v>0</v>
      </c>
      <c r="BV33" s="57">
        <f ca="1">IFERROR(__xludf.DUMMYFUNCTION("IMPORTRANGE(""https://docs.google.com/spreadsheets/d/1SaMnqrwRGmFYNR0MhpWmHuL5niYUd5E7vDq8X7whAlI/edit?usp=sharing"",""ขอนแก่น!J735"")"),0)</f>
        <v>0</v>
      </c>
    </row>
    <row r="34" spans="1:74" ht="21" customHeight="1" x14ac:dyDescent="0.3">
      <c r="A34" s="54">
        <v>3</v>
      </c>
      <c r="B34" s="55" t="s">
        <v>55</v>
      </c>
      <c r="C34" s="56">
        <f t="shared" ca="1" si="63"/>
        <v>57400</v>
      </c>
      <c r="D34" s="57">
        <f ca="1">IFERROR(__xludf.DUMMYFUNCTION("IMPORTRANGE(""https://docs.google.com/spreadsheets/d/1xQzEtGHhTTgxHh6YUkKY1P4dRyjVhS74dGswLfAASA4/edit?usp=sharing"",""ชัยภูมิ!L690"")"),57400)</f>
        <v>57400</v>
      </c>
      <c r="E34" s="64">
        <f ca="1">IFERROR(__xludf.DUMMYFUNCTION("IMPORTRANGE(""https://docs.google.com/spreadsheets/d/1xQzEtGHhTTgxHh6YUkKY1P4dRyjVhS74dGswLfAASA4/edit?usp=sharing"",""ชัยภูมิ!L697"")"),0)</f>
        <v>0</v>
      </c>
      <c r="F34" s="64">
        <f ca="1">IFERROR(__xludf.DUMMYFUNCTION("IMPORTRANGE(""https://docs.google.com/spreadsheets/d/1xQzEtGHhTTgxHh6YUkKY1P4dRyjVhS74dGswLfAASA4/edit?usp=sharing"",""ชัยภูมิ!M690"")"),57400)</f>
        <v>57400</v>
      </c>
      <c r="G34" s="64">
        <f ca="1">IFERROR(__xludf.DUMMYFUNCTION("IMPORTRANGE(""https://docs.google.com/spreadsheets/d/1xQzEtGHhTTgxHh6YUkKY1P4dRyjVhS74dGswLfAASA4/edit?usp=sharing"",""ชัยภูมิ!M697"")"),0)</f>
        <v>0</v>
      </c>
      <c r="H34" s="58">
        <f t="shared" ca="1" si="33"/>
        <v>0</v>
      </c>
      <c r="I34" s="59">
        <f t="shared" ca="1" si="1"/>
        <v>0</v>
      </c>
      <c r="J34" s="60">
        <f t="shared" ca="1" si="64"/>
        <v>0</v>
      </c>
      <c r="K34" s="61">
        <f t="shared" ca="1" si="39"/>
        <v>0</v>
      </c>
      <c r="L34" s="61">
        <f t="shared" ca="1" si="40"/>
        <v>0</v>
      </c>
      <c r="M34" s="64">
        <f ca="1">IFERROR(__xludf.DUMMYFUNCTION("IMPORTRANGE(""https://docs.google.com/spreadsheets/d/1xQzEtGHhTTgxHh6YUkKY1P4dRyjVhS74dGswLfAASA4/edit?usp=sharing"",""ชัยภูมิ!N691"")"),0)</f>
        <v>0</v>
      </c>
      <c r="N34" s="64">
        <f ca="1">IFERROR(__xludf.DUMMYFUNCTION("IMPORTRANGE(""https://docs.google.com/spreadsheets/d/1xQzEtGHhTTgxHh6YUkKY1P4dRyjVhS74dGswLfAASA4/edit?usp=sharing"",""ชัยภูมิ!N692"")"),0)</f>
        <v>0</v>
      </c>
      <c r="O34" s="64">
        <f ca="1">IFERROR(__xludf.DUMMYFUNCTION("IMPORTRANGE(""https://docs.google.com/spreadsheets/d/1xQzEtGHhTTgxHh6YUkKY1P4dRyjVhS74dGswLfAASA4/edit?usp=sharing"",""ชัยภูมิ!N693"")"),0)</f>
        <v>0</v>
      </c>
      <c r="P34" s="64">
        <f ca="1">IFERROR(__xludf.DUMMYFUNCTION("IMPORTRANGE(""https://docs.google.com/spreadsheets/d/1xQzEtGHhTTgxHh6YUkKY1P4dRyjVhS74dGswLfAASA4/edit?usp=sharing"",""ชัยภูมิ!N694"")"),0)</f>
        <v>0</v>
      </c>
      <c r="Q34" s="62">
        <f ca="1">IFERROR(__xludf.DUMMYFUNCTION("IMPORTRANGE(""https://docs.google.com/spreadsheets/d/1xQzEtGHhTTgxHh6YUkKY1P4dRyjVhS74dGswLfAASA4/edit?usp=sharing"",""ชัยภูมิ!N697"")"),0)</f>
        <v>0</v>
      </c>
      <c r="R34" s="62">
        <f t="shared" ca="1" si="42"/>
        <v>0</v>
      </c>
      <c r="S34" s="57">
        <f ca="1">IFERROR(__xludf.DUMMYFUNCTION("IMPORTRANGE(""https://docs.google.com/spreadsheets/d/1xQzEtGHhTTgxHh6YUkKY1P4dRyjVhS74dGswLfAASA4/edit?usp=sharing"",""ชัยภูมิ!I699"")"),0)</f>
        <v>0</v>
      </c>
      <c r="T34" s="57">
        <f ca="1">IFERROR(__xludf.DUMMYFUNCTION("IMPORTRANGE(""https://docs.google.com/spreadsheets/d/1xQzEtGHhTTgxHh6YUkKY1P4dRyjVhS74dGswLfAASA4/edit?usp=sharing"",""ชัยภูมิ!J699"")"),0)</f>
        <v>0</v>
      </c>
      <c r="U34" s="63">
        <f t="shared" ca="1" si="34"/>
        <v>0</v>
      </c>
      <c r="V34" s="57">
        <f ca="1">IFERROR(__xludf.DUMMYFUNCTION("IMPORTRANGE(""https://docs.google.com/spreadsheets/d/1xQzEtGHhTTgxHh6YUkKY1P4dRyjVhS74dGswLfAASA4/edit?usp=sharing"",""ชัยภูมิ!I700"")"),23)</f>
        <v>23</v>
      </c>
      <c r="W34" s="57">
        <f ca="1">IFERROR(__xludf.DUMMYFUNCTION("IMPORTRANGE(""https://docs.google.com/spreadsheets/d/1xQzEtGHhTTgxHh6YUkKY1P4dRyjVhS74dGswLfAASA4/edit?usp=sharing"",""ชัยภูมิ!J700"")"),7)</f>
        <v>7</v>
      </c>
      <c r="X34" s="63">
        <f t="shared" ca="1" si="35"/>
        <v>30.434782608695652</v>
      </c>
      <c r="Y34" s="57">
        <f ca="1">IFERROR(__xludf.DUMMYFUNCTION("IMPORTRANGE(""https://docs.google.com/spreadsheets/d/1xQzEtGHhTTgxHh6YUkKY1P4dRyjVhS74dGswLfAASA4/edit?usp=sharing"",""ชัยภูมิ!I701"")"),1368)</f>
        <v>1368</v>
      </c>
      <c r="Z34" s="57">
        <f ca="1">IFERROR(__xludf.DUMMYFUNCTION("IMPORTRANGE(""https://docs.google.com/spreadsheets/d/1xQzEtGHhTTgxHh6YUkKY1P4dRyjVhS74dGswLfAASA4/edit?usp=sharing"",""ชัยภูมิ!J701"")"),0)</f>
        <v>0</v>
      </c>
      <c r="AA34" s="63">
        <f t="shared" ca="1" si="36"/>
        <v>0</v>
      </c>
      <c r="AB34" s="63">
        <f ca="1">IFERROR(__xludf.DUMMYFUNCTION("IMPORTRANGE(""https://docs.google.com/spreadsheets/d/1xQzEtGHhTTgxHh6YUkKY1P4dRyjVhS74dGswLfAASA4/edit?usp=sharing"",""ชัยภูมิ!J702"")"),0)</f>
        <v>0</v>
      </c>
      <c r="AC34" s="63">
        <f ca="1">IFERROR(__xludf.DUMMYFUNCTION("IMPORTRANGE(""https://docs.google.com/spreadsheets/d/1xQzEtGHhTTgxHh6YUkKY1P4dRyjVhS74dGswLfAASA4/edit?usp=sharing"",""ชัยภูมิ!J703"")"),0)</f>
        <v>0</v>
      </c>
      <c r="AD34" s="63">
        <f ca="1">IFERROR(__xludf.DUMMYFUNCTION("IMPORTRANGE(""https://docs.google.com/spreadsheets/d/1xQzEtGHhTTgxHh6YUkKY1P4dRyjVhS74dGswLfAASA4/edit?usp=sharing"",""ชัยภูมิ!J704"")"),0)</f>
        <v>0</v>
      </c>
      <c r="AE34" s="63">
        <f ca="1">IFERROR(__xludf.DUMMYFUNCTION("IMPORTRANGE(""https://docs.google.com/spreadsheets/d/1xQzEtGHhTTgxHh6YUkKY1P4dRyjVhS74dGswLfAASA4/edit?usp=sharing"",""ชัยภูมิ!J705"")"),0)</f>
        <v>0</v>
      </c>
      <c r="AF34" s="63">
        <f ca="1">IFERROR(__xludf.DUMMYFUNCTION("IMPORTRANGE(""https://docs.google.com/spreadsheets/d/1xQzEtGHhTTgxHh6YUkKY1P4dRyjVhS74dGswLfAASA4/edit?usp=sharing"",""ชัยภูมิ!J706"")"),0)</f>
        <v>0</v>
      </c>
      <c r="AG34" s="63">
        <f ca="1">IFERROR(__xludf.DUMMYFUNCTION("IMPORTRANGE(""https://docs.google.com/spreadsheets/d/1xQzEtGHhTTgxHh6YUkKY1P4dRyjVhS74dGswLfAASA4/edit?usp=sharing"",""ชัยภูมิ!J707"")"),0)</f>
        <v>0</v>
      </c>
      <c r="AH34" s="57">
        <f ca="1">IFERROR(__xludf.DUMMYFUNCTION("IMPORTRANGE(""https://docs.google.com/spreadsheets/d/1xQzEtGHhTTgxHh6YUkKY1P4dRyjVhS74dGswLfAASA4/edit?usp=sharing"",""ชัยภูมิ!I708"")"),84)</f>
        <v>84</v>
      </c>
      <c r="AI34" s="57">
        <f ca="1">IFERROR(__xludf.DUMMYFUNCTION("IMPORTRANGE(""https://docs.google.com/spreadsheets/d/1xQzEtGHhTTgxHh6YUkKY1P4dRyjVhS74dGswLfAASA4/edit?usp=sharing"",""ชัยภูมิ!J708"")"),0)</f>
        <v>0</v>
      </c>
      <c r="AJ34" s="63">
        <f t="shared" ca="1" si="37"/>
        <v>0</v>
      </c>
      <c r="AK34" s="57">
        <f ca="1">IFERROR(__xludf.DUMMYFUNCTION("IMPORTRANGE(""https://docs.google.com/spreadsheets/d/1xQzEtGHhTTgxHh6YUkKY1P4dRyjVhS74dGswLfAASA4/edit?usp=sharing"",""ชัยภูมิ!J709"")"),0)</f>
        <v>0</v>
      </c>
      <c r="AL34" s="57">
        <f ca="1">IFERROR(__xludf.DUMMYFUNCTION("IMPORTRANGE(""https://docs.google.com/spreadsheets/d/1xQzEtGHhTTgxHh6YUkKY1P4dRyjVhS74dGswLfAASA4/edit?usp=sharing"",""ชัยภูมิ!J710"")"),0)</f>
        <v>0</v>
      </c>
      <c r="AM34" s="57">
        <f ca="1">IFERROR(__xludf.DUMMYFUNCTION("IMPORTRANGE(""https://docs.google.com/spreadsheets/d/1xQzEtGHhTTgxHh6YUkKY1P4dRyjVhS74dGswLfAASA4/edit?usp=sharing"",""ชัยภูมิ!J712"")"),0)</f>
        <v>0</v>
      </c>
      <c r="AN34" s="57">
        <f ca="1">IFERROR(__xludf.DUMMYFUNCTION("IMPORTRANGE(""https://docs.google.com/spreadsheets/d/1xQzEtGHhTTgxHh6YUkKY1P4dRyjVhS74dGswLfAASA4/edit?usp=sharing"",""ชัยภูมิ!J713"")"),0)</f>
        <v>0</v>
      </c>
      <c r="AO34" s="57">
        <f ca="1">IFERROR(__xludf.DUMMYFUNCTION("IMPORTRANGE(""https://docs.google.com/spreadsheets/d/1xQzEtGHhTTgxHh6YUkKY1P4dRyjVhS74dGswLfAASA4/edit?usp=sharing"",""ชัยภูมิ!J714"")"),0)</f>
        <v>0</v>
      </c>
      <c r="AP34" s="57">
        <f ca="1">IFERROR(__xludf.DUMMYFUNCTION("IMPORTRANGE(""https://docs.google.com/spreadsheets/d/1xQzEtGHhTTgxHh6YUkKY1P4dRyjVhS74dGswLfAASA4/edit?usp=sharing"",""ชัยภูมิ!J715"")"),0)</f>
        <v>0</v>
      </c>
      <c r="AQ34" s="57">
        <f ca="1">IFERROR(__xludf.DUMMYFUNCTION("IMPORTRANGE(""https://docs.google.com/spreadsheets/d/1xQzEtGHhTTgxHh6YUkKY1P4dRyjVhS74dGswLfAASA4/edit?usp=sharing"",""ชัยภูมิ!J716"")"),0)</f>
        <v>0</v>
      </c>
      <c r="AR34" s="57">
        <f ca="1">IFERROR(__xludf.DUMMYFUNCTION("IMPORTRANGE(""https://docs.google.com/spreadsheets/d/1xQzEtGHhTTgxHh6YUkKY1P4dRyjVhS74dGswLfAASA4/edit?usp=sharing"",""ชัยภูมิ!J717"")"),0)</f>
        <v>0</v>
      </c>
      <c r="AS34" s="57">
        <f ca="1">IFERROR(__xludf.DUMMYFUNCTION("IMPORTRANGE(""https://docs.google.com/spreadsheets/d/1xQzEtGHhTTgxHh6YUkKY1P4dRyjVhS74dGswLfAASA4/edit?usp=sharing"",""ชัยภูมิ!I720"")"),0)</f>
        <v>0</v>
      </c>
      <c r="AT34" s="57">
        <f ca="1">IFERROR(__xludf.DUMMYFUNCTION("IMPORTRANGE(""https://docs.google.com/spreadsheets/d/1xQzEtGHhTTgxHh6YUkKY1P4dRyjVhS74dGswLfAASA4/edit?usp=sharing"",""ชัยภูมิ!J718"")"),0)</f>
        <v>0</v>
      </c>
      <c r="AU34" s="57">
        <f ca="1">IFERROR(__xludf.DUMMYFUNCTION("IMPORTRANGE(""https://docs.google.com/spreadsheets/d/1xQzEtGHhTTgxHh6YUkKY1P4dRyjVhS74dGswLfAASA4/edit?usp=sharing"",""ชัยภูมิ!J719"")"),0)</f>
        <v>0</v>
      </c>
      <c r="AV34" s="57">
        <f ca="1">IFERROR(__xludf.DUMMYFUNCTION("IMPORTRANGE(""https://docs.google.com/spreadsheets/d/1xQzEtGHhTTgxHh6YUkKY1P4dRyjVhS74dGswLfAASA4/edit?usp=sharing"",""ชัยภูมิ!J720"")"),0)</f>
        <v>0</v>
      </c>
      <c r="AW34" s="63">
        <f t="shared" ca="1" si="14"/>
        <v>0</v>
      </c>
      <c r="AX34" s="57">
        <f ca="1">IFERROR(__xludf.DUMMYFUNCTION("IMPORTRANGE(""https://docs.google.com/spreadsheets/d/1xQzEtGHhTTgxHh6YUkKY1P4dRyjVhS74dGswLfAASA4/edit?usp=sharing"",""ชัยภูมิ!I721"")"),45)</f>
        <v>45</v>
      </c>
      <c r="AY34" s="57">
        <f ca="1">IFERROR(__xludf.DUMMYFUNCTION("IMPORTRANGE(""https://docs.google.com/spreadsheets/d/1xQzEtGHhTTgxHh6YUkKY1P4dRyjVhS74dGswLfAASA4/edit?usp=sharing"",""ชัยภูมิ!I722"")"),540)</f>
        <v>540</v>
      </c>
      <c r="AZ34" s="57">
        <f ca="1">IFERROR(__xludf.DUMMYFUNCTION("IMPORTRANGE(""https://docs.google.com/spreadsheets/d/1xQzEtGHhTTgxHh6YUkKY1P4dRyjVhS74dGswLfAASA4/edit?usp=sharing"",""ชัยภูมิ!J721"")"),0)</f>
        <v>0</v>
      </c>
      <c r="BA34" s="63">
        <f t="shared" ca="1" si="16"/>
        <v>0</v>
      </c>
      <c r="BB34" s="57">
        <f ca="1">IFERROR(__xludf.DUMMYFUNCTION("IMPORTRANGE(""https://docs.google.com/spreadsheets/d/1xQzEtGHhTTgxHh6YUkKY1P4dRyjVhS74dGswLfAASA4/edit?usp=sharing"",""ชัยภูมิ!J722"")"),0)</f>
        <v>0</v>
      </c>
      <c r="BC34" s="63">
        <f t="shared" ca="1" si="17"/>
        <v>0</v>
      </c>
      <c r="BD34" s="57">
        <f ca="1">IFERROR(__xludf.DUMMYFUNCTION("IMPORTRANGE(""https://docs.google.com/spreadsheets/d/1xQzEtGHhTTgxHh6YUkKY1P4dRyjVhS74dGswLfAASA4/edit?usp=sharing"",""ชัยภูมิ!I723"")"),45)</f>
        <v>45</v>
      </c>
      <c r="BE34" s="57">
        <f ca="1">IFERROR(__xludf.DUMMYFUNCTION("IMPORTRANGE(""https://docs.google.com/spreadsheets/d/1xQzEtGHhTTgxHh6YUkKY1P4dRyjVhS74dGswLfAASA4/edit?usp=sharing"",""ชัยภูมิ!I725"")"),540)</f>
        <v>540</v>
      </c>
      <c r="BF34" s="57">
        <f ca="1">IFERROR(__xludf.DUMMYFUNCTION("IMPORTRANGE(""https://docs.google.com/spreadsheets/d/1xQzEtGHhTTgxHh6YUkKY1P4dRyjVhS74dGswLfAASA4/edit?usp=sharing"",""ชัยภูมิ!J723"")"),0)</f>
        <v>0</v>
      </c>
      <c r="BG34" s="57">
        <f ca="1">IFERROR(__xludf.DUMMYFUNCTION("IMPORTRANGE(""https://docs.google.com/spreadsheets/d/1xQzEtGHhTTgxHh6YUkKY1P4dRyjVhS74dGswLfAASA4/edit?usp=sharing"",""ชัยภูมิ!J724"")"),0)</f>
        <v>0</v>
      </c>
      <c r="BH34" s="57">
        <f ca="1">IFERROR(__xludf.DUMMYFUNCTION("IMPORTRANGE(""https://docs.google.com/spreadsheets/d/1xQzEtGHhTTgxHh6YUkKY1P4dRyjVhS74dGswLfAASA4/edit?usp=sharing"",""ชัยภูมิ!J725"")"),0)</f>
        <v>0</v>
      </c>
      <c r="BI34" s="57">
        <f ca="1">IFERROR(__xludf.DUMMYFUNCTION("IMPORTRANGE(""https://docs.google.com/spreadsheets/d/1xQzEtGHhTTgxHh6YUkKY1P4dRyjVhS74dGswLfAASA4/edit?usp=sharing"",""ชัยภูมิ!I726"")"),0)</f>
        <v>0</v>
      </c>
      <c r="BJ34" s="57">
        <f ca="1">IFERROR(__xludf.DUMMYFUNCTION("IMPORTRANGE(""https://docs.google.com/spreadsheets/d/1xQzEtGHhTTgxHh6YUkKY1P4dRyjVhS74dGswLfAASA4/edit?usp=sharing"",""ชัยภูมิ!I728"")"),0)</f>
        <v>0</v>
      </c>
      <c r="BK34" s="57">
        <f ca="1">IFERROR(__xludf.DUMMYFUNCTION("IMPORTRANGE(""https://docs.google.com/spreadsheets/d/1xQzEtGHhTTgxHh6YUkKY1P4dRyjVhS74dGswLfAASA4/edit?usp=sharing"",""ชัยภูมิ!J726"")"),0)</f>
        <v>0</v>
      </c>
      <c r="BL34" s="57">
        <f ca="1">IFERROR(__xludf.DUMMYFUNCTION("IMPORTRANGE(""https://docs.google.com/spreadsheets/d/1xQzEtGHhTTgxHh6YUkKY1P4dRyjVhS74dGswLfAASA4/edit?usp=sharing"",""ชัยภูมิ!J727"")"),0)</f>
        <v>0</v>
      </c>
      <c r="BM34" s="57">
        <f ca="1">IFERROR(__xludf.DUMMYFUNCTION("IMPORTRANGE(""https://docs.google.com/spreadsheets/d/1xQzEtGHhTTgxHh6YUkKY1P4dRyjVhS74dGswLfAASA4/edit?usp=sharing"",""ชัยภูมิ!J728"")"),0)</f>
        <v>0</v>
      </c>
      <c r="BN34" s="57">
        <f ca="1">IFERROR(__xludf.DUMMYFUNCTION("IMPORTRANGE(""https://docs.google.com/spreadsheets/d/1xQzEtGHhTTgxHh6YUkKY1P4dRyjVhS74dGswLfAASA4/edit?usp=sharing"",""ชัยภูมิ!I729"")"),192)</f>
        <v>192</v>
      </c>
      <c r="BO34" s="57">
        <f ca="1">IFERROR(__xludf.DUMMYFUNCTION("IMPORTRANGE(""https://docs.google.com/spreadsheets/d/1xQzEtGHhTTgxHh6YUkKY1P4dRyjVhS74dGswLfAASA4/edit?usp=sharing"",""ชัยภูมิ!J729"")"),0)</f>
        <v>0</v>
      </c>
      <c r="BP34" s="63">
        <f t="shared" ca="1" si="19"/>
        <v>0</v>
      </c>
      <c r="BQ34" s="57">
        <f ca="1">IFERROR(__xludf.DUMMYFUNCTION("IMPORTRANGE(""https://docs.google.com/spreadsheets/d/1xQzEtGHhTTgxHh6YUkKY1P4dRyjVhS74dGswLfAASA4/edit?usp=sharing"",""ชัยภูมิ!J730"")"),0)</f>
        <v>0</v>
      </c>
      <c r="BR34" s="57">
        <f ca="1">IFERROR(__xludf.DUMMYFUNCTION("IMPORTRANGE(""https://docs.google.com/spreadsheets/d/1xQzEtGHhTTgxHh6YUkKY1P4dRyjVhS74dGswLfAASA4/edit?usp=sharing"",""ชัยภูมิ!J731"")"),0)</f>
        <v>0</v>
      </c>
      <c r="BS34" s="57">
        <f ca="1">IFERROR(__xludf.DUMMYFUNCTION("IMPORTRANGE(""https://docs.google.com/spreadsheets/d/1xQzEtGHhTTgxHh6YUkKY1P4dRyjVhS74dGswLfAASA4/edit?usp=sharing"",""ชัยภูมิ!J732"")"),0)</f>
        <v>0</v>
      </c>
      <c r="BT34" s="57">
        <f ca="1">IFERROR(__xludf.DUMMYFUNCTION("IMPORTRANGE(""https://docs.google.com/spreadsheets/d/1xQzEtGHhTTgxHh6YUkKY1P4dRyjVhS74dGswLfAASA4/edit?usp=sharing"",""ชัยภูมิ!J733"")"),0)</f>
        <v>0</v>
      </c>
      <c r="BU34" s="57">
        <f ca="1">IFERROR(__xludf.DUMMYFUNCTION("IMPORTRANGE(""https://docs.google.com/spreadsheets/d/1xQzEtGHhTTgxHh6YUkKY1P4dRyjVhS74dGswLfAASA4/edit?usp=sharing"",""ชัยภูมิ!J734"")"),0)</f>
        <v>0</v>
      </c>
      <c r="BV34" s="57">
        <f ca="1">IFERROR(__xludf.DUMMYFUNCTION("IMPORTRANGE(""https://docs.google.com/spreadsheets/d/1xQzEtGHhTTgxHh6YUkKY1P4dRyjVhS74dGswLfAASA4/edit?usp=sharing"",""ชัยภูมิ!J735"")"),0)</f>
        <v>0</v>
      </c>
    </row>
    <row r="35" spans="1:74" ht="21" customHeight="1" x14ac:dyDescent="0.3">
      <c r="A35" s="54">
        <v>4</v>
      </c>
      <c r="B35" s="55" t="s">
        <v>56</v>
      </c>
      <c r="C35" s="56">
        <f t="shared" ca="1" si="63"/>
        <v>8000</v>
      </c>
      <c r="D35" s="57">
        <f ca="1">IFERROR(__xludf.DUMMYFUNCTION("IMPORTRANGE(""https://docs.google.com/spreadsheets/d/1EXMBoBxU3OFbjT2TRpneM33qFjqDzrKmn9ydcflfI0o/edit?usp=sharing"",""นครพนม!L690"")"),8000)</f>
        <v>8000</v>
      </c>
      <c r="E35" s="64">
        <f ca="1">IFERROR(__xludf.DUMMYFUNCTION("IMPORTRANGE(""https://docs.google.com/spreadsheets/d/1EXMBoBxU3OFbjT2TRpneM33qFjqDzrKmn9ydcflfI0o/edit?usp=sharing"",""นครพนม!L697"")"),0)</f>
        <v>0</v>
      </c>
      <c r="F35" s="64">
        <f ca="1">IFERROR(__xludf.DUMMYFUNCTION("IMPORTRANGE(""https://docs.google.com/spreadsheets/d/1EXMBoBxU3OFbjT2TRpneM33qFjqDzrKmn9ydcflfI0o/edit?usp=sharing"",""นครพนม!M690"")"),8000)</f>
        <v>8000</v>
      </c>
      <c r="G35" s="64">
        <f ca="1">IFERROR(__xludf.DUMMYFUNCTION("IMPORTRANGE(""https://docs.google.com/spreadsheets/d/1EXMBoBxU3OFbjT2TRpneM33qFjqDzrKmn9ydcflfI0o/edit?usp=sharing"",""นครพนม!M697"")"),0)</f>
        <v>0</v>
      </c>
      <c r="H35" s="58">
        <f t="shared" ca="1" si="33"/>
        <v>1000</v>
      </c>
      <c r="I35" s="59">
        <f t="shared" ca="1" si="1"/>
        <v>12.5</v>
      </c>
      <c r="J35" s="60">
        <f t="shared" ca="1" si="64"/>
        <v>1000</v>
      </c>
      <c r="K35" s="61">
        <f t="shared" ca="1" si="39"/>
        <v>12.5</v>
      </c>
      <c r="L35" s="61">
        <f t="shared" ca="1" si="40"/>
        <v>12.5</v>
      </c>
      <c r="M35" s="64">
        <f ca="1">IFERROR(__xludf.DUMMYFUNCTION("IMPORTRANGE(""https://docs.google.com/spreadsheets/d/1EXMBoBxU3OFbjT2TRpneM33qFjqDzrKmn9ydcflfI0o/edit?usp=sharing"",""นครพนม!N691"")"),0)</f>
        <v>0</v>
      </c>
      <c r="N35" s="64">
        <f ca="1">IFERROR(__xludf.DUMMYFUNCTION("IMPORTRANGE(""https://docs.google.com/spreadsheets/d/1EXMBoBxU3OFbjT2TRpneM33qFjqDzrKmn9ydcflfI0o/edit?usp=sharing"",""นครพนม!N692"")"),0)</f>
        <v>0</v>
      </c>
      <c r="O35" s="64">
        <f ca="1">IFERROR(__xludf.DUMMYFUNCTION("IMPORTRANGE(""https://docs.google.com/spreadsheets/d/1EXMBoBxU3OFbjT2TRpneM33qFjqDzrKmn9ydcflfI0o/edit?usp=sharing"",""นครพนม!N693"")"),0)</f>
        <v>0</v>
      </c>
      <c r="P35" s="64">
        <f ca="1">IFERROR(__xludf.DUMMYFUNCTION("IMPORTRANGE(""https://docs.google.com/spreadsheets/d/1EXMBoBxU3OFbjT2TRpneM33qFjqDzrKmn9ydcflfI0o/edit?usp=sharing"",""นครพนม!N694"")"),1000)</f>
        <v>1000</v>
      </c>
      <c r="Q35" s="62">
        <f ca="1">IFERROR(__xludf.DUMMYFUNCTION("IMPORTRANGE(""https://docs.google.com/spreadsheets/d/1EXMBoBxU3OFbjT2TRpneM33qFjqDzrKmn9ydcflfI0o/edit?usp=sharing"",""นครพนม!N697"")"),0)</f>
        <v>0</v>
      </c>
      <c r="R35" s="62">
        <f t="shared" ca="1" si="42"/>
        <v>0</v>
      </c>
      <c r="S35" s="57">
        <f ca="1">IFERROR(__xludf.DUMMYFUNCTION("IMPORTRANGE(""https://docs.google.com/spreadsheets/d/1EXMBoBxU3OFbjT2TRpneM33qFjqDzrKmn9ydcflfI0o/edit?usp=sharing"",""นครพนม!I699"")"),70)</f>
        <v>70</v>
      </c>
      <c r="T35" s="57">
        <f ca="1">IFERROR(__xludf.DUMMYFUNCTION("IMPORTRANGE(""https://docs.google.com/spreadsheets/d/1EXMBoBxU3OFbjT2TRpneM33qFjqDzrKmn9ydcflfI0o/edit?usp=sharing"",""นครพนม!J699"")"),0)</f>
        <v>0</v>
      </c>
      <c r="U35" s="63">
        <f t="shared" ca="1" si="34"/>
        <v>0</v>
      </c>
      <c r="V35" s="57">
        <f ca="1">IFERROR(__xludf.DUMMYFUNCTION("IMPORTRANGE(""https://docs.google.com/spreadsheets/d/1EXMBoBxU3OFbjT2TRpneM33qFjqDzrKmn9ydcflfI0o/edit?usp=sharing"",""นครพนม!I700"")"),0)</f>
        <v>0</v>
      </c>
      <c r="W35" s="57">
        <f ca="1">IFERROR(__xludf.DUMMYFUNCTION("IMPORTRANGE(""https://docs.google.com/spreadsheets/d/1EXMBoBxU3OFbjT2TRpneM33qFjqDzrKmn9ydcflfI0o/edit?usp=sharing"",""นครพนม!J700"")"),0)</f>
        <v>0</v>
      </c>
      <c r="X35" s="63">
        <f t="shared" ca="1" si="35"/>
        <v>0</v>
      </c>
      <c r="Y35" s="57">
        <f ca="1">IFERROR(__xludf.DUMMYFUNCTION("IMPORTRANGE(""https://docs.google.com/spreadsheets/d/1EXMBoBxU3OFbjT2TRpneM33qFjqDzrKmn9ydcflfI0o/edit?usp=sharing"",""นครพนม!I701"")"),0)</f>
        <v>0</v>
      </c>
      <c r="Z35" s="57">
        <f ca="1">IFERROR(__xludf.DUMMYFUNCTION("IMPORTRANGE(""https://docs.google.com/spreadsheets/d/1EXMBoBxU3OFbjT2TRpneM33qFjqDzrKmn9ydcflfI0o/edit?usp=sharing"",""นครพนม!J701"")"),0)</f>
        <v>0</v>
      </c>
      <c r="AA35" s="63">
        <f t="shared" ca="1" si="36"/>
        <v>0</v>
      </c>
      <c r="AB35" s="63">
        <f ca="1">IFERROR(__xludf.DUMMYFUNCTION("IMPORTRANGE(""https://docs.google.com/spreadsheets/d/1EXMBoBxU3OFbjT2TRpneM33qFjqDzrKmn9ydcflfI0o/edit?usp=sharing"",""นครพนม!J702"")"),0)</f>
        <v>0</v>
      </c>
      <c r="AC35" s="63">
        <f ca="1">IFERROR(__xludf.DUMMYFUNCTION("IMPORTRANGE(""https://docs.google.com/spreadsheets/d/1EXMBoBxU3OFbjT2TRpneM33qFjqDzrKmn9ydcflfI0o/edit?usp=sharing"",""นครพนม!J703"")"),0)</f>
        <v>0</v>
      </c>
      <c r="AD35" s="63">
        <f ca="1">IFERROR(__xludf.DUMMYFUNCTION("IMPORTRANGE(""https://docs.google.com/spreadsheets/d/1EXMBoBxU3OFbjT2TRpneM33qFjqDzrKmn9ydcflfI0o/edit?usp=sharing"",""นครพนม!J704"")"),0)</f>
        <v>0</v>
      </c>
      <c r="AE35" s="63">
        <f ca="1">IFERROR(__xludf.DUMMYFUNCTION("IMPORTRANGE(""https://docs.google.com/spreadsheets/d/1EXMBoBxU3OFbjT2TRpneM33qFjqDzrKmn9ydcflfI0o/edit?usp=sharing"",""นครพนม!J705"")"),0)</f>
        <v>0</v>
      </c>
      <c r="AF35" s="63">
        <f ca="1">IFERROR(__xludf.DUMMYFUNCTION("IMPORTRANGE(""https://docs.google.com/spreadsheets/d/1EXMBoBxU3OFbjT2TRpneM33qFjqDzrKmn9ydcflfI0o/edit?usp=sharing"",""นครพนม!J706"")"),0)</f>
        <v>0</v>
      </c>
      <c r="AG35" s="63">
        <f ca="1">IFERROR(__xludf.DUMMYFUNCTION("IMPORTRANGE(""https://docs.google.com/spreadsheets/d/1EXMBoBxU3OFbjT2TRpneM33qFjqDzrKmn9ydcflfI0o/edit?usp=sharing"",""นครพนม!J707"")"),0)</f>
        <v>0</v>
      </c>
      <c r="AH35" s="57">
        <f ca="1">IFERROR(__xludf.DUMMYFUNCTION("IMPORTRANGE(""https://docs.google.com/spreadsheets/d/1EXMBoBxU3OFbjT2TRpneM33qFjqDzrKmn9ydcflfI0o/edit?usp=sharing"",""นครพนม!I708"")"),0)</f>
        <v>0</v>
      </c>
      <c r="AI35" s="57">
        <f ca="1">IFERROR(__xludf.DUMMYFUNCTION("IMPORTRANGE(""https://docs.google.com/spreadsheets/d/1EXMBoBxU3OFbjT2TRpneM33qFjqDzrKmn9ydcflfI0o/edit?usp=sharing"",""นครพนม!J708"")"),0)</f>
        <v>0</v>
      </c>
      <c r="AJ35" s="63">
        <f t="shared" ca="1" si="37"/>
        <v>0</v>
      </c>
      <c r="AK35" s="57">
        <f ca="1">IFERROR(__xludf.DUMMYFUNCTION("IMPORTRANGE(""https://docs.google.com/spreadsheets/d/1EXMBoBxU3OFbjT2TRpneM33qFjqDzrKmn9ydcflfI0o/edit?usp=sharing"",""นครพนม!J709"")"),0)</f>
        <v>0</v>
      </c>
      <c r="AL35" s="57">
        <f ca="1">IFERROR(__xludf.DUMMYFUNCTION("IMPORTRANGE(""https://docs.google.com/spreadsheets/d/1EXMBoBxU3OFbjT2TRpneM33qFjqDzrKmn9ydcflfI0o/edit?usp=sharing"",""นครพนม!J710"")"),0)</f>
        <v>0</v>
      </c>
      <c r="AM35" s="57">
        <f ca="1">IFERROR(__xludf.DUMMYFUNCTION("IMPORTRANGE(""https://docs.google.com/spreadsheets/d/1EXMBoBxU3OFbjT2TRpneM33qFjqDzrKmn9ydcflfI0o/edit?usp=sharing"",""นครพนม!J712"")"),0)</f>
        <v>0</v>
      </c>
      <c r="AN35" s="57">
        <f ca="1">IFERROR(__xludf.DUMMYFUNCTION("IMPORTRANGE(""https://docs.google.com/spreadsheets/d/1EXMBoBxU3OFbjT2TRpneM33qFjqDzrKmn9ydcflfI0o/edit?usp=sharing"",""นครพนม!J713"")"),0)</f>
        <v>0</v>
      </c>
      <c r="AO35" s="57">
        <f ca="1">IFERROR(__xludf.DUMMYFUNCTION("IMPORTRANGE(""https://docs.google.com/spreadsheets/d/1EXMBoBxU3OFbjT2TRpneM33qFjqDzrKmn9ydcflfI0o/edit?usp=sharing"",""นครพนม!J714"")"),0)</f>
        <v>0</v>
      </c>
      <c r="AP35" s="57">
        <f ca="1">IFERROR(__xludf.DUMMYFUNCTION("IMPORTRANGE(""https://docs.google.com/spreadsheets/d/1EXMBoBxU3OFbjT2TRpneM33qFjqDzrKmn9ydcflfI0o/edit?usp=sharing"",""นครพนม!J715"")"),0)</f>
        <v>0</v>
      </c>
      <c r="AQ35" s="57">
        <f ca="1">IFERROR(__xludf.DUMMYFUNCTION("IMPORTRANGE(""https://docs.google.com/spreadsheets/d/1EXMBoBxU3OFbjT2TRpneM33qFjqDzrKmn9ydcflfI0o/edit?usp=sharing"",""นครพนม!J716"")"),0)</f>
        <v>0</v>
      </c>
      <c r="AR35" s="57">
        <f ca="1">IFERROR(__xludf.DUMMYFUNCTION("IMPORTRANGE(""https://docs.google.com/spreadsheets/d/1EXMBoBxU3OFbjT2TRpneM33qFjqDzrKmn9ydcflfI0o/edit?usp=sharing"",""นครพนม!J717"")"),0)</f>
        <v>0</v>
      </c>
      <c r="AS35" s="57">
        <f ca="1">IFERROR(__xludf.DUMMYFUNCTION("IMPORTRANGE(""https://docs.google.com/spreadsheets/d/1EXMBoBxU3OFbjT2TRpneM33qFjqDzrKmn9ydcflfI0o/edit?usp=sharing"",""นครพนม!I720"")"),0)</f>
        <v>0</v>
      </c>
      <c r="AT35" s="57">
        <f ca="1">IFERROR(__xludf.DUMMYFUNCTION("IMPORTRANGE(""https://docs.google.com/spreadsheets/d/1EXMBoBxU3OFbjT2TRpneM33qFjqDzrKmn9ydcflfI0o/edit?usp=sharing"",""นครพนม!J718"")"),0)</f>
        <v>0</v>
      </c>
      <c r="AU35" s="57">
        <f ca="1">IFERROR(__xludf.DUMMYFUNCTION("IMPORTRANGE(""https://docs.google.com/spreadsheets/d/1EXMBoBxU3OFbjT2TRpneM33qFjqDzrKmn9ydcflfI0o/edit?usp=sharing"",""นครพนม!J719"")"),0)</f>
        <v>0</v>
      </c>
      <c r="AV35" s="57">
        <f ca="1">IFERROR(__xludf.DUMMYFUNCTION("IMPORTRANGE(""https://docs.google.com/spreadsheets/d/1EXMBoBxU3OFbjT2TRpneM33qFjqDzrKmn9ydcflfI0o/edit?usp=sharing"",""นครพนม!J720"")"),0)</f>
        <v>0</v>
      </c>
      <c r="AW35" s="63">
        <f t="shared" ca="1" si="14"/>
        <v>0</v>
      </c>
      <c r="AX35" s="57">
        <f ca="1">IFERROR(__xludf.DUMMYFUNCTION("IMPORTRANGE(""https://docs.google.com/spreadsheets/d/1EXMBoBxU3OFbjT2TRpneM33qFjqDzrKmn9ydcflfI0o/edit?usp=sharing"",""นครพนม!I721"")"),0)</f>
        <v>0</v>
      </c>
      <c r="AY35" s="57">
        <f ca="1">IFERROR(__xludf.DUMMYFUNCTION("IMPORTRANGE(""https://docs.google.com/spreadsheets/d/1EXMBoBxU3OFbjT2TRpneM33qFjqDzrKmn9ydcflfI0o/edit?usp=sharing"",""นครพนม!I722"")"),0)</f>
        <v>0</v>
      </c>
      <c r="AZ35" s="57">
        <f ca="1">IFERROR(__xludf.DUMMYFUNCTION("IMPORTRANGE(""https://docs.google.com/spreadsheets/d/1EXMBoBxU3OFbjT2TRpneM33qFjqDzrKmn9ydcflfI0o/edit?usp=sharing"",""นครพนม!J721"")"),0)</f>
        <v>0</v>
      </c>
      <c r="BA35" s="63">
        <f t="shared" ca="1" si="16"/>
        <v>0</v>
      </c>
      <c r="BB35" s="57">
        <f ca="1">IFERROR(__xludf.DUMMYFUNCTION("IMPORTRANGE(""https://docs.google.com/spreadsheets/d/1EXMBoBxU3OFbjT2TRpneM33qFjqDzrKmn9ydcflfI0o/edit?usp=sharing"",""นครพนม!J722"")"),0)</f>
        <v>0</v>
      </c>
      <c r="BC35" s="63">
        <f t="shared" ca="1" si="17"/>
        <v>0</v>
      </c>
      <c r="BD35" s="57">
        <f ca="1">IFERROR(__xludf.DUMMYFUNCTION("IMPORTRANGE(""https://docs.google.com/spreadsheets/d/1EXMBoBxU3OFbjT2TRpneM33qFjqDzrKmn9ydcflfI0o/edit?usp=sharing"",""นครพนม!I723"")"),0)</f>
        <v>0</v>
      </c>
      <c r="BE35" s="57">
        <f ca="1">IFERROR(__xludf.DUMMYFUNCTION("IMPORTRANGE(""https://docs.google.com/spreadsheets/d/1EXMBoBxU3OFbjT2TRpneM33qFjqDzrKmn9ydcflfI0o/edit?usp=sharing"",""นครพนม!I725"")"),0)</f>
        <v>0</v>
      </c>
      <c r="BF35" s="57">
        <f ca="1">IFERROR(__xludf.DUMMYFUNCTION("IMPORTRANGE(""https://docs.google.com/spreadsheets/d/1EXMBoBxU3OFbjT2TRpneM33qFjqDzrKmn9ydcflfI0o/edit?usp=sharing"",""นครพนม!J723"")"),0)</f>
        <v>0</v>
      </c>
      <c r="BG35" s="57">
        <f ca="1">IFERROR(__xludf.DUMMYFUNCTION("IMPORTRANGE(""https://docs.google.com/spreadsheets/d/1EXMBoBxU3OFbjT2TRpneM33qFjqDzrKmn9ydcflfI0o/edit?usp=sharing"",""นครพนม!J724"")"),0)</f>
        <v>0</v>
      </c>
      <c r="BH35" s="57">
        <f ca="1">IFERROR(__xludf.DUMMYFUNCTION("IMPORTRANGE(""https://docs.google.com/spreadsheets/d/1EXMBoBxU3OFbjT2TRpneM33qFjqDzrKmn9ydcflfI0o/edit?usp=sharing"",""นครพนม!J725"")"),0)</f>
        <v>0</v>
      </c>
      <c r="BI35" s="57">
        <f ca="1">IFERROR(__xludf.DUMMYFUNCTION("IMPORTRANGE(""https://docs.google.com/spreadsheets/d/1EXMBoBxU3OFbjT2TRpneM33qFjqDzrKmn9ydcflfI0o/edit?usp=sharing"",""นครพนม!I726"")"),0)</f>
        <v>0</v>
      </c>
      <c r="BJ35" s="57">
        <f ca="1">IFERROR(__xludf.DUMMYFUNCTION("IMPORTRANGE(""https://docs.google.com/spreadsheets/d/1EXMBoBxU3OFbjT2TRpneM33qFjqDzrKmn9ydcflfI0o/edit?usp=sharing"",""นครพนม!I728"")"),0)</f>
        <v>0</v>
      </c>
      <c r="BK35" s="57">
        <f ca="1">IFERROR(__xludf.DUMMYFUNCTION("IMPORTRANGE(""https://docs.google.com/spreadsheets/d/1EXMBoBxU3OFbjT2TRpneM33qFjqDzrKmn9ydcflfI0o/edit?usp=sharing"",""นครพนม!J726"")"),0)</f>
        <v>0</v>
      </c>
      <c r="BL35" s="57">
        <f ca="1">IFERROR(__xludf.DUMMYFUNCTION("IMPORTRANGE(""https://docs.google.com/spreadsheets/d/1EXMBoBxU3OFbjT2TRpneM33qFjqDzrKmn9ydcflfI0o/edit?usp=sharing"",""นครพนม!J727"")"),0)</f>
        <v>0</v>
      </c>
      <c r="BM35" s="57">
        <f ca="1">IFERROR(__xludf.DUMMYFUNCTION("IMPORTRANGE(""https://docs.google.com/spreadsheets/d/1EXMBoBxU3OFbjT2TRpneM33qFjqDzrKmn9ydcflfI0o/edit?usp=sharing"",""นครพนม!J728"")"),0)</f>
        <v>0</v>
      </c>
      <c r="BN35" s="57">
        <f ca="1">IFERROR(__xludf.DUMMYFUNCTION("IMPORTRANGE(""https://docs.google.com/spreadsheets/d/1EXMBoBxU3OFbjT2TRpneM33qFjqDzrKmn9ydcflfI0o/edit?usp=sharing"",""นครพนม!I729"")"),0)</f>
        <v>0</v>
      </c>
      <c r="BO35" s="57">
        <f ca="1">IFERROR(__xludf.DUMMYFUNCTION("IMPORTRANGE(""https://docs.google.com/spreadsheets/d/1EXMBoBxU3OFbjT2TRpneM33qFjqDzrKmn9ydcflfI0o/edit?usp=sharing"",""นครพนม!J729"")"),0)</f>
        <v>0</v>
      </c>
      <c r="BP35" s="63">
        <f t="shared" ca="1" si="19"/>
        <v>0</v>
      </c>
      <c r="BQ35" s="57">
        <f ca="1">IFERROR(__xludf.DUMMYFUNCTION("IMPORTRANGE(""https://docs.google.com/spreadsheets/d/1EXMBoBxU3OFbjT2TRpneM33qFjqDzrKmn9ydcflfI0o/edit?usp=sharing"",""นครพนม!J730"")"),0)</f>
        <v>0</v>
      </c>
      <c r="BR35" s="57">
        <f ca="1">IFERROR(__xludf.DUMMYFUNCTION("IMPORTRANGE(""https://docs.google.com/spreadsheets/d/1EXMBoBxU3OFbjT2TRpneM33qFjqDzrKmn9ydcflfI0o/edit?usp=sharing"",""นครพนม!J731"")"),0)</f>
        <v>0</v>
      </c>
      <c r="BS35" s="57">
        <f ca="1">IFERROR(__xludf.DUMMYFUNCTION("IMPORTRANGE(""https://docs.google.com/spreadsheets/d/1EXMBoBxU3OFbjT2TRpneM33qFjqDzrKmn9ydcflfI0o/edit?usp=sharing"",""นครพนม!J732"")"),0)</f>
        <v>0</v>
      </c>
      <c r="BT35" s="57">
        <f ca="1">IFERROR(__xludf.DUMMYFUNCTION("IMPORTRANGE(""https://docs.google.com/spreadsheets/d/1EXMBoBxU3OFbjT2TRpneM33qFjqDzrKmn9ydcflfI0o/edit?usp=sharing"",""นครพนม!J733"")"),0)</f>
        <v>0</v>
      </c>
      <c r="BU35" s="57">
        <f ca="1">IFERROR(__xludf.DUMMYFUNCTION("IMPORTRANGE(""https://docs.google.com/spreadsheets/d/1EXMBoBxU3OFbjT2TRpneM33qFjqDzrKmn9ydcflfI0o/edit?usp=sharing"",""นครพนม!J734"")"),0)</f>
        <v>0</v>
      </c>
      <c r="BV35" s="57">
        <f ca="1">IFERROR(__xludf.DUMMYFUNCTION("IMPORTRANGE(""https://docs.google.com/spreadsheets/d/1EXMBoBxU3OFbjT2TRpneM33qFjqDzrKmn9ydcflfI0o/edit?usp=sharing"",""นครพนม!J735"")"),0)</f>
        <v>0</v>
      </c>
    </row>
    <row r="36" spans="1:74" ht="21" customHeight="1" x14ac:dyDescent="0.3">
      <c r="A36" s="54">
        <v>5</v>
      </c>
      <c r="B36" s="55" t="s">
        <v>57</v>
      </c>
      <c r="C36" s="56">
        <f t="shared" ca="1" si="63"/>
        <v>5200</v>
      </c>
      <c r="D36" s="57">
        <f ca="1">IFERROR(__xludf.DUMMYFUNCTION("IMPORTRANGE(""https://docs.google.com/spreadsheets/d/1bDQrolntRWtHumK8W-x-HXKntwxB9S3sF5aDeRS66Ko/edit?usp=sharing"",""นครราชสีมา!L690"")"),5200)</f>
        <v>5200</v>
      </c>
      <c r="E36" s="64">
        <f ca="1">IFERROR(__xludf.DUMMYFUNCTION("IMPORTRANGE(""https://docs.google.com/spreadsheets/d/1bDQrolntRWtHumK8W-x-HXKntwxB9S3sF5aDeRS66Ko/edit?usp=sharing"",""นครราชสีมา!L697"")"),0)</f>
        <v>0</v>
      </c>
      <c r="F36" s="64">
        <f ca="1">IFERROR(__xludf.DUMMYFUNCTION("IMPORTRANGE(""https://docs.google.com/spreadsheets/d/1bDQrolntRWtHumK8W-x-HXKntwxB9S3sF5aDeRS66Ko/edit?usp=sharing"",""นครราชสีมา!M690"")"),5200)</f>
        <v>5200</v>
      </c>
      <c r="G36" s="64">
        <f ca="1">IFERROR(__xludf.DUMMYFUNCTION("IMPORTRANGE(""https://docs.google.com/spreadsheets/d/1bDQrolntRWtHumK8W-x-HXKntwxB9S3sF5aDeRS66Ko/edit?usp=sharing"",""นครราชสีมา!M697"")"),0)</f>
        <v>0</v>
      </c>
      <c r="H36" s="58">
        <f t="shared" ca="1" si="33"/>
        <v>0</v>
      </c>
      <c r="I36" s="59">
        <f t="shared" ca="1" si="1"/>
        <v>0</v>
      </c>
      <c r="J36" s="60">
        <f t="shared" ca="1" si="64"/>
        <v>0</v>
      </c>
      <c r="K36" s="61">
        <f t="shared" ca="1" si="39"/>
        <v>0</v>
      </c>
      <c r="L36" s="61">
        <f t="shared" ca="1" si="40"/>
        <v>0</v>
      </c>
      <c r="M36" s="64">
        <f ca="1">IFERROR(__xludf.DUMMYFUNCTION("IMPORTRANGE(""https://docs.google.com/spreadsheets/d/1bDQrolntRWtHumK8W-x-HXKntwxB9S3sF5aDeRS66Ko/edit?usp=sharing"",""นครราชสีมา!N691"")"),0)</f>
        <v>0</v>
      </c>
      <c r="N36" s="64">
        <f ca="1">IFERROR(__xludf.DUMMYFUNCTION("IMPORTRANGE(""https://docs.google.com/spreadsheets/d/1bDQrolntRWtHumK8W-x-HXKntwxB9S3sF5aDeRS66Ko/edit?usp=sharing"",""นครราชสีมา!N692"")"),0)</f>
        <v>0</v>
      </c>
      <c r="O36" s="64">
        <f ca="1">IFERROR(__xludf.DUMMYFUNCTION("IMPORTRANGE(""https://docs.google.com/spreadsheets/d/1bDQrolntRWtHumK8W-x-HXKntwxB9S3sF5aDeRS66Ko/edit?usp=sharing"",""นครราชสีมา!N693"")"),0)</f>
        <v>0</v>
      </c>
      <c r="P36" s="64">
        <f ca="1">IFERROR(__xludf.DUMMYFUNCTION("IMPORTRANGE(""https://docs.google.com/spreadsheets/d/1bDQrolntRWtHumK8W-x-HXKntwxB9S3sF5aDeRS66Ko/edit?usp=sharing"",""นครราชสีมา!N694"")"),0)</f>
        <v>0</v>
      </c>
      <c r="Q36" s="62">
        <f ca="1">IFERROR(__xludf.DUMMYFUNCTION("IMPORTRANGE(""https://docs.google.com/spreadsheets/d/1bDQrolntRWtHumK8W-x-HXKntwxB9S3sF5aDeRS66Ko/edit?usp=sharing"",""นครราชสีมา!N697"")"),0)</f>
        <v>0</v>
      </c>
      <c r="R36" s="62">
        <f t="shared" ca="1" si="42"/>
        <v>0</v>
      </c>
      <c r="S36" s="57">
        <f ca="1">IFERROR(__xludf.DUMMYFUNCTION("IMPORTRANGE(""https://docs.google.com/spreadsheets/d/1bDQrolntRWtHumK8W-x-HXKntwxB9S3sF5aDeRS66Ko/edit?usp=sharing"",""นครราชสีมา!I699"")"),0)</f>
        <v>0</v>
      </c>
      <c r="T36" s="57">
        <f ca="1">IFERROR(__xludf.DUMMYFUNCTION("IMPORTRANGE(""https://docs.google.com/spreadsheets/d/1bDQrolntRWtHumK8W-x-HXKntwxB9S3sF5aDeRS66Ko/edit?usp=sharing"",""นครราชสีมา!J699"")"),0)</f>
        <v>0</v>
      </c>
      <c r="U36" s="63">
        <f t="shared" ca="1" si="34"/>
        <v>0</v>
      </c>
      <c r="V36" s="57">
        <f ca="1">IFERROR(__xludf.DUMMYFUNCTION("IMPORTRANGE(""https://docs.google.com/spreadsheets/d/1bDQrolntRWtHumK8W-x-HXKntwxB9S3sF5aDeRS66Ko/edit?usp=sharing"",""นครราชสีมา!I700"")"),35)</f>
        <v>35</v>
      </c>
      <c r="W36" s="57">
        <f ca="1">IFERROR(__xludf.DUMMYFUNCTION("IMPORTRANGE(""https://docs.google.com/spreadsheets/d/1bDQrolntRWtHumK8W-x-HXKntwxB9S3sF5aDeRS66Ko/edit?usp=sharing"",""นครราชสีมา!J700"")"),5)</f>
        <v>5</v>
      </c>
      <c r="X36" s="63">
        <f t="shared" ca="1" si="35"/>
        <v>14.285714285714286</v>
      </c>
      <c r="Y36" s="57">
        <f ca="1">IFERROR(__xludf.DUMMYFUNCTION("IMPORTRANGE(""https://docs.google.com/spreadsheets/d/1bDQrolntRWtHumK8W-x-HXKntwxB9S3sF5aDeRS66Ko/edit?usp=sharing"",""นครราชสีมา!I701"")"),0)</f>
        <v>0</v>
      </c>
      <c r="Z36" s="57">
        <f ca="1">IFERROR(__xludf.DUMMYFUNCTION("IMPORTRANGE(""https://docs.google.com/spreadsheets/d/1bDQrolntRWtHumK8W-x-HXKntwxB9S3sF5aDeRS66Ko/edit?usp=sharing"",""นครราชสีมา!J701"")"),0)</f>
        <v>0</v>
      </c>
      <c r="AA36" s="63">
        <f t="shared" ca="1" si="36"/>
        <v>0</v>
      </c>
      <c r="AB36" s="63">
        <f ca="1">IFERROR(__xludf.DUMMYFUNCTION("IMPORTRANGE(""https://docs.google.com/spreadsheets/d/1bDQrolntRWtHumK8W-x-HXKntwxB9S3sF5aDeRS66Ko/edit?usp=sharing"",""นครราชสีมา!J702"")"),0)</f>
        <v>0</v>
      </c>
      <c r="AC36" s="63">
        <f ca="1">IFERROR(__xludf.DUMMYFUNCTION("IMPORTRANGE(""https://docs.google.com/spreadsheets/d/1bDQrolntRWtHumK8W-x-HXKntwxB9S3sF5aDeRS66Ko/edit?usp=sharing"",""นครราชสีมา!J703"")"),0)</f>
        <v>0</v>
      </c>
      <c r="AD36" s="63">
        <f ca="1">IFERROR(__xludf.DUMMYFUNCTION("IMPORTRANGE(""https://docs.google.com/spreadsheets/d/1bDQrolntRWtHumK8W-x-HXKntwxB9S3sF5aDeRS66Ko/edit?usp=sharing"",""นครราชสีมา!J704"")"),0)</f>
        <v>0</v>
      </c>
      <c r="AE36" s="63">
        <f ca="1">IFERROR(__xludf.DUMMYFUNCTION("IMPORTRANGE(""https://docs.google.com/spreadsheets/d/1bDQrolntRWtHumK8W-x-HXKntwxB9S3sF5aDeRS66Ko/edit?usp=sharing"",""นครราชสีมา!J705"")"),0)</f>
        <v>0</v>
      </c>
      <c r="AF36" s="63">
        <f ca="1">IFERROR(__xludf.DUMMYFUNCTION("IMPORTRANGE(""https://docs.google.com/spreadsheets/d/1bDQrolntRWtHumK8W-x-HXKntwxB9S3sF5aDeRS66Ko/edit?usp=sharing"",""นครราชสีมา!J706"")"),0)</f>
        <v>0</v>
      </c>
      <c r="AG36" s="63">
        <f ca="1">IFERROR(__xludf.DUMMYFUNCTION("IMPORTRANGE(""https://docs.google.com/spreadsheets/d/1bDQrolntRWtHumK8W-x-HXKntwxB9S3sF5aDeRS66Ko/edit?usp=sharing"",""นครราชสีมา!J707"")"),0)</f>
        <v>0</v>
      </c>
      <c r="AH36" s="57">
        <f ca="1">IFERROR(__xludf.DUMMYFUNCTION("IMPORTRANGE(""https://docs.google.com/spreadsheets/d/1bDQrolntRWtHumK8W-x-HXKntwxB9S3sF5aDeRS66Ko/edit?usp=sharing"",""นครราชสีมา!I708"")"),0)</f>
        <v>0</v>
      </c>
      <c r="AI36" s="57">
        <f ca="1">IFERROR(__xludf.DUMMYFUNCTION("IMPORTRANGE(""https://docs.google.com/spreadsheets/d/1bDQrolntRWtHumK8W-x-HXKntwxB9S3sF5aDeRS66Ko/edit?usp=sharing"",""นครราชสีมา!J708"")"),0)</f>
        <v>0</v>
      </c>
      <c r="AJ36" s="63">
        <f t="shared" ca="1" si="37"/>
        <v>0</v>
      </c>
      <c r="AK36" s="57">
        <f ca="1">IFERROR(__xludf.DUMMYFUNCTION("IMPORTRANGE(""https://docs.google.com/spreadsheets/d/1bDQrolntRWtHumK8W-x-HXKntwxB9S3sF5aDeRS66Ko/edit?usp=sharing"",""นครราชสีมา!J709"")"),0)</f>
        <v>0</v>
      </c>
      <c r="AL36" s="57">
        <f ca="1">IFERROR(__xludf.DUMMYFUNCTION("IMPORTRANGE(""https://docs.google.com/spreadsheets/d/1bDQrolntRWtHumK8W-x-HXKntwxB9S3sF5aDeRS66Ko/edit?usp=sharing"",""นครราชสีมา!J710"")"),0)</f>
        <v>0</v>
      </c>
      <c r="AM36" s="57">
        <f ca="1">IFERROR(__xludf.DUMMYFUNCTION("IMPORTRANGE(""https://docs.google.com/spreadsheets/d/1bDQrolntRWtHumK8W-x-HXKntwxB9S3sF5aDeRS66Ko/edit?usp=sharing"",""นครราชสีมา!J712"")"),0)</f>
        <v>0</v>
      </c>
      <c r="AN36" s="57">
        <f ca="1">IFERROR(__xludf.DUMMYFUNCTION("IMPORTRANGE(""https://docs.google.com/spreadsheets/d/1bDQrolntRWtHumK8W-x-HXKntwxB9S3sF5aDeRS66Ko/edit?usp=sharing"",""นครราชสีมา!J713"")"),0)</f>
        <v>0</v>
      </c>
      <c r="AO36" s="57">
        <f ca="1">IFERROR(__xludf.DUMMYFUNCTION("IMPORTRANGE(""https://docs.google.com/spreadsheets/d/1bDQrolntRWtHumK8W-x-HXKntwxB9S3sF5aDeRS66Ko/edit?usp=sharing"",""นครราชสีมา!J714"")"),0)</f>
        <v>0</v>
      </c>
      <c r="AP36" s="57">
        <f ca="1">IFERROR(__xludf.DUMMYFUNCTION("IMPORTRANGE(""https://docs.google.com/spreadsheets/d/1bDQrolntRWtHumK8W-x-HXKntwxB9S3sF5aDeRS66Ko/edit?usp=sharing"",""นครราชสีมา!J715"")"),0)</f>
        <v>0</v>
      </c>
      <c r="AQ36" s="57">
        <f ca="1">IFERROR(__xludf.DUMMYFUNCTION("IMPORTRANGE(""https://docs.google.com/spreadsheets/d/1bDQrolntRWtHumK8W-x-HXKntwxB9S3sF5aDeRS66Ko/edit?usp=sharing"",""นครราชสีมา!J716"")"),0)</f>
        <v>0</v>
      </c>
      <c r="AR36" s="57">
        <f ca="1">IFERROR(__xludf.DUMMYFUNCTION("IMPORTRANGE(""https://docs.google.com/spreadsheets/d/1bDQrolntRWtHumK8W-x-HXKntwxB9S3sF5aDeRS66Ko/edit?usp=sharing"",""นครราชสีมา!J717"")"),0)</f>
        <v>0</v>
      </c>
      <c r="AS36" s="57">
        <f ca="1">IFERROR(__xludf.DUMMYFUNCTION("IMPORTRANGE(""https://docs.google.com/spreadsheets/d/1bDQrolntRWtHumK8W-x-HXKntwxB9S3sF5aDeRS66Ko/edit?usp=sharing"",""นครราชสีมา!I720"")"),0)</f>
        <v>0</v>
      </c>
      <c r="AT36" s="57">
        <f ca="1">IFERROR(__xludf.DUMMYFUNCTION("IMPORTRANGE(""https://docs.google.com/spreadsheets/d/1bDQrolntRWtHumK8W-x-HXKntwxB9S3sF5aDeRS66Ko/edit?usp=sharing"",""นครราชสีมา!J718"")"),0)</f>
        <v>0</v>
      </c>
      <c r="AU36" s="57">
        <f ca="1">IFERROR(__xludf.DUMMYFUNCTION("IMPORTRANGE(""https://docs.google.com/spreadsheets/d/1bDQrolntRWtHumK8W-x-HXKntwxB9S3sF5aDeRS66Ko/edit?usp=sharing"",""นครราชสีมา!J719"")"),0)</f>
        <v>0</v>
      </c>
      <c r="AV36" s="57">
        <f ca="1">IFERROR(__xludf.DUMMYFUNCTION("IMPORTRANGE(""https://docs.google.com/spreadsheets/d/1bDQrolntRWtHumK8W-x-HXKntwxB9S3sF5aDeRS66Ko/edit?usp=sharing"",""นครราชสีมา!J720"")"),0)</f>
        <v>0</v>
      </c>
      <c r="AW36" s="63">
        <f t="shared" ca="1" si="14"/>
        <v>0</v>
      </c>
      <c r="AX36" s="57">
        <f ca="1">IFERROR(__xludf.DUMMYFUNCTION("IMPORTRANGE(""https://docs.google.com/spreadsheets/d/1bDQrolntRWtHumK8W-x-HXKntwxB9S3sF5aDeRS66Ko/edit?usp=sharing"",""นครราชสีมา!I721"")"),0)</f>
        <v>0</v>
      </c>
      <c r="AY36" s="57">
        <f ca="1">IFERROR(__xludf.DUMMYFUNCTION("IMPORTRANGE(""https://docs.google.com/spreadsheets/d/1bDQrolntRWtHumK8W-x-HXKntwxB9S3sF5aDeRS66Ko/edit?usp=sharing"",""นครราชสีมา!I722"")"),0)</f>
        <v>0</v>
      </c>
      <c r="AZ36" s="57">
        <f ca="1">IFERROR(__xludf.DUMMYFUNCTION("IMPORTRANGE(""https://docs.google.com/spreadsheets/d/1bDQrolntRWtHumK8W-x-HXKntwxB9S3sF5aDeRS66Ko/edit?usp=sharing"",""นครราชสีมา!J721"")"),0)</f>
        <v>0</v>
      </c>
      <c r="BA36" s="63">
        <f t="shared" ca="1" si="16"/>
        <v>0</v>
      </c>
      <c r="BB36" s="57">
        <f ca="1">IFERROR(__xludf.DUMMYFUNCTION("IMPORTRANGE(""https://docs.google.com/spreadsheets/d/1bDQrolntRWtHumK8W-x-HXKntwxB9S3sF5aDeRS66Ko/edit?usp=sharing"",""นครราชสีมา!J722"")"),0)</f>
        <v>0</v>
      </c>
      <c r="BC36" s="63">
        <f t="shared" ca="1" si="17"/>
        <v>0</v>
      </c>
      <c r="BD36" s="57">
        <f ca="1">IFERROR(__xludf.DUMMYFUNCTION("IMPORTRANGE(""https://docs.google.com/spreadsheets/d/1bDQrolntRWtHumK8W-x-HXKntwxB9S3sF5aDeRS66Ko/edit?usp=sharing"",""นครราชสีมา!I723"")"),0)</f>
        <v>0</v>
      </c>
      <c r="BE36" s="57">
        <f ca="1">IFERROR(__xludf.DUMMYFUNCTION("IMPORTRANGE(""https://docs.google.com/spreadsheets/d/1bDQrolntRWtHumK8W-x-HXKntwxB9S3sF5aDeRS66Ko/edit?usp=sharing"",""นครราชสีมา!I725"")"),0)</f>
        <v>0</v>
      </c>
      <c r="BF36" s="57">
        <f ca="1">IFERROR(__xludf.DUMMYFUNCTION("IMPORTRANGE(""https://docs.google.com/spreadsheets/d/1bDQrolntRWtHumK8W-x-HXKntwxB9S3sF5aDeRS66Ko/edit?usp=sharing"",""นครราชสีมา!J723"")"),0)</f>
        <v>0</v>
      </c>
      <c r="BG36" s="57">
        <f ca="1">IFERROR(__xludf.DUMMYFUNCTION("IMPORTRANGE(""https://docs.google.com/spreadsheets/d/1bDQrolntRWtHumK8W-x-HXKntwxB9S3sF5aDeRS66Ko/edit?usp=sharing"",""นครราชสีมา!J724"")"),0)</f>
        <v>0</v>
      </c>
      <c r="BH36" s="57">
        <f ca="1">IFERROR(__xludf.DUMMYFUNCTION("IMPORTRANGE(""https://docs.google.com/spreadsheets/d/1bDQrolntRWtHumK8W-x-HXKntwxB9S3sF5aDeRS66Ko/edit?usp=sharing"",""นครราชสีมา!J725"")"),0)</f>
        <v>0</v>
      </c>
      <c r="BI36" s="57">
        <f ca="1">IFERROR(__xludf.DUMMYFUNCTION("IMPORTRANGE(""https://docs.google.com/spreadsheets/d/1bDQrolntRWtHumK8W-x-HXKntwxB9S3sF5aDeRS66Ko/edit?usp=sharing"",""นครราชสีมา!I726"")"),0)</f>
        <v>0</v>
      </c>
      <c r="BJ36" s="57">
        <f ca="1">IFERROR(__xludf.DUMMYFUNCTION("IMPORTRANGE(""https://docs.google.com/spreadsheets/d/1bDQrolntRWtHumK8W-x-HXKntwxB9S3sF5aDeRS66Ko/edit?usp=sharing"",""นครราชสีมา!I728"")"),0)</f>
        <v>0</v>
      </c>
      <c r="BK36" s="57">
        <f ca="1">IFERROR(__xludf.DUMMYFUNCTION("IMPORTRANGE(""https://docs.google.com/spreadsheets/d/1bDQrolntRWtHumK8W-x-HXKntwxB9S3sF5aDeRS66Ko/edit?usp=sharing"",""นครราชสีมา!J726"")"),0)</f>
        <v>0</v>
      </c>
      <c r="BL36" s="57">
        <f ca="1">IFERROR(__xludf.DUMMYFUNCTION("IMPORTRANGE(""https://docs.google.com/spreadsheets/d/1bDQrolntRWtHumK8W-x-HXKntwxB9S3sF5aDeRS66Ko/edit?usp=sharing"",""นครราชสีมา!J727"")"),0)</f>
        <v>0</v>
      </c>
      <c r="BM36" s="57">
        <f ca="1">IFERROR(__xludf.DUMMYFUNCTION("IMPORTRANGE(""https://docs.google.com/spreadsheets/d/1bDQrolntRWtHumK8W-x-HXKntwxB9S3sF5aDeRS66Ko/edit?usp=sharing"",""นครราชสีมา!J728"")"),0)</f>
        <v>0</v>
      </c>
      <c r="BN36" s="57">
        <f ca="1">IFERROR(__xludf.DUMMYFUNCTION("IMPORTRANGE(""https://docs.google.com/spreadsheets/d/1bDQrolntRWtHumK8W-x-HXKntwxB9S3sF5aDeRS66Ko/edit?usp=sharing"",""นครราชสีมา!I729"")"),0)</f>
        <v>0</v>
      </c>
      <c r="BO36" s="57">
        <f ca="1">IFERROR(__xludf.DUMMYFUNCTION("IMPORTRANGE(""https://docs.google.com/spreadsheets/d/1bDQrolntRWtHumK8W-x-HXKntwxB9S3sF5aDeRS66Ko/edit?usp=sharing"",""นครราชสีมา!J729"")"),0)</f>
        <v>0</v>
      </c>
      <c r="BP36" s="63">
        <f t="shared" ca="1" si="19"/>
        <v>0</v>
      </c>
      <c r="BQ36" s="57">
        <f ca="1">IFERROR(__xludf.DUMMYFUNCTION("IMPORTRANGE(""https://docs.google.com/spreadsheets/d/1bDQrolntRWtHumK8W-x-HXKntwxB9S3sF5aDeRS66Ko/edit?usp=sharing"",""นครราชสีมา!J730"")"),0)</f>
        <v>0</v>
      </c>
      <c r="BR36" s="57">
        <f ca="1">IFERROR(__xludf.DUMMYFUNCTION("IMPORTRANGE(""https://docs.google.com/spreadsheets/d/1bDQrolntRWtHumK8W-x-HXKntwxB9S3sF5aDeRS66Ko/edit?usp=sharing"",""นครราชสีมา!J731"")"),0)</f>
        <v>0</v>
      </c>
      <c r="BS36" s="57">
        <f ca="1">IFERROR(__xludf.DUMMYFUNCTION("IMPORTRANGE(""https://docs.google.com/spreadsheets/d/1bDQrolntRWtHumK8W-x-HXKntwxB9S3sF5aDeRS66Ko/edit?usp=sharing"",""นครราชสีมา!J732"")"),0)</f>
        <v>0</v>
      </c>
      <c r="BT36" s="57">
        <f ca="1">IFERROR(__xludf.DUMMYFUNCTION("IMPORTRANGE(""https://docs.google.com/spreadsheets/d/1bDQrolntRWtHumK8W-x-HXKntwxB9S3sF5aDeRS66Ko/edit?usp=sharing"",""นครราชสีมา!J733"")"),0)</f>
        <v>0</v>
      </c>
      <c r="BU36" s="57">
        <f ca="1">IFERROR(__xludf.DUMMYFUNCTION("IMPORTRANGE(""https://docs.google.com/spreadsheets/d/1bDQrolntRWtHumK8W-x-HXKntwxB9S3sF5aDeRS66Ko/edit?usp=sharing"",""นครราชสีมา!J734"")"),0)</f>
        <v>0</v>
      </c>
      <c r="BV36" s="57">
        <f ca="1">IFERROR(__xludf.DUMMYFUNCTION("IMPORTRANGE(""https://docs.google.com/spreadsheets/d/1bDQrolntRWtHumK8W-x-HXKntwxB9S3sF5aDeRS66Ko/edit?usp=sharing"",""นครราชสีมา!J735"")"),0)</f>
        <v>0</v>
      </c>
    </row>
    <row r="37" spans="1:74" ht="21" customHeight="1" x14ac:dyDescent="0.3">
      <c r="A37" s="54">
        <v>6</v>
      </c>
      <c r="B37" s="55" t="s">
        <v>58</v>
      </c>
      <c r="C37" s="56">
        <f t="shared" ca="1" si="63"/>
        <v>0</v>
      </c>
      <c r="D37" s="57">
        <f ca="1">IFERROR(__xludf.DUMMYFUNCTION("IMPORTRANGE(""https://docs.google.com/spreadsheets/d/1_MzZ-2gVPiCW-d2VcafoCmFJQTSrZ6SQyFcMqRRQQ2w/edit?usp=sharing"",""บึงกาฬ!L690"")"),0)</f>
        <v>0</v>
      </c>
      <c r="E37" s="64">
        <f ca="1">IFERROR(__xludf.DUMMYFUNCTION("IMPORTRANGE(""https://docs.google.com/spreadsheets/d/1_MzZ-2gVPiCW-d2VcafoCmFJQTSrZ6SQyFcMqRRQQ2w/edit?usp=sharing"",""บึงกาฬ!L697"")"),0)</f>
        <v>0</v>
      </c>
      <c r="F37" s="64">
        <f ca="1">IFERROR(__xludf.DUMMYFUNCTION("IMPORTRANGE(""https://docs.google.com/spreadsheets/d/1_MzZ-2gVPiCW-d2VcafoCmFJQTSrZ6SQyFcMqRRQQ2w/edit?usp=sharing"",""บึงกาฬ!M690"")"),0)</f>
        <v>0</v>
      </c>
      <c r="G37" s="64">
        <f ca="1">IFERROR(__xludf.DUMMYFUNCTION("IMPORTRANGE(""https://docs.google.com/spreadsheets/d/1_MzZ-2gVPiCW-d2VcafoCmFJQTSrZ6SQyFcMqRRQQ2w/edit?usp=sharing"",""บึงกาฬ!M697"")"),0)</f>
        <v>0</v>
      </c>
      <c r="H37" s="58">
        <f t="shared" ca="1" si="33"/>
        <v>0</v>
      </c>
      <c r="I37" s="59">
        <f t="shared" ca="1" si="1"/>
        <v>0</v>
      </c>
      <c r="J37" s="60">
        <f t="shared" ca="1" si="64"/>
        <v>0</v>
      </c>
      <c r="K37" s="61">
        <f t="shared" ca="1" si="39"/>
        <v>0</v>
      </c>
      <c r="L37" s="61">
        <f t="shared" ca="1" si="40"/>
        <v>0</v>
      </c>
      <c r="M37" s="64">
        <f ca="1">IFERROR(__xludf.DUMMYFUNCTION("IMPORTRANGE(""https://docs.google.com/spreadsheets/d/1_MzZ-2gVPiCW-d2VcafoCmFJQTSrZ6SQyFcMqRRQQ2w/edit?usp=sharing"",""บึงกาฬ!N691"")"),0)</f>
        <v>0</v>
      </c>
      <c r="N37" s="64">
        <f ca="1">IFERROR(__xludf.DUMMYFUNCTION("IMPORTRANGE(""https://docs.google.com/spreadsheets/d/1_MzZ-2gVPiCW-d2VcafoCmFJQTSrZ6SQyFcMqRRQQ2w/edit?usp=sharing"",""บึงกาฬ!N692"")"),0)</f>
        <v>0</v>
      </c>
      <c r="O37" s="64">
        <f ca="1">IFERROR(__xludf.DUMMYFUNCTION("IMPORTRANGE(""https://docs.google.com/spreadsheets/d/1_MzZ-2gVPiCW-d2VcafoCmFJQTSrZ6SQyFcMqRRQQ2w/edit?usp=sharing"",""บึงกาฬ!N693"")"),0)</f>
        <v>0</v>
      </c>
      <c r="P37" s="64">
        <f ca="1">IFERROR(__xludf.DUMMYFUNCTION("IMPORTRANGE(""https://docs.google.com/spreadsheets/d/1_MzZ-2gVPiCW-d2VcafoCmFJQTSrZ6SQyFcMqRRQQ2w/edit?usp=sharing"",""บึงกาฬ!N694"")"),0)</f>
        <v>0</v>
      </c>
      <c r="Q37" s="62">
        <f ca="1">IFERROR(__xludf.DUMMYFUNCTION("IMPORTRANGE(""https://docs.google.com/spreadsheets/d/1_MzZ-2gVPiCW-d2VcafoCmFJQTSrZ6SQyFcMqRRQQ2w/edit?usp=sharing"",""บึงกาฬ!N697"")"),0)</f>
        <v>0</v>
      </c>
      <c r="R37" s="62">
        <f t="shared" ca="1" si="42"/>
        <v>0</v>
      </c>
      <c r="S37" s="57">
        <f ca="1">IFERROR(__xludf.DUMMYFUNCTION("IMPORTRANGE(""https://docs.google.com/spreadsheets/d/1_MzZ-2gVPiCW-d2VcafoCmFJQTSrZ6SQyFcMqRRQQ2w/edit?usp=sharing"",""บึงกาฬ!I699"")"),0)</f>
        <v>0</v>
      </c>
      <c r="T37" s="57">
        <f ca="1">IFERROR(__xludf.DUMMYFUNCTION("IMPORTRANGE(""https://docs.google.com/spreadsheets/d/1_MzZ-2gVPiCW-d2VcafoCmFJQTSrZ6SQyFcMqRRQQ2w/edit?usp=sharing"",""บึงกาฬ!J699"")"),0)</f>
        <v>0</v>
      </c>
      <c r="U37" s="63">
        <f t="shared" ca="1" si="34"/>
        <v>0</v>
      </c>
      <c r="V37" s="57">
        <f ca="1">IFERROR(__xludf.DUMMYFUNCTION("IMPORTRANGE(""https://docs.google.com/spreadsheets/d/1_MzZ-2gVPiCW-d2VcafoCmFJQTSrZ6SQyFcMqRRQQ2w/edit?usp=sharing"",""บึงกาฬ!I700"")"),0)</f>
        <v>0</v>
      </c>
      <c r="W37" s="57">
        <f ca="1">IFERROR(__xludf.DUMMYFUNCTION("IMPORTRANGE(""https://docs.google.com/spreadsheets/d/1_MzZ-2gVPiCW-d2VcafoCmFJQTSrZ6SQyFcMqRRQQ2w/edit?usp=sharing"",""บึงกาฬ!J700"")"),0)</f>
        <v>0</v>
      </c>
      <c r="X37" s="63">
        <f t="shared" ca="1" si="35"/>
        <v>0</v>
      </c>
      <c r="Y37" s="57">
        <f ca="1">IFERROR(__xludf.DUMMYFUNCTION("IMPORTRANGE(""https://docs.google.com/spreadsheets/d/1_MzZ-2gVPiCW-d2VcafoCmFJQTSrZ6SQyFcMqRRQQ2w/edit?usp=sharing"",""บึงกาฬ!I701"")"),0)</f>
        <v>0</v>
      </c>
      <c r="Z37" s="57">
        <f ca="1">IFERROR(__xludf.DUMMYFUNCTION("IMPORTRANGE(""https://docs.google.com/spreadsheets/d/1_MzZ-2gVPiCW-d2VcafoCmFJQTSrZ6SQyFcMqRRQQ2w/edit?usp=sharing"",""บึงกาฬ!J701"")"),0)</f>
        <v>0</v>
      </c>
      <c r="AA37" s="63">
        <f t="shared" ca="1" si="36"/>
        <v>0</v>
      </c>
      <c r="AB37" s="63">
        <f ca="1">IFERROR(__xludf.DUMMYFUNCTION("IMPORTRANGE(""https://docs.google.com/spreadsheets/d/1_MzZ-2gVPiCW-d2VcafoCmFJQTSrZ6SQyFcMqRRQQ2w/edit?usp=sharing"",""บึงกาฬ!J702"")"),0)</f>
        <v>0</v>
      </c>
      <c r="AC37" s="63">
        <f ca="1">IFERROR(__xludf.DUMMYFUNCTION("IMPORTRANGE(""https://docs.google.com/spreadsheets/d/1_MzZ-2gVPiCW-d2VcafoCmFJQTSrZ6SQyFcMqRRQQ2w/edit?usp=sharing"",""บึงกาฬ!J703"")"),0)</f>
        <v>0</v>
      </c>
      <c r="AD37" s="63">
        <f ca="1">IFERROR(__xludf.DUMMYFUNCTION("IMPORTRANGE(""https://docs.google.com/spreadsheets/d/1_MzZ-2gVPiCW-d2VcafoCmFJQTSrZ6SQyFcMqRRQQ2w/edit?usp=sharing"",""บึงกาฬ!J704"")"),0)</f>
        <v>0</v>
      </c>
      <c r="AE37" s="63">
        <f ca="1">IFERROR(__xludf.DUMMYFUNCTION("IMPORTRANGE(""https://docs.google.com/spreadsheets/d/1_MzZ-2gVPiCW-d2VcafoCmFJQTSrZ6SQyFcMqRRQQ2w/edit?usp=sharing"",""บึงกาฬ!J705"")"),0)</f>
        <v>0</v>
      </c>
      <c r="AF37" s="63">
        <f ca="1">IFERROR(__xludf.DUMMYFUNCTION("IMPORTRANGE(""https://docs.google.com/spreadsheets/d/1_MzZ-2gVPiCW-d2VcafoCmFJQTSrZ6SQyFcMqRRQQ2w/edit?usp=sharing"",""บึงกาฬ!J706"")"),0)</f>
        <v>0</v>
      </c>
      <c r="AG37" s="63">
        <f ca="1">IFERROR(__xludf.DUMMYFUNCTION("IMPORTRANGE(""https://docs.google.com/spreadsheets/d/1_MzZ-2gVPiCW-d2VcafoCmFJQTSrZ6SQyFcMqRRQQ2w/edit?usp=sharing"",""บึงกาฬ!J707"")"),0)</f>
        <v>0</v>
      </c>
      <c r="AH37" s="57">
        <f ca="1">IFERROR(__xludf.DUMMYFUNCTION("IMPORTRANGE(""https://docs.google.com/spreadsheets/d/1_MzZ-2gVPiCW-d2VcafoCmFJQTSrZ6SQyFcMqRRQQ2w/edit?usp=sharing"",""บึงกาฬ!I708"")"),0)</f>
        <v>0</v>
      </c>
      <c r="AI37" s="57">
        <f ca="1">IFERROR(__xludf.DUMMYFUNCTION("IMPORTRANGE(""https://docs.google.com/spreadsheets/d/1_MzZ-2gVPiCW-d2VcafoCmFJQTSrZ6SQyFcMqRRQQ2w/edit?usp=sharing"",""บึงกาฬ!J708"")"),0)</f>
        <v>0</v>
      </c>
      <c r="AJ37" s="63">
        <f t="shared" ca="1" si="37"/>
        <v>0</v>
      </c>
      <c r="AK37" s="57">
        <f ca="1">IFERROR(__xludf.DUMMYFUNCTION("IMPORTRANGE(""https://docs.google.com/spreadsheets/d/1_MzZ-2gVPiCW-d2VcafoCmFJQTSrZ6SQyFcMqRRQQ2w/edit?usp=sharing"",""บึงกาฬ!J709"")"),0)</f>
        <v>0</v>
      </c>
      <c r="AL37" s="57">
        <f ca="1">IFERROR(__xludf.DUMMYFUNCTION("IMPORTRANGE(""https://docs.google.com/spreadsheets/d/1_MzZ-2gVPiCW-d2VcafoCmFJQTSrZ6SQyFcMqRRQQ2w/edit?usp=sharing"",""บึงกาฬ!J710"")"),0)</f>
        <v>0</v>
      </c>
      <c r="AM37" s="57">
        <f ca="1">IFERROR(__xludf.DUMMYFUNCTION("IMPORTRANGE(""https://docs.google.com/spreadsheets/d/1_MzZ-2gVPiCW-d2VcafoCmFJQTSrZ6SQyFcMqRRQQ2w/edit?usp=sharing"",""บึงกาฬ!J712"")"),0)</f>
        <v>0</v>
      </c>
      <c r="AN37" s="57">
        <f ca="1">IFERROR(__xludf.DUMMYFUNCTION("IMPORTRANGE(""https://docs.google.com/spreadsheets/d/1_MzZ-2gVPiCW-d2VcafoCmFJQTSrZ6SQyFcMqRRQQ2w/edit?usp=sharing"",""บึงกาฬ!J713"")"),0)</f>
        <v>0</v>
      </c>
      <c r="AO37" s="57">
        <f ca="1">IFERROR(__xludf.DUMMYFUNCTION("IMPORTRANGE(""https://docs.google.com/spreadsheets/d/1_MzZ-2gVPiCW-d2VcafoCmFJQTSrZ6SQyFcMqRRQQ2w/edit?usp=sharing"",""บึงกาฬ!J714"")"),0)</f>
        <v>0</v>
      </c>
      <c r="AP37" s="57">
        <f ca="1">IFERROR(__xludf.DUMMYFUNCTION("IMPORTRANGE(""https://docs.google.com/spreadsheets/d/1_MzZ-2gVPiCW-d2VcafoCmFJQTSrZ6SQyFcMqRRQQ2w/edit?usp=sharing"",""บึงกาฬ!J715"")"),0)</f>
        <v>0</v>
      </c>
      <c r="AQ37" s="57">
        <f ca="1">IFERROR(__xludf.DUMMYFUNCTION("IMPORTRANGE(""https://docs.google.com/spreadsheets/d/1_MzZ-2gVPiCW-d2VcafoCmFJQTSrZ6SQyFcMqRRQQ2w/edit?usp=sharing"",""บึงกาฬ!J716"")"),0)</f>
        <v>0</v>
      </c>
      <c r="AR37" s="57">
        <f ca="1">IFERROR(__xludf.DUMMYFUNCTION("IMPORTRANGE(""https://docs.google.com/spreadsheets/d/1_MzZ-2gVPiCW-d2VcafoCmFJQTSrZ6SQyFcMqRRQQ2w/edit?usp=sharing"",""บึงกาฬ!J717"")"),0)</f>
        <v>0</v>
      </c>
      <c r="AS37" s="57">
        <f ca="1">IFERROR(__xludf.DUMMYFUNCTION("IMPORTRANGE(""https://docs.google.com/spreadsheets/d/1_MzZ-2gVPiCW-d2VcafoCmFJQTSrZ6SQyFcMqRRQQ2w/edit?usp=sharing"",""บึงกาฬ!I720"")"),0)</f>
        <v>0</v>
      </c>
      <c r="AT37" s="57">
        <f ca="1">IFERROR(__xludf.DUMMYFUNCTION("IMPORTRANGE(""https://docs.google.com/spreadsheets/d/1_MzZ-2gVPiCW-d2VcafoCmFJQTSrZ6SQyFcMqRRQQ2w/edit?usp=sharing"",""บึงกาฬ!J718"")"),0)</f>
        <v>0</v>
      </c>
      <c r="AU37" s="57">
        <f ca="1">IFERROR(__xludf.DUMMYFUNCTION("IMPORTRANGE(""https://docs.google.com/spreadsheets/d/1_MzZ-2gVPiCW-d2VcafoCmFJQTSrZ6SQyFcMqRRQQ2w/edit?usp=sharing"",""บึงกาฬ!J719"")"),0)</f>
        <v>0</v>
      </c>
      <c r="AV37" s="57">
        <f ca="1">IFERROR(__xludf.DUMMYFUNCTION("IMPORTRANGE(""https://docs.google.com/spreadsheets/d/1_MzZ-2gVPiCW-d2VcafoCmFJQTSrZ6SQyFcMqRRQQ2w/edit?usp=sharing"",""บึงกาฬ!J720"")"),0)</f>
        <v>0</v>
      </c>
      <c r="AW37" s="63">
        <f t="shared" ca="1" si="14"/>
        <v>0</v>
      </c>
      <c r="AX37" s="57">
        <f ca="1">IFERROR(__xludf.DUMMYFUNCTION("IMPORTRANGE(""https://docs.google.com/spreadsheets/d/1_MzZ-2gVPiCW-d2VcafoCmFJQTSrZ6SQyFcMqRRQQ2w/edit?usp=sharing"",""บึงกาฬ!I721"")"),0)</f>
        <v>0</v>
      </c>
      <c r="AY37" s="57">
        <f ca="1">IFERROR(__xludf.DUMMYFUNCTION("IMPORTRANGE(""https://docs.google.com/spreadsheets/d/1_MzZ-2gVPiCW-d2VcafoCmFJQTSrZ6SQyFcMqRRQQ2w/edit?usp=sharing"",""บึงกาฬ!I722"")"),0)</f>
        <v>0</v>
      </c>
      <c r="AZ37" s="57">
        <f ca="1">IFERROR(__xludf.DUMMYFUNCTION("IMPORTRANGE(""https://docs.google.com/spreadsheets/d/1_MzZ-2gVPiCW-d2VcafoCmFJQTSrZ6SQyFcMqRRQQ2w/edit?usp=sharing"",""บึงกาฬ!J721"")"),0)</f>
        <v>0</v>
      </c>
      <c r="BA37" s="63">
        <f t="shared" ca="1" si="16"/>
        <v>0</v>
      </c>
      <c r="BB37" s="57">
        <f ca="1">IFERROR(__xludf.DUMMYFUNCTION("IMPORTRANGE(""https://docs.google.com/spreadsheets/d/1_MzZ-2gVPiCW-d2VcafoCmFJQTSrZ6SQyFcMqRRQQ2w/edit?usp=sharing"",""บึงกาฬ!J722"")"),0)</f>
        <v>0</v>
      </c>
      <c r="BC37" s="63">
        <f t="shared" ca="1" si="17"/>
        <v>0</v>
      </c>
      <c r="BD37" s="57">
        <f ca="1">IFERROR(__xludf.DUMMYFUNCTION("IMPORTRANGE(""https://docs.google.com/spreadsheets/d/1_MzZ-2gVPiCW-d2VcafoCmFJQTSrZ6SQyFcMqRRQQ2w/edit?usp=sharing"",""บึงกาฬ!I723"")"),0)</f>
        <v>0</v>
      </c>
      <c r="BE37" s="57">
        <f ca="1">IFERROR(__xludf.DUMMYFUNCTION("IMPORTRANGE(""https://docs.google.com/spreadsheets/d/1_MzZ-2gVPiCW-d2VcafoCmFJQTSrZ6SQyFcMqRRQQ2w/edit?usp=sharing"",""บึงกาฬ!I725"")"),0)</f>
        <v>0</v>
      </c>
      <c r="BF37" s="57">
        <f ca="1">IFERROR(__xludf.DUMMYFUNCTION("IMPORTRANGE(""https://docs.google.com/spreadsheets/d/1_MzZ-2gVPiCW-d2VcafoCmFJQTSrZ6SQyFcMqRRQQ2w/edit?usp=sharing"",""บึงกาฬ!J723"")"),0)</f>
        <v>0</v>
      </c>
      <c r="BG37" s="57">
        <f ca="1">IFERROR(__xludf.DUMMYFUNCTION("IMPORTRANGE(""https://docs.google.com/spreadsheets/d/1_MzZ-2gVPiCW-d2VcafoCmFJQTSrZ6SQyFcMqRRQQ2w/edit?usp=sharing"",""บึงกาฬ!J724"")"),0)</f>
        <v>0</v>
      </c>
      <c r="BH37" s="57">
        <f ca="1">IFERROR(__xludf.DUMMYFUNCTION("IMPORTRANGE(""https://docs.google.com/spreadsheets/d/1_MzZ-2gVPiCW-d2VcafoCmFJQTSrZ6SQyFcMqRRQQ2w/edit?usp=sharing"",""บึงกาฬ!J725"")"),0)</f>
        <v>0</v>
      </c>
      <c r="BI37" s="57">
        <f ca="1">IFERROR(__xludf.DUMMYFUNCTION("IMPORTRANGE(""https://docs.google.com/spreadsheets/d/1_MzZ-2gVPiCW-d2VcafoCmFJQTSrZ6SQyFcMqRRQQ2w/edit?usp=sharing"",""บึงกาฬ!I726"")"),0)</f>
        <v>0</v>
      </c>
      <c r="BJ37" s="57">
        <f ca="1">IFERROR(__xludf.DUMMYFUNCTION("IMPORTRANGE(""https://docs.google.com/spreadsheets/d/1_MzZ-2gVPiCW-d2VcafoCmFJQTSrZ6SQyFcMqRRQQ2w/edit?usp=sharing"",""บึงกาฬ!I728"")"),0)</f>
        <v>0</v>
      </c>
      <c r="BK37" s="57">
        <f ca="1">IFERROR(__xludf.DUMMYFUNCTION("IMPORTRANGE(""https://docs.google.com/spreadsheets/d/1_MzZ-2gVPiCW-d2VcafoCmFJQTSrZ6SQyFcMqRRQQ2w/edit?usp=sharing"",""บึงกาฬ!J726"")"),0)</f>
        <v>0</v>
      </c>
      <c r="BL37" s="57">
        <f ca="1">IFERROR(__xludf.DUMMYFUNCTION("IMPORTRANGE(""https://docs.google.com/spreadsheets/d/1_MzZ-2gVPiCW-d2VcafoCmFJQTSrZ6SQyFcMqRRQQ2w/edit?usp=sharing"",""บึงกาฬ!J727"")"),0)</f>
        <v>0</v>
      </c>
      <c r="BM37" s="57">
        <f ca="1">IFERROR(__xludf.DUMMYFUNCTION("IMPORTRANGE(""https://docs.google.com/spreadsheets/d/1_MzZ-2gVPiCW-d2VcafoCmFJQTSrZ6SQyFcMqRRQQ2w/edit?usp=sharing"",""บึงกาฬ!J728"")"),0)</f>
        <v>0</v>
      </c>
      <c r="BN37" s="57">
        <f ca="1">IFERROR(__xludf.DUMMYFUNCTION("IMPORTRANGE(""https://docs.google.com/spreadsheets/d/1_MzZ-2gVPiCW-d2VcafoCmFJQTSrZ6SQyFcMqRRQQ2w/edit?usp=sharing"",""บึงกาฬ!I729"")"),0)</f>
        <v>0</v>
      </c>
      <c r="BO37" s="57">
        <f ca="1">IFERROR(__xludf.DUMMYFUNCTION("IMPORTRANGE(""https://docs.google.com/spreadsheets/d/1_MzZ-2gVPiCW-d2VcafoCmFJQTSrZ6SQyFcMqRRQQ2w/edit?usp=sharing"",""บึงกาฬ!J729"")"),0)</f>
        <v>0</v>
      </c>
      <c r="BP37" s="63">
        <f t="shared" ca="1" si="19"/>
        <v>0</v>
      </c>
      <c r="BQ37" s="57">
        <f ca="1">IFERROR(__xludf.DUMMYFUNCTION("IMPORTRANGE(""https://docs.google.com/spreadsheets/d/1_MzZ-2gVPiCW-d2VcafoCmFJQTSrZ6SQyFcMqRRQQ2w/edit?usp=sharing"",""บึงกาฬ!J730"")"),0)</f>
        <v>0</v>
      </c>
      <c r="BR37" s="57">
        <f ca="1">IFERROR(__xludf.DUMMYFUNCTION("IMPORTRANGE(""https://docs.google.com/spreadsheets/d/1_MzZ-2gVPiCW-d2VcafoCmFJQTSrZ6SQyFcMqRRQQ2w/edit?usp=sharing"",""บึงกาฬ!J731"")"),0)</f>
        <v>0</v>
      </c>
      <c r="BS37" s="57">
        <f ca="1">IFERROR(__xludf.DUMMYFUNCTION("IMPORTRANGE(""https://docs.google.com/spreadsheets/d/1_MzZ-2gVPiCW-d2VcafoCmFJQTSrZ6SQyFcMqRRQQ2w/edit?usp=sharing"",""บึงกาฬ!J732"")"),0)</f>
        <v>0</v>
      </c>
      <c r="BT37" s="57">
        <f ca="1">IFERROR(__xludf.DUMMYFUNCTION("IMPORTRANGE(""https://docs.google.com/spreadsheets/d/1_MzZ-2gVPiCW-d2VcafoCmFJQTSrZ6SQyFcMqRRQQ2w/edit?usp=sharing"",""บึงกาฬ!J733"")"),0)</f>
        <v>0</v>
      </c>
      <c r="BU37" s="57">
        <f ca="1">IFERROR(__xludf.DUMMYFUNCTION("IMPORTRANGE(""https://docs.google.com/spreadsheets/d/1_MzZ-2gVPiCW-d2VcafoCmFJQTSrZ6SQyFcMqRRQQ2w/edit?usp=sharing"",""บึงกาฬ!J734"")"),0)</f>
        <v>0</v>
      </c>
      <c r="BV37" s="57">
        <f ca="1">IFERROR(__xludf.DUMMYFUNCTION("IMPORTRANGE(""https://docs.google.com/spreadsheets/d/1_MzZ-2gVPiCW-d2VcafoCmFJQTSrZ6SQyFcMqRRQQ2w/edit?usp=sharing"",""บึงกาฬ!J735"")"),0)</f>
        <v>0</v>
      </c>
    </row>
    <row r="38" spans="1:74" ht="21" customHeight="1" x14ac:dyDescent="0.3">
      <c r="A38" s="54">
        <v>7</v>
      </c>
      <c r="B38" s="55" t="s">
        <v>59</v>
      </c>
      <c r="C38" s="56">
        <f t="shared" ca="1" si="63"/>
        <v>69210</v>
      </c>
      <c r="D38" s="57">
        <f ca="1">IFERROR(__xludf.DUMMYFUNCTION("IMPORTRANGE(""https://docs.google.com/spreadsheets/d/1B3lPpzOuaNwVItLwLEZYl_qEblfcx7dRnbRkAw0l-pE/edit?usp=sharing"",""บุรีรัมย์!L690"")"),69210)</f>
        <v>69210</v>
      </c>
      <c r="E38" s="64">
        <f ca="1">IFERROR(__xludf.DUMMYFUNCTION("IMPORTRANGE(""https://docs.google.com/spreadsheets/d/1B3lPpzOuaNwVItLwLEZYl_qEblfcx7dRnbRkAw0l-pE/edit?usp=sharing"",""บุรีรัมย์!L697"")"),0)</f>
        <v>0</v>
      </c>
      <c r="F38" s="64">
        <f ca="1">IFERROR(__xludf.DUMMYFUNCTION("IMPORTRANGE(""https://docs.google.com/spreadsheets/d/1B3lPpzOuaNwVItLwLEZYl_qEblfcx7dRnbRkAw0l-pE/edit?usp=sharing"",""บุรีรัมย์!M690"")"),69210)</f>
        <v>69210</v>
      </c>
      <c r="G38" s="64">
        <f ca="1">IFERROR(__xludf.DUMMYFUNCTION("IMPORTRANGE(""https://docs.google.com/spreadsheets/d/1B3lPpzOuaNwVItLwLEZYl_qEblfcx7dRnbRkAw0l-pE/edit?usp=sharing"",""บุรีรัมย์!M697"")"),0)</f>
        <v>0</v>
      </c>
      <c r="H38" s="58">
        <f t="shared" ca="1" si="33"/>
        <v>36729</v>
      </c>
      <c r="I38" s="59">
        <f t="shared" ca="1" si="1"/>
        <v>53.068920676202858</v>
      </c>
      <c r="J38" s="60">
        <f t="shared" ca="1" si="64"/>
        <v>36729</v>
      </c>
      <c r="K38" s="61">
        <f t="shared" ca="1" si="39"/>
        <v>53.068920676202858</v>
      </c>
      <c r="L38" s="61">
        <f t="shared" ca="1" si="40"/>
        <v>53.068920676202858</v>
      </c>
      <c r="M38" s="64">
        <f ca="1">IFERROR(__xludf.DUMMYFUNCTION("IMPORTRANGE(""https://docs.google.com/spreadsheets/d/1B3lPpzOuaNwVItLwLEZYl_qEblfcx7dRnbRkAw0l-pE/edit?usp=sharing"",""บุรีรัมย์!N691"")"),0)</f>
        <v>0</v>
      </c>
      <c r="N38" s="64">
        <f ca="1">IFERROR(__xludf.DUMMYFUNCTION("IMPORTRANGE(""https://docs.google.com/spreadsheets/d/1B3lPpzOuaNwVItLwLEZYl_qEblfcx7dRnbRkAw0l-pE/edit?usp=sharing"",""บุรีรัมย์!N692"")"),0)</f>
        <v>0</v>
      </c>
      <c r="O38" s="64">
        <f ca="1">IFERROR(__xludf.DUMMYFUNCTION("IMPORTRANGE(""https://docs.google.com/spreadsheets/d/1B3lPpzOuaNwVItLwLEZYl_qEblfcx7dRnbRkAw0l-pE/edit?usp=sharing"",""บุรีรัมย์!N693"")"),0)</f>
        <v>0</v>
      </c>
      <c r="P38" s="64">
        <f ca="1">IFERROR(__xludf.DUMMYFUNCTION("IMPORTRANGE(""https://docs.google.com/spreadsheets/d/1B3lPpzOuaNwVItLwLEZYl_qEblfcx7dRnbRkAw0l-pE/edit?usp=sharing"",""บุรีรัมย์!N694"")"),36729)</f>
        <v>36729</v>
      </c>
      <c r="Q38" s="62">
        <f ca="1">IFERROR(__xludf.DUMMYFUNCTION("IMPORTRANGE(""https://docs.google.com/spreadsheets/d/1B3lPpzOuaNwVItLwLEZYl_qEblfcx7dRnbRkAw0l-pE/edit?usp=sharing"",""บุรีรัมย์!N697"")"),0)</f>
        <v>0</v>
      </c>
      <c r="R38" s="62">
        <f t="shared" ca="1" si="42"/>
        <v>0</v>
      </c>
      <c r="S38" s="57">
        <f ca="1">IFERROR(__xludf.DUMMYFUNCTION("IMPORTRANGE(""https://docs.google.com/spreadsheets/d/1B3lPpzOuaNwVItLwLEZYl_qEblfcx7dRnbRkAw0l-pE/edit?usp=sharing"",""บุรีรัมย์!I699"")"),0)</f>
        <v>0</v>
      </c>
      <c r="T38" s="57">
        <f ca="1">IFERROR(__xludf.DUMMYFUNCTION("IMPORTRANGE(""https://docs.google.com/spreadsheets/d/1B3lPpzOuaNwVItLwLEZYl_qEblfcx7dRnbRkAw0l-pE/edit?usp=sharing"",""บุรีรัมย์!J699"")"),0)</f>
        <v>0</v>
      </c>
      <c r="U38" s="63">
        <f t="shared" ca="1" si="34"/>
        <v>0</v>
      </c>
      <c r="V38" s="57">
        <f ca="1">IFERROR(__xludf.DUMMYFUNCTION("IMPORTRANGE(""https://docs.google.com/spreadsheets/d/1B3lPpzOuaNwVItLwLEZYl_qEblfcx7dRnbRkAw0l-pE/edit?usp=sharing"",""บุรีรัมย์!I700"")"),0)</f>
        <v>0</v>
      </c>
      <c r="W38" s="57">
        <f ca="1">IFERROR(__xludf.DUMMYFUNCTION("IMPORTRANGE(""https://docs.google.com/spreadsheets/d/1B3lPpzOuaNwVItLwLEZYl_qEblfcx7dRnbRkAw0l-pE/edit?usp=sharing"",""บุรีรัมย์!J700"")"),0)</f>
        <v>0</v>
      </c>
      <c r="X38" s="63">
        <f t="shared" ca="1" si="35"/>
        <v>0</v>
      </c>
      <c r="Y38" s="57">
        <f ca="1">IFERROR(__xludf.DUMMYFUNCTION("IMPORTRANGE(""https://docs.google.com/spreadsheets/d/1B3lPpzOuaNwVItLwLEZYl_qEblfcx7dRnbRkAw0l-pE/edit?usp=sharing"",""บุรีรัมย์!I701"")"),10)</f>
        <v>10</v>
      </c>
      <c r="Z38" s="57">
        <f ca="1">IFERROR(__xludf.DUMMYFUNCTION("IMPORTRANGE(""https://docs.google.com/spreadsheets/d/1B3lPpzOuaNwVItLwLEZYl_qEblfcx7dRnbRkAw0l-pE/edit?usp=sharing"",""บุรีรัมย์!J701"")"),75)</f>
        <v>75</v>
      </c>
      <c r="AA38" s="63">
        <f t="shared" ca="1" si="36"/>
        <v>750</v>
      </c>
      <c r="AB38" s="63">
        <f ca="1">IFERROR(__xludf.DUMMYFUNCTION("IMPORTRANGE(""https://docs.google.com/spreadsheets/d/1B3lPpzOuaNwVItLwLEZYl_qEblfcx7dRnbRkAw0l-pE/edit?usp=sharing"",""บุรีรัมย์!J702"")"),8)</f>
        <v>8</v>
      </c>
      <c r="AC38" s="63">
        <f ca="1">IFERROR(__xludf.DUMMYFUNCTION("IMPORTRANGE(""https://docs.google.com/spreadsheets/d/1B3lPpzOuaNwVItLwLEZYl_qEblfcx7dRnbRkAw0l-pE/edit?usp=sharing"",""บุรีรัมย์!J703"")"),12)</f>
        <v>12</v>
      </c>
      <c r="AD38" s="63">
        <f ca="1">IFERROR(__xludf.DUMMYFUNCTION("IMPORTRANGE(""https://docs.google.com/spreadsheets/d/1B3lPpzOuaNwVItLwLEZYl_qEblfcx7dRnbRkAw0l-pE/edit?usp=sharing"",""บุรีรัมย์!J704"")"),75)</f>
        <v>75</v>
      </c>
      <c r="AE38" s="63">
        <f ca="1">IFERROR(__xludf.DUMMYFUNCTION("IMPORTRANGE(""https://docs.google.com/spreadsheets/d/1B3lPpzOuaNwVItLwLEZYl_qEblfcx7dRnbRkAw0l-pE/edit?usp=sharing"",""บุรีรัมย์!J705"")"),0)</f>
        <v>0</v>
      </c>
      <c r="AF38" s="63">
        <f ca="1">IFERROR(__xludf.DUMMYFUNCTION("IMPORTRANGE(""https://docs.google.com/spreadsheets/d/1B3lPpzOuaNwVItLwLEZYl_qEblfcx7dRnbRkAw0l-pE/edit?usp=sharing"",""บุรีรัมย์!J706"")"),0)</f>
        <v>0</v>
      </c>
      <c r="AG38" s="63">
        <f ca="1">IFERROR(__xludf.DUMMYFUNCTION("IMPORTRANGE(""https://docs.google.com/spreadsheets/d/1B3lPpzOuaNwVItLwLEZYl_qEblfcx7dRnbRkAw0l-pE/edit?usp=sharing"",""บุรีรัมย์!J707"")"),0)</f>
        <v>0</v>
      </c>
      <c r="AH38" s="57">
        <f ca="1">IFERROR(__xludf.DUMMYFUNCTION("IMPORTRANGE(""https://docs.google.com/spreadsheets/d/1B3lPpzOuaNwVItLwLEZYl_qEblfcx7dRnbRkAw0l-pE/edit?usp=sharing"",""บุรีรัมย์!I708"")"),0)</f>
        <v>0</v>
      </c>
      <c r="AI38" s="57">
        <f ca="1">IFERROR(__xludf.DUMMYFUNCTION("IMPORTRANGE(""https://docs.google.com/spreadsheets/d/1B3lPpzOuaNwVItLwLEZYl_qEblfcx7dRnbRkAw0l-pE/edit?usp=sharing"",""บุรีรัมย์!J708"")"),0)</f>
        <v>0</v>
      </c>
      <c r="AJ38" s="63">
        <f t="shared" ca="1" si="37"/>
        <v>0</v>
      </c>
      <c r="AK38" s="57">
        <f ca="1">IFERROR(__xludf.DUMMYFUNCTION("IMPORTRANGE(""https://docs.google.com/spreadsheets/d/1B3lPpzOuaNwVItLwLEZYl_qEblfcx7dRnbRkAw0l-pE/edit?usp=sharing"",""บุรีรัมย์!J709"")"),0)</f>
        <v>0</v>
      </c>
      <c r="AL38" s="57">
        <f ca="1">IFERROR(__xludf.DUMMYFUNCTION("IMPORTRANGE(""https://docs.google.com/spreadsheets/d/1B3lPpzOuaNwVItLwLEZYl_qEblfcx7dRnbRkAw0l-pE/edit?usp=sharing"",""บุรีรัมย์!J710"")"),0)</f>
        <v>0</v>
      </c>
      <c r="AM38" s="57">
        <f ca="1">IFERROR(__xludf.DUMMYFUNCTION("IMPORTRANGE(""https://docs.google.com/spreadsheets/d/1B3lPpzOuaNwVItLwLEZYl_qEblfcx7dRnbRkAw0l-pE/edit?usp=sharing"",""บุรีรัมย์!J712"")"),0)</f>
        <v>0</v>
      </c>
      <c r="AN38" s="57">
        <f ca="1">IFERROR(__xludf.DUMMYFUNCTION("IMPORTRANGE(""https://docs.google.com/spreadsheets/d/1B3lPpzOuaNwVItLwLEZYl_qEblfcx7dRnbRkAw0l-pE/edit?usp=sharing"",""บุรีรัมย์!J713"")"),0)</f>
        <v>0</v>
      </c>
      <c r="AO38" s="57">
        <f ca="1">IFERROR(__xludf.DUMMYFUNCTION("IMPORTRANGE(""https://docs.google.com/spreadsheets/d/1B3lPpzOuaNwVItLwLEZYl_qEblfcx7dRnbRkAw0l-pE/edit?usp=sharing"",""บุรีรัมย์!J714"")"),0)</f>
        <v>0</v>
      </c>
      <c r="AP38" s="57">
        <f ca="1">IFERROR(__xludf.DUMMYFUNCTION("IMPORTRANGE(""https://docs.google.com/spreadsheets/d/1B3lPpzOuaNwVItLwLEZYl_qEblfcx7dRnbRkAw0l-pE/edit?usp=sharing"",""บุรีรัมย์!J715"")"),0)</f>
        <v>0</v>
      </c>
      <c r="AQ38" s="57">
        <f ca="1">IFERROR(__xludf.DUMMYFUNCTION("IMPORTRANGE(""https://docs.google.com/spreadsheets/d/1B3lPpzOuaNwVItLwLEZYl_qEblfcx7dRnbRkAw0l-pE/edit?usp=sharing"",""บุรีรัมย์!J716"")"),0)</f>
        <v>0</v>
      </c>
      <c r="AR38" s="57">
        <f ca="1">IFERROR(__xludf.DUMMYFUNCTION("IMPORTRANGE(""https://docs.google.com/spreadsheets/d/1B3lPpzOuaNwVItLwLEZYl_qEblfcx7dRnbRkAw0l-pE/edit?usp=sharing"",""บุรีรัมย์!J717"")"),0)</f>
        <v>0</v>
      </c>
      <c r="AS38" s="57">
        <f ca="1">IFERROR(__xludf.DUMMYFUNCTION("IMPORTRANGE(""https://docs.google.com/spreadsheets/d/1B3lPpzOuaNwVItLwLEZYl_qEblfcx7dRnbRkAw0l-pE/edit?usp=sharing"",""บุรีรัมย์!I720"")"),69)</f>
        <v>69</v>
      </c>
      <c r="AT38" s="57">
        <f ca="1">IFERROR(__xludf.DUMMYFUNCTION("IMPORTRANGE(""https://docs.google.com/spreadsheets/d/1B3lPpzOuaNwVItLwLEZYl_qEblfcx7dRnbRkAw0l-pE/edit?usp=sharing"",""บุรีรัมย์!J718"")"),0)</f>
        <v>0</v>
      </c>
      <c r="AU38" s="57">
        <f ca="1">IFERROR(__xludf.DUMMYFUNCTION("IMPORTRANGE(""https://docs.google.com/spreadsheets/d/1B3lPpzOuaNwVItLwLEZYl_qEblfcx7dRnbRkAw0l-pE/edit?usp=sharing"",""บุรีรัมย์!J719"")"),0)</f>
        <v>0</v>
      </c>
      <c r="AV38" s="57">
        <f ca="1">IFERROR(__xludf.DUMMYFUNCTION("IMPORTRANGE(""https://docs.google.com/spreadsheets/d/1B3lPpzOuaNwVItLwLEZYl_qEblfcx7dRnbRkAw0l-pE/edit?usp=sharing"",""บุรีรัมย์!J720"")"),0)</f>
        <v>0</v>
      </c>
      <c r="AW38" s="63">
        <f t="shared" ca="1" si="14"/>
        <v>0</v>
      </c>
      <c r="AX38" s="57">
        <f ca="1">IFERROR(__xludf.DUMMYFUNCTION("IMPORTRANGE(""https://docs.google.com/spreadsheets/d/1B3lPpzOuaNwVItLwLEZYl_qEblfcx7dRnbRkAw0l-pE/edit?usp=sharing"",""บุรีรัมย์!I721"")"),2)</f>
        <v>2</v>
      </c>
      <c r="AY38" s="57">
        <f ca="1">IFERROR(__xludf.DUMMYFUNCTION("IMPORTRANGE(""https://docs.google.com/spreadsheets/d/1B3lPpzOuaNwVItLwLEZYl_qEblfcx7dRnbRkAw0l-pE/edit?usp=sharing"",""บุรีรัมย์!I722"")"),10)</f>
        <v>10</v>
      </c>
      <c r="AZ38" s="57">
        <f ca="1">IFERROR(__xludf.DUMMYFUNCTION("IMPORTRANGE(""https://docs.google.com/spreadsheets/d/1B3lPpzOuaNwVItLwLEZYl_qEblfcx7dRnbRkAw0l-pE/edit?usp=sharing"",""บุรีรัมย์!J721"")"),2)</f>
        <v>2</v>
      </c>
      <c r="BA38" s="63">
        <f t="shared" ca="1" si="16"/>
        <v>100</v>
      </c>
      <c r="BB38" s="57">
        <f ca="1">IFERROR(__xludf.DUMMYFUNCTION("IMPORTRANGE(""https://docs.google.com/spreadsheets/d/1B3lPpzOuaNwVItLwLEZYl_qEblfcx7dRnbRkAw0l-pE/edit?usp=sharing"",""บุรีรัมย์!J722"")"),11.01)</f>
        <v>11.01</v>
      </c>
      <c r="BC38" s="63">
        <f t="shared" ca="1" si="17"/>
        <v>110.1</v>
      </c>
      <c r="BD38" s="57">
        <f ca="1">IFERROR(__xludf.DUMMYFUNCTION("IMPORTRANGE(""https://docs.google.com/spreadsheets/d/1B3lPpzOuaNwVItLwLEZYl_qEblfcx7dRnbRkAw0l-pE/edit?usp=sharing"",""บุรีรัมย์!I723"")"),2)</f>
        <v>2</v>
      </c>
      <c r="BE38" s="57">
        <f ca="1">IFERROR(__xludf.DUMMYFUNCTION("IMPORTRANGE(""https://docs.google.com/spreadsheets/d/1B3lPpzOuaNwVItLwLEZYl_qEblfcx7dRnbRkAw0l-pE/edit?usp=sharing"",""บุรีรัมย์!I725"")"),10)</f>
        <v>10</v>
      </c>
      <c r="BF38" s="57">
        <f ca="1">IFERROR(__xludf.DUMMYFUNCTION("IMPORTRANGE(""https://docs.google.com/spreadsheets/d/1B3lPpzOuaNwVItLwLEZYl_qEblfcx7dRnbRkAw0l-pE/edit?usp=sharing"",""บุรีรัมย์!J723"")"),2)</f>
        <v>2</v>
      </c>
      <c r="BG38" s="57">
        <f ca="1">IFERROR(__xludf.DUMMYFUNCTION("IMPORTRANGE(""https://docs.google.com/spreadsheets/d/1B3lPpzOuaNwVItLwLEZYl_qEblfcx7dRnbRkAw0l-pE/edit?usp=sharing"",""บุรีรัมย์!J724"")"),2)</f>
        <v>2</v>
      </c>
      <c r="BH38" s="57">
        <f ca="1">IFERROR(__xludf.DUMMYFUNCTION("IMPORTRANGE(""https://docs.google.com/spreadsheets/d/1B3lPpzOuaNwVItLwLEZYl_qEblfcx7dRnbRkAw0l-pE/edit?usp=sharing"",""บุรีรัมย์!J725"")"),11.01)</f>
        <v>11.01</v>
      </c>
      <c r="BI38" s="57">
        <f ca="1">IFERROR(__xludf.DUMMYFUNCTION("IMPORTRANGE(""https://docs.google.com/spreadsheets/d/1B3lPpzOuaNwVItLwLEZYl_qEblfcx7dRnbRkAw0l-pE/edit?usp=sharing"",""บุรีรัมย์!I726"")"),0)</f>
        <v>0</v>
      </c>
      <c r="BJ38" s="57">
        <f ca="1">IFERROR(__xludf.DUMMYFUNCTION("IMPORTRANGE(""https://docs.google.com/spreadsheets/d/1B3lPpzOuaNwVItLwLEZYl_qEblfcx7dRnbRkAw0l-pE/edit?usp=sharing"",""บุรีรัมย์!I728"")"),0)</f>
        <v>0</v>
      </c>
      <c r="BK38" s="57">
        <f ca="1">IFERROR(__xludf.DUMMYFUNCTION("IMPORTRANGE(""https://docs.google.com/spreadsheets/d/1B3lPpzOuaNwVItLwLEZYl_qEblfcx7dRnbRkAw0l-pE/edit?usp=sharing"",""บุรีรัมย์!J726"")"),0)</f>
        <v>0</v>
      </c>
      <c r="BL38" s="57">
        <f ca="1">IFERROR(__xludf.DUMMYFUNCTION("IMPORTRANGE(""https://docs.google.com/spreadsheets/d/1B3lPpzOuaNwVItLwLEZYl_qEblfcx7dRnbRkAw0l-pE/edit?usp=sharing"",""บุรีรัมย์!J727"")"),0)</f>
        <v>0</v>
      </c>
      <c r="BM38" s="57">
        <f ca="1">IFERROR(__xludf.DUMMYFUNCTION("IMPORTRANGE(""https://docs.google.com/spreadsheets/d/1B3lPpzOuaNwVItLwLEZYl_qEblfcx7dRnbRkAw0l-pE/edit?usp=sharing"",""บุรีรัมย์!J728"")"),0)</f>
        <v>0</v>
      </c>
      <c r="BN38" s="57">
        <f ca="1">IFERROR(__xludf.DUMMYFUNCTION("IMPORTRANGE(""https://docs.google.com/spreadsheets/d/1B3lPpzOuaNwVItLwLEZYl_qEblfcx7dRnbRkAw0l-pE/edit?usp=sharing"",""บุรีรัมย์!I729"")"),657)</f>
        <v>657</v>
      </c>
      <c r="BO38" s="57">
        <f ca="1">IFERROR(__xludf.DUMMYFUNCTION("IMPORTRANGE(""https://docs.google.com/spreadsheets/d/1B3lPpzOuaNwVItLwLEZYl_qEblfcx7dRnbRkAw0l-pE/edit?usp=sharing"",""บุรีรัมย์!J729"")"),333)</f>
        <v>333</v>
      </c>
      <c r="BP38" s="63">
        <f t="shared" ca="1" si="19"/>
        <v>50.684931506849317</v>
      </c>
      <c r="BQ38" s="57">
        <f ca="1">IFERROR(__xludf.DUMMYFUNCTION("IMPORTRANGE(""https://docs.google.com/spreadsheets/d/1B3lPpzOuaNwVItLwLEZYl_qEblfcx7dRnbRkAw0l-pE/edit?usp=sharing"",""บุรีรัมย์!J730"")"),0)</f>
        <v>0</v>
      </c>
      <c r="BR38" s="57">
        <f ca="1">IFERROR(__xludf.DUMMYFUNCTION("IMPORTRANGE(""https://docs.google.com/spreadsheets/d/1B3lPpzOuaNwVItLwLEZYl_qEblfcx7dRnbRkAw0l-pE/edit?usp=sharing"",""บุรีรัมย์!J731"")"),0)</f>
        <v>0</v>
      </c>
      <c r="BS38" s="57">
        <f ca="1">IFERROR(__xludf.DUMMYFUNCTION("IMPORTRANGE(""https://docs.google.com/spreadsheets/d/1B3lPpzOuaNwVItLwLEZYl_qEblfcx7dRnbRkAw0l-pE/edit?usp=sharing"",""บุรีรัมย์!J732"")"),0)</f>
        <v>0</v>
      </c>
      <c r="BT38" s="57">
        <f ca="1">IFERROR(__xludf.DUMMYFUNCTION("IMPORTRANGE(""https://docs.google.com/spreadsheets/d/1B3lPpzOuaNwVItLwLEZYl_qEblfcx7dRnbRkAw0l-pE/edit?usp=sharing"",""บุรีรัมย์!J733"")"),46)</f>
        <v>46</v>
      </c>
      <c r="BU38" s="57">
        <f ca="1">IFERROR(__xludf.DUMMYFUNCTION("IMPORTRANGE(""https://docs.google.com/spreadsheets/d/1B3lPpzOuaNwVItLwLEZYl_qEblfcx7dRnbRkAw0l-pE/edit?usp=sharing"",""บุรีรัมย์!J734"")"),60)</f>
        <v>60</v>
      </c>
      <c r="BV38" s="57">
        <f ca="1">IFERROR(__xludf.DUMMYFUNCTION("IMPORTRANGE(""https://docs.google.com/spreadsheets/d/1B3lPpzOuaNwVItLwLEZYl_qEblfcx7dRnbRkAw0l-pE/edit?usp=sharing"",""บุรีรัมย์!J735"")"),333)</f>
        <v>333</v>
      </c>
    </row>
    <row r="39" spans="1:74" ht="21" customHeight="1" x14ac:dyDescent="0.3">
      <c r="A39" s="54">
        <v>8</v>
      </c>
      <c r="B39" s="55" t="s">
        <v>60</v>
      </c>
      <c r="C39" s="56">
        <f t="shared" ca="1" si="63"/>
        <v>0</v>
      </c>
      <c r="D39" s="57">
        <f ca="1">IFERROR(__xludf.DUMMYFUNCTION("IMPORTRANGE(""https://docs.google.com/spreadsheets/d/19GOkiOqnzYbevLYWrMk4qFOXe3rX14BkSA8X-mq-a40/edit?usp=sharing"",""มหาสารคาม!L690"")"),0)</f>
        <v>0</v>
      </c>
      <c r="E39" s="64">
        <f ca="1">IFERROR(__xludf.DUMMYFUNCTION("IMPORTRANGE(""https://docs.google.com/spreadsheets/d/19GOkiOqnzYbevLYWrMk4qFOXe3rX14BkSA8X-mq-a40/edit?usp=sharing"",""มหาสารคาม!L697"")"),0)</f>
        <v>0</v>
      </c>
      <c r="F39" s="64">
        <f ca="1">IFERROR(__xludf.DUMMYFUNCTION("IMPORTRANGE(""https://docs.google.com/spreadsheets/d/19GOkiOqnzYbevLYWrMk4qFOXe3rX14BkSA8X-mq-a40/edit?usp=sharing"",""มหาสารคาม!M690"")"),0)</f>
        <v>0</v>
      </c>
      <c r="G39" s="64">
        <f ca="1">IFERROR(__xludf.DUMMYFUNCTION("IMPORTRANGE(""https://docs.google.com/spreadsheets/d/19GOkiOqnzYbevLYWrMk4qFOXe3rX14BkSA8X-mq-a40/edit?usp=sharing"",""มหาสารคาม!M697"")"),0)</f>
        <v>0</v>
      </c>
      <c r="H39" s="58">
        <f t="shared" ca="1" si="33"/>
        <v>0</v>
      </c>
      <c r="I39" s="59">
        <f t="shared" ca="1" si="1"/>
        <v>0</v>
      </c>
      <c r="J39" s="60">
        <f t="shared" ca="1" si="64"/>
        <v>0</v>
      </c>
      <c r="K39" s="61">
        <f t="shared" ca="1" si="39"/>
        <v>0</v>
      </c>
      <c r="L39" s="61">
        <f t="shared" ca="1" si="40"/>
        <v>0</v>
      </c>
      <c r="M39" s="64">
        <f ca="1">IFERROR(__xludf.DUMMYFUNCTION("IMPORTRANGE(""https://docs.google.com/spreadsheets/d/19GOkiOqnzYbevLYWrMk4qFOXe3rX14BkSA8X-mq-a40/edit?usp=sharing"",""มหาสารคาม!N691"")"),0)</f>
        <v>0</v>
      </c>
      <c r="N39" s="64">
        <f ca="1">IFERROR(__xludf.DUMMYFUNCTION("IMPORTRANGE(""https://docs.google.com/spreadsheets/d/19GOkiOqnzYbevLYWrMk4qFOXe3rX14BkSA8X-mq-a40/edit?usp=sharing"",""มหาสารคาม!N692"")"),0)</f>
        <v>0</v>
      </c>
      <c r="O39" s="64">
        <f ca="1">IFERROR(__xludf.DUMMYFUNCTION("IMPORTRANGE(""https://docs.google.com/spreadsheets/d/19GOkiOqnzYbevLYWrMk4qFOXe3rX14BkSA8X-mq-a40/edit?usp=sharing"",""มหาสารคาม!N693"")"),0)</f>
        <v>0</v>
      </c>
      <c r="P39" s="64">
        <f ca="1">IFERROR(__xludf.DUMMYFUNCTION("IMPORTRANGE(""https://docs.google.com/spreadsheets/d/19GOkiOqnzYbevLYWrMk4qFOXe3rX14BkSA8X-mq-a40/edit?usp=sharing"",""มหาสารคาม!N694"")"),0)</f>
        <v>0</v>
      </c>
      <c r="Q39" s="62">
        <f ca="1">IFERROR(__xludf.DUMMYFUNCTION("IMPORTRANGE(""https://docs.google.com/spreadsheets/d/19GOkiOqnzYbevLYWrMk4qFOXe3rX14BkSA8X-mq-a40/edit?usp=sharing"",""มหาสารคาม!N697"")"),0)</f>
        <v>0</v>
      </c>
      <c r="R39" s="62">
        <f t="shared" ca="1" si="42"/>
        <v>0</v>
      </c>
      <c r="S39" s="57">
        <f ca="1">IFERROR(__xludf.DUMMYFUNCTION("IMPORTRANGE(""https://docs.google.com/spreadsheets/d/19GOkiOqnzYbevLYWrMk4qFOXe3rX14BkSA8X-mq-a40/edit?usp=sharing"",""มหาสารคาม!I699"")"),0)</f>
        <v>0</v>
      </c>
      <c r="T39" s="57">
        <f ca="1">IFERROR(__xludf.DUMMYFUNCTION("IMPORTRANGE(""https://docs.google.com/spreadsheets/d/19GOkiOqnzYbevLYWrMk4qFOXe3rX14BkSA8X-mq-a40/edit?usp=sharing"",""มหาสารคาม!J699"")"),0)</f>
        <v>0</v>
      </c>
      <c r="U39" s="63">
        <f t="shared" ca="1" si="34"/>
        <v>0</v>
      </c>
      <c r="V39" s="57">
        <f ca="1">IFERROR(__xludf.DUMMYFUNCTION("IMPORTRANGE(""https://docs.google.com/spreadsheets/d/19GOkiOqnzYbevLYWrMk4qFOXe3rX14BkSA8X-mq-a40/edit?usp=sharing"",""มหาสารคาม!I700"")"),0)</f>
        <v>0</v>
      </c>
      <c r="W39" s="57">
        <f ca="1">IFERROR(__xludf.DUMMYFUNCTION("IMPORTRANGE(""https://docs.google.com/spreadsheets/d/19GOkiOqnzYbevLYWrMk4qFOXe3rX14BkSA8X-mq-a40/edit?usp=sharing"",""มหาสารคาม!J700"")"),0)</f>
        <v>0</v>
      </c>
      <c r="X39" s="63">
        <f t="shared" ca="1" si="35"/>
        <v>0</v>
      </c>
      <c r="Y39" s="57">
        <f ca="1">IFERROR(__xludf.DUMMYFUNCTION("IMPORTRANGE(""https://docs.google.com/spreadsheets/d/19GOkiOqnzYbevLYWrMk4qFOXe3rX14BkSA8X-mq-a40/edit?usp=sharing"",""มหาสารคาม!I701"")"),0)</f>
        <v>0</v>
      </c>
      <c r="Z39" s="57">
        <f ca="1">IFERROR(__xludf.DUMMYFUNCTION("IMPORTRANGE(""https://docs.google.com/spreadsheets/d/19GOkiOqnzYbevLYWrMk4qFOXe3rX14BkSA8X-mq-a40/edit?usp=sharing"",""มหาสารคาม!J701"")"),0)</f>
        <v>0</v>
      </c>
      <c r="AA39" s="63">
        <f t="shared" ca="1" si="36"/>
        <v>0</v>
      </c>
      <c r="AB39" s="63">
        <f ca="1">IFERROR(__xludf.DUMMYFUNCTION("IMPORTRANGE(""https://docs.google.com/spreadsheets/d/19GOkiOqnzYbevLYWrMk4qFOXe3rX14BkSA8X-mq-a40/edit?usp=sharing"",""มหาสารคาม!J702"")"),0)</f>
        <v>0</v>
      </c>
      <c r="AC39" s="63">
        <f ca="1">IFERROR(__xludf.DUMMYFUNCTION("IMPORTRANGE(""https://docs.google.com/spreadsheets/d/19GOkiOqnzYbevLYWrMk4qFOXe3rX14BkSA8X-mq-a40/edit?usp=sharing"",""มหาสารคาม!J703"")"),0)</f>
        <v>0</v>
      </c>
      <c r="AD39" s="63">
        <f ca="1">IFERROR(__xludf.DUMMYFUNCTION("IMPORTRANGE(""https://docs.google.com/spreadsheets/d/19GOkiOqnzYbevLYWrMk4qFOXe3rX14BkSA8X-mq-a40/edit?usp=sharing"",""มหาสารคาม!J704"")"),0)</f>
        <v>0</v>
      </c>
      <c r="AE39" s="63">
        <f ca="1">IFERROR(__xludf.DUMMYFUNCTION("IMPORTRANGE(""https://docs.google.com/spreadsheets/d/19GOkiOqnzYbevLYWrMk4qFOXe3rX14BkSA8X-mq-a40/edit?usp=sharing"",""มหาสารคาม!J705"")"),0)</f>
        <v>0</v>
      </c>
      <c r="AF39" s="63">
        <f ca="1">IFERROR(__xludf.DUMMYFUNCTION("IMPORTRANGE(""https://docs.google.com/spreadsheets/d/19GOkiOqnzYbevLYWrMk4qFOXe3rX14BkSA8X-mq-a40/edit?usp=sharing"",""มหาสารคาม!J706"")"),0)</f>
        <v>0</v>
      </c>
      <c r="AG39" s="63">
        <f ca="1">IFERROR(__xludf.DUMMYFUNCTION("IMPORTRANGE(""https://docs.google.com/spreadsheets/d/19GOkiOqnzYbevLYWrMk4qFOXe3rX14BkSA8X-mq-a40/edit?usp=sharing"",""มหาสารคาม!J707"")"),0)</f>
        <v>0</v>
      </c>
      <c r="AH39" s="57">
        <f ca="1">IFERROR(__xludf.DUMMYFUNCTION("IMPORTRANGE(""https://docs.google.com/spreadsheets/d/19GOkiOqnzYbevLYWrMk4qFOXe3rX14BkSA8X-mq-a40/edit?usp=sharing"",""มหาสารคาม!I708"")"),0)</f>
        <v>0</v>
      </c>
      <c r="AI39" s="57">
        <f ca="1">IFERROR(__xludf.DUMMYFUNCTION("IMPORTRANGE(""https://docs.google.com/spreadsheets/d/19GOkiOqnzYbevLYWrMk4qFOXe3rX14BkSA8X-mq-a40/edit?usp=sharing"",""มหาสารคาม!J708"")"),0)</f>
        <v>0</v>
      </c>
      <c r="AJ39" s="63">
        <f t="shared" ca="1" si="37"/>
        <v>0</v>
      </c>
      <c r="AK39" s="57">
        <f ca="1">IFERROR(__xludf.DUMMYFUNCTION("IMPORTRANGE(""https://docs.google.com/spreadsheets/d/19GOkiOqnzYbevLYWrMk4qFOXe3rX14BkSA8X-mq-a40/edit?usp=sharing"",""มหาสารคาม!J709"")"),0)</f>
        <v>0</v>
      </c>
      <c r="AL39" s="57">
        <f ca="1">IFERROR(__xludf.DUMMYFUNCTION("IMPORTRANGE(""https://docs.google.com/spreadsheets/d/19GOkiOqnzYbevLYWrMk4qFOXe3rX14BkSA8X-mq-a40/edit?usp=sharing"",""มหาสารคาม!J710"")"),0)</f>
        <v>0</v>
      </c>
      <c r="AM39" s="57">
        <f ca="1">IFERROR(__xludf.DUMMYFUNCTION("IMPORTRANGE(""https://docs.google.com/spreadsheets/d/19GOkiOqnzYbevLYWrMk4qFOXe3rX14BkSA8X-mq-a40/edit?usp=sharing"",""มหาสารคาม!J712"")"),0)</f>
        <v>0</v>
      </c>
      <c r="AN39" s="57">
        <f ca="1">IFERROR(__xludf.DUMMYFUNCTION("IMPORTRANGE(""https://docs.google.com/spreadsheets/d/19GOkiOqnzYbevLYWrMk4qFOXe3rX14BkSA8X-mq-a40/edit?usp=sharing"",""มหาสารคาม!J713"")"),0)</f>
        <v>0</v>
      </c>
      <c r="AO39" s="57">
        <f ca="1">IFERROR(__xludf.DUMMYFUNCTION("IMPORTRANGE(""https://docs.google.com/spreadsheets/d/19GOkiOqnzYbevLYWrMk4qFOXe3rX14BkSA8X-mq-a40/edit?usp=sharing"",""มหาสารคาม!J714"")"),0)</f>
        <v>0</v>
      </c>
      <c r="AP39" s="57">
        <f ca="1">IFERROR(__xludf.DUMMYFUNCTION("IMPORTRANGE(""https://docs.google.com/spreadsheets/d/19GOkiOqnzYbevLYWrMk4qFOXe3rX14BkSA8X-mq-a40/edit?usp=sharing"",""มหาสารคาม!J715"")"),0)</f>
        <v>0</v>
      </c>
      <c r="AQ39" s="57">
        <f ca="1">IFERROR(__xludf.DUMMYFUNCTION("IMPORTRANGE(""https://docs.google.com/spreadsheets/d/19GOkiOqnzYbevLYWrMk4qFOXe3rX14BkSA8X-mq-a40/edit?usp=sharing"",""มหาสารคาม!J716"")"),0)</f>
        <v>0</v>
      </c>
      <c r="AR39" s="57">
        <f ca="1">IFERROR(__xludf.DUMMYFUNCTION("IMPORTRANGE(""https://docs.google.com/spreadsheets/d/19GOkiOqnzYbevLYWrMk4qFOXe3rX14BkSA8X-mq-a40/edit?usp=sharing"",""มหาสารคาม!J717"")"),0)</f>
        <v>0</v>
      </c>
      <c r="AS39" s="57">
        <f ca="1">IFERROR(__xludf.DUMMYFUNCTION("IMPORTRANGE(""https://docs.google.com/spreadsheets/d/19GOkiOqnzYbevLYWrMk4qFOXe3rX14BkSA8X-mq-a40/edit?usp=sharing"",""มหาสารคาม!I720"")"),0)</f>
        <v>0</v>
      </c>
      <c r="AT39" s="57">
        <f ca="1">IFERROR(__xludf.DUMMYFUNCTION("IMPORTRANGE(""https://docs.google.com/spreadsheets/d/19GOkiOqnzYbevLYWrMk4qFOXe3rX14BkSA8X-mq-a40/edit?usp=sharing"",""มหาสารคาม!J718"")"),0)</f>
        <v>0</v>
      </c>
      <c r="AU39" s="57">
        <f ca="1">IFERROR(__xludf.DUMMYFUNCTION("IMPORTRANGE(""https://docs.google.com/spreadsheets/d/19GOkiOqnzYbevLYWrMk4qFOXe3rX14BkSA8X-mq-a40/edit?usp=sharing"",""มหาสารคาม!J719"")"),0)</f>
        <v>0</v>
      </c>
      <c r="AV39" s="57">
        <f ca="1">IFERROR(__xludf.DUMMYFUNCTION("IMPORTRANGE(""https://docs.google.com/spreadsheets/d/19GOkiOqnzYbevLYWrMk4qFOXe3rX14BkSA8X-mq-a40/edit?usp=sharing"",""มหาสารคาม!J720"")"),0)</f>
        <v>0</v>
      </c>
      <c r="AW39" s="63">
        <f t="shared" ca="1" si="14"/>
        <v>0</v>
      </c>
      <c r="AX39" s="57">
        <f ca="1">IFERROR(__xludf.DUMMYFUNCTION("IMPORTRANGE(""https://docs.google.com/spreadsheets/d/19GOkiOqnzYbevLYWrMk4qFOXe3rX14BkSA8X-mq-a40/edit?usp=sharing"",""มหาสารคาม!I721"")"),0)</f>
        <v>0</v>
      </c>
      <c r="AY39" s="57">
        <f ca="1">IFERROR(__xludf.DUMMYFUNCTION("IMPORTRANGE(""https://docs.google.com/spreadsheets/d/19GOkiOqnzYbevLYWrMk4qFOXe3rX14BkSA8X-mq-a40/edit?usp=sharing"",""มหาสารคาม!I722"")"),0)</f>
        <v>0</v>
      </c>
      <c r="AZ39" s="57">
        <f ca="1">IFERROR(__xludf.DUMMYFUNCTION("IMPORTRANGE(""https://docs.google.com/spreadsheets/d/19GOkiOqnzYbevLYWrMk4qFOXe3rX14BkSA8X-mq-a40/edit?usp=sharing"",""มหาสารคาม!J721"")"),0)</f>
        <v>0</v>
      </c>
      <c r="BA39" s="63">
        <f t="shared" ca="1" si="16"/>
        <v>0</v>
      </c>
      <c r="BB39" s="57">
        <f ca="1">IFERROR(__xludf.DUMMYFUNCTION("IMPORTRANGE(""https://docs.google.com/spreadsheets/d/19GOkiOqnzYbevLYWrMk4qFOXe3rX14BkSA8X-mq-a40/edit?usp=sharing"",""มหาสารคาม!J722"")"),0)</f>
        <v>0</v>
      </c>
      <c r="BC39" s="63">
        <f t="shared" ca="1" si="17"/>
        <v>0</v>
      </c>
      <c r="BD39" s="57">
        <f ca="1">IFERROR(__xludf.DUMMYFUNCTION("IMPORTRANGE(""https://docs.google.com/spreadsheets/d/19GOkiOqnzYbevLYWrMk4qFOXe3rX14BkSA8X-mq-a40/edit?usp=sharing"",""มหาสารคาม!I723"")"),0)</f>
        <v>0</v>
      </c>
      <c r="BE39" s="57">
        <f ca="1">IFERROR(__xludf.DUMMYFUNCTION("IMPORTRANGE(""https://docs.google.com/spreadsheets/d/19GOkiOqnzYbevLYWrMk4qFOXe3rX14BkSA8X-mq-a40/edit?usp=sharing"",""มหาสารคาม!I725"")"),0)</f>
        <v>0</v>
      </c>
      <c r="BF39" s="57">
        <f ca="1">IFERROR(__xludf.DUMMYFUNCTION("IMPORTRANGE(""https://docs.google.com/spreadsheets/d/19GOkiOqnzYbevLYWrMk4qFOXe3rX14BkSA8X-mq-a40/edit?usp=sharing"",""มหาสารคาม!J723"")"),0)</f>
        <v>0</v>
      </c>
      <c r="BG39" s="57">
        <f ca="1">IFERROR(__xludf.DUMMYFUNCTION("IMPORTRANGE(""https://docs.google.com/spreadsheets/d/19GOkiOqnzYbevLYWrMk4qFOXe3rX14BkSA8X-mq-a40/edit?usp=sharing"",""มหาสารคาม!J724"")"),0)</f>
        <v>0</v>
      </c>
      <c r="BH39" s="57">
        <f ca="1">IFERROR(__xludf.DUMMYFUNCTION("IMPORTRANGE(""https://docs.google.com/spreadsheets/d/19GOkiOqnzYbevLYWrMk4qFOXe3rX14BkSA8X-mq-a40/edit?usp=sharing"",""มหาสารคาม!J725"")"),0)</f>
        <v>0</v>
      </c>
      <c r="BI39" s="57">
        <f ca="1">IFERROR(__xludf.DUMMYFUNCTION("IMPORTRANGE(""https://docs.google.com/spreadsheets/d/19GOkiOqnzYbevLYWrMk4qFOXe3rX14BkSA8X-mq-a40/edit?usp=sharing"",""มหาสารคาม!I726"")"),0)</f>
        <v>0</v>
      </c>
      <c r="BJ39" s="57">
        <f ca="1">IFERROR(__xludf.DUMMYFUNCTION("IMPORTRANGE(""https://docs.google.com/spreadsheets/d/19GOkiOqnzYbevLYWrMk4qFOXe3rX14BkSA8X-mq-a40/edit?usp=sharing"",""มหาสารคาม!I728"")"),0)</f>
        <v>0</v>
      </c>
      <c r="BK39" s="57">
        <f ca="1">IFERROR(__xludf.DUMMYFUNCTION("IMPORTRANGE(""https://docs.google.com/spreadsheets/d/19GOkiOqnzYbevLYWrMk4qFOXe3rX14BkSA8X-mq-a40/edit?usp=sharing"",""มหาสารคาม!J726"")"),0)</f>
        <v>0</v>
      </c>
      <c r="BL39" s="57">
        <f ca="1">IFERROR(__xludf.DUMMYFUNCTION("IMPORTRANGE(""https://docs.google.com/spreadsheets/d/19GOkiOqnzYbevLYWrMk4qFOXe3rX14BkSA8X-mq-a40/edit?usp=sharing"",""มหาสารคาม!J727"")"),0)</f>
        <v>0</v>
      </c>
      <c r="BM39" s="57">
        <f ca="1">IFERROR(__xludf.DUMMYFUNCTION("IMPORTRANGE(""https://docs.google.com/spreadsheets/d/19GOkiOqnzYbevLYWrMk4qFOXe3rX14BkSA8X-mq-a40/edit?usp=sharing"",""มหาสารคาม!J728"")"),0)</f>
        <v>0</v>
      </c>
      <c r="BN39" s="57">
        <f ca="1">IFERROR(__xludf.DUMMYFUNCTION("IMPORTRANGE(""https://docs.google.com/spreadsheets/d/19GOkiOqnzYbevLYWrMk4qFOXe3rX14BkSA8X-mq-a40/edit?usp=sharing"",""มหาสารคาม!I729"")"),0)</f>
        <v>0</v>
      </c>
      <c r="BO39" s="57">
        <f ca="1">IFERROR(__xludf.DUMMYFUNCTION("IMPORTRANGE(""https://docs.google.com/spreadsheets/d/19GOkiOqnzYbevLYWrMk4qFOXe3rX14BkSA8X-mq-a40/edit?usp=sharing"",""มหาสารคาม!J729"")"),0)</f>
        <v>0</v>
      </c>
      <c r="BP39" s="63">
        <f t="shared" ca="1" si="19"/>
        <v>0</v>
      </c>
      <c r="BQ39" s="57">
        <f ca="1">IFERROR(__xludf.DUMMYFUNCTION("IMPORTRANGE(""https://docs.google.com/spreadsheets/d/19GOkiOqnzYbevLYWrMk4qFOXe3rX14BkSA8X-mq-a40/edit?usp=sharing"",""มหาสารคาม!J730"")"),0)</f>
        <v>0</v>
      </c>
      <c r="BR39" s="57">
        <f ca="1">IFERROR(__xludf.DUMMYFUNCTION("IMPORTRANGE(""https://docs.google.com/spreadsheets/d/19GOkiOqnzYbevLYWrMk4qFOXe3rX14BkSA8X-mq-a40/edit?usp=sharing"",""มหาสารคาม!J731"")"),0)</f>
        <v>0</v>
      </c>
      <c r="BS39" s="57">
        <f ca="1">IFERROR(__xludf.DUMMYFUNCTION("IMPORTRANGE(""https://docs.google.com/spreadsheets/d/19GOkiOqnzYbevLYWrMk4qFOXe3rX14BkSA8X-mq-a40/edit?usp=sharing"",""มหาสารคาม!J732"")"),0)</f>
        <v>0</v>
      </c>
      <c r="BT39" s="57">
        <f ca="1">IFERROR(__xludf.DUMMYFUNCTION("IMPORTRANGE(""https://docs.google.com/spreadsheets/d/19GOkiOqnzYbevLYWrMk4qFOXe3rX14BkSA8X-mq-a40/edit?usp=sharing"",""มหาสารคาม!J733"")"),0)</f>
        <v>0</v>
      </c>
      <c r="BU39" s="57">
        <f ca="1">IFERROR(__xludf.DUMMYFUNCTION("IMPORTRANGE(""https://docs.google.com/spreadsheets/d/19GOkiOqnzYbevLYWrMk4qFOXe3rX14BkSA8X-mq-a40/edit?usp=sharing"",""มหาสารคาม!J734"")"),0)</f>
        <v>0</v>
      </c>
      <c r="BV39" s="57">
        <f ca="1">IFERROR(__xludf.DUMMYFUNCTION("IMPORTRANGE(""https://docs.google.com/spreadsheets/d/19GOkiOqnzYbevLYWrMk4qFOXe3rX14BkSA8X-mq-a40/edit?usp=sharing"",""มหาสารคาม!J735"")"),0)</f>
        <v>0</v>
      </c>
    </row>
    <row r="40" spans="1:74" ht="21" customHeight="1" x14ac:dyDescent="0.3">
      <c r="A40" s="54">
        <v>9</v>
      </c>
      <c r="B40" s="55" t="s">
        <v>61</v>
      </c>
      <c r="C40" s="56">
        <f t="shared" ca="1" si="63"/>
        <v>0</v>
      </c>
      <c r="D40" s="57">
        <f ca="1">IFERROR(__xludf.DUMMYFUNCTION("IMPORTRANGE(""https://docs.google.com/spreadsheets/d/1uMKqWwuNQ-TCKboGA3Bb1qXb5uj2-faACNUINCz8PN4/edit?usp=sharing"",""มุกดาหาร!L690"")"),0)</f>
        <v>0</v>
      </c>
      <c r="E40" s="64">
        <f ca="1">IFERROR(__xludf.DUMMYFUNCTION("IMPORTRANGE(""https://docs.google.com/spreadsheets/d/1uMKqWwuNQ-TCKboGA3Bb1qXb5uj2-faACNUINCz8PN4/edit?usp=sharing"",""มุกดาหาร!L697"")"),0)</f>
        <v>0</v>
      </c>
      <c r="F40" s="64">
        <f ca="1">IFERROR(__xludf.DUMMYFUNCTION("IMPORTRANGE(""https://docs.google.com/spreadsheets/d/1uMKqWwuNQ-TCKboGA3Bb1qXb5uj2-faACNUINCz8PN4/edit?usp=sharing"",""มุกดาหาร!M690"")"),0)</f>
        <v>0</v>
      </c>
      <c r="G40" s="64">
        <f ca="1">IFERROR(__xludf.DUMMYFUNCTION("IMPORTRANGE(""https://docs.google.com/spreadsheets/d/1uMKqWwuNQ-TCKboGA3Bb1qXb5uj2-faACNUINCz8PN4/edit?usp=sharing"",""มุกดาหาร!M697"")"),0)</f>
        <v>0</v>
      </c>
      <c r="H40" s="58">
        <f t="shared" ca="1" si="33"/>
        <v>0</v>
      </c>
      <c r="I40" s="59">
        <f t="shared" ca="1" si="1"/>
        <v>0</v>
      </c>
      <c r="J40" s="60">
        <f t="shared" ca="1" si="64"/>
        <v>0</v>
      </c>
      <c r="K40" s="61">
        <f t="shared" ca="1" si="39"/>
        <v>0</v>
      </c>
      <c r="L40" s="61">
        <f t="shared" ca="1" si="40"/>
        <v>0</v>
      </c>
      <c r="M40" s="64">
        <f ca="1">IFERROR(__xludf.DUMMYFUNCTION("IMPORTRANGE(""https://docs.google.com/spreadsheets/d/1uMKqWwuNQ-TCKboGA3Bb1qXb5uj2-faACNUINCz8PN4/edit?usp=sharing"",""มุกดาหาร!N691"")"),0)</f>
        <v>0</v>
      </c>
      <c r="N40" s="64">
        <f ca="1">IFERROR(__xludf.DUMMYFUNCTION("IMPORTRANGE(""https://docs.google.com/spreadsheets/d/1uMKqWwuNQ-TCKboGA3Bb1qXb5uj2-faACNUINCz8PN4/edit?usp=sharing"",""มุกดาหาร!N692"")"),0)</f>
        <v>0</v>
      </c>
      <c r="O40" s="64">
        <f ca="1">IFERROR(__xludf.DUMMYFUNCTION("IMPORTRANGE(""https://docs.google.com/spreadsheets/d/1uMKqWwuNQ-TCKboGA3Bb1qXb5uj2-faACNUINCz8PN4/edit?usp=sharing"",""มุกดาหาร!N693"")"),0)</f>
        <v>0</v>
      </c>
      <c r="P40" s="64">
        <f ca="1">IFERROR(__xludf.DUMMYFUNCTION("IMPORTRANGE(""https://docs.google.com/spreadsheets/d/1uMKqWwuNQ-TCKboGA3Bb1qXb5uj2-faACNUINCz8PN4/edit?usp=sharing"",""มุกดาหาร!N694"")"),0)</f>
        <v>0</v>
      </c>
      <c r="Q40" s="62">
        <f ca="1">IFERROR(__xludf.DUMMYFUNCTION("IMPORTRANGE(""https://docs.google.com/spreadsheets/d/1uMKqWwuNQ-TCKboGA3Bb1qXb5uj2-faACNUINCz8PN4/edit?usp=sharing"",""มุกดาหาร!N697"")"),0)</f>
        <v>0</v>
      </c>
      <c r="R40" s="62">
        <f t="shared" ca="1" si="42"/>
        <v>0</v>
      </c>
      <c r="S40" s="57">
        <f ca="1">IFERROR(__xludf.DUMMYFUNCTION("IMPORTRANGE(""https://docs.google.com/spreadsheets/d/1uMKqWwuNQ-TCKboGA3Bb1qXb5uj2-faACNUINCz8PN4/edit?usp=sharing"",""มุกดาหาร!I699"")"),0)</f>
        <v>0</v>
      </c>
      <c r="T40" s="57">
        <f ca="1">IFERROR(__xludf.DUMMYFUNCTION("IMPORTRANGE(""https://docs.google.com/spreadsheets/d/1uMKqWwuNQ-TCKboGA3Bb1qXb5uj2-faACNUINCz8PN4/edit?usp=sharing"",""มุกดาหาร!J699"")"),0)</f>
        <v>0</v>
      </c>
      <c r="U40" s="63">
        <f t="shared" ca="1" si="34"/>
        <v>0</v>
      </c>
      <c r="V40" s="57">
        <f ca="1">IFERROR(__xludf.DUMMYFUNCTION("IMPORTRANGE(""https://docs.google.com/spreadsheets/d/1uMKqWwuNQ-TCKboGA3Bb1qXb5uj2-faACNUINCz8PN4/edit?usp=sharing"",""มุกดาหาร!I700"")"),0)</f>
        <v>0</v>
      </c>
      <c r="W40" s="57">
        <f ca="1">IFERROR(__xludf.DUMMYFUNCTION("IMPORTRANGE(""https://docs.google.com/spreadsheets/d/1uMKqWwuNQ-TCKboGA3Bb1qXb5uj2-faACNUINCz8PN4/edit?usp=sharing"",""มุกดาหาร!J700"")"),0)</f>
        <v>0</v>
      </c>
      <c r="X40" s="63">
        <f t="shared" ca="1" si="35"/>
        <v>0</v>
      </c>
      <c r="Y40" s="57">
        <f ca="1">IFERROR(__xludf.DUMMYFUNCTION("IMPORTRANGE(""https://docs.google.com/spreadsheets/d/1uMKqWwuNQ-TCKboGA3Bb1qXb5uj2-faACNUINCz8PN4/edit?usp=sharing"",""มุกดาหาร!I701"")"),0)</f>
        <v>0</v>
      </c>
      <c r="Z40" s="57">
        <f ca="1">IFERROR(__xludf.DUMMYFUNCTION("IMPORTRANGE(""https://docs.google.com/spreadsheets/d/1uMKqWwuNQ-TCKboGA3Bb1qXb5uj2-faACNUINCz8PN4/edit?usp=sharing"",""มุกดาหาร!J701"")"),0)</f>
        <v>0</v>
      </c>
      <c r="AA40" s="63">
        <f t="shared" ca="1" si="36"/>
        <v>0</v>
      </c>
      <c r="AB40" s="63">
        <f ca="1">IFERROR(__xludf.DUMMYFUNCTION("IMPORTRANGE(""https://docs.google.com/spreadsheets/d/1uMKqWwuNQ-TCKboGA3Bb1qXb5uj2-faACNUINCz8PN4/edit?usp=sharing"",""มุกดาหาร!J702"")"),0)</f>
        <v>0</v>
      </c>
      <c r="AC40" s="63">
        <f ca="1">IFERROR(__xludf.DUMMYFUNCTION("IMPORTRANGE(""https://docs.google.com/spreadsheets/d/1uMKqWwuNQ-TCKboGA3Bb1qXb5uj2-faACNUINCz8PN4/edit?usp=sharing"",""มุกดาหาร!J703"")"),0)</f>
        <v>0</v>
      </c>
      <c r="AD40" s="63">
        <f ca="1">IFERROR(__xludf.DUMMYFUNCTION("IMPORTRANGE(""https://docs.google.com/spreadsheets/d/1uMKqWwuNQ-TCKboGA3Bb1qXb5uj2-faACNUINCz8PN4/edit?usp=sharing"",""มุกดาหาร!J704"")"),0)</f>
        <v>0</v>
      </c>
      <c r="AE40" s="63">
        <f ca="1">IFERROR(__xludf.DUMMYFUNCTION("IMPORTRANGE(""https://docs.google.com/spreadsheets/d/1uMKqWwuNQ-TCKboGA3Bb1qXb5uj2-faACNUINCz8PN4/edit?usp=sharing"",""มุกดาหาร!J705"")"),0)</f>
        <v>0</v>
      </c>
      <c r="AF40" s="63">
        <f ca="1">IFERROR(__xludf.DUMMYFUNCTION("IMPORTRANGE(""https://docs.google.com/spreadsheets/d/1uMKqWwuNQ-TCKboGA3Bb1qXb5uj2-faACNUINCz8PN4/edit?usp=sharing"",""มุกดาหาร!J706"")"),0)</f>
        <v>0</v>
      </c>
      <c r="AG40" s="63">
        <f ca="1">IFERROR(__xludf.DUMMYFUNCTION("IMPORTRANGE(""https://docs.google.com/spreadsheets/d/1uMKqWwuNQ-TCKboGA3Bb1qXb5uj2-faACNUINCz8PN4/edit?usp=sharing"",""มุกดาหาร!J707"")"),0)</f>
        <v>0</v>
      </c>
      <c r="AH40" s="57">
        <f ca="1">IFERROR(__xludf.DUMMYFUNCTION("IMPORTRANGE(""https://docs.google.com/spreadsheets/d/1uMKqWwuNQ-TCKboGA3Bb1qXb5uj2-faACNUINCz8PN4/edit?usp=sharing"",""มุกดาหาร!I708"")"),0)</f>
        <v>0</v>
      </c>
      <c r="AI40" s="57">
        <f ca="1">IFERROR(__xludf.DUMMYFUNCTION("IMPORTRANGE(""https://docs.google.com/spreadsheets/d/1uMKqWwuNQ-TCKboGA3Bb1qXb5uj2-faACNUINCz8PN4/edit?usp=sharing"",""มุกดาหาร!J708"")"),0)</f>
        <v>0</v>
      </c>
      <c r="AJ40" s="63">
        <f t="shared" ca="1" si="37"/>
        <v>0</v>
      </c>
      <c r="AK40" s="57">
        <f ca="1">IFERROR(__xludf.DUMMYFUNCTION("IMPORTRANGE(""https://docs.google.com/spreadsheets/d/1uMKqWwuNQ-TCKboGA3Bb1qXb5uj2-faACNUINCz8PN4/edit?usp=sharing"",""มุกดาหาร!J709"")"),0)</f>
        <v>0</v>
      </c>
      <c r="AL40" s="57">
        <f ca="1">IFERROR(__xludf.DUMMYFUNCTION("IMPORTRANGE(""https://docs.google.com/spreadsheets/d/1uMKqWwuNQ-TCKboGA3Bb1qXb5uj2-faACNUINCz8PN4/edit?usp=sharing"",""มุกดาหาร!J710"")"),0)</f>
        <v>0</v>
      </c>
      <c r="AM40" s="57">
        <f ca="1">IFERROR(__xludf.DUMMYFUNCTION("IMPORTRANGE(""https://docs.google.com/spreadsheets/d/1uMKqWwuNQ-TCKboGA3Bb1qXb5uj2-faACNUINCz8PN4/edit?usp=sharing"",""มุกดาหาร!J712"")"),0)</f>
        <v>0</v>
      </c>
      <c r="AN40" s="57">
        <f ca="1">IFERROR(__xludf.DUMMYFUNCTION("IMPORTRANGE(""https://docs.google.com/spreadsheets/d/1uMKqWwuNQ-TCKboGA3Bb1qXb5uj2-faACNUINCz8PN4/edit?usp=sharing"",""มุกดาหาร!J713"")"),0)</f>
        <v>0</v>
      </c>
      <c r="AO40" s="57">
        <f ca="1">IFERROR(__xludf.DUMMYFUNCTION("IMPORTRANGE(""https://docs.google.com/spreadsheets/d/1uMKqWwuNQ-TCKboGA3Bb1qXb5uj2-faACNUINCz8PN4/edit?usp=sharing"",""มุกดาหาร!J714"")"),0)</f>
        <v>0</v>
      </c>
      <c r="AP40" s="57">
        <f ca="1">IFERROR(__xludf.DUMMYFUNCTION("IMPORTRANGE(""https://docs.google.com/spreadsheets/d/1uMKqWwuNQ-TCKboGA3Bb1qXb5uj2-faACNUINCz8PN4/edit?usp=sharing"",""มุกดาหาร!J715"")"),0)</f>
        <v>0</v>
      </c>
      <c r="AQ40" s="57">
        <f ca="1">IFERROR(__xludf.DUMMYFUNCTION("IMPORTRANGE(""https://docs.google.com/spreadsheets/d/1uMKqWwuNQ-TCKboGA3Bb1qXb5uj2-faACNUINCz8PN4/edit?usp=sharing"",""มุกดาหาร!J716"")"),0)</f>
        <v>0</v>
      </c>
      <c r="AR40" s="57">
        <f ca="1">IFERROR(__xludf.DUMMYFUNCTION("IMPORTRANGE(""https://docs.google.com/spreadsheets/d/1uMKqWwuNQ-TCKboGA3Bb1qXb5uj2-faACNUINCz8PN4/edit?usp=sharing"",""มุกดาหาร!J717"")"),0)</f>
        <v>0</v>
      </c>
      <c r="AS40" s="57">
        <f ca="1">IFERROR(__xludf.DUMMYFUNCTION("IMPORTRANGE(""https://docs.google.com/spreadsheets/d/1uMKqWwuNQ-TCKboGA3Bb1qXb5uj2-faACNUINCz8PN4/edit?usp=sharing"",""มุกดาหาร!I720"")"),0)</f>
        <v>0</v>
      </c>
      <c r="AT40" s="57">
        <f ca="1">IFERROR(__xludf.DUMMYFUNCTION("IMPORTRANGE(""https://docs.google.com/spreadsheets/d/1uMKqWwuNQ-TCKboGA3Bb1qXb5uj2-faACNUINCz8PN4/edit?usp=sharing"",""มุกดาหาร!J718"")"),0)</f>
        <v>0</v>
      </c>
      <c r="AU40" s="57">
        <f ca="1">IFERROR(__xludf.DUMMYFUNCTION("IMPORTRANGE(""https://docs.google.com/spreadsheets/d/1uMKqWwuNQ-TCKboGA3Bb1qXb5uj2-faACNUINCz8PN4/edit?usp=sharing"",""มุกดาหาร!J719"")"),0)</f>
        <v>0</v>
      </c>
      <c r="AV40" s="57">
        <f ca="1">IFERROR(__xludf.DUMMYFUNCTION("IMPORTRANGE(""https://docs.google.com/spreadsheets/d/1uMKqWwuNQ-TCKboGA3Bb1qXb5uj2-faACNUINCz8PN4/edit?usp=sharing"",""มุกดาหาร!J720"")"),0)</f>
        <v>0</v>
      </c>
      <c r="AW40" s="63">
        <f t="shared" ca="1" si="14"/>
        <v>0</v>
      </c>
      <c r="AX40" s="57">
        <f ca="1">IFERROR(__xludf.DUMMYFUNCTION("IMPORTRANGE(""https://docs.google.com/spreadsheets/d/1uMKqWwuNQ-TCKboGA3Bb1qXb5uj2-faACNUINCz8PN4/edit?usp=sharing"",""มุกดาหาร!I721"")"),0)</f>
        <v>0</v>
      </c>
      <c r="AY40" s="57">
        <f ca="1">IFERROR(__xludf.DUMMYFUNCTION("IMPORTRANGE(""https://docs.google.com/spreadsheets/d/1uMKqWwuNQ-TCKboGA3Bb1qXb5uj2-faACNUINCz8PN4/edit?usp=sharing"",""มุกดาหาร!I722"")"),0)</f>
        <v>0</v>
      </c>
      <c r="AZ40" s="57">
        <f ca="1">IFERROR(__xludf.DUMMYFUNCTION("IMPORTRANGE(""https://docs.google.com/spreadsheets/d/1uMKqWwuNQ-TCKboGA3Bb1qXb5uj2-faACNUINCz8PN4/edit?usp=sharing"",""มุกดาหาร!J721"")"),0)</f>
        <v>0</v>
      </c>
      <c r="BA40" s="63">
        <f t="shared" ca="1" si="16"/>
        <v>0</v>
      </c>
      <c r="BB40" s="57">
        <f ca="1">IFERROR(__xludf.DUMMYFUNCTION("IMPORTRANGE(""https://docs.google.com/spreadsheets/d/1uMKqWwuNQ-TCKboGA3Bb1qXb5uj2-faACNUINCz8PN4/edit?usp=sharing"",""มุกดาหาร!J722"")"),0)</f>
        <v>0</v>
      </c>
      <c r="BC40" s="63">
        <f t="shared" ca="1" si="17"/>
        <v>0</v>
      </c>
      <c r="BD40" s="57">
        <f ca="1">IFERROR(__xludf.DUMMYFUNCTION("IMPORTRANGE(""https://docs.google.com/spreadsheets/d/1uMKqWwuNQ-TCKboGA3Bb1qXb5uj2-faACNUINCz8PN4/edit?usp=sharing"",""มุกดาหาร!I723"")"),0)</f>
        <v>0</v>
      </c>
      <c r="BE40" s="57">
        <f ca="1">IFERROR(__xludf.DUMMYFUNCTION("IMPORTRANGE(""https://docs.google.com/spreadsheets/d/1uMKqWwuNQ-TCKboGA3Bb1qXb5uj2-faACNUINCz8PN4/edit?usp=sharing"",""มุกดาหาร!I725"")"),0)</f>
        <v>0</v>
      </c>
      <c r="BF40" s="57">
        <f ca="1">IFERROR(__xludf.DUMMYFUNCTION("IMPORTRANGE(""https://docs.google.com/spreadsheets/d/1uMKqWwuNQ-TCKboGA3Bb1qXb5uj2-faACNUINCz8PN4/edit?usp=sharing"",""มุกดาหาร!J723"")"),0)</f>
        <v>0</v>
      </c>
      <c r="BG40" s="57">
        <f ca="1">IFERROR(__xludf.DUMMYFUNCTION("IMPORTRANGE(""https://docs.google.com/spreadsheets/d/1uMKqWwuNQ-TCKboGA3Bb1qXb5uj2-faACNUINCz8PN4/edit?usp=sharing"",""มุกดาหาร!J724"")"),0)</f>
        <v>0</v>
      </c>
      <c r="BH40" s="57">
        <f ca="1">IFERROR(__xludf.DUMMYFUNCTION("IMPORTRANGE(""https://docs.google.com/spreadsheets/d/1uMKqWwuNQ-TCKboGA3Bb1qXb5uj2-faACNUINCz8PN4/edit?usp=sharing"",""มุกดาหาร!J725"")"),0)</f>
        <v>0</v>
      </c>
      <c r="BI40" s="57">
        <f ca="1">IFERROR(__xludf.DUMMYFUNCTION("IMPORTRANGE(""https://docs.google.com/spreadsheets/d/1uMKqWwuNQ-TCKboGA3Bb1qXb5uj2-faACNUINCz8PN4/edit?usp=sharing"",""มุกดาหาร!I726"")"),0)</f>
        <v>0</v>
      </c>
      <c r="BJ40" s="57">
        <f ca="1">IFERROR(__xludf.DUMMYFUNCTION("IMPORTRANGE(""https://docs.google.com/spreadsheets/d/1uMKqWwuNQ-TCKboGA3Bb1qXb5uj2-faACNUINCz8PN4/edit?usp=sharing"",""มุกดาหาร!I728"")"),0)</f>
        <v>0</v>
      </c>
      <c r="BK40" s="57">
        <f ca="1">IFERROR(__xludf.DUMMYFUNCTION("IMPORTRANGE(""https://docs.google.com/spreadsheets/d/1uMKqWwuNQ-TCKboGA3Bb1qXb5uj2-faACNUINCz8PN4/edit?usp=sharing"",""มุกดาหาร!J726"")"),0)</f>
        <v>0</v>
      </c>
      <c r="BL40" s="57">
        <f ca="1">IFERROR(__xludf.DUMMYFUNCTION("IMPORTRANGE(""https://docs.google.com/spreadsheets/d/1uMKqWwuNQ-TCKboGA3Bb1qXb5uj2-faACNUINCz8PN4/edit?usp=sharing"",""มุกดาหาร!J727"")"),0)</f>
        <v>0</v>
      </c>
      <c r="BM40" s="57">
        <f ca="1">IFERROR(__xludf.DUMMYFUNCTION("IMPORTRANGE(""https://docs.google.com/spreadsheets/d/1uMKqWwuNQ-TCKboGA3Bb1qXb5uj2-faACNUINCz8PN4/edit?usp=sharing"",""มุกดาหาร!J728"")"),0)</f>
        <v>0</v>
      </c>
      <c r="BN40" s="57">
        <f ca="1">IFERROR(__xludf.DUMMYFUNCTION("IMPORTRANGE(""https://docs.google.com/spreadsheets/d/1uMKqWwuNQ-TCKboGA3Bb1qXb5uj2-faACNUINCz8PN4/edit?usp=sharing"",""มุกดาหาร!I729"")"),0)</f>
        <v>0</v>
      </c>
      <c r="BO40" s="57">
        <f ca="1">IFERROR(__xludf.DUMMYFUNCTION("IMPORTRANGE(""https://docs.google.com/spreadsheets/d/1uMKqWwuNQ-TCKboGA3Bb1qXb5uj2-faACNUINCz8PN4/edit?usp=sharing"",""มุกดาหาร!J729"")"),0)</f>
        <v>0</v>
      </c>
      <c r="BP40" s="63">
        <f t="shared" ca="1" si="19"/>
        <v>0</v>
      </c>
      <c r="BQ40" s="57">
        <f ca="1">IFERROR(__xludf.DUMMYFUNCTION("IMPORTRANGE(""https://docs.google.com/spreadsheets/d/1uMKqWwuNQ-TCKboGA3Bb1qXb5uj2-faACNUINCz8PN4/edit?usp=sharing"",""มุกดาหาร!J730"")"),0)</f>
        <v>0</v>
      </c>
      <c r="BR40" s="57">
        <f ca="1">IFERROR(__xludf.DUMMYFUNCTION("IMPORTRANGE(""https://docs.google.com/spreadsheets/d/1uMKqWwuNQ-TCKboGA3Bb1qXb5uj2-faACNUINCz8PN4/edit?usp=sharing"",""มุกดาหาร!J731"")"),0)</f>
        <v>0</v>
      </c>
      <c r="BS40" s="57">
        <f ca="1">IFERROR(__xludf.DUMMYFUNCTION("IMPORTRANGE(""https://docs.google.com/spreadsheets/d/1uMKqWwuNQ-TCKboGA3Bb1qXb5uj2-faACNUINCz8PN4/edit?usp=sharing"",""มุกดาหาร!J732"")"),0)</f>
        <v>0</v>
      </c>
      <c r="BT40" s="57">
        <f ca="1">IFERROR(__xludf.DUMMYFUNCTION("IMPORTRANGE(""https://docs.google.com/spreadsheets/d/1uMKqWwuNQ-TCKboGA3Bb1qXb5uj2-faACNUINCz8PN4/edit?usp=sharing"",""มุกดาหาร!J733"")"),0)</f>
        <v>0</v>
      </c>
      <c r="BU40" s="57">
        <f ca="1">IFERROR(__xludf.DUMMYFUNCTION("IMPORTRANGE(""https://docs.google.com/spreadsheets/d/1uMKqWwuNQ-TCKboGA3Bb1qXb5uj2-faACNUINCz8PN4/edit?usp=sharing"",""มุกดาหาร!J734"")"),0)</f>
        <v>0</v>
      </c>
      <c r="BV40" s="57">
        <f ca="1">IFERROR(__xludf.DUMMYFUNCTION("IMPORTRANGE(""https://docs.google.com/spreadsheets/d/1uMKqWwuNQ-TCKboGA3Bb1qXb5uj2-faACNUINCz8PN4/edit?usp=sharing"",""มุกดาหาร!J735"")"),0)</f>
        <v>0</v>
      </c>
    </row>
    <row r="41" spans="1:74" ht="21" customHeight="1" x14ac:dyDescent="0.3">
      <c r="A41" s="54">
        <v>10</v>
      </c>
      <c r="B41" s="55" t="s">
        <v>62</v>
      </c>
      <c r="C41" s="56">
        <f t="shared" ca="1" si="63"/>
        <v>0</v>
      </c>
      <c r="D41" s="57">
        <f ca="1">IFERROR(__xludf.DUMMYFUNCTION("IMPORTRANGE(""https://docs.google.com/spreadsheets/d/1oKaccgDdQABndOzGr688Dbfxb_V3YcF67VqEPBtdzsc/edit?usp=sharing"",""ยโสธร!L690"")"),0)</f>
        <v>0</v>
      </c>
      <c r="E41" s="64">
        <f ca="1">IFERROR(__xludf.DUMMYFUNCTION("IMPORTRANGE(""https://docs.google.com/spreadsheets/d/1oKaccgDdQABndOzGr688Dbfxb_V3YcF67VqEPBtdzsc/edit?usp=sharing"",""ยโสธร!L697"")"),0)</f>
        <v>0</v>
      </c>
      <c r="F41" s="64">
        <f ca="1">IFERROR(__xludf.DUMMYFUNCTION("IMPORTRANGE(""https://docs.google.com/spreadsheets/d/1oKaccgDdQABndOzGr688Dbfxb_V3YcF67VqEPBtdzsc/edit?usp=sharing"",""ยโสธร!M690"")"),0)</f>
        <v>0</v>
      </c>
      <c r="G41" s="64">
        <f ca="1">IFERROR(__xludf.DUMMYFUNCTION("IMPORTRANGE(""https://docs.google.com/spreadsheets/d/1oKaccgDdQABndOzGr688Dbfxb_V3YcF67VqEPBtdzsc/edit?usp=sharing"",""ยโสธร!M697"")"),0)</f>
        <v>0</v>
      </c>
      <c r="H41" s="58">
        <f t="shared" ca="1" si="33"/>
        <v>0</v>
      </c>
      <c r="I41" s="59">
        <f t="shared" ca="1" si="1"/>
        <v>0</v>
      </c>
      <c r="J41" s="60">
        <f t="shared" ca="1" si="64"/>
        <v>0</v>
      </c>
      <c r="K41" s="61">
        <f t="shared" ca="1" si="39"/>
        <v>0</v>
      </c>
      <c r="L41" s="61">
        <f t="shared" ca="1" si="40"/>
        <v>0</v>
      </c>
      <c r="M41" s="64">
        <f ca="1">IFERROR(__xludf.DUMMYFUNCTION("IMPORTRANGE(""https://docs.google.com/spreadsheets/d/1oKaccgDdQABndOzGr688Dbfxb_V3YcF67VqEPBtdzsc/edit?usp=sharing"",""ยโสธร!N691"")"),0)</f>
        <v>0</v>
      </c>
      <c r="N41" s="64">
        <f ca="1">IFERROR(__xludf.DUMMYFUNCTION("IMPORTRANGE(""https://docs.google.com/spreadsheets/d/1oKaccgDdQABndOzGr688Dbfxb_V3YcF67VqEPBtdzsc/edit?usp=sharing"",""ยโสธร!N692"")"),0)</f>
        <v>0</v>
      </c>
      <c r="O41" s="64">
        <f ca="1">IFERROR(__xludf.DUMMYFUNCTION("IMPORTRANGE(""https://docs.google.com/spreadsheets/d/1oKaccgDdQABndOzGr688Dbfxb_V3YcF67VqEPBtdzsc/edit?usp=sharing"",""ยโสธร!N693"")"),0)</f>
        <v>0</v>
      </c>
      <c r="P41" s="64">
        <f ca="1">IFERROR(__xludf.DUMMYFUNCTION("IMPORTRANGE(""https://docs.google.com/spreadsheets/d/1oKaccgDdQABndOzGr688Dbfxb_V3YcF67VqEPBtdzsc/edit?usp=sharing"",""ยโสธร!N694"")"),0)</f>
        <v>0</v>
      </c>
      <c r="Q41" s="62">
        <f ca="1">IFERROR(__xludf.DUMMYFUNCTION("IMPORTRANGE(""https://docs.google.com/spreadsheets/d/1oKaccgDdQABndOzGr688Dbfxb_V3YcF67VqEPBtdzsc/edit?usp=sharing"",""ยโสธร!N697"")"),0)</f>
        <v>0</v>
      </c>
      <c r="R41" s="62">
        <f t="shared" ca="1" si="42"/>
        <v>0</v>
      </c>
      <c r="S41" s="57">
        <f ca="1">IFERROR(__xludf.DUMMYFUNCTION("IMPORTRANGE(""https://docs.google.com/spreadsheets/d/1oKaccgDdQABndOzGr688Dbfxb_V3YcF67VqEPBtdzsc/edit?usp=sharing"",""ยโสธร!I699"")"),0)</f>
        <v>0</v>
      </c>
      <c r="T41" s="57">
        <f ca="1">IFERROR(__xludf.DUMMYFUNCTION("IMPORTRANGE(""https://docs.google.com/spreadsheets/d/1oKaccgDdQABndOzGr688Dbfxb_V3YcF67VqEPBtdzsc/edit?usp=sharing"",""ยโสธร!J699"")"),0)</f>
        <v>0</v>
      </c>
      <c r="U41" s="63">
        <f t="shared" ca="1" si="34"/>
        <v>0</v>
      </c>
      <c r="V41" s="57">
        <f ca="1">IFERROR(__xludf.DUMMYFUNCTION("IMPORTRANGE(""https://docs.google.com/spreadsheets/d/1oKaccgDdQABndOzGr688Dbfxb_V3YcF67VqEPBtdzsc/edit?usp=sharing"",""ยโสธร!I700"")"),0)</f>
        <v>0</v>
      </c>
      <c r="W41" s="57">
        <f ca="1">IFERROR(__xludf.DUMMYFUNCTION("IMPORTRANGE(""https://docs.google.com/spreadsheets/d/1oKaccgDdQABndOzGr688Dbfxb_V3YcF67VqEPBtdzsc/edit?usp=sharing"",""ยโสธร!J700"")"),0)</f>
        <v>0</v>
      </c>
      <c r="X41" s="63">
        <f t="shared" ca="1" si="35"/>
        <v>0</v>
      </c>
      <c r="Y41" s="57">
        <f ca="1">IFERROR(__xludf.DUMMYFUNCTION("IMPORTRANGE(""https://docs.google.com/spreadsheets/d/1oKaccgDdQABndOzGr688Dbfxb_V3YcF67VqEPBtdzsc/edit?usp=sharing"",""ยโสธร!I701"")"),0)</f>
        <v>0</v>
      </c>
      <c r="Z41" s="57">
        <f ca="1">IFERROR(__xludf.DUMMYFUNCTION("IMPORTRANGE(""https://docs.google.com/spreadsheets/d/1oKaccgDdQABndOzGr688Dbfxb_V3YcF67VqEPBtdzsc/edit?usp=sharing"",""ยโสธร!J701"")"),0)</f>
        <v>0</v>
      </c>
      <c r="AA41" s="63">
        <f t="shared" ca="1" si="36"/>
        <v>0</v>
      </c>
      <c r="AB41" s="63">
        <f ca="1">IFERROR(__xludf.DUMMYFUNCTION("IMPORTRANGE(""https://docs.google.com/spreadsheets/d/1oKaccgDdQABndOzGr688Dbfxb_V3YcF67VqEPBtdzsc/edit?usp=sharing"",""ยโสธร!J702"")"),0)</f>
        <v>0</v>
      </c>
      <c r="AC41" s="63">
        <f ca="1">IFERROR(__xludf.DUMMYFUNCTION("IMPORTRANGE(""https://docs.google.com/spreadsheets/d/1oKaccgDdQABndOzGr688Dbfxb_V3YcF67VqEPBtdzsc/edit?usp=sharing"",""ยโสธร!J703"")"),0)</f>
        <v>0</v>
      </c>
      <c r="AD41" s="63">
        <f ca="1">IFERROR(__xludf.DUMMYFUNCTION("IMPORTRANGE(""https://docs.google.com/spreadsheets/d/1oKaccgDdQABndOzGr688Dbfxb_V3YcF67VqEPBtdzsc/edit?usp=sharing"",""ยโสธร!J704"")"),0)</f>
        <v>0</v>
      </c>
      <c r="AE41" s="63">
        <f ca="1">IFERROR(__xludf.DUMMYFUNCTION("IMPORTRANGE(""https://docs.google.com/spreadsheets/d/1oKaccgDdQABndOzGr688Dbfxb_V3YcF67VqEPBtdzsc/edit?usp=sharing"",""ยโสธร!J705"")"),0)</f>
        <v>0</v>
      </c>
      <c r="AF41" s="63">
        <f ca="1">IFERROR(__xludf.DUMMYFUNCTION("IMPORTRANGE(""https://docs.google.com/spreadsheets/d/1oKaccgDdQABndOzGr688Dbfxb_V3YcF67VqEPBtdzsc/edit?usp=sharing"",""ยโสธร!J706"")"),0)</f>
        <v>0</v>
      </c>
      <c r="AG41" s="63">
        <f ca="1">IFERROR(__xludf.DUMMYFUNCTION("IMPORTRANGE(""https://docs.google.com/spreadsheets/d/1oKaccgDdQABndOzGr688Dbfxb_V3YcF67VqEPBtdzsc/edit?usp=sharing"",""ยโสธร!J707"")"),0)</f>
        <v>0</v>
      </c>
      <c r="AH41" s="57">
        <f ca="1">IFERROR(__xludf.DUMMYFUNCTION("IMPORTRANGE(""https://docs.google.com/spreadsheets/d/1oKaccgDdQABndOzGr688Dbfxb_V3YcF67VqEPBtdzsc/edit?usp=sharing"",""ยโสธร!I708"")"),0)</f>
        <v>0</v>
      </c>
      <c r="AI41" s="57">
        <f ca="1">IFERROR(__xludf.DUMMYFUNCTION("IMPORTRANGE(""https://docs.google.com/spreadsheets/d/1oKaccgDdQABndOzGr688Dbfxb_V3YcF67VqEPBtdzsc/edit?usp=sharing"",""ยโสธร!J708"")"),0)</f>
        <v>0</v>
      </c>
      <c r="AJ41" s="63">
        <f t="shared" ca="1" si="37"/>
        <v>0</v>
      </c>
      <c r="AK41" s="57">
        <f ca="1">IFERROR(__xludf.DUMMYFUNCTION("IMPORTRANGE(""https://docs.google.com/spreadsheets/d/1oKaccgDdQABndOzGr688Dbfxb_V3YcF67VqEPBtdzsc/edit?usp=sharing"",""ยโสธร!J709"")"),0)</f>
        <v>0</v>
      </c>
      <c r="AL41" s="57">
        <f ca="1">IFERROR(__xludf.DUMMYFUNCTION("IMPORTRANGE(""https://docs.google.com/spreadsheets/d/1oKaccgDdQABndOzGr688Dbfxb_V3YcF67VqEPBtdzsc/edit?usp=sharing"",""ยโสธร!J710"")"),0)</f>
        <v>0</v>
      </c>
      <c r="AM41" s="57">
        <f ca="1">IFERROR(__xludf.DUMMYFUNCTION("IMPORTRANGE(""https://docs.google.com/spreadsheets/d/1oKaccgDdQABndOzGr688Dbfxb_V3YcF67VqEPBtdzsc/edit?usp=sharing"",""ยโสธร!J712"")"),0)</f>
        <v>0</v>
      </c>
      <c r="AN41" s="57">
        <f ca="1">IFERROR(__xludf.DUMMYFUNCTION("IMPORTRANGE(""https://docs.google.com/spreadsheets/d/1oKaccgDdQABndOzGr688Dbfxb_V3YcF67VqEPBtdzsc/edit?usp=sharing"",""ยโสธร!J713"")"),0)</f>
        <v>0</v>
      </c>
      <c r="AO41" s="57">
        <f ca="1">IFERROR(__xludf.DUMMYFUNCTION("IMPORTRANGE(""https://docs.google.com/spreadsheets/d/1oKaccgDdQABndOzGr688Dbfxb_V3YcF67VqEPBtdzsc/edit?usp=sharing"",""ยโสธร!J714"")"),0)</f>
        <v>0</v>
      </c>
      <c r="AP41" s="57">
        <f ca="1">IFERROR(__xludf.DUMMYFUNCTION("IMPORTRANGE(""https://docs.google.com/spreadsheets/d/1oKaccgDdQABndOzGr688Dbfxb_V3YcF67VqEPBtdzsc/edit?usp=sharing"",""ยโสธร!J715"")"),0)</f>
        <v>0</v>
      </c>
      <c r="AQ41" s="57">
        <f ca="1">IFERROR(__xludf.DUMMYFUNCTION("IMPORTRANGE(""https://docs.google.com/spreadsheets/d/1oKaccgDdQABndOzGr688Dbfxb_V3YcF67VqEPBtdzsc/edit?usp=sharing"",""ยโสธร!J716"")"),0)</f>
        <v>0</v>
      </c>
      <c r="AR41" s="57">
        <f ca="1">IFERROR(__xludf.DUMMYFUNCTION("IMPORTRANGE(""https://docs.google.com/spreadsheets/d/1oKaccgDdQABndOzGr688Dbfxb_V3YcF67VqEPBtdzsc/edit?usp=sharing"",""ยโสธร!J717"")"),0)</f>
        <v>0</v>
      </c>
      <c r="AS41" s="57">
        <f ca="1">IFERROR(__xludf.DUMMYFUNCTION("IMPORTRANGE(""https://docs.google.com/spreadsheets/d/1oKaccgDdQABndOzGr688Dbfxb_V3YcF67VqEPBtdzsc/edit?usp=sharing"",""ยโสธร!I720"")"),0)</f>
        <v>0</v>
      </c>
      <c r="AT41" s="57">
        <f ca="1">IFERROR(__xludf.DUMMYFUNCTION("IMPORTRANGE(""https://docs.google.com/spreadsheets/d/1oKaccgDdQABndOzGr688Dbfxb_V3YcF67VqEPBtdzsc/edit?usp=sharing"",""ยโสธร!J718"")"),0)</f>
        <v>0</v>
      </c>
      <c r="AU41" s="57">
        <f ca="1">IFERROR(__xludf.DUMMYFUNCTION("IMPORTRANGE(""https://docs.google.com/spreadsheets/d/1oKaccgDdQABndOzGr688Dbfxb_V3YcF67VqEPBtdzsc/edit?usp=sharing"",""ยโสธร!J719"")"),0)</f>
        <v>0</v>
      </c>
      <c r="AV41" s="57">
        <f ca="1">IFERROR(__xludf.DUMMYFUNCTION("IMPORTRANGE(""https://docs.google.com/spreadsheets/d/1oKaccgDdQABndOzGr688Dbfxb_V3YcF67VqEPBtdzsc/edit?usp=sharing"",""ยโสธร!J720"")"),0)</f>
        <v>0</v>
      </c>
      <c r="AW41" s="63">
        <f t="shared" ca="1" si="14"/>
        <v>0</v>
      </c>
      <c r="AX41" s="57">
        <f ca="1">IFERROR(__xludf.DUMMYFUNCTION("IMPORTRANGE(""https://docs.google.com/spreadsheets/d/1oKaccgDdQABndOzGr688Dbfxb_V3YcF67VqEPBtdzsc/edit?usp=sharing"",""ยโสธร!I721"")"),0)</f>
        <v>0</v>
      </c>
      <c r="AY41" s="57">
        <f ca="1">IFERROR(__xludf.DUMMYFUNCTION("IMPORTRANGE(""https://docs.google.com/spreadsheets/d/1oKaccgDdQABndOzGr688Dbfxb_V3YcF67VqEPBtdzsc/edit?usp=sharing"",""ยโสธร!I722"")"),0)</f>
        <v>0</v>
      </c>
      <c r="AZ41" s="57">
        <f ca="1">IFERROR(__xludf.DUMMYFUNCTION("IMPORTRANGE(""https://docs.google.com/spreadsheets/d/1oKaccgDdQABndOzGr688Dbfxb_V3YcF67VqEPBtdzsc/edit?usp=sharing"",""ยโสธร!J721"")"),0)</f>
        <v>0</v>
      </c>
      <c r="BA41" s="63">
        <f t="shared" ca="1" si="16"/>
        <v>0</v>
      </c>
      <c r="BB41" s="57">
        <f ca="1">IFERROR(__xludf.DUMMYFUNCTION("IMPORTRANGE(""https://docs.google.com/spreadsheets/d/1oKaccgDdQABndOzGr688Dbfxb_V3YcF67VqEPBtdzsc/edit?usp=sharing"",""ยโสธร!J722"")"),0)</f>
        <v>0</v>
      </c>
      <c r="BC41" s="63">
        <f t="shared" ca="1" si="17"/>
        <v>0</v>
      </c>
      <c r="BD41" s="57">
        <f ca="1">IFERROR(__xludf.DUMMYFUNCTION("IMPORTRANGE(""https://docs.google.com/spreadsheets/d/1oKaccgDdQABndOzGr688Dbfxb_V3YcF67VqEPBtdzsc/edit?usp=sharing"",""ยโสธร!I723"")"),0)</f>
        <v>0</v>
      </c>
      <c r="BE41" s="57">
        <f ca="1">IFERROR(__xludf.DUMMYFUNCTION("IMPORTRANGE(""https://docs.google.com/spreadsheets/d/1oKaccgDdQABndOzGr688Dbfxb_V3YcF67VqEPBtdzsc/edit?usp=sharing"",""ยโสธร!I725"")"),0)</f>
        <v>0</v>
      </c>
      <c r="BF41" s="57">
        <f ca="1">IFERROR(__xludf.DUMMYFUNCTION("IMPORTRANGE(""https://docs.google.com/spreadsheets/d/1oKaccgDdQABndOzGr688Dbfxb_V3YcF67VqEPBtdzsc/edit?usp=sharing"",""ยโสธร!J723"")"),0)</f>
        <v>0</v>
      </c>
      <c r="BG41" s="57">
        <f ca="1">IFERROR(__xludf.DUMMYFUNCTION("IMPORTRANGE(""https://docs.google.com/spreadsheets/d/1oKaccgDdQABndOzGr688Dbfxb_V3YcF67VqEPBtdzsc/edit?usp=sharing"",""ยโสธร!J724"")"),0)</f>
        <v>0</v>
      </c>
      <c r="BH41" s="57">
        <f ca="1">IFERROR(__xludf.DUMMYFUNCTION("IMPORTRANGE(""https://docs.google.com/spreadsheets/d/1oKaccgDdQABndOzGr688Dbfxb_V3YcF67VqEPBtdzsc/edit?usp=sharing"",""ยโสธร!J725"")"),0)</f>
        <v>0</v>
      </c>
      <c r="BI41" s="57">
        <f ca="1">IFERROR(__xludf.DUMMYFUNCTION("IMPORTRANGE(""https://docs.google.com/spreadsheets/d/1oKaccgDdQABndOzGr688Dbfxb_V3YcF67VqEPBtdzsc/edit?usp=sharing"",""ยโสธร!I726"")"),0)</f>
        <v>0</v>
      </c>
      <c r="BJ41" s="57">
        <f ca="1">IFERROR(__xludf.DUMMYFUNCTION("IMPORTRANGE(""https://docs.google.com/spreadsheets/d/1oKaccgDdQABndOzGr688Dbfxb_V3YcF67VqEPBtdzsc/edit?usp=sharing"",""ยโสธร!I728"")"),0)</f>
        <v>0</v>
      </c>
      <c r="BK41" s="57">
        <f ca="1">IFERROR(__xludf.DUMMYFUNCTION("IMPORTRANGE(""https://docs.google.com/spreadsheets/d/1oKaccgDdQABndOzGr688Dbfxb_V3YcF67VqEPBtdzsc/edit?usp=sharing"",""ยโสธร!J726"")"),0)</f>
        <v>0</v>
      </c>
      <c r="BL41" s="57">
        <f ca="1">IFERROR(__xludf.DUMMYFUNCTION("IMPORTRANGE(""https://docs.google.com/spreadsheets/d/1oKaccgDdQABndOzGr688Dbfxb_V3YcF67VqEPBtdzsc/edit?usp=sharing"",""ยโสธร!J727"")"),0)</f>
        <v>0</v>
      </c>
      <c r="BM41" s="57">
        <f ca="1">IFERROR(__xludf.DUMMYFUNCTION("IMPORTRANGE(""https://docs.google.com/spreadsheets/d/1oKaccgDdQABndOzGr688Dbfxb_V3YcF67VqEPBtdzsc/edit?usp=sharing"",""ยโสธร!J728"")"),0)</f>
        <v>0</v>
      </c>
      <c r="BN41" s="57">
        <f ca="1">IFERROR(__xludf.DUMMYFUNCTION("IMPORTRANGE(""https://docs.google.com/spreadsheets/d/1oKaccgDdQABndOzGr688Dbfxb_V3YcF67VqEPBtdzsc/edit?usp=sharing"",""ยโสธร!I729"")"),0)</f>
        <v>0</v>
      </c>
      <c r="BO41" s="57">
        <f ca="1">IFERROR(__xludf.DUMMYFUNCTION("IMPORTRANGE(""https://docs.google.com/spreadsheets/d/1oKaccgDdQABndOzGr688Dbfxb_V3YcF67VqEPBtdzsc/edit?usp=sharing"",""ยโสธร!J729"")"),0)</f>
        <v>0</v>
      </c>
      <c r="BP41" s="63">
        <f t="shared" ca="1" si="19"/>
        <v>0</v>
      </c>
      <c r="BQ41" s="57">
        <f ca="1">IFERROR(__xludf.DUMMYFUNCTION("IMPORTRANGE(""https://docs.google.com/spreadsheets/d/1oKaccgDdQABndOzGr688Dbfxb_V3YcF67VqEPBtdzsc/edit?usp=sharing"",""ยโสธร!J730"")"),0)</f>
        <v>0</v>
      </c>
      <c r="BR41" s="57">
        <f ca="1">IFERROR(__xludf.DUMMYFUNCTION("IMPORTRANGE(""https://docs.google.com/spreadsheets/d/1oKaccgDdQABndOzGr688Dbfxb_V3YcF67VqEPBtdzsc/edit?usp=sharing"",""ยโสธร!J731"")"),0)</f>
        <v>0</v>
      </c>
      <c r="BS41" s="57">
        <f ca="1">IFERROR(__xludf.DUMMYFUNCTION("IMPORTRANGE(""https://docs.google.com/spreadsheets/d/1oKaccgDdQABndOzGr688Dbfxb_V3YcF67VqEPBtdzsc/edit?usp=sharing"",""ยโสธร!J732"")"),0)</f>
        <v>0</v>
      </c>
      <c r="BT41" s="57">
        <f ca="1">IFERROR(__xludf.DUMMYFUNCTION("IMPORTRANGE(""https://docs.google.com/spreadsheets/d/1oKaccgDdQABndOzGr688Dbfxb_V3YcF67VqEPBtdzsc/edit?usp=sharing"",""ยโสธร!J733"")"),0)</f>
        <v>0</v>
      </c>
      <c r="BU41" s="57">
        <f ca="1">IFERROR(__xludf.DUMMYFUNCTION("IMPORTRANGE(""https://docs.google.com/spreadsheets/d/1oKaccgDdQABndOzGr688Dbfxb_V3YcF67VqEPBtdzsc/edit?usp=sharing"",""ยโสธร!J734"")"),0)</f>
        <v>0</v>
      </c>
      <c r="BV41" s="57">
        <f ca="1">IFERROR(__xludf.DUMMYFUNCTION("IMPORTRANGE(""https://docs.google.com/spreadsheets/d/1oKaccgDdQABndOzGr688Dbfxb_V3YcF67VqEPBtdzsc/edit?usp=sharing"",""ยโสธร!J735"")"),0)</f>
        <v>0</v>
      </c>
    </row>
    <row r="42" spans="1:74" ht="21" customHeight="1" x14ac:dyDescent="0.3">
      <c r="A42" s="54">
        <v>11</v>
      </c>
      <c r="B42" s="55" t="s">
        <v>63</v>
      </c>
      <c r="C42" s="56">
        <f t="shared" ca="1" si="63"/>
        <v>1980</v>
      </c>
      <c r="D42" s="57">
        <f ca="1">IFERROR(__xludf.DUMMYFUNCTION("IMPORTRANGE(""https://docs.google.com/spreadsheets/d/1BRgc8xKpxZ0PX-gauieMVkV_IOxKSotf0yW8MabGprQ/edit?usp=sharing"",""ร้อยเอ็ด!L690"")"),1980)</f>
        <v>1980</v>
      </c>
      <c r="E42" s="64">
        <f ca="1">IFERROR(__xludf.DUMMYFUNCTION("IMPORTRANGE(""https://docs.google.com/spreadsheets/d/1BRgc8xKpxZ0PX-gauieMVkV_IOxKSotf0yW8MabGprQ/edit?usp=sharing"",""ร้อยเอ็ด!L697"")"),0)</f>
        <v>0</v>
      </c>
      <c r="F42" s="64">
        <f ca="1">IFERROR(__xludf.DUMMYFUNCTION("IMPORTRANGE(""https://docs.google.com/spreadsheets/d/1BRgc8xKpxZ0PX-gauieMVkV_IOxKSotf0yW8MabGprQ/edit?usp=sharing"",""ร้อยเอ็ด!M690"")"),1980)</f>
        <v>1980</v>
      </c>
      <c r="G42" s="64">
        <f ca="1">IFERROR(__xludf.DUMMYFUNCTION("IMPORTRANGE(""https://docs.google.com/spreadsheets/d/1BRgc8xKpxZ0PX-gauieMVkV_IOxKSotf0yW8MabGprQ/edit?usp=sharing"",""ร้อยเอ็ด!M697"")"),0)</f>
        <v>0</v>
      </c>
      <c r="H42" s="58">
        <f t="shared" ca="1" si="33"/>
        <v>360</v>
      </c>
      <c r="I42" s="59">
        <f t="shared" ca="1" si="1"/>
        <v>18.181818181818183</v>
      </c>
      <c r="J42" s="60">
        <f t="shared" ca="1" si="64"/>
        <v>360</v>
      </c>
      <c r="K42" s="61">
        <f t="shared" ca="1" si="39"/>
        <v>18.181818181818183</v>
      </c>
      <c r="L42" s="61">
        <f t="shared" ca="1" si="40"/>
        <v>18.181818181818183</v>
      </c>
      <c r="M42" s="64">
        <f ca="1">IFERROR(__xludf.DUMMYFUNCTION("IMPORTRANGE(""https://docs.google.com/spreadsheets/d/1BRgc8xKpxZ0PX-gauieMVkV_IOxKSotf0yW8MabGprQ/edit?usp=sharing"",""ร้อยเอ็ด!N691"")"),360)</f>
        <v>360</v>
      </c>
      <c r="N42" s="64">
        <f ca="1">IFERROR(__xludf.DUMMYFUNCTION("IMPORTRANGE(""https://docs.google.com/spreadsheets/d/1BRgc8xKpxZ0PX-gauieMVkV_IOxKSotf0yW8MabGprQ/edit?usp=sharing"",""ร้อยเอ็ด!N692"")"),0)</f>
        <v>0</v>
      </c>
      <c r="O42" s="64">
        <f ca="1">IFERROR(__xludf.DUMMYFUNCTION("IMPORTRANGE(""https://docs.google.com/spreadsheets/d/1BRgc8xKpxZ0PX-gauieMVkV_IOxKSotf0yW8MabGprQ/edit?usp=sharing"",""ร้อยเอ็ด!N693"")"),0)</f>
        <v>0</v>
      </c>
      <c r="P42" s="64">
        <f ca="1">IFERROR(__xludf.DUMMYFUNCTION("IMPORTRANGE(""https://docs.google.com/spreadsheets/d/1BRgc8xKpxZ0PX-gauieMVkV_IOxKSotf0yW8MabGprQ/edit?usp=sharing"",""ร้อยเอ็ด!N694"")"),0)</f>
        <v>0</v>
      </c>
      <c r="Q42" s="62">
        <f ca="1">IFERROR(__xludf.DUMMYFUNCTION("IMPORTRANGE(""https://docs.google.com/spreadsheets/d/1BRgc8xKpxZ0PX-gauieMVkV_IOxKSotf0yW8MabGprQ/edit?usp=sharing"",""ร้อยเอ็ด!N697"")"),0)</f>
        <v>0</v>
      </c>
      <c r="R42" s="62">
        <f t="shared" ca="1" si="42"/>
        <v>0</v>
      </c>
      <c r="S42" s="57">
        <f ca="1">IFERROR(__xludf.DUMMYFUNCTION("IMPORTRANGE(""https://docs.google.com/spreadsheets/d/1BRgc8xKpxZ0PX-gauieMVkV_IOxKSotf0yW8MabGprQ/edit?usp=sharing"",""ร้อยเอ็ด!I699"")"),0)</f>
        <v>0</v>
      </c>
      <c r="T42" s="57">
        <f ca="1">IFERROR(__xludf.DUMMYFUNCTION("IMPORTRANGE(""https://docs.google.com/spreadsheets/d/1BRgc8xKpxZ0PX-gauieMVkV_IOxKSotf0yW8MabGprQ/edit?usp=sharing"",""ร้อยเอ็ด!J699"")"),0)</f>
        <v>0</v>
      </c>
      <c r="U42" s="63">
        <f t="shared" ca="1" si="34"/>
        <v>0</v>
      </c>
      <c r="V42" s="57">
        <f ca="1">IFERROR(__xludf.DUMMYFUNCTION("IMPORTRANGE(""https://docs.google.com/spreadsheets/d/1BRgc8xKpxZ0PX-gauieMVkV_IOxKSotf0yW8MabGprQ/edit?usp=sharing"",""ร้อยเอ็ด!I700"")"),0)</f>
        <v>0</v>
      </c>
      <c r="W42" s="57">
        <f ca="1">IFERROR(__xludf.DUMMYFUNCTION("IMPORTRANGE(""https://docs.google.com/spreadsheets/d/1BRgc8xKpxZ0PX-gauieMVkV_IOxKSotf0yW8MabGprQ/edit?usp=sharing"",""ร้อยเอ็ด!J700"")"),0)</f>
        <v>0</v>
      </c>
      <c r="X42" s="63">
        <f t="shared" ca="1" si="35"/>
        <v>0</v>
      </c>
      <c r="Y42" s="57">
        <f ca="1">IFERROR(__xludf.DUMMYFUNCTION("IMPORTRANGE(""https://docs.google.com/spreadsheets/d/1BRgc8xKpxZ0PX-gauieMVkV_IOxKSotf0yW8MabGprQ/edit?usp=sharing"",""ร้อยเอ็ด!I701"")"),14)</f>
        <v>14</v>
      </c>
      <c r="Z42" s="57">
        <f ca="1">IFERROR(__xludf.DUMMYFUNCTION("IMPORTRANGE(""https://docs.google.com/spreadsheets/d/1BRgc8xKpxZ0PX-gauieMVkV_IOxKSotf0yW8MabGprQ/edit?usp=sharing"",""ร้อยเอ็ด!J701"")"),0)</f>
        <v>0</v>
      </c>
      <c r="AA42" s="63">
        <f t="shared" ca="1" si="36"/>
        <v>0</v>
      </c>
      <c r="AB42" s="63">
        <f ca="1">IFERROR(__xludf.DUMMYFUNCTION("IMPORTRANGE(""https://docs.google.com/spreadsheets/d/1BRgc8xKpxZ0PX-gauieMVkV_IOxKSotf0yW8MabGprQ/edit?usp=sharing"",""ร้อยเอ็ด!J702"")"),0)</f>
        <v>0</v>
      </c>
      <c r="AC42" s="63">
        <f ca="1">IFERROR(__xludf.DUMMYFUNCTION("IMPORTRANGE(""https://docs.google.com/spreadsheets/d/1BRgc8xKpxZ0PX-gauieMVkV_IOxKSotf0yW8MabGprQ/edit?usp=sharing"",""ร้อยเอ็ด!J703"")"),0)</f>
        <v>0</v>
      </c>
      <c r="AD42" s="63">
        <f ca="1">IFERROR(__xludf.DUMMYFUNCTION("IMPORTRANGE(""https://docs.google.com/spreadsheets/d/1BRgc8xKpxZ0PX-gauieMVkV_IOxKSotf0yW8MabGprQ/edit?usp=sharing"",""ร้อยเอ็ด!J704"")"),0)</f>
        <v>0</v>
      </c>
      <c r="AE42" s="63">
        <f ca="1">IFERROR(__xludf.DUMMYFUNCTION("IMPORTRANGE(""https://docs.google.com/spreadsheets/d/1BRgc8xKpxZ0PX-gauieMVkV_IOxKSotf0yW8MabGprQ/edit?usp=sharing"",""ร้อยเอ็ด!J705"")"),0)</f>
        <v>0</v>
      </c>
      <c r="AF42" s="63">
        <f ca="1">IFERROR(__xludf.DUMMYFUNCTION("IMPORTRANGE(""https://docs.google.com/spreadsheets/d/1BRgc8xKpxZ0PX-gauieMVkV_IOxKSotf0yW8MabGprQ/edit?usp=sharing"",""ร้อยเอ็ด!J706"")"),0)</f>
        <v>0</v>
      </c>
      <c r="AG42" s="63">
        <f ca="1">IFERROR(__xludf.DUMMYFUNCTION("IMPORTRANGE(""https://docs.google.com/spreadsheets/d/1BRgc8xKpxZ0PX-gauieMVkV_IOxKSotf0yW8MabGprQ/edit?usp=sharing"",""ร้อยเอ็ด!J707"")"),0)</f>
        <v>0</v>
      </c>
      <c r="AH42" s="57">
        <f ca="1">IFERROR(__xludf.DUMMYFUNCTION("IMPORTRANGE(""https://docs.google.com/spreadsheets/d/1BRgc8xKpxZ0PX-gauieMVkV_IOxKSotf0yW8MabGprQ/edit?usp=sharing"",""ร้อยเอ็ด!I708"")"),14)</f>
        <v>14</v>
      </c>
      <c r="AI42" s="57">
        <f ca="1">IFERROR(__xludf.DUMMYFUNCTION("IMPORTRANGE(""https://docs.google.com/spreadsheets/d/1BRgc8xKpxZ0PX-gauieMVkV_IOxKSotf0yW8MabGprQ/edit?usp=sharing"",""ร้อยเอ็ด!J708"")"),0)</f>
        <v>0</v>
      </c>
      <c r="AJ42" s="63">
        <f t="shared" ca="1" si="37"/>
        <v>0</v>
      </c>
      <c r="AK42" s="57">
        <f ca="1">IFERROR(__xludf.DUMMYFUNCTION("IMPORTRANGE(""https://docs.google.com/spreadsheets/d/1BRgc8xKpxZ0PX-gauieMVkV_IOxKSotf0yW8MabGprQ/edit?usp=sharing"",""ร้อยเอ็ด!J709"")"),1)</f>
        <v>1</v>
      </c>
      <c r="AL42" s="57">
        <f ca="1">IFERROR(__xludf.DUMMYFUNCTION("IMPORTRANGE(""https://docs.google.com/spreadsheets/d/1BRgc8xKpxZ0PX-gauieMVkV_IOxKSotf0yW8MabGprQ/edit?usp=sharing"",""ร้อยเอ็ด!J710"")"),14)</f>
        <v>14</v>
      </c>
      <c r="AM42" s="57">
        <f ca="1">IFERROR(__xludf.DUMMYFUNCTION("IMPORTRANGE(""https://docs.google.com/spreadsheets/d/1BRgc8xKpxZ0PX-gauieMVkV_IOxKSotf0yW8MabGprQ/edit?usp=sharing"",""ร้อยเอ็ด!J712"")"),0)</f>
        <v>0</v>
      </c>
      <c r="AN42" s="57">
        <f ca="1">IFERROR(__xludf.DUMMYFUNCTION("IMPORTRANGE(""https://docs.google.com/spreadsheets/d/1BRgc8xKpxZ0PX-gauieMVkV_IOxKSotf0yW8MabGprQ/edit?usp=sharing"",""ร้อยเอ็ด!J713"")"),0)</f>
        <v>0</v>
      </c>
      <c r="AO42" s="57">
        <f ca="1">IFERROR(__xludf.DUMMYFUNCTION("IMPORTRANGE(""https://docs.google.com/spreadsheets/d/1BRgc8xKpxZ0PX-gauieMVkV_IOxKSotf0yW8MabGprQ/edit?usp=sharing"",""ร้อยเอ็ด!J714"")"),0)</f>
        <v>0</v>
      </c>
      <c r="AP42" s="57">
        <f ca="1">IFERROR(__xludf.DUMMYFUNCTION("IMPORTRANGE(""https://docs.google.com/spreadsheets/d/1BRgc8xKpxZ0PX-gauieMVkV_IOxKSotf0yW8MabGprQ/edit?usp=sharing"",""ร้อยเอ็ด!J715"")"),0)</f>
        <v>0</v>
      </c>
      <c r="AQ42" s="57">
        <f ca="1">IFERROR(__xludf.DUMMYFUNCTION("IMPORTRANGE(""https://docs.google.com/spreadsheets/d/1BRgc8xKpxZ0PX-gauieMVkV_IOxKSotf0yW8MabGprQ/edit?usp=sharing"",""ร้อยเอ็ด!J716"")"),0)</f>
        <v>0</v>
      </c>
      <c r="AR42" s="57">
        <f ca="1">IFERROR(__xludf.DUMMYFUNCTION("IMPORTRANGE(""https://docs.google.com/spreadsheets/d/1BRgc8xKpxZ0PX-gauieMVkV_IOxKSotf0yW8MabGprQ/edit?usp=sharing"",""ร้อยเอ็ด!J717"")"),0)</f>
        <v>0</v>
      </c>
      <c r="AS42" s="57">
        <f ca="1">IFERROR(__xludf.DUMMYFUNCTION("IMPORTRANGE(""https://docs.google.com/spreadsheets/d/1BRgc8xKpxZ0PX-gauieMVkV_IOxKSotf0yW8MabGprQ/edit?usp=sharing"",""ร้อยเอ็ด!I720"")"),14)</f>
        <v>14</v>
      </c>
      <c r="AT42" s="57">
        <f ca="1">IFERROR(__xludf.DUMMYFUNCTION("IMPORTRANGE(""https://docs.google.com/spreadsheets/d/1BRgc8xKpxZ0PX-gauieMVkV_IOxKSotf0yW8MabGprQ/edit?usp=sharing"",""ร้อยเอ็ด!J718"")"),0)</f>
        <v>0</v>
      </c>
      <c r="AU42" s="57">
        <f ca="1">IFERROR(__xludf.DUMMYFUNCTION("IMPORTRANGE(""https://docs.google.com/spreadsheets/d/1BRgc8xKpxZ0PX-gauieMVkV_IOxKSotf0yW8MabGprQ/edit?usp=sharing"",""ร้อยเอ็ด!J719"")"),0)</f>
        <v>0</v>
      </c>
      <c r="AV42" s="57">
        <f ca="1">IFERROR(__xludf.DUMMYFUNCTION("IMPORTRANGE(""https://docs.google.com/spreadsheets/d/1BRgc8xKpxZ0PX-gauieMVkV_IOxKSotf0yW8MabGprQ/edit?usp=sharing"",""ร้อยเอ็ด!J720"")"),0)</f>
        <v>0</v>
      </c>
      <c r="AW42" s="63">
        <f t="shared" ca="1" si="14"/>
        <v>0</v>
      </c>
      <c r="AX42" s="57">
        <f ca="1">IFERROR(__xludf.DUMMYFUNCTION("IMPORTRANGE(""https://docs.google.com/spreadsheets/d/1BRgc8xKpxZ0PX-gauieMVkV_IOxKSotf0yW8MabGprQ/edit?usp=sharing"",""ร้อยเอ็ด!I721"")"),0)</f>
        <v>0</v>
      </c>
      <c r="AY42" s="57">
        <f ca="1">IFERROR(__xludf.DUMMYFUNCTION("IMPORTRANGE(""https://docs.google.com/spreadsheets/d/1BRgc8xKpxZ0PX-gauieMVkV_IOxKSotf0yW8MabGprQ/edit?usp=sharing"",""ร้อยเอ็ด!I722"")"),0)</f>
        <v>0</v>
      </c>
      <c r="AZ42" s="57">
        <f ca="1">IFERROR(__xludf.DUMMYFUNCTION("IMPORTRANGE(""https://docs.google.com/spreadsheets/d/1BRgc8xKpxZ0PX-gauieMVkV_IOxKSotf0yW8MabGprQ/edit?usp=sharing"",""ร้อยเอ็ด!J721"")"),0)</f>
        <v>0</v>
      </c>
      <c r="BA42" s="63">
        <f t="shared" ca="1" si="16"/>
        <v>0</v>
      </c>
      <c r="BB42" s="57">
        <f ca="1">IFERROR(__xludf.DUMMYFUNCTION("IMPORTRANGE(""https://docs.google.com/spreadsheets/d/1BRgc8xKpxZ0PX-gauieMVkV_IOxKSotf0yW8MabGprQ/edit?usp=sharing"",""ร้อยเอ็ด!J722"")"),0)</f>
        <v>0</v>
      </c>
      <c r="BC42" s="63">
        <f t="shared" ca="1" si="17"/>
        <v>0</v>
      </c>
      <c r="BD42" s="57">
        <f ca="1">IFERROR(__xludf.DUMMYFUNCTION("IMPORTRANGE(""https://docs.google.com/spreadsheets/d/1BRgc8xKpxZ0PX-gauieMVkV_IOxKSotf0yW8MabGprQ/edit?usp=sharing"",""ร้อยเอ็ด!I723"")"),0)</f>
        <v>0</v>
      </c>
      <c r="BE42" s="57">
        <f ca="1">IFERROR(__xludf.DUMMYFUNCTION("IMPORTRANGE(""https://docs.google.com/spreadsheets/d/1BRgc8xKpxZ0PX-gauieMVkV_IOxKSotf0yW8MabGprQ/edit?usp=sharing"",""ร้อยเอ็ด!I725"")"),0)</f>
        <v>0</v>
      </c>
      <c r="BF42" s="57">
        <f ca="1">IFERROR(__xludf.DUMMYFUNCTION("IMPORTRANGE(""https://docs.google.com/spreadsheets/d/1BRgc8xKpxZ0PX-gauieMVkV_IOxKSotf0yW8MabGprQ/edit?usp=sharing"",""ร้อยเอ็ด!J723"")"),0)</f>
        <v>0</v>
      </c>
      <c r="BG42" s="57">
        <f ca="1">IFERROR(__xludf.DUMMYFUNCTION("IMPORTRANGE(""https://docs.google.com/spreadsheets/d/1BRgc8xKpxZ0PX-gauieMVkV_IOxKSotf0yW8MabGprQ/edit?usp=sharing"",""ร้อยเอ็ด!J724"")"),0)</f>
        <v>0</v>
      </c>
      <c r="BH42" s="57">
        <f ca="1">IFERROR(__xludf.DUMMYFUNCTION("IMPORTRANGE(""https://docs.google.com/spreadsheets/d/1BRgc8xKpxZ0PX-gauieMVkV_IOxKSotf0yW8MabGprQ/edit?usp=sharing"",""ร้อยเอ็ด!J725"")"),0)</f>
        <v>0</v>
      </c>
      <c r="BI42" s="57">
        <f ca="1">IFERROR(__xludf.DUMMYFUNCTION("IMPORTRANGE(""https://docs.google.com/spreadsheets/d/1BRgc8xKpxZ0PX-gauieMVkV_IOxKSotf0yW8MabGprQ/edit?usp=sharing"",""ร้อยเอ็ด!I726"")"),0)</f>
        <v>0</v>
      </c>
      <c r="BJ42" s="57">
        <f ca="1">IFERROR(__xludf.DUMMYFUNCTION("IMPORTRANGE(""https://docs.google.com/spreadsheets/d/1BRgc8xKpxZ0PX-gauieMVkV_IOxKSotf0yW8MabGprQ/edit?usp=sharing"",""ร้อยเอ็ด!I728"")"),0)</f>
        <v>0</v>
      </c>
      <c r="BK42" s="57">
        <f ca="1">IFERROR(__xludf.DUMMYFUNCTION("IMPORTRANGE(""https://docs.google.com/spreadsheets/d/1BRgc8xKpxZ0PX-gauieMVkV_IOxKSotf0yW8MabGprQ/edit?usp=sharing"",""ร้อยเอ็ด!J726"")"),0)</f>
        <v>0</v>
      </c>
      <c r="BL42" s="57">
        <f ca="1">IFERROR(__xludf.DUMMYFUNCTION("IMPORTRANGE(""https://docs.google.com/spreadsheets/d/1BRgc8xKpxZ0PX-gauieMVkV_IOxKSotf0yW8MabGprQ/edit?usp=sharing"",""ร้อยเอ็ด!J727"")"),0)</f>
        <v>0</v>
      </c>
      <c r="BM42" s="57">
        <f ca="1">IFERROR(__xludf.DUMMYFUNCTION("IMPORTRANGE(""https://docs.google.com/spreadsheets/d/1BRgc8xKpxZ0PX-gauieMVkV_IOxKSotf0yW8MabGprQ/edit?usp=sharing"",""ร้อยเอ็ด!J728"")"),0)</f>
        <v>0</v>
      </c>
      <c r="BN42" s="57">
        <f ca="1">IFERROR(__xludf.DUMMYFUNCTION("IMPORTRANGE(""https://docs.google.com/spreadsheets/d/1BRgc8xKpxZ0PX-gauieMVkV_IOxKSotf0yW8MabGprQ/edit?usp=sharing"",""ร้อยเอ็ด!I729"")"),0)</f>
        <v>0</v>
      </c>
      <c r="BO42" s="57">
        <f ca="1">IFERROR(__xludf.DUMMYFUNCTION("IMPORTRANGE(""https://docs.google.com/spreadsheets/d/1BRgc8xKpxZ0PX-gauieMVkV_IOxKSotf0yW8MabGprQ/edit?usp=sharing"",""ร้อยเอ็ด!J729"")"),0)</f>
        <v>0</v>
      </c>
      <c r="BP42" s="63">
        <f t="shared" ca="1" si="19"/>
        <v>0</v>
      </c>
      <c r="BQ42" s="57">
        <f ca="1">IFERROR(__xludf.DUMMYFUNCTION("IMPORTRANGE(""https://docs.google.com/spreadsheets/d/1BRgc8xKpxZ0PX-gauieMVkV_IOxKSotf0yW8MabGprQ/edit?usp=sharing"",""ร้อยเอ็ด!J730"")"),0)</f>
        <v>0</v>
      </c>
      <c r="BR42" s="57">
        <f ca="1">IFERROR(__xludf.DUMMYFUNCTION("IMPORTRANGE(""https://docs.google.com/spreadsheets/d/1BRgc8xKpxZ0PX-gauieMVkV_IOxKSotf0yW8MabGprQ/edit?usp=sharing"",""ร้อยเอ็ด!J731"")"),0)</f>
        <v>0</v>
      </c>
      <c r="BS42" s="57">
        <f ca="1">IFERROR(__xludf.DUMMYFUNCTION("IMPORTRANGE(""https://docs.google.com/spreadsheets/d/1BRgc8xKpxZ0PX-gauieMVkV_IOxKSotf0yW8MabGprQ/edit?usp=sharing"",""ร้อยเอ็ด!J732"")"),0)</f>
        <v>0</v>
      </c>
      <c r="BT42" s="57">
        <f ca="1">IFERROR(__xludf.DUMMYFUNCTION("IMPORTRANGE(""https://docs.google.com/spreadsheets/d/1BRgc8xKpxZ0PX-gauieMVkV_IOxKSotf0yW8MabGprQ/edit?usp=sharing"",""ร้อยเอ็ด!J733"")"),0)</f>
        <v>0</v>
      </c>
      <c r="BU42" s="57">
        <f ca="1">IFERROR(__xludf.DUMMYFUNCTION("IMPORTRANGE(""https://docs.google.com/spreadsheets/d/1BRgc8xKpxZ0PX-gauieMVkV_IOxKSotf0yW8MabGprQ/edit?usp=sharing"",""ร้อยเอ็ด!J734"")"),0)</f>
        <v>0</v>
      </c>
      <c r="BV42" s="57">
        <f ca="1">IFERROR(__xludf.DUMMYFUNCTION("IMPORTRANGE(""https://docs.google.com/spreadsheets/d/1BRgc8xKpxZ0PX-gauieMVkV_IOxKSotf0yW8MabGprQ/edit?usp=sharing"",""ร้อยเอ็ด!J735"")"),0)</f>
        <v>0</v>
      </c>
    </row>
    <row r="43" spans="1:74" ht="21" customHeight="1" x14ac:dyDescent="0.3">
      <c r="A43" s="54">
        <v>12</v>
      </c>
      <c r="B43" s="55" t="s">
        <v>64</v>
      </c>
      <c r="C43" s="56">
        <f t="shared" ca="1" si="63"/>
        <v>1480</v>
      </c>
      <c r="D43" s="57">
        <f ca="1">IFERROR(__xludf.DUMMYFUNCTION("IMPORTRANGE(""https://docs.google.com/spreadsheets/d/1IdolZc-dfdgMwAm_KZxYJl1sUOcIgnbGQzbWOlddedo/edit?usp=sharing"",""เลย!L690"")"),1480)</f>
        <v>1480</v>
      </c>
      <c r="E43" s="64">
        <f ca="1">IFERROR(__xludf.DUMMYFUNCTION("IMPORTRANGE(""https://docs.google.com/spreadsheets/d/1IdolZc-dfdgMwAm_KZxYJl1sUOcIgnbGQzbWOlddedo/edit?usp=sharing"",""เลย!L697"")"),0)</f>
        <v>0</v>
      </c>
      <c r="F43" s="64">
        <f ca="1">IFERROR(__xludf.DUMMYFUNCTION("IMPORTRANGE(""https://docs.google.com/spreadsheets/d/1IdolZc-dfdgMwAm_KZxYJl1sUOcIgnbGQzbWOlddedo/edit?usp=sharing"",""เลย!M690"")"),1480)</f>
        <v>1480</v>
      </c>
      <c r="G43" s="64">
        <f ca="1">IFERROR(__xludf.DUMMYFUNCTION("IMPORTRANGE(""https://docs.google.com/spreadsheets/d/1IdolZc-dfdgMwAm_KZxYJl1sUOcIgnbGQzbWOlddedo/edit?usp=sharing"",""เลย!M697"")"),0)</f>
        <v>0</v>
      </c>
      <c r="H43" s="58">
        <f t="shared" ca="1" si="33"/>
        <v>1030</v>
      </c>
      <c r="I43" s="59">
        <f t="shared" ca="1" si="1"/>
        <v>69.594594594594597</v>
      </c>
      <c r="J43" s="60">
        <f t="shared" ca="1" si="64"/>
        <v>1030</v>
      </c>
      <c r="K43" s="61">
        <f t="shared" ca="1" si="39"/>
        <v>69.594594594594597</v>
      </c>
      <c r="L43" s="61">
        <f t="shared" ca="1" si="40"/>
        <v>69.594594594594597</v>
      </c>
      <c r="M43" s="64">
        <f ca="1">IFERROR(__xludf.DUMMYFUNCTION("IMPORTRANGE(""https://docs.google.com/spreadsheets/d/1IdolZc-dfdgMwAm_KZxYJl1sUOcIgnbGQzbWOlddedo/edit?usp=sharing"",""เลย!N691"")"),0)</f>
        <v>0</v>
      </c>
      <c r="N43" s="64">
        <f ca="1">IFERROR(__xludf.DUMMYFUNCTION("IMPORTRANGE(""https://docs.google.com/spreadsheets/d/1IdolZc-dfdgMwAm_KZxYJl1sUOcIgnbGQzbWOlddedo/edit?usp=sharing"",""เลย!N692"")"),0)</f>
        <v>0</v>
      </c>
      <c r="O43" s="64">
        <f ca="1">IFERROR(__xludf.DUMMYFUNCTION("IMPORTRANGE(""https://docs.google.com/spreadsheets/d/1IdolZc-dfdgMwAm_KZxYJl1sUOcIgnbGQzbWOlddedo/edit?usp=sharing"",""เลย!N693"")"),0)</f>
        <v>0</v>
      </c>
      <c r="P43" s="64">
        <f ca="1">IFERROR(__xludf.DUMMYFUNCTION("IMPORTRANGE(""https://docs.google.com/spreadsheets/d/1IdolZc-dfdgMwAm_KZxYJl1sUOcIgnbGQzbWOlddedo/edit?usp=sharing"",""เลย!N694"")"),1030)</f>
        <v>1030</v>
      </c>
      <c r="Q43" s="62">
        <f ca="1">IFERROR(__xludf.DUMMYFUNCTION("IMPORTRANGE(""https://docs.google.com/spreadsheets/d/1IdolZc-dfdgMwAm_KZxYJl1sUOcIgnbGQzbWOlddedo/edit?usp=sharing"",""เลย!N697"")"),0)</f>
        <v>0</v>
      </c>
      <c r="R43" s="62">
        <f t="shared" ca="1" si="42"/>
        <v>0</v>
      </c>
      <c r="S43" s="57">
        <f ca="1">IFERROR(__xludf.DUMMYFUNCTION("IMPORTRANGE(""https://docs.google.com/spreadsheets/d/1IdolZc-dfdgMwAm_KZxYJl1sUOcIgnbGQzbWOlddedo/edit?usp=sharing"",""เลย!I699"")"),0)</f>
        <v>0</v>
      </c>
      <c r="T43" s="57">
        <f ca="1">IFERROR(__xludf.DUMMYFUNCTION("IMPORTRANGE(""https://docs.google.com/spreadsheets/d/1IdolZc-dfdgMwAm_KZxYJl1sUOcIgnbGQzbWOlddedo/edit?usp=sharing"",""เลย!J699"")"),0)</f>
        <v>0</v>
      </c>
      <c r="U43" s="63">
        <f t="shared" ca="1" si="34"/>
        <v>0</v>
      </c>
      <c r="V43" s="57">
        <f ca="1">IFERROR(__xludf.DUMMYFUNCTION("IMPORTRANGE(""https://docs.google.com/spreadsheets/d/1IdolZc-dfdgMwAm_KZxYJl1sUOcIgnbGQzbWOlddedo/edit?usp=sharing"",""เลย!I700"")"),0)</f>
        <v>0</v>
      </c>
      <c r="W43" s="57">
        <f ca="1">IFERROR(__xludf.DUMMYFUNCTION("IMPORTRANGE(""https://docs.google.com/spreadsheets/d/1IdolZc-dfdgMwAm_KZxYJl1sUOcIgnbGQzbWOlddedo/edit?usp=sharing"",""เลย!J700"")"),0)</f>
        <v>0</v>
      </c>
      <c r="X43" s="63">
        <f t="shared" ca="1" si="35"/>
        <v>0</v>
      </c>
      <c r="Y43" s="57">
        <f ca="1">IFERROR(__xludf.DUMMYFUNCTION("IMPORTRANGE(""https://docs.google.com/spreadsheets/d/1IdolZc-dfdgMwAm_KZxYJl1sUOcIgnbGQzbWOlddedo/edit?usp=sharing"",""เลย!I701"")"),0)</f>
        <v>0</v>
      </c>
      <c r="Z43" s="57">
        <f ca="1">IFERROR(__xludf.DUMMYFUNCTION("IMPORTRANGE(""https://docs.google.com/spreadsheets/d/1IdolZc-dfdgMwAm_KZxYJl1sUOcIgnbGQzbWOlddedo/edit?usp=sharing"",""เลย!J701"")"),0)</f>
        <v>0</v>
      </c>
      <c r="AA43" s="63">
        <f t="shared" ca="1" si="36"/>
        <v>0</v>
      </c>
      <c r="AB43" s="63">
        <f ca="1">IFERROR(__xludf.DUMMYFUNCTION("IMPORTRANGE(""https://docs.google.com/spreadsheets/d/1IdolZc-dfdgMwAm_KZxYJl1sUOcIgnbGQzbWOlddedo/edit?usp=sharing"",""เลย!J702"")"),0)</f>
        <v>0</v>
      </c>
      <c r="AC43" s="63">
        <f ca="1">IFERROR(__xludf.DUMMYFUNCTION("IMPORTRANGE(""https://docs.google.com/spreadsheets/d/1IdolZc-dfdgMwAm_KZxYJl1sUOcIgnbGQzbWOlddedo/edit?usp=sharing"",""เลย!J703"")"),0)</f>
        <v>0</v>
      </c>
      <c r="AD43" s="63">
        <f ca="1">IFERROR(__xludf.DUMMYFUNCTION("IMPORTRANGE(""https://docs.google.com/spreadsheets/d/1IdolZc-dfdgMwAm_KZxYJl1sUOcIgnbGQzbWOlddedo/edit?usp=sharing"",""เลย!J704"")"),0)</f>
        <v>0</v>
      </c>
      <c r="AE43" s="63">
        <f ca="1">IFERROR(__xludf.DUMMYFUNCTION("IMPORTRANGE(""https://docs.google.com/spreadsheets/d/1IdolZc-dfdgMwAm_KZxYJl1sUOcIgnbGQzbWOlddedo/edit?usp=sharing"",""เลย!J705"")"),0)</f>
        <v>0</v>
      </c>
      <c r="AF43" s="63">
        <f ca="1">IFERROR(__xludf.DUMMYFUNCTION("IMPORTRANGE(""https://docs.google.com/spreadsheets/d/1IdolZc-dfdgMwAm_KZxYJl1sUOcIgnbGQzbWOlddedo/edit?usp=sharing"",""เลย!J706"")"),0)</f>
        <v>0</v>
      </c>
      <c r="AG43" s="63">
        <f ca="1">IFERROR(__xludf.DUMMYFUNCTION("IMPORTRANGE(""https://docs.google.com/spreadsheets/d/1IdolZc-dfdgMwAm_KZxYJl1sUOcIgnbGQzbWOlddedo/edit?usp=sharing"",""เลย!J707"")"),0)</f>
        <v>0</v>
      </c>
      <c r="AH43" s="57">
        <f ca="1">IFERROR(__xludf.DUMMYFUNCTION("IMPORTRANGE(""https://docs.google.com/spreadsheets/d/1IdolZc-dfdgMwAm_KZxYJl1sUOcIgnbGQzbWOlddedo/edit?usp=sharing"",""เลย!I708"")"),12)</f>
        <v>12</v>
      </c>
      <c r="AI43" s="57">
        <f ca="1">IFERROR(__xludf.DUMMYFUNCTION("IMPORTRANGE(""https://docs.google.com/spreadsheets/d/1IdolZc-dfdgMwAm_KZxYJl1sUOcIgnbGQzbWOlddedo/edit?usp=sharing"",""เลย!J708"")"),0)</f>
        <v>0</v>
      </c>
      <c r="AJ43" s="63">
        <f t="shared" ca="1" si="37"/>
        <v>0</v>
      </c>
      <c r="AK43" s="57">
        <f ca="1">IFERROR(__xludf.DUMMYFUNCTION("IMPORTRANGE(""https://docs.google.com/spreadsheets/d/1IdolZc-dfdgMwAm_KZxYJl1sUOcIgnbGQzbWOlddedo/edit?usp=sharing"",""เลย!J709"")"),0)</f>
        <v>0</v>
      </c>
      <c r="AL43" s="57">
        <f ca="1">IFERROR(__xludf.DUMMYFUNCTION("IMPORTRANGE(""https://docs.google.com/spreadsheets/d/1IdolZc-dfdgMwAm_KZxYJl1sUOcIgnbGQzbWOlddedo/edit?usp=sharing"",""เลย!J710"")"),0)</f>
        <v>0</v>
      </c>
      <c r="AM43" s="57">
        <f ca="1">IFERROR(__xludf.DUMMYFUNCTION("IMPORTRANGE(""https://docs.google.com/spreadsheets/d/1IdolZc-dfdgMwAm_KZxYJl1sUOcIgnbGQzbWOlddedo/edit?usp=sharing"",""เลย!J712"")"),0)</f>
        <v>0</v>
      </c>
      <c r="AN43" s="57">
        <f ca="1">IFERROR(__xludf.DUMMYFUNCTION("IMPORTRANGE(""https://docs.google.com/spreadsheets/d/1IdolZc-dfdgMwAm_KZxYJl1sUOcIgnbGQzbWOlddedo/edit?usp=sharing"",""เลย!J713"")"),0)</f>
        <v>0</v>
      </c>
      <c r="AO43" s="57">
        <f ca="1">IFERROR(__xludf.DUMMYFUNCTION("IMPORTRANGE(""https://docs.google.com/spreadsheets/d/1IdolZc-dfdgMwAm_KZxYJl1sUOcIgnbGQzbWOlddedo/edit?usp=sharing"",""เลย!J714"")"),0)</f>
        <v>0</v>
      </c>
      <c r="AP43" s="57">
        <f ca="1">IFERROR(__xludf.DUMMYFUNCTION("IMPORTRANGE(""https://docs.google.com/spreadsheets/d/1IdolZc-dfdgMwAm_KZxYJl1sUOcIgnbGQzbWOlddedo/edit?usp=sharing"",""เลย!J715"")"),0)</f>
        <v>0</v>
      </c>
      <c r="AQ43" s="57">
        <f ca="1">IFERROR(__xludf.DUMMYFUNCTION("IMPORTRANGE(""https://docs.google.com/spreadsheets/d/1IdolZc-dfdgMwAm_KZxYJl1sUOcIgnbGQzbWOlddedo/edit?usp=sharing"",""เลย!J716"")"),0)</f>
        <v>0</v>
      </c>
      <c r="AR43" s="57">
        <f ca="1">IFERROR(__xludf.DUMMYFUNCTION("IMPORTRANGE(""https://docs.google.com/spreadsheets/d/1IdolZc-dfdgMwAm_KZxYJl1sUOcIgnbGQzbWOlddedo/edit?usp=sharing"",""เลย!J717"")"),0)</f>
        <v>0</v>
      </c>
      <c r="AS43" s="57">
        <f ca="1">IFERROR(__xludf.DUMMYFUNCTION("IMPORTRANGE(""https://docs.google.com/spreadsheets/d/1IdolZc-dfdgMwAm_KZxYJl1sUOcIgnbGQzbWOlddedo/edit?usp=sharing"",""เลย!I720"")"),0)</f>
        <v>0</v>
      </c>
      <c r="AT43" s="57">
        <f ca="1">IFERROR(__xludf.DUMMYFUNCTION("IMPORTRANGE(""https://docs.google.com/spreadsheets/d/1IdolZc-dfdgMwAm_KZxYJl1sUOcIgnbGQzbWOlddedo/edit?usp=sharing"",""เลย!J718"")"),0)</f>
        <v>0</v>
      </c>
      <c r="AU43" s="57">
        <f ca="1">IFERROR(__xludf.DUMMYFUNCTION("IMPORTRANGE(""https://docs.google.com/spreadsheets/d/1IdolZc-dfdgMwAm_KZxYJl1sUOcIgnbGQzbWOlddedo/edit?usp=sharing"",""เลย!J719"")"),0)</f>
        <v>0</v>
      </c>
      <c r="AV43" s="57">
        <f ca="1">IFERROR(__xludf.DUMMYFUNCTION("IMPORTRANGE(""https://docs.google.com/spreadsheets/d/1IdolZc-dfdgMwAm_KZxYJl1sUOcIgnbGQzbWOlddedo/edit?usp=sharing"",""เลย!J720"")"),0)</f>
        <v>0</v>
      </c>
      <c r="AW43" s="63">
        <f t="shared" ca="1" si="14"/>
        <v>0</v>
      </c>
      <c r="AX43" s="57">
        <f ca="1">IFERROR(__xludf.DUMMYFUNCTION("IMPORTRANGE(""https://docs.google.com/spreadsheets/d/1IdolZc-dfdgMwAm_KZxYJl1sUOcIgnbGQzbWOlddedo/edit?usp=sharing"",""เลย!I721"")"),2)</f>
        <v>2</v>
      </c>
      <c r="AY43" s="57">
        <f ca="1">IFERROR(__xludf.DUMMYFUNCTION("IMPORTRANGE(""https://docs.google.com/spreadsheets/d/1IdolZc-dfdgMwAm_KZxYJl1sUOcIgnbGQzbWOlddedo/edit?usp=sharing"",""เลย!I722"")"),12)</f>
        <v>12</v>
      </c>
      <c r="AZ43" s="57">
        <f ca="1">IFERROR(__xludf.DUMMYFUNCTION("IMPORTRANGE(""https://docs.google.com/spreadsheets/d/1IdolZc-dfdgMwAm_KZxYJl1sUOcIgnbGQzbWOlddedo/edit?usp=sharing"",""เลย!J721"")"),0)</f>
        <v>0</v>
      </c>
      <c r="BA43" s="63">
        <f t="shared" ca="1" si="16"/>
        <v>0</v>
      </c>
      <c r="BB43" s="57">
        <f ca="1">IFERROR(__xludf.DUMMYFUNCTION("IMPORTRANGE(""https://docs.google.com/spreadsheets/d/1IdolZc-dfdgMwAm_KZxYJl1sUOcIgnbGQzbWOlddedo/edit?usp=sharing"",""เลย!J722"")"),0)</f>
        <v>0</v>
      </c>
      <c r="BC43" s="63">
        <f t="shared" ca="1" si="17"/>
        <v>0</v>
      </c>
      <c r="BD43" s="57">
        <f ca="1">IFERROR(__xludf.DUMMYFUNCTION("IMPORTRANGE(""https://docs.google.com/spreadsheets/d/1IdolZc-dfdgMwAm_KZxYJl1sUOcIgnbGQzbWOlddedo/edit?usp=sharing"",""เลย!I723"")"),2)</f>
        <v>2</v>
      </c>
      <c r="BE43" s="57">
        <f ca="1">IFERROR(__xludf.DUMMYFUNCTION("IMPORTRANGE(""https://docs.google.com/spreadsheets/d/1IdolZc-dfdgMwAm_KZxYJl1sUOcIgnbGQzbWOlddedo/edit?usp=sharing"",""เลย!I725"")"),12)</f>
        <v>12</v>
      </c>
      <c r="BF43" s="57">
        <f ca="1">IFERROR(__xludf.DUMMYFUNCTION("IMPORTRANGE(""https://docs.google.com/spreadsheets/d/1IdolZc-dfdgMwAm_KZxYJl1sUOcIgnbGQzbWOlddedo/edit?usp=sharing"",""เลย!J723"")"),0)</f>
        <v>0</v>
      </c>
      <c r="BG43" s="57">
        <f ca="1">IFERROR(__xludf.DUMMYFUNCTION("IMPORTRANGE(""https://docs.google.com/spreadsheets/d/1IdolZc-dfdgMwAm_KZxYJl1sUOcIgnbGQzbWOlddedo/edit?usp=sharing"",""เลย!J724"")"),0)</f>
        <v>0</v>
      </c>
      <c r="BH43" s="57">
        <f ca="1">IFERROR(__xludf.DUMMYFUNCTION("IMPORTRANGE(""https://docs.google.com/spreadsheets/d/1IdolZc-dfdgMwAm_KZxYJl1sUOcIgnbGQzbWOlddedo/edit?usp=sharing"",""เลย!J725"")"),0)</f>
        <v>0</v>
      </c>
      <c r="BI43" s="57">
        <f ca="1">IFERROR(__xludf.DUMMYFUNCTION("IMPORTRANGE(""https://docs.google.com/spreadsheets/d/1IdolZc-dfdgMwAm_KZxYJl1sUOcIgnbGQzbWOlddedo/edit?usp=sharing"",""เลย!I726"")"),0)</f>
        <v>0</v>
      </c>
      <c r="BJ43" s="57">
        <f ca="1">IFERROR(__xludf.DUMMYFUNCTION("IMPORTRANGE(""https://docs.google.com/spreadsheets/d/1IdolZc-dfdgMwAm_KZxYJl1sUOcIgnbGQzbWOlddedo/edit?usp=sharing"",""เลย!I728"")"),0)</f>
        <v>0</v>
      </c>
      <c r="BK43" s="57">
        <f ca="1">IFERROR(__xludf.DUMMYFUNCTION("IMPORTRANGE(""https://docs.google.com/spreadsheets/d/1IdolZc-dfdgMwAm_KZxYJl1sUOcIgnbGQzbWOlddedo/edit?usp=sharing"",""เลย!J726"")"),0)</f>
        <v>0</v>
      </c>
      <c r="BL43" s="57">
        <f ca="1">IFERROR(__xludf.DUMMYFUNCTION("IMPORTRANGE(""https://docs.google.com/spreadsheets/d/1IdolZc-dfdgMwAm_KZxYJl1sUOcIgnbGQzbWOlddedo/edit?usp=sharing"",""เลย!J727"")"),0)</f>
        <v>0</v>
      </c>
      <c r="BM43" s="57">
        <f ca="1">IFERROR(__xludf.DUMMYFUNCTION("IMPORTRANGE(""https://docs.google.com/spreadsheets/d/1IdolZc-dfdgMwAm_KZxYJl1sUOcIgnbGQzbWOlddedo/edit?usp=sharing"",""เลย!J728"")"),0)</f>
        <v>0</v>
      </c>
      <c r="BN43" s="57">
        <f ca="1">IFERROR(__xludf.DUMMYFUNCTION("IMPORTRANGE(""https://docs.google.com/spreadsheets/d/1IdolZc-dfdgMwAm_KZxYJl1sUOcIgnbGQzbWOlddedo/edit?usp=sharing"",""เลย!I729"")"),0)</f>
        <v>0</v>
      </c>
      <c r="BO43" s="57">
        <f ca="1">IFERROR(__xludf.DUMMYFUNCTION("IMPORTRANGE(""https://docs.google.com/spreadsheets/d/1IdolZc-dfdgMwAm_KZxYJl1sUOcIgnbGQzbWOlddedo/edit?usp=sharing"",""เลย!J729"")"),0)</f>
        <v>0</v>
      </c>
      <c r="BP43" s="63">
        <f t="shared" ca="1" si="19"/>
        <v>0</v>
      </c>
      <c r="BQ43" s="57">
        <f ca="1">IFERROR(__xludf.DUMMYFUNCTION("IMPORTRANGE(""https://docs.google.com/spreadsheets/d/1IdolZc-dfdgMwAm_KZxYJl1sUOcIgnbGQzbWOlddedo/edit?usp=sharing"",""เลย!J730"")"),0)</f>
        <v>0</v>
      </c>
      <c r="BR43" s="57">
        <f ca="1">IFERROR(__xludf.DUMMYFUNCTION("IMPORTRANGE(""https://docs.google.com/spreadsheets/d/1IdolZc-dfdgMwAm_KZxYJl1sUOcIgnbGQzbWOlddedo/edit?usp=sharing"",""เลย!J731"")"),0)</f>
        <v>0</v>
      </c>
      <c r="BS43" s="57">
        <f ca="1">IFERROR(__xludf.DUMMYFUNCTION("IMPORTRANGE(""https://docs.google.com/spreadsheets/d/1IdolZc-dfdgMwAm_KZxYJl1sUOcIgnbGQzbWOlddedo/edit?usp=sharing"",""เลย!J732"")"),0)</f>
        <v>0</v>
      </c>
      <c r="BT43" s="57">
        <f ca="1">IFERROR(__xludf.DUMMYFUNCTION("IMPORTRANGE(""https://docs.google.com/spreadsheets/d/1IdolZc-dfdgMwAm_KZxYJl1sUOcIgnbGQzbWOlddedo/edit?usp=sharing"",""เลย!J733"")"),0)</f>
        <v>0</v>
      </c>
      <c r="BU43" s="57">
        <f ca="1">IFERROR(__xludf.DUMMYFUNCTION("IMPORTRANGE(""https://docs.google.com/spreadsheets/d/1IdolZc-dfdgMwAm_KZxYJl1sUOcIgnbGQzbWOlddedo/edit?usp=sharing"",""เลย!J734"")"),0)</f>
        <v>0</v>
      </c>
      <c r="BV43" s="57">
        <f ca="1">IFERROR(__xludf.DUMMYFUNCTION("IMPORTRANGE(""https://docs.google.com/spreadsheets/d/1IdolZc-dfdgMwAm_KZxYJl1sUOcIgnbGQzbWOlddedo/edit?usp=sharing"",""เลย!J735"")"),0)</f>
        <v>0</v>
      </c>
    </row>
    <row r="44" spans="1:74" ht="21" customHeight="1" x14ac:dyDescent="0.3">
      <c r="A44" s="54">
        <v>13</v>
      </c>
      <c r="B44" s="55" t="s">
        <v>65</v>
      </c>
      <c r="C44" s="56">
        <f t="shared" ca="1" si="63"/>
        <v>0</v>
      </c>
      <c r="D44" s="57">
        <f ca="1">IFERROR(__xludf.DUMMYFUNCTION("IMPORTRANGE(""https://docs.google.com/spreadsheets/d/1tZ0nmtGuIRCaGAMXHlQU8EpR9LOAJvyKfc4f7EFmE34/edit?usp=sharing"",""ศรีสะเกษ!L690"")"),0)</f>
        <v>0</v>
      </c>
      <c r="E44" s="64">
        <f ca="1">IFERROR(__xludf.DUMMYFUNCTION("IMPORTRANGE(""https://docs.google.com/spreadsheets/d/1tZ0nmtGuIRCaGAMXHlQU8EpR9LOAJvyKfc4f7EFmE34/edit?usp=sharing"",""ศรีสะเกษ!L697"")"),0)</f>
        <v>0</v>
      </c>
      <c r="F44" s="64">
        <f ca="1">IFERROR(__xludf.DUMMYFUNCTION("IMPORTRANGE(""https://docs.google.com/spreadsheets/d/1tZ0nmtGuIRCaGAMXHlQU8EpR9LOAJvyKfc4f7EFmE34/edit?usp=sharing"",""ศรีสะเกษ!M690"")"),0)</f>
        <v>0</v>
      </c>
      <c r="G44" s="64">
        <f ca="1">IFERROR(__xludf.DUMMYFUNCTION("IMPORTRANGE(""https://docs.google.com/spreadsheets/d/1tZ0nmtGuIRCaGAMXHlQU8EpR9LOAJvyKfc4f7EFmE34/edit?usp=sharing"",""ศรีสะเกษ!M697"")"),0)</f>
        <v>0</v>
      </c>
      <c r="H44" s="58">
        <f t="shared" ca="1" si="33"/>
        <v>0</v>
      </c>
      <c r="I44" s="59">
        <f t="shared" ca="1" si="1"/>
        <v>0</v>
      </c>
      <c r="J44" s="60">
        <f t="shared" ca="1" si="64"/>
        <v>0</v>
      </c>
      <c r="K44" s="61">
        <f t="shared" ca="1" si="39"/>
        <v>0</v>
      </c>
      <c r="L44" s="61">
        <f t="shared" ca="1" si="40"/>
        <v>0</v>
      </c>
      <c r="M44" s="64">
        <f ca="1">IFERROR(__xludf.DUMMYFUNCTION("IMPORTRANGE(""https://docs.google.com/spreadsheets/d/1tZ0nmtGuIRCaGAMXHlQU8EpR9LOAJvyKfc4f7EFmE34/edit?usp=sharing"",""ศรีสะเกษ!N691"")"),0)</f>
        <v>0</v>
      </c>
      <c r="N44" s="64">
        <f ca="1">IFERROR(__xludf.DUMMYFUNCTION("IMPORTRANGE(""https://docs.google.com/spreadsheets/d/1tZ0nmtGuIRCaGAMXHlQU8EpR9LOAJvyKfc4f7EFmE34/edit?usp=sharing"",""ศรีสะเกษ!N692"")"),0)</f>
        <v>0</v>
      </c>
      <c r="O44" s="64">
        <f ca="1">IFERROR(__xludf.DUMMYFUNCTION("IMPORTRANGE(""https://docs.google.com/spreadsheets/d/1tZ0nmtGuIRCaGAMXHlQU8EpR9LOAJvyKfc4f7EFmE34/edit?usp=sharing"",""ศรีสะเกษ!N693"")"),0)</f>
        <v>0</v>
      </c>
      <c r="P44" s="64">
        <f ca="1">IFERROR(__xludf.DUMMYFUNCTION("IMPORTRANGE(""https://docs.google.com/spreadsheets/d/1tZ0nmtGuIRCaGAMXHlQU8EpR9LOAJvyKfc4f7EFmE34/edit?usp=sharing"",""ศรีสะเกษ!N694"")"),0)</f>
        <v>0</v>
      </c>
      <c r="Q44" s="62">
        <f ca="1">IFERROR(__xludf.DUMMYFUNCTION("IMPORTRANGE(""https://docs.google.com/spreadsheets/d/1tZ0nmtGuIRCaGAMXHlQU8EpR9LOAJvyKfc4f7EFmE34/edit?usp=sharing"",""ศรีสะเกษ!N697"")"),0)</f>
        <v>0</v>
      </c>
      <c r="R44" s="62">
        <f t="shared" ca="1" si="42"/>
        <v>0</v>
      </c>
      <c r="S44" s="57">
        <f ca="1">IFERROR(__xludf.DUMMYFUNCTION("IMPORTRANGE(""https://docs.google.com/spreadsheets/d/1tZ0nmtGuIRCaGAMXHlQU8EpR9LOAJvyKfc4f7EFmE34/edit?usp=sharing"",""ศรีสะเกษ!I699"")"),0)</f>
        <v>0</v>
      </c>
      <c r="T44" s="57">
        <f ca="1">IFERROR(__xludf.DUMMYFUNCTION("IMPORTRANGE(""https://docs.google.com/spreadsheets/d/1tZ0nmtGuIRCaGAMXHlQU8EpR9LOAJvyKfc4f7EFmE34/edit?usp=sharing"",""ศรีสะเกษ!J699"")"),0)</f>
        <v>0</v>
      </c>
      <c r="U44" s="63">
        <f t="shared" ca="1" si="34"/>
        <v>0</v>
      </c>
      <c r="V44" s="57">
        <f ca="1">IFERROR(__xludf.DUMMYFUNCTION("IMPORTRANGE(""https://docs.google.com/spreadsheets/d/1tZ0nmtGuIRCaGAMXHlQU8EpR9LOAJvyKfc4f7EFmE34/edit?usp=sharing"",""ศรีสะเกษ!I700"")"),0)</f>
        <v>0</v>
      </c>
      <c r="W44" s="57">
        <f ca="1">IFERROR(__xludf.DUMMYFUNCTION("IMPORTRANGE(""https://docs.google.com/spreadsheets/d/1tZ0nmtGuIRCaGAMXHlQU8EpR9LOAJvyKfc4f7EFmE34/edit?usp=sharing"",""ศรีสะเกษ!J700"")"),0)</f>
        <v>0</v>
      </c>
      <c r="X44" s="63">
        <f t="shared" ca="1" si="35"/>
        <v>0</v>
      </c>
      <c r="Y44" s="57">
        <f ca="1">IFERROR(__xludf.DUMMYFUNCTION("IMPORTRANGE(""https://docs.google.com/spreadsheets/d/1tZ0nmtGuIRCaGAMXHlQU8EpR9LOAJvyKfc4f7EFmE34/edit?usp=sharing"",""ศรีสะเกษ!I701"")"),0)</f>
        <v>0</v>
      </c>
      <c r="Z44" s="57">
        <f ca="1">IFERROR(__xludf.DUMMYFUNCTION("IMPORTRANGE(""https://docs.google.com/spreadsheets/d/1tZ0nmtGuIRCaGAMXHlQU8EpR9LOAJvyKfc4f7EFmE34/edit?usp=sharing"",""ศรีสะเกษ!J701"")"),0)</f>
        <v>0</v>
      </c>
      <c r="AA44" s="63">
        <f t="shared" ca="1" si="36"/>
        <v>0</v>
      </c>
      <c r="AB44" s="63">
        <f ca="1">IFERROR(__xludf.DUMMYFUNCTION("IMPORTRANGE(""https://docs.google.com/spreadsheets/d/1tZ0nmtGuIRCaGAMXHlQU8EpR9LOAJvyKfc4f7EFmE34/edit?usp=sharing"",""ศรีสะเกษ!J702"")"),0)</f>
        <v>0</v>
      </c>
      <c r="AC44" s="63">
        <f ca="1">IFERROR(__xludf.DUMMYFUNCTION("IMPORTRANGE(""https://docs.google.com/spreadsheets/d/1tZ0nmtGuIRCaGAMXHlQU8EpR9LOAJvyKfc4f7EFmE34/edit?usp=sharing"",""ศรีสะเกษ!J703"")"),0)</f>
        <v>0</v>
      </c>
      <c r="AD44" s="63">
        <f ca="1">IFERROR(__xludf.DUMMYFUNCTION("IMPORTRANGE(""https://docs.google.com/spreadsheets/d/1tZ0nmtGuIRCaGAMXHlQU8EpR9LOAJvyKfc4f7EFmE34/edit?usp=sharing"",""ศรีสะเกษ!J704"")"),0)</f>
        <v>0</v>
      </c>
      <c r="AE44" s="63">
        <f ca="1">IFERROR(__xludf.DUMMYFUNCTION("IMPORTRANGE(""https://docs.google.com/spreadsheets/d/1tZ0nmtGuIRCaGAMXHlQU8EpR9LOAJvyKfc4f7EFmE34/edit?usp=sharing"",""ศรีสะเกษ!J705"")"),0)</f>
        <v>0</v>
      </c>
      <c r="AF44" s="63">
        <f ca="1">IFERROR(__xludf.DUMMYFUNCTION("IMPORTRANGE(""https://docs.google.com/spreadsheets/d/1tZ0nmtGuIRCaGAMXHlQU8EpR9LOAJvyKfc4f7EFmE34/edit?usp=sharing"",""ศรีสะเกษ!J706"")"),0)</f>
        <v>0</v>
      </c>
      <c r="AG44" s="63">
        <f ca="1">IFERROR(__xludf.DUMMYFUNCTION("IMPORTRANGE(""https://docs.google.com/spreadsheets/d/1tZ0nmtGuIRCaGAMXHlQU8EpR9LOAJvyKfc4f7EFmE34/edit?usp=sharing"",""ศรีสะเกษ!J707"")"),0)</f>
        <v>0</v>
      </c>
      <c r="AH44" s="57">
        <f ca="1">IFERROR(__xludf.DUMMYFUNCTION("IMPORTRANGE(""https://docs.google.com/spreadsheets/d/1tZ0nmtGuIRCaGAMXHlQU8EpR9LOAJvyKfc4f7EFmE34/edit?usp=sharing"",""ศรีสะเกษ!I708"")"),0)</f>
        <v>0</v>
      </c>
      <c r="AI44" s="57">
        <f ca="1">IFERROR(__xludf.DUMMYFUNCTION("IMPORTRANGE(""https://docs.google.com/spreadsheets/d/1tZ0nmtGuIRCaGAMXHlQU8EpR9LOAJvyKfc4f7EFmE34/edit?usp=sharing"",""ศรีสะเกษ!J708"")"),0)</f>
        <v>0</v>
      </c>
      <c r="AJ44" s="63">
        <f t="shared" ca="1" si="37"/>
        <v>0</v>
      </c>
      <c r="AK44" s="57">
        <f ca="1">IFERROR(__xludf.DUMMYFUNCTION("IMPORTRANGE(""https://docs.google.com/spreadsheets/d/1tZ0nmtGuIRCaGAMXHlQU8EpR9LOAJvyKfc4f7EFmE34/edit?usp=sharing"",""ศรีสะเกษ!J709"")"),0)</f>
        <v>0</v>
      </c>
      <c r="AL44" s="57">
        <f ca="1">IFERROR(__xludf.DUMMYFUNCTION("IMPORTRANGE(""https://docs.google.com/spreadsheets/d/1tZ0nmtGuIRCaGAMXHlQU8EpR9LOAJvyKfc4f7EFmE34/edit?usp=sharing"",""ศรีสะเกษ!J710"")"),0)</f>
        <v>0</v>
      </c>
      <c r="AM44" s="57">
        <f ca="1">IFERROR(__xludf.DUMMYFUNCTION("IMPORTRANGE(""https://docs.google.com/spreadsheets/d/1tZ0nmtGuIRCaGAMXHlQU8EpR9LOAJvyKfc4f7EFmE34/edit?usp=sharing"",""ศรีสะเกษ!J712"")"),0)</f>
        <v>0</v>
      </c>
      <c r="AN44" s="57">
        <f ca="1">IFERROR(__xludf.DUMMYFUNCTION("IMPORTRANGE(""https://docs.google.com/spreadsheets/d/1tZ0nmtGuIRCaGAMXHlQU8EpR9LOAJvyKfc4f7EFmE34/edit?usp=sharing"",""ศรีสะเกษ!J713"")"),0)</f>
        <v>0</v>
      </c>
      <c r="AO44" s="57">
        <f ca="1">IFERROR(__xludf.DUMMYFUNCTION("IMPORTRANGE(""https://docs.google.com/spreadsheets/d/1tZ0nmtGuIRCaGAMXHlQU8EpR9LOAJvyKfc4f7EFmE34/edit?usp=sharing"",""ศรีสะเกษ!J714"")"),0)</f>
        <v>0</v>
      </c>
      <c r="AP44" s="57">
        <f ca="1">IFERROR(__xludf.DUMMYFUNCTION("IMPORTRANGE(""https://docs.google.com/spreadsheets/d/1tZ0nmtGuIRCaGAMXHlQU8EpR9LOAJvyKfc4f7EFmE34/edit?usp=sharing"",""ศรีสะเกษ!J715"")"),0)</f>
        <v>0</v>
      </c>
      <c r="AQ44" s="57">
        <f ca="1">IFERROR(__xludf.DUMMYFUNCTION("IMPORTRANGE(""https://docs.google.com/spreadsheets/d/1tZ0nmtGuIRCaGAMXHlQU8EpR9LOAJvyKfc4f7EFmE34/edit?usp=sharing"",""ศรีสะเกษ!J716"")"),0)</f>
        <v>0</v>
      </c>
      <c r="AR44" s="57">
        <f ca="1">IFERROR(__xludf.DUMMYFUNCTION("IMPORTRANGE(""https://docs.google.com/spreadsheets/d/1tZ0nmtGuIRCaGAMXHlQU8EpR9LOAJvyKfc4f7EFmE34/edit?usp=sharing"",""ศรีสะเกษ!J717"")"),0)</f>
        <v>0</v>
      </c>
      <c r="AS44" s="57">
        <f ca="1">IFERROR(__xludf.DUMMYFUNCTION("IMPORTRANGE(""https://docs.google.com/spreadsheets/d/1tZ0nmtGuIRCaGAMXHlQU8EpR9LOAJvyKfc4f7EFmE34/edit?usp=sharing"",""ศรีสะเกษ!I720"")"),0)</f>
        <v>0</v>
      </c>
      <c r="AT44" s="57">
        <f ca="1">IFERROR(__xludf.DUMMYFUNCTION("IMPORTRANGE(""https://docs.google.com/spreadsheets/d/1tZ0nmtGuIRCaGAMXHlQU8EpR9LOAJvyKfc4f7EFmE34/edit?usp=sharing"",""ศรีสะเกษ!J718"")"),0)</f>
        <v>0</v>
      </c>
      <c r="AU44" s="57">
        <f ca="1">IFERROR(__xludf.DUMMYFUNCTION("IMPORTRANGE(""https://docs.google.com/spreadsheets/d/1tZ0nmtGuIRCaGAMXHlQU8EpR9LOAJvyKfc4f7EFmE34/edit?usp=sharing"",""ศรีสะเกษ!J719"")"),0)</f>
        <v>0</v>
      </c>
      <c r="AV44" s="57">
        <f ca="1">IFERROR(__xludf.DUMMYFUNCTION("IMPORTRANGE(""https://docs.google.com/spreadsheets/d/1tZ0nmtGuIRCaGAMXHlQU8EpR9LOAJvyKfc4f7EFmE34/edit?usp=sharing"",""ศรีสะเกษ!J720"")"),0)</f>
        <v>0</v>
      </c>
      <c r="AW44" s="63">
        <f t="shared" ca="1" si="14"/>
        <v>0</v>
      </c>
      <c r="AX44" s="57">
        <f ca="1">IFERROR(__xludf.DUMMYFUNCTION("IMPORTRANGE(""https://docs.google.com/spreadsheets/d/1tZ0nmtGuIRCaGAMXHlQU8EpR9LOAJvyKfc4f7EFmE34/edit?usp=sharing"",""ศรีสะเกษ!I721"")"),0)</f>
        <v>0</v>
      </c>
      <c r="AY44" s="57">
        <f ca="1">IFERROR(__xludf.DUMMYFUNCTION("IMPORTRANGE(""https://docs.google.com/spreadsheets/d/1tZ0nmtGuIRCaGAMXHlQU8EpR9LOAJvyKfc4f7EFmE34/edit?usp=sharing"",""ศรีสะเกษ!I722"")"),0)</f>
        <v>0</v>
      </c>
      <c r="AZ44" s="57">
        <f ca="1">IFERROR(__xludf.DUMMYFUNCTION("IMPORTRANGE(""https://docs.google.com/spreadsheets/d/1tZ0nmtGuIRCaGAMXHlQU8EpR9LOAJvyKfc4f7EFmE34/edit?usp=sharing"",""ศรีสะเกษ!J721"")"),0)</f>
        <v>0</v>
      </c>
      <c r="BA44" s="63">
        <f t="shared" ca="1" si="16"/>
        <v>0</v>
      </c>
      <c r="BB44" s="57">
        <f ca="1">IFERROR(__xludf.DUMMYFUNCTION("IMPORTRANGE(""https://docs.google.com/spreadsheets/d/1tZ0nmtGuIRCaGAMXHlQU8EpR9LOAJvyKfc4f7EFmE34/edit?usp=sharing"",""ศรีสะเกษ!J722"")"),0)</f>
        <v>0</v>
      </c>
      <c r="BC44" s="63">
        <f t="shared" ca="1" si="17"/>
        <v>0</v>
      </c>
      <c r="BD44" s="57">
        <f ca="1">IFERROR(__xludf.DUMMYFUNCTION("IMPORTRANGE(""https://docs.google.com/spreadsheets/d/1tZ0nmtGuIRCaGAMXHlQU8EpR9LOAJvyKfc4f7EFmE34/edit?usp=sharing"",""ศรีสะเกษ!I723"")"),0)</f>
        <v>0</v>
      </c>
      <c r="BE44" s="57">
        <f ca="1">IFERROR(__xludf.DUMMYFUNCTION("IMPORTRANGE(""https://docs.google.com/spreadsheets/d/1tZ0nmtGuIRCaGAMXHlQU8EpR9LOAJvyKfc4f7EFmE34/edit?usp=sharing"",""ศรีสะเกษ!I725"")"),0)</f>
        <v>0</v>
      </c>
      <c r="BF44" s="57">
        <f ca="1">IFERROR(__xludf.DUMMYFUNCTION("IMPORTRANGE(""https://docs.google.com/spreadsheets/d/1tZ0nmtGuIRCaGAMXHlQU8EpR9LOAJvyKfc4f7EFmE34/edit?usp=sharing"",""ศรีสะเกษ!J723"")"),0)</f>
        <v>0</v>
      </c>
      <c r="BG44" s="57">
        <f ca="1">IFERROR(__xludf.DUMMYFUNCTION("IMPORTRANGE(""https://docs.google.com/spreadsheets/d/1tZ0nmtGuIRCaGAMXHlQU8EpR9LOAJvyKfc4f7EFmE34/edit?usp=sharing"",""ศรีสะเกษ!J724"")"),0)</f>
        <v>0</v>
      </c>
      <c r="BH44" s="57">
        <f ca="1">IFERROR(__xludf.DUMMYFUNCTION("IMPORTRANGE(""https://docs.google.com/spreadsheets/d/1tZ0nmtGuIRCaGAMXHlQU8EpR9LOAJvyKfc4f7EFmE34/edit?usp=sharing"",""ศรีสะเกษ!J725"")"),0)</f>
        <v>0</v>
      </c>
      <c r="BI44" s="57">
        <f ca="1">IFERROR(__xludf.DUMMYFUNCTION("IMPORTRANGE(""https://docs.google.com/spreadsheets/d/1tZ0nmtGuIRCaGAMXHlQU8EpR9LOAJvyKfc4f7EFmE34/edit?usp=sharing"",""ศรีสะเกษ!I726"")"),0)</f>
        <v>0</v>
      </c>
      <c r="BJ44" s="57">
        <f ca="1">IFERROR(__xludf.DUMMYFUNCTION("IMPORTRANGE(""https://docs.google.com/spreadsheets/d/1tZ0nmtGuIRCaGAMXHlQU8EpR9LOAJvyKfc4f7EFmE34/edit?usp=sharing"",""ศรีสะเกษ!I728"")"),0)</f>
        <v>0</v>
      </c>
      <c r="BK44" s="57">
        <f ca="1">IFERROR(__xludf.DUMMYFUNCTION("IMPORTRANGE(""https://docs.google.com/spreadsheets/d/1tZ0nmtGuIRCaGAMXHlQU8EpR9LOAJvyKfc4f7EFmE34/edit?usp=sharing"",""ศรีสะเกษ!J726"")"),0)</f>
        <v>0</v>
      </c>
      <c r="BL44" s="57">
        <f ca="1">IFERROR(__xludf.DUMMYFUNCTION("IMPORTRANGE(""https://docs.google.com/spreadsheets/d/1tZ0nmtGuIRCaGAMXHlQU8EpR9LOAJvyKfc4f7EFmE34/edit?usp=sharing"",""ศรีสะเกษ!J727"")"),0)</f>
        <v>0</v>
      </c>
      <c r="BM44" s="57">
        <f ca="1">IFERROR(__xludf.DUMMYFUNCTION("IMPORTRANGE(""https://docs.google.com/spreadsheets/d/1tZ0nmtGuIRCaGAMXHlQU8EpR9LOAJvyKfc4f7EFmE34/edit?usp=sharing"",""ศรีสะเกษ!J728"")"),0)</f>
        <v>0</v>
      </c>
      <c r="BN44" s="57">
        <f ca="1">IFERROR(__xludf.DUMMYFUNCTION("IMPORTRANGE(""https://docs.google.com/spreadsheets/d/1tZ0nmtGuIRCaGAMXHlQU8EpR9LOAJvyKfc4f7EFmE34/edit?usp=sharing"",""ศรีสะเกษ!I729"")"),0)</f>
        <v>0</v>
      </c>
      <c r="BO44" s="57">
        <f ca="1">IFERROR(__xludf.DUMMYFUNCTION("IMPORTRANGE(""https://docs.google.com/spreadsheets/d/1tZ0nmtGuIRCaGAMXHlQU8EpR9LOAJvyKfc4f7EFmE34/edit?usp=sharing"",""ศรีสะเกษ!J729"")"),0)</f>
        <v>0</v>
      </c>
      <c r="BP44" s="63">
        <f t="shared" ca="1" si="19"/>
        <v>0</v>
      </c>
      <c r="BQ44" s="57">
        <f ca="1">IFERROR(__xludf.DUMMYFUNCTION("IMPORTRANGE(""https://docs.google.com/spreadsheets/d/1tZ0nmtGuIRCaGAMXHlQU8EpR9LOAJvyKfc4f7EFmE34/edit?usp=sharing"",""ศรีสะเกษ!J730"")"),0)</f>
        <v>0</v>
      </c>
      <c r="BR44" s="57">
        <f ca="1">IFERROR(__xludf.DUMMYFUNCTION("IMPORTRANGE(""https://docs.google.com/spreadsheets/d/1tZ0nmtGuIRCaGAMXHlQU8EpR9LOAJvyKfc4f7EFmE34/edit?usp=sharing"",""ศรีสะเกษ!J731"")"),0)</f>
        <v>0</v>
      </c>
      <c r="BS44" s="57">
        <f ca="1">IFERROR(__xludf.DUMMYFUNCTION("IMPORTRANGE(""https://docs.google.com/spreadsheets/d/1tZ0nmtGuIRCaGAMXHlQU8EpR9LOAJvyKfc4f7EFmE34/edit?usp=sharing"",""ศรีสะเกษ!J732"")"),0)</f>
        <v>0</v>
      </c>
      <c r="BT44" s="57">
        <f ca="1">IFERROR(__xludf.DUMMYFUNCTION("IMPORTRANGE(""https://docs.google.com/spreadsheets/d/1tZ0nmtGuIRCaGAMXHlQU8EpR9LOAJvyKfc4f7EFmE34/edit?usp=sharing"",""ศรีสะเกษ!J733"")"),0)</f>
        <v>0</v>
      </c>
      <c r="BU44" s="57">
        <f ca="1">IFERROR(__xludf.DUMMYFUNCTION("IMPORTRANGE(""https://docs.google.com/spreadsheets/d/1tZ0nmtGuIRCaGAMXHlQU8EpR9LOAJvyKfc4f7EFmE34/edit?usp=sharing"",""ศรีสะเกษ!J734"")"),0)</f>
        <v>0</v>
      </c>
      <c r="BV44" s="57">
        <f ca="1">IFERROR(__xludf.DUMMYFUNCTION("IMPORTRANGE(""https://docs.google.com/spreadsheets/d/1tZ0nmtGuIRCaGAMXHlQU8EpR9LOAJvyKfc4f7EFmE34/edit?usp=sharing"",""ศรีสะเกษ!J735"")"),0)</f>
        <v>0</v>
      </c>
    </row>
    <row r="45" spans="1:74" ht="21" customHeight="1" x14ac:dyDescent="0.3">
      <c r="A45" s="54">
        <v>14</v>
      </c>
      <c r="B45" s="55" t="s">
        <v>66</v>
      </c>
      <c r="C45" s="56">
        <f t="shared" ca="1" si="63"/>
        <v>1940</v>
      </c>
      <c r="D45" s="57">
        <f ca="1">IFERROR(__xludf.DUMMYFUNCTION("IMPORTRANGE(""https://docs.google.com/spreadsheets/d/1QC8psz9w0f9IVE9Xuc2FT_btkaOzZbbUSgYObpBuetM/edit?usp=sharing"",""สกลนคร!L690"")"),1940)</f>
        <v>1940</v>
      </c>
      <c r="E45" s="64">
        <f ca="1">IFERROR(__xludf.DUMMYFUNCTION("IMPORTRANGE(""https://docs.google.com/spreadsheets/d/1QC8psz9w0f9IVE9Xuc2FT_btkaOzZbbUSgYObpBuetM/edit?usp=sharing"",""สกลนคร!L697"")"),0)</f>
        <v>0</v>
      </c>
      <c r="F45" s="64">
        <f ca="1">IFERROR(__xludf.DUMMYFUNCTION("IMPORTRANGE(""https://docs.google.com/spreadsheets/d/1QC8psz9w0f9IVE9Xuc2FT_btkaOzZbbUSgYObpBuetM/edit?usp=sharing"",""สกลนคร!M690"")"),1940)</f>
        <v>1940</v>
      </c>
      <c r="G45" s="64">
        <f ca="1">IFERROR(__xludf.DUMMYFUNCTION("IMPORTRANGE(""https://docs.google.com/spreadsheets/d/1QC8psz9w0f9IVE9Xuc2FT_btkaOzZbbUSgYObpBuetM/edit?usp=sharing"",""สกลนคร!M697"")"),0)</f>
        <v>0</v>
      </c>
      <c r="H45" s="58">
        <f t="shared" ca="1" si="33"/>
        <v>0</v>
      </c>
      <c r="I45" s="59">
        <f t="shared" ca="1" si="1"/>
        <v>0</v>
      </c>
      <c r="J45" s="60">
        <f t="shared" ca="1" si="64"/>
        <v>0</v>
      </c>
      <c r="K45" s="61">
        <f t="shared" ca="1" si="39"/>
        <v>0</v>
      </c>
      <c r="L45" s="61">
        <f t="shared" ca="1" si="40"/>
        <v>0</v>
      </c>
      <c r="M45" s="64">
        <f ca="1">IFERROR(__xludf.DUMMYFUNCTION("IMPORTRANGE(""https://docs.google.com/spreadsheets/d/1QC8psz9w0f9IVE9Xuc2FT_btkaOzZbbUSgYObpBuetM/edit?usp=sharing"",""สกลนคร!N691"")"),0)</f>
        <v>0</v>
      </c>
      <c r="N45" s="64">
        <f ca="1">IFERROR(__xludf.DUMMYFUNCTION("IMPORTRANGE(""https://docs.google.com/spreadsheets/d/1QC8psz9w0f9IVE9Xuc2FT_btkaOzZbbUSgYObpBuetM/edit?usp=sharing"",""สกลนคร!N692"")"),0)</f>
        <v>0</v>
      </c>
      <c r="O45" s="64">
        <f ca="1">IFERROR(__xludf.DUMMYFUNCTION("IMPORTRANGE(""https://docs.google.com/spreadsheets/d/1QC8psz9w0f9IVE9Xuc2FT_btkaOzZbbUSgYObpBuetM/edit?usp=sharing"",""สกลนคร!N693"")"),0)</f>
        <v>0</v>
      </c>
      <c r="P45" s="64">
        <f ca="1">IFERROR(__xludf.DUMMYFUNCTION("IMPORTRANGE(""https://docs.google.com/spreadsheets/d/1QC8psz9w0f9IVE9Xuc2FT_btkaOzZbbUSgYObpBuetM/edit?usp=sharing"",""สกลนคร!N694"")"),0)</f>
        <v>0</v>
      </c>
      <c r="Q45" s="62">
        <f ca="1">IFERROR(__xludf.DUMMYFUNCTION("IMPORTRANGE(""https://docs.google.com/spreadsheets/d/1QC8psz9w0f9IVE9Xuc2FT_btkaOzZbbUSgYObpBuetM/edit?usp=sharing"",""สกลนคร!N697"")"),0)</f>
        <v>0</v>
      </c>
      <c r="R45" s="62">
        <f t="shared" ca="1" si="42"/>
        <v>0</v>
      </c>
      <c r="S45" s="57">
        <f ca="1">IFERROR(__xludf.DUMMYFUNCTION("IMPORTRANGE(""https://docs.google.com/spreadsheets/d/1QC8psz9w0f9IVE9Xuc2FT_btkaOzZbbUSgYObpBuetM/edit?usp=sharing"",""สกลนคร!I699"")"),0)</f>
        <v>0</v>
      </c>
      <c r="T45" s="57">
        <f ca="1">IFERROR(__xludf.DUMMYFUNCTION("IMPORTRANGE(""https://docs.google.com/spreadsheets/d/1QC8psz9w0f9IVE9Xuc2FT_btkaOzZbbUSgYObpBuetM/edit?usp=sharing"",""สกลนคร!J699"")"),0)</f>
        <v>0</v>
      </c>
      <c r="U45" s="63">
        <f t="shared" ca="1" si="34"/>
        <v>0</v>
      </c>
      <c r="V45" s="57">
        <f ca="1">IFERROR(__xludf.DUMMYFUNCTION("IMPORTRANGE(""https://docs.google.com/spreadsheets/d/1QC8psz9w0f9IVE9Xuc2FT_btkaOzZbbUSgYObpBuetM/edit?usp=sharing"",""สกลนคร!I700"")"),0)</f>
        <v>0</v>
      </c>
      <c r="W45" s="57">
        <f ca="1">IFERROR(__xludf.DUMMYFUNCTION("IMPORTRANGE(""https://docs.google.com/spreadsheets/d/1QC8psz9w0f9IVE9Xuc2FT_btkaOzZbbUSgYObpBuetM/edit?usp=sharing"",""สกลนคร!J700"")"),0)</f>
        <v>0</v>
      </c>
      <c r="X45" s="63">
        <f t="shared" ca="1" si="35"/>
        <v>0</v>
      </c>
      <c r="Y45" s="57">
        <f ca="1">IFERROR(__xludf.DUMMYFUNCTION("IMPORTRANGE(""https://docs.google.com/spreadsheets/d/1QC8psz9w0f9IVE9Xuc2FT_btkaOzZbbUSgYObpBuetM/edit?usp=sharing"",""สกลนคร!I701"")"),47)</f>
        <v>47</v>
      </c>
      <c r="Z45" s="57">
        <f ca="1">IFERROR(__xludf.DUMMYFUNCTION("IMPORTRANGE(""https://docs.google.com/spreadsheets/d/1QC8psz9w0f9IVE9Xuc2FT_btkaOzZbbUSgYObpBuetM/edit?usp=sharing"",""สกลนคร!J701"")"),0)</f>
        <v>0</v>
      </c>
      <c r="AA45" s="63">
        <f t="shared" ca="1" si="36"/>
        <v>0</v>
      </c>
      <c r="AB45" s="63">
        <f ca="1">IFERROR(__xludf.DUMMYFUNCTION("IMPORTRANGE(""https://docs.google.com/spreadsheets/d/1QC8psz9w0f9IVE9Xuc2FT_btkaOzZbbUSgYObpBuetM/edit?usp=sharing"",""สกลนคร!J702"")"),0)</f>
        <v>0</v>
      </c>
      <c r="AC45" s="63">
        <f ca="1">IFERROR(__xludf.DUMMYFUNCTION("IMPORTRANGE(""https://docs.google.com/spreadsheets/d/1QC8psz9w0f9IVE9Xuc2FT_btkaOzZbbUSgYObpBuetM/edit?usp=sharing"",""สกลนคร!J703"")"),0)</f>
        <v>0</v>
      </c>
      <c r="AD45" s="63">
        <f ca="1">IFERROR(__xludf.DUMMYFUNCTION("IMPORTRANGE(""https://docs.google.com/spreadsheets/d/1QC8psz9w0f9IVE9Xuc2FT_btkaOzZbbUSgYObpBuetM/edit?usp=sharing"",""สกลนคร!J704"")"),0)</f>
        <v>0</v>
      </c>
      <c r="AE45" s="63">
        <f ca="1">IFERROR(__xludf.DUMMYFUNCTION("IMPORTRANGE(""https://docs.google.com/spreadsheets/d/1QC8psz9w0f9IVE9Xuc2FT_btkaOzZbbUSgYObpBuetM/edit?usp=sharing"",""สกลนคร!J705"")"),0)</f>
        <v>0</v>
      </c>
      <c r="AF45" s="63">
        <f ca="1">IFERROR(__xludf.DUMMYFUNCTION("IMPORTRANGE(""https://docs.google.com/spreadsheets/d/1QC8psz9w0f9IVE9Xuc2FT_btkaOzZbbUSgYObpBuetM/edit?usp=sharing"",""สกลนคร!J706"")"),0)</f>
        <v>0</v>
      </c>
      <c r="AG45" s="63">
        <f ca="1">IFERROR(__xludf.DUMMYFUNCTION("IMPORTRANGE(""https://docs.google.com/spreadsheets/d/1QC8psz9w0f9IVE9Xuc2FT_btkaOzZbbUSgYObpBuetM/edit?usp=sharing"",""สกลนคร!J707"")"),0)</f>
        <v>0</v>
      </c>
      <c r="AH45" s="57">
        <f ca="1">IFERROR(__xludf.DUMMYFUNCTION("IMPORTRANGE(""https://docs.google.com/spreadsheets/d/1QC8psz9w0f9IVE9Xuc2FT_btkaOzZbbUSgYObpBuetM/edit?usp=sharing"",""สกลนคร!I708"")"),0)</f>
        <v>0</v>
      </c>
      <c r="AI45" s="57">
        <f ca="1">IFERROR(__xludf.DUMMYFUNCTION("IMPORTRANGE(""https://docs.google.com/spreadsheets/d/1QC8psz9w0f9IVE9Xuc2FT_btkaOzZbbUSgYObpBuetM/edit?usp=sharing"",""สกลนคร!J708"")"),0)</f>
        <v>0</v>
      </c>
      <c r="AJ45" s="63">
        <f t="shared" ca="1" si="37"/>
        <v>0</v>
      </c>
      <c r="AK45" s="57">
        <f ca="1">IFERROR(__xludf.DUMMYFUNCTION("IMPORTRANGE(""https://docs.google.com/spreadsheets/d/1QC8psz9w0f9IVE9Xuc2FT_btkaOzZbbUSgYObpBuetM/edit?usp=sharing"",""สกลนคร!J709"")"),0)</f>
        <v>0</v>
      </c>
      <c r="AL45" s="57">
        <f ca="1">IFERROR(__xludf.DUMMYFUNCTION("IMPORTRANGE(""https://docs.google.com/spreadsheets/d/1QC8psz9w0f9IVE9Xuc2FT_btkaOzZbbUSgYObpBuetM/edit?usp=sharing"",""สกลนคร!J710"")"),0)</f>
        <v>0</v>
      </c>
      <c r="AM45" s="57">
        <f ca="1">IFERROR(__xludf.DUMMYFUNCTION("IMPORTRANGE(""https://docs.google.com/spreadsheets/d/1QC8psz9w0f9IVE9Xuc2FT_btkaOzZbbUSgYObpBuetM/edit?usp=sharing"",""สกลนคร!J712"")"),0)</f>
        <v>0</v>
      </c>
      <c r="AN45" s="57">
        <f ca="1">IFERROR(__xludf.DUMMYFUNCTION("IMPORTRANGE(""https://docs.google.com/spreadsheets/d/1QC8psz9w0f9IVE9Xuc2FT_btkaOzZbbUSgYObpBuetM/edit?usp=sharing"",""สกลนคร!J713"")"),0)</f>
        <v>0</v>
      </c>
      <c r="AO45" s="57">
        <f ca="1">IFERROR(__xludf.DUMMYFUNCTION("IMPORTRANGE(""https://docs.google.com/spreadsheets/d/1QC8psz9w0f9IVE9Xuc2FT_btkaOzZbbUSgYObpBuetM/edit?usp=sharing"",""สกลนคร!J714"")"),0)</f>
        <v>0</v>
      </c>
      <c r="AP45" s="57">
        <f ca="1">IFERROR(__xludf.DUMMYFUNCTION("IMPORTRANGE(""https://docs.google.com/spreadsheets/d/1QC8psz9w0f9IVE9Xuc2FT_btkaOzZbbUSgYObpBuetM/edit?usp=sharing"",""สกลนคร!J715"")"),0)</f>
        <v>0</v>
      </c>
      <c r="AQ45" s="57">
        <f ca="1">IFERROR(__xludf.DUMMYFUNCTION("IMPORTRANGE(""https://docs.google.com/spreadsheets/d/1QC8psz9w0f9IVE9Xuc2FT_btkaOzZbbUSgYObpBuetM/edit?usp=sharing"",""สกลนคร!J716"")"),0)</f>
        <v>0</v>
      </c>
      <c r="AR45" s="57">
        <f ca="1">IFERROR(__xludf.DUMMYFUNCTION("IMPORTRANGE(""https://docs.google.com/spreadsheets/d/1QC8psz9w0f9IVE9Xuc2FT_btkaOzZbbUSgYObpBuetM/edit?usp=sharing"",""สกลนคร!J717"")"),0)</f>
        <v>0</v>
      </c>
      <c r="AS45" s="57">
        <f ca="1">IFERROR(__xludf.DUMMYFUNCTION("IMPORTRANGE(""https://docs.google.com/spreadsheets/d/1QC8psz9w0f9IVE9Xuc2FT_btkaOzZbbUSgYObpBuetM/edit?usp=sharing"",""สกลนคร!I720"")"),0)</f>
        <v>0</v>
      </c>
      <c r="AT45" s="57">
        <f ca="1">IFERROR(__xludf.DUMMYFUNCTION("IMPORTRANGE(""https://docs.google.com/spreadsheets/d/1QC8psz9w0f9IVE9Xuc2FT_btkaOzZbbUSgYObpBuetM/edit?usp=sharing"",""สกลนคร!J718"")"),0)</f>
        <v>0</v>
      </c>
      <c r="AU45" s="57">
        <f ca="1">IFERROR(__xludf.DUMMYFUNCTION("IMPORTRANGE(""https://docs.google.com/spreadsheets/d/1QC8psz9w0f9IVE9Xuc2FT_btkaOzZbbUSgYObpBuetM/edit?usp=sharing"",""สกลนคร!J719"")"),0)</f>
        <v>0</v>
      </c>
      <c r="AV45" s="57">
        <f ca="1">IFERROR(__xludf.DUMMYFUNCTION("IMPORTRANGE(""https://docs.google.com/spreadsheets/d/1QC8psz9w0f9IVE9Xuc2FT_btkaOzZbbUSgYObpBuetM/edit?usp=sharing"",""สกลนคร!J720"")"),0)</f>
        <v>0</v>
      </c>
      <c r="AW45" s="63">
        <f t="shared" ca="1" si="14"/>
        <v>0</v>
      </c>
      <c r="AX45" s="57">
        <f ca="1">IFERROR(__xludf.DUMMYFUNCTION("IMPORTRANGE(""https://docs.google.com/spreadsheets/d/1QC8psz9w0f9IVE9Xuc2FT_btkaOzZbbUSgYObpBuetM/edit?usp=sharing"",""สกลนคร!I721"")"),0)</f>
        <v>0</v>
      </c>
      <c r="AY45" s="57">
        <f ca="1">IFERROR(__xludf.DUMMYFUNCTION("IMPORTRANGE(""https://docs.google.com/spreadsheets/d/1QC8psz9w0f9IVE9Xuc2FT_btkaOzZbbUSgYObpBuetM/edit?usp=sharing"",""สกลนคร!I722"")"),0)</f>
        <v>0</v>
      </c>
      <c r="AZ45" s="57">
        <f ca="1">IFERROR(__xludf.DUMMYFUNCTION("IMPORTRANGE(""https://docs.google.com/spreadsheets/d/1QC8psz9w0f9IVE9Xuc2FT_btkaOzZbbUSgYObpBuetM/edit?usp=sharing"",""สกลนคร!J721"")"),0)</f>
        <v>0</v>
      </c>
      <c r="BA45" s="63">
        <f t="shared" ca="1" si="16"/>
        <v>0</v>
      </c>
      <c r="BB45" s="57">
        <f ca="1">IFERROR(__xludf.DUMMYFUNCTION("IMPORTRANGE(""https://docs.google.com/spreadsheets/d/1QC8psz9w0f9IVE9Xuc2FT_btkaOzZbbUSgYObpBuetM/edit?usp=sharing"",""สกลนคร!J722"")"),0)</f>
        <v>0</v>
      </c>
      <c r="BC45" s="63">
        <f t="shared" ca="1" si="17"/>
        <v>0</v>
      </c>
      <c r="BD45" s="57">
        <f ca="1">IFERROR(__xludf.DUMMYFUNCTION("IMPORTRANGE(""https://docs.google.com/spreadsheets/d/1QC8psz9w0f9IVE9Xuc2FT_btkaOzZbbUSgYObpBuetM/edit?usp=sharing"",""สกลนคร!I723"")"),0)</f>
        <v>0</v>
      </c>
      <c r="BE45" s="57">
        <f ca="1">IFERROR(__xludf.DUMMYFUNCTION("IMPORTRANGE(""https://docs.google.com/spreadsheets/d/1QC8psz9w0f9IVE9Xuc2FT_btkaOzZbbUSgYObpBuetM/edit?usp=sharing"",""สกลนคร!I725"")"),0)</f>
        <v>0</v>
      </c>
      <c r="BF45" s="57">
        <f ca="1">IFERROR(__xludf.DUMMYFUNCTION("IMPORTRANGE(""https://docs.google.com/spreadsheets/d/1QC8psz9w0f9IVE9Xuc2FT_btkaOzZbbUSgYObpBuetM/edit?usp=sharing"",""สกลนคร!J723"")"),0)</f>
        <v>0</v>
      </c>
      <c r="BG45" s="57">
        <f ca="1">IFERROR(__xludf.DUMMYFUNCTION("IMPORTRANGE(""https://docs.google.com/spreadsheets/d/1QC8psz9w0f9IVE9Xuc2FT_btkaOzZbbUSgYObpBuetM/edit?usp=sharing"",""สกลนคร!J724"")"),0)</f>
        <v>0</v>
      </c>
      <c r="BH45" s="57">
        <f ca="1">IFERROR(__xludf.DUMMYFUNCTION("IMPORTRANGE(""https://docs.google.com/spreadsheets/d/1QC8psz9w0f9IVE9Xuc2FT_btkaOzZbbUSgYObpBuetM/edit?usp=sharing"",""สกลนคร!J725"")"),0)</f>
        <v>0</v>
      </c>
      <c r="BI45" s="57">
        <f ca="1">IFERROR(__xludf.DUMMYFUNCTION("IMPORTRANGE(""https://docs.google.com/spreadsheets/d/1QC8psz9w0f9IVE9Xuc2FT_btkaOzZbbUSgYObpBuetM/edit?usp=sharing"",""สกลนคร!I726"")"),0)</f>
        <v>0</v>
      </c>
      <c r="BJ45" s="57">
        <f ca="1">IFERROR(__xludf.DUMMYFUNCTION("IMPORTRANGE(""https://docs.google.com/spreadsheets/d/1QC8psz9w0f9IVE9Xuc2FT_btkaOzZbbUSgYObpBuetM/edit?usp=sharing"",""สกลนคร!I728"")"),0)</f>
        <v>0</v>
      </c>
      <c r="BK45" s="57">
        <f ca="1">IFERROR(__xludf.DUMMYFUNCTION("IMPORTRANGE(""https://docs.google.com/spreadsheets/d/1QC8psz9w0f9IVE9Xuc2FT_btkaOzZbbUSgYObpBuetM/edit?usp=sharing"",""สกลนคร!J726"")"),0)</f>
        <v>0</v>
      </c>
      <c r="BL45" s="57">
        <f ca="1">IFERROR(__xludf.DUMMYFUNCTION("IMPORTRANGE(""https://docs.google.com/spreadsheets/d/1QC8psz9w0f9IVE9Xuc2FT_btkaOzZbbUSgYObpBuetM/edit?usp=sharing"",""สกลนคร!J727"")"),0)</f>
        <v>0</v>
      </c>
      <c r="BM45" s="57">
        <f ca="1">IFERROR(__xludf.DUMMYFUNCTION("IMPORTRANGE(""https://docs.google.com/spreadsheets/d/1QC8psz9w0f9IVE9Xuc2FT_btkaOzZbbUSgYObpBuetM/edit?usp=sharing"",""สกลนคร!J728"")"),0)</f>
        <v>0</v>
      </c>
      <c r="BN45" s="57">
        <f ca="1">IFERROR(__xludf.DUMMYFUNCTION("IMPORTRANGE(""https://docs.google.com/spreadsheets/d/1QC8psz9w0f9IVE9Xuc2FT_btkaOzZbbUSgYObpBuetM/edit?usp=sharing"",""สกลนคร!I729"")"),0)</f>
        <v>0</v>
      </c>
      <c r="BO45" s="57">
        <f ca="1">IFERROR(__xludf.DUMMYFUNCTION("IMPORTRANGE(""https://docs.google.com/spreadsheets/d/1QC8psz9w0f9IVE9Xuc2FT_btkaOzZbbUSgYObpBuetM/edit?usp=sharing"",""สกลนคร!J729"")"),0)</f>
        <v>0</v>
      </c>
      <c r="BP45" s="63">
        <f t="shared" ca="1" si="19"/>
        <v>0</v>
      </c>
      <c r="BQ45" s="57">
        <f ca="1">IFERROR(__xludf.DUMMYFUNCTION("IMPORTRANGE(""https://docs.google.com/spreadsheets/d/1QC8psz9w0f9IVE9Xuc2FT_btkaOzZbbUSgYObpBuetM/edit?usp=sharing"",""สกลนคร!J730"")"),0)</f>
        <v>0</v>
      </c>
      <c r="BR45" s="57">
        <f ca="1">IFERROR(__xludf.DUMMYFUNCTION("IMPORTRANGE(""https://docs.google.com/spreadsheets/d/1QC8psz9w0f9IVE9Xuc2FT_btkaOzZbbUSgYObpBuetM/edit?usp=sharing"",""สกลนคร!J731"")"),0)</f>
        <v>0</v>
      </c>
      <c r="BS45" s="57">
        <f ca="1">IFERROR(__xludf.DUMMYFUNCTION("IMPORTRANGE(""https://docs.google.com/spreadsheets/d/1QC8psz9w0f9IVE9Xuc2FT_btkaOzZbbUSgYObpBuetM/edit?usp=sharing"",""สกลนคร!J732"")"),0)</f>
        <v>0</v>
      </c>
      <c r="BT45" s="57">
        <f ca="1">IFERROR(__xludf.DUMMYFUNCTION("IMPORTRANGE(""https://docs.google.com/spreadsheets/d/1QC8psz9w0f9IVE9Xuc2FT_btkaOzZbbUSgYObpBuetM/edit?usp=sharing"",""สกลนคร!J733"")"),0)</f>
        <v>0</v>
      </c>
      <c r="BU45" s="57">
        <f ca="1">IFERROR(__xludf.DUMMYFUNCTION("IMPORTRANGE(""https://docs.google.com/spreadsheets/d/1QC8psz9w0f9IVE9Xuc2FT_btkaOzZbbUSgYObpBuetM/edit?usp=sharing"",""สกลนคร!J734"")"),0)</f>
        <v>0</v>
      </c>
      <c r="BV45" s="57">
        <f ca="1">IFERROR(__xludf.DUMMYFUNCTION("IMPORTRANGE(""https://docs.google.com/spreadsheets/d/1QC8psz9w0f9IVE9Xuc2FT_btkaOzZbbUSgYObpBuetM/edit?usp=sharing"",""สกลนคร!J735"")"),0)</f>
        <v>0</v>
      </c>
    </row>
    <row r="46" spans="1:74" ht="21" customHeight="1" x14ac:dyDescent="0.3">
      <c r="A46" s="54">
        <v>15</v>
      </c>
      <c r="B46" s="55" t="s">
        <v>67</v>
      </c>
      <c r="C46" s="56">
        <f t="shared" ca="1" si="63"/>
        <v>13540</v>
      </c>
      <c r="D46" s="57">
        <f ca="1">IFERROR(__xludf.DUMMYFUNCTION("IMPORTRANGE(""https://docs.google.com/spreadsheets/d/1wPdvRbu02d33MYVlbsCnyTiZpefEBs9NNktAnT1HZvw/edit?usp=sharing"",""สุรินทร์!L690"")"),13540)</f>
        <v>13540</v>
      </c>
      <c r="E46" s="64">
        <f ca="1">IFERROR(__xludf.DUMMYFUNCTION("IMPORTRANGE(""https://docs.google.com/spreadsheets/d/1wPdvRbu02d33MYVlbsCnyTiZpefEBs9NNktAnT1HZvw/edit?usp=sharing"",""สุรินทร์!L697"")"),0)</f>
        <v>0</v>
      </c>
      <c r="F46" s="64">
        <f ca="1">IFERROR(__xludf.DUMMYFUNCTION("IMPORTRANGE(""https://docs.google.com/spreadsheets/d/1wPdvRbu02d33MYVlbsCnyTiZpefEBs9NNktAnT1HZvw/edit?usp=sharing"",""สุรินทร์!M690"")"),13540)</f>
        <v>13540</v>
      </c>
      <c r="G46" s="64">
        <f ca="1">IFERROR(__xludf.DUMMYFUNCTION("IMPORTRANGE(""https://docs.google.com/spreadsheets/d/1wPdvRbu02d33MYVlbsCnyTiZpefEBs9NNktAnT1HZvw/edit?usp=sharing"",""สุรินทร์!M697"")"),0)</f>
        <v>0</v>
      </c>
      <c r="H46" s="58">
        <f t="shared" ca="1" si="33"/>
        <v>0</v>
      </c>
      <c r="I46" s="59">
        <f t="shared" ca="1" si="1"/>
        <v>0</v>
      </c>
      <c r="J46" s="60">
        <f t="shared" ca="1" si="64"/>
        <v>0</v>
      </c>
      <c r="K46" s="61">
        <f t="shared" ca="1" si="39"/>
        <v>0</v>
      </c>
      <c r="L46" s="61">
        <f t="shared" ca="1" si="40"/>
        <v>0</v>
      </c>
      <c r="M46" s="64">
        <f ca="1">IFERROR(__xludf.DUMMYFUNCTION("IMPORTRANGE(""https://docs.google.com/spreadsheets/d/1wPdvRbu02d33MYVlbsCnyTiZpefEBs9NNktAnT1HZvw/edit?usp=sharing"",""สุรินทร์!N691"")"),0)</f>
        <v>0</v>
      </c>
      <c r="N46" s="64">
        <f ca="1">IFERROR(__xludf.DUMMYFUNCTION("IMPORTRANGE(""https://docs.google.com/spreadsheets/d/1wPdvRbu02d33MYVlbsCnyTiZpefEBs9NNktAnT1HZvw/edit?usp=sharing"",""สุรินทร์!N692"")"),0)</f>
        <v>0</v>
      </c>
      <c r="O46" s="64">
        <f ca="1">IFERROR(__xludf.DUMMYFUNCTION("IMPORTRANGE(""https://docs.google.com/spreadsheets/d/1wPdvRbu02d33MYVlbsCnyTiZpefEBs9NNktAnT1HZvw/edit?usp=sharing"",""สุรินทร์!N693"")"),0)</f>
        <v>0</v>
      </c>
      <c r="P46" s="64">
        <f ca="1">IFERROR(__xludf.DUMMYFUNCTION("IMPORTRANGE(""https://docs.google.com/spreadsheets/d/1wPdvRbu02d33MYVlbsCnyTiZpefEBs9NNktAnT1HZvw/edit?usp=sharing"",""สุรินทร์!N694"")"),0)</f>
        <v>0</v>
      </c>
      <c r="Q46" s="62">
        <f ca="1">IFERROR(__xludf.DUMMYFUNCTION("IMPORTRANGE(""https://docs.google.com/spreadsheets/d/1wPdvRbu02d33MYVlbsCnyTiZpefEBs9NNktAnT1HZvw/edit?usp=sharing"",""สุรินทร์!N697"")"),0)</f>
        <v>0</v>
      </c>
      <c r="R46" s="62">
        <f t="shared" ca="1" si="42"/>
        <v>0</v>
      </c>
      <c r="S46" s="57">
        <f ca="1">IFERROR(__xludf.DUMMYFUNCTION("IMPORTRANGE(""https://docs.google.com/spreadsheets/d/1wPdvRbu02d33MYVlbsCnyTiZpefEBs9NNktAnT1HZvw/edit?usp=sharing"",""สุรินทร์!I699"")"),0)</f>
        <v>0</v>
      </c>
      <c r="T46" s="57">
        <f ca="1">IFERROR(__xludf.DUMMYFUNCTION("IMPORTRANGE(""https://docs.google.com/spreadsheets/d/1wPdvRbu02d33MYVlbsCnyTiZpefEBs9NNktAnT1HZvw/edit?usp=sharing"",""สุรินทร์!J699"")"),0)</f>
        <v>0</v>
      </c>
      <c r="U46" s="63">
        <f t="shared" ca="1" si="34"/>
        <v>0</v>
      </c>
      <c r="V46" s="57">
        <f ca="1">IFERROR(__xludf.DUMMYFUNCTION("IMPORTRANGE(""https://docs.google.com/spreadsheets/d/1wPdvRbu02d33MYVlbsCnyTiZpefEBs9NNktAnT1HZvw/edit?usp=sharing"",""สุรินทร์!I700"")"),15)</f>
        <v>15</v>
      </c>
      <c r="W46" s="57">
        <f ca="1">IFERROR(__xludf.DUMMYFUNCTION("IMPORTRANGE(""https://docs.google.com/spreadsheets/d/1wPdvRbu02d33MYVlbsCnyTiZpefEBs9NNktAnT1HZvw/edit?usp=sharing"",""สุรินทร์!J700"")"),12)</f>
        <v>12</v>
      </c>
      <c r="X46" s="63">
        <f t="shared" ca="1" si="35"/>
        <v>80</v>
      </c>
      <c r="Y46" s="57">
        <f ca="1">IFERROR(__xludf.DUMMYFUNCTION("IMPORTRANGE(""https://docs.google.com/spreadsheets/d/1wPdvRbu02d33MYVlbsCnyTiZpefEBs9NNktAnT1HZvw/edit?usp=sharing"",""สุรินทร์!I701"")"),0)</f>
        <v>0</v>
      </c>
      <c r="Z46" s="57">
        <f ca="1">IFERROR(__xludf.DUMMYFUNCTION("IMPORTRANGE(""https://docs.google.com/spreadsheets/d/1wPdvRbu02d33MYVlbsCnyTiZpefEBs9NNktAnT1HZvw/edit?usp=sharing"",""สุรินทร์!J701"")"),100)</f>
        <v>100</v>
      </c>
      <c r="AA46" s="63">
        <f t="shared" ca="1" si="36"/>
        <v>0</v>
      </c>
      <c r="AB46" s="63">
        <f ca="1">IFERROR(__xludf.DUMMYFUNCTION("IMPORTRANGE(""https://docs.google.com/spreadsheets/d/1wPdvRbu02d33MYVlbsCnyTiZpefEBs9NNktAnT1HZvw/edit?usp=sharing"",""สุรินทร์!J702"")"),0)</f>
        <v>0</v>
      </c>
      <c r="AC46" s="63">
        <f ca="1">IFERROR(__xludf.DUMMYFUNCTION("IMPORTRANGE(""https://docs.google.com/spreadsheets/d/1wPdvRbu02d33MYVlbsCnyTiZpefEBs9NNktAnT1HZvw/edit?usp=sharing"",""สุรินทร์!J703"")"),0)</f>
        <v>0</v>
      </c>
      <c r="AD46" s="63">
        <f ca="1">IFERROR(__xludf.DUMMYFUNCTION("IMPORTRANGE(""https://docs.google.com/spreadsheets/d/1wPdvRbu02d33MYVlbsCnyTiZpefEBs9NNktAnT1HZvw/edit?usp=sharing"",""สุรินทร์!J704"")"),0)</f>
        <v>0</v>
      </c>
      <c r="AE46" s="63">
        <f ca="1">IFERROR(__xludf.DUMMYFUNCTION("IMPORTRANGE(""https://docs.google.com/spreadsheets/d/1wPdvRbu02d33MYVlbsCnyTiZpefEBs9NNktAnT1HZvw/edit?usp=sharing"",""สุรินทร์!J705"")"),10)</f>
        <v>10</v>
      </c>
      <c r="AF46" s="63">
        <f ca="1">IFERROR(__xludf.DUMMYFUNCTION("IMPORTRANGE(""https://docs.google.com/spreadsheets/d/1wPdvRbu02d33MYVlbsCnyTiZpefEBs9NNktAnT1HZvw/edit?usp=sharing"",""สุรินทร์!J706"")"),10)</f>
        <v>10</v>
      </c>
      <c r="AG46" s="63">
        <f ca="1">IFERROR(__xludf.DUMMYFUNCTION("IMPORTRANGE(""https://docs.google.com/spreadsheets/d/1wPdvRbu02d33MYVlbsCnyTiZpefEBs9NNktAnT1HZvw/edit?usp=sharing"",""สุรินทร์!J707"")"),100)</f>
        <v>100</v>
      </c>
      <c r="AH46" s="57">
        <f ca="1">IFERROR(__xludf.DUMMYFUNCTION("IMPORTRANGE(""https://docs.google.com/spreadsheets/d/1wPdvRbu02d33MYVlbsCnyTiZpefEBs9NNktAnT1HZvw/edit?usp=sharing"",""สุรินทร์!I708"")"),342)</f>
        <v>342</v>
      </c>
      <c r="AI46" s="57">
        <f ca="1">IFERROR(__xludf.DUMMYFUNCTION("IMPORTRANGE(""https://docs.google.com/spreadsheets/d/1wPdvRbu02d33MYVlbsCnyTiZpefEBs9NNktAnT1HZvw/edit?usp=sharing"",""สุรินทร์!J708"")"),334)</f>
        <v>334</v>
      </c>
      <c r="AJ46" s="63">
        <f t="shared" ca="1" si="37"/>
        <v>97.660818713450297</v>
      </c>
      <c r="AK46" s="57">
        <f ca="1">IFERROR(__xludf.DUMMYFUNCTION("IMPORTRANGE(""https://docs.google.com/spreadsheets/d/1wPdvRbu02d33MYVlbsCnyTiZpefEBs9NNktAnT1HZvw/edit?usp=sharing"",""สุรินทร์!J709"")"),0)</f>
        <v>0</v>
      </c>
      <c r="AL46" s="57">
        <f ca="1">IFERROR(__xludf.DUMMYFUNCTION("IMPORTRANGE(""https://docs.google.com/spreadsheets/d/1wPdvRbu02d33MYVlbsCnyTiZpefEBs9NNktAnT1HZvw/edit?usp=sharing"",""สุรินทร์!J710"")"),0)</f>
        <v>0</v>
      </c>
      <c r="AM46" s="57">
        <f ca="1">IFERROR(__xludf.DUMMYFUNCTION("IMPORTRANGE(""https://docs.google.com/spreadsheets/d/1wPdvRbu02d33MYVlbsCnyTiZpefEBs9NNktAnT1HZvw/edit?usp=sharing"",""สุรินทร์!J712"")"),17)</f>
        <v>17</v>
      </c>
      <c r="AN46" s="57">
        <f ca="1">IFERROR(__xludf.DUMMYFUNCTION("IMPORTRANGE(""https://docs.google.com/spreadsheets/d/1wPdvRbu02d33MYVlbsCnyTiZpefEBs9NNktAnT1HZvw/edit?usp=sharing"",""สุรินทร์!J713"")"),17)</f>
        <v>17</v>
      </c>
      <c r="AO46" s="57">
        <f ca="1">IFERROR(__xludf.DUMMYFUNCTION("IMPORTRANGE(""https://docs.google.com/spreadsheets/d/1wPdvRbu02d33MYVlbsCnyTiZpefEBs9NNktAnT1HZvw/edit?usp=sharing"",""สุรินทร์!J714"")"),334)</f>
        <v>334</v>
      </c>
      <c r="AP46" s="57">
        <f ca="1">IFERROR(__xludf.DUMMYFUNCTION("IMPORTRANGE(""https://docs.google.com/spreadsheets/d/1wPdvRbu02d33MYVlbsCnyTiZpefEBs9NNktAnT1HZvw/edit?usp=sharing"",""สุรินทร์!J715"")"),0)</f>
        <v>0</v>
      </c>
      <c r="AQ46" s="57">
        <f ca="1">IFERROR(__xludf.DUMMYFUNCTION("IMPORTRANGE(""https://docs.google.com/spreadsheets/d/1wPdvRbu02d33MYVlbsCnyTiZpefEBs9NNktAnT1HZvw/edit?usp=sharing"",""สุรินทร์!J716"")"),0)</f>
        <v>0</v>
      </c>
      <c r="AR46" s="57">
        <f ca="1">IFERROR(__xludf.DUMMYFUNCTION("IMPORTRANGE(""https://docs.google.com/spreadsheets/d/1wPdvRbu02d33MYVlbsCnyTiZpefEBs9NNktAnT1HZvw/edit?usp=sharing"",""สุรินทร์!J717"")"),0)</f>
        <v>0</v>
      </c>
      <c r="AS46" s="57">
        <f ca="1">IFERROR(__xludf.DUMMYFUNCTION("IMPORTRANGE(""https://docs.google.com/spreadsheets/d/1wPdvRbu02d33MYVlbsCnyTiZpefEBs9NNktAnT1HZvw/edit?usp=sharing"",""สุรินทร์!I720"")"),130)</f>
        <v>130</v>
      </c>
      <c r="AT46" s="57">
        <f ca="1">IFERROR(__xludf.DUMMYFUNCTION("IMPORTRANGE(""https://docs.google.com/spreadsheets/d/1wPdvRbu02d33MYVlbsCnyTiZpefEBs9NNktAnT1HZvw/edit?usp=sharing"",""สุรินทร์!J718"")"),8)</f>
        <v>8</v>
      </c>
      <c r="AU46" s="57">
        <f ca="1">IFERROR(__xludf.DUMMYFUNCTION("IMPORTRANGE(""https://docs.google.com/spreadsheets/d/1wPdvRbu02d33MYVlbsCnyTiZpefEBs9NNktAnT1HZvw/edit?usp=sharing"",""สุรินทร์!J719"")"),8)</f>
        <v>8</v>
      </c>
      <c r="AV46" s="57">
        <f ca="1">IFERROR(__xludf.DUMMYFUNCTION("IMPORTRANGE(""https://docs.google.com/spreadsheets/d/1wPdvRbu02d33MYVlbsCnyTiZpefEBs9NNktAnT1HZvw/edit?usp=sharing"",""สุรินทร์!J720"")"),79.83)</f>
        <v>79.83</v>
      </c>
      <c r="AW46" s="63">
        <f t="shared" ca="1" si="14"/>
        <v>61.407692307692308</v>
      </c>
      <c r="AX46" s="57">
        <f ca="1">IFERROR(__xludf.DUMMYFUNCTION("IMPORTRANGE(""https://docs.google.com/spreadsheets/d/1wPdvRbu02d33MYVlbsCnyTiZpefEBs9NNktAnT1HZvw/edit?usp=sharing"",""สุรินทร์!I721"")"),0)</f>
        <v>0</v>
      </c>
      <c r="AY46" s="57">
        <f ca="1">IFERROR(__xludf.DUMMYFUNCTION("IMPORTRANGE(""https://docs.google.com/spreadsheets/d/1wPdvRbu02d33MYVlbsCnyTiZpefEBs9NNktAnT1HZvw/edit?usp=sharing"",""สุรินทร์!I722"")"),0)</f>
        <v>0</v>
      </c>
      <c r="AZ46" s="57">
        <f ca="1">IFERROR(__xludf.DUMMYFUNCTION("IMPORTRANGE(""https://docs.google.com/spreadsheets/d/1wPdvRbu02d33MYVlbsCnyTiZpefEBs9NNktAnT1HZvw/edit?usp=sharing"",""สุรินทร์!J721"")"),0)</f>
        <v>0</v>
      </c>
      <c r="BA46" s="63">
        <f t="shared" ca="1" si="16"/>
        <v>0</v>
      </c>
      <c r="BB46" s="57">
        <f ca="1">IFERROR(__xludf.DUMMYFUNCTION("IMPORTRANGE(""https://docs.google.com/spreadsheets/d/1wPdvRbu02d33MYVlbsCnyTiZpefEBs9NNktAnT1HZvw/edit?usp=sharing"",""สุรินทร์!J722"")"),0)</f>
        <v>0</v>
      </c>
      <c r="BC46" s="63">
        <f t="shared" ca="1" si="17"/>
        <v>0</v>
      </c>
      <c r="BD46" s="57">
        <f ca="1">IFERROR(__xludf.DUMMYFUNCTION("IMPORTRANGE(""https://docs.google.com/spreadsheets/d/1wPdvRbu02d33MYVlbsCnyTiZpefEBs9NNktAnT1HZvw/edit?usp=sharing"",""สุรินทร์!I723"")"),0)</f>
        <v>0</v>
      </c>
      <c r="BE46" s="57">
        <f ca="1">IFERROR(__xludf.DUMMYFUNCTION("IMPORTRANGE(""https://docs.google.com/spreadsheets/d/1wPdvRbu02d33MYVlbsCnyTiZpefEBs9NNktAnT1HZvw/edit?usp=sharing"",""สุรินทร์!I725"")"),0)</f>
        <v>0</v>
      </c>
      <c r="BF46" s="57">
        <f ca="1">IFERROR(__xludf.DUMMYFUNCTION("IMPORTRANGE(""https://docs.google.com/spreadsheets/d/1wPdvRbu02d33MYVlbsCnyTiZpefEBs9NNktAnT1HZvw/edit?usp=sharing"",""สุรินทร์!J723"")"),0)</f>
        <v>0</v>
      </c>
      <c r="BG46" s="57">
        <f ca="1">IFERROR(__xludf.DUMMYFUNCTION("IMPORTRANGE(""https://docs.google.com/spreadsheets/d/1wPdvRbu02d33MYVlbsCnyTiZpefEBs9NNktAnT1HZvw/edit?usp=sharing"",""สุรินทร์!J724"")"),0)</f>
        <v>0</v>
      </c>
      <c r="BH46" s="57">
        <f ca="1">IFERROR(__xludf.DUMMYFUNCTION("IMPORTRANGE(""https://docs.google.com/spreadsheets/d/1wPdvRbu02d33MYVlbsCnyTiZpefEBs9NNktAnT1HZvw/edit?usp=sharing"",""สุรินทร์!J725"")"),0)</f>
        <v>0</v>
      </c>
      <c r="BI46" s="57">
        <f ca="1">IFERROR(__xludf.DUMMYFUNCTION("IMPORTRANGE(""https://docs.google.com/spreadsheets/d/1wPdvRbu02d33MYVlbsCnyTiZpefEBs9NNktAnT1HZvw/edit?usp=sharing"",""สุรินทร์!I726"")"),0)</f>
        <v>0</v>
      </c>
      <c r="BJ46" s="57">
        <f ca="1">IFERROR(__xludf.DUMMYFUNCTION("IMPORTRANGE(""https://docs.google.com/spreadsheets/d/1wPdvRbu02d33MYVlbsCnyTiZpefEBs9NNktAnT1HZvw/edit?usp=sharing"",""สุรินทร์!I728"")"),0)</f>
        <v>0</v>
      </c>
      <c r="BK46" s="57">
        <f ca="1">IFERROR(__xludf.DUMMYFUNCTION("IMPORTRANGE(""https://docs.google.com/spreadsheets/d/1wPdvRbu02d33MYVlbsCnyTiZpefEBs9NNktAnT1HZvw/edit?usp=sharing"",""สุรินทร์!J726"")"),0)</f>
        <v>0</v>
      </c>
      <c r="BL46" s="57">
        <f ca="1">IFERROR(__xludf.DUMMYFUNCTION("IMPORTRANGE(""https://docs.google.com/spreadsheets/d/1wPdvRbu02d33MYVlbsCnyTiZpefEBs9NNktAnT1HZvw/edit?usp=sharing"",""สุรินทร์!J727"")"),0)</f>
        <v>0</v>
      </c>
      <c r="BM46" s="57">
        <f ca="1">IFERROR(__xludf.DUMMYFUNCTION("IMPORTRANGE(""https://docs.google.com/spreadsheets/d/1wPdvRbu02d33MYVlbsCnyTiZpefEBs9NNktAnT1HZvw/edit?usp=sharing"",""สุรินทร์!J728"")"),0)</f>
        <v>0</v>
      </c>
      <c r="BN46" s="57">
        <f ca="1">IFERROR(__xludf.DUMMYFUNCTION("IMPORTRANGE(""https://docs.google.com/spreadsheets/d/1wPdvRbu02d33MYVlbsCnyTiZpefEBs9NNktAnT1HZvw/edit?usp=sharing"",""สุรินทร์!I729"")"),0)</f>
        <v>0</v>
      </c>
      <c r="BO46" s="57">
        <f ca="1">IFERROR(__xludf.DUMMYFUNCTION("IMPORTRANGE(""https://docs.google.com/spreadsheets/d/1wPdvRbu02d33MYVlbsCnyTiZpefEBs9NNktAnT1HZvw/edit?usp=sharing"",""สุรินทร์!J729"")"),0)</f>
        <v>0</v>
      </c>
      <c r="BP46" s="63">
        <f t="shared" ca="1" si="19"/>
        <v>0</v>
      </c>
      <c r="BQ46" s="57">
        <f ca="1">IFERROR(__xludf.DUMMYFUNCTION("IMPORTRANGE(""https://docs.google.com/spreadsheets/d/1wPdvRbu02d33MYVlbsCnyTiZpefEBs9NNktAnT1HZvw/edit?usp=sharing"",""สุรินทร์!J730"")"),0)</f>
        <v>0</v>
      </c>
      <c r="BR46" s="57">
        <f ca="1">IFERROR(__xludf.DUMMYFUNCTION("IMPORTRANGE(""https://docs.google.com/spreadsheets/d/1wPdvRbu02d33MYVlbsCnyTiZpefEBs9NNktAnT1HZvw/edit?usp=sharing"",""สุรินทร์!J731"")"),0)</f>
        <v>0</v>
      </c>
      <c r="BS46" s="57">
        <f ca="1">IFERROR(__xludf.DUMMYFUNCTION("IMPORTRANGE(""https://docs.google.com/spreadsheets/d/1wPdvRbu02d33MYVlbsCnyTiZpefEBs9NNktAnT1HZvw/edit?usp=sharing"",""สุรินทร์!J732"")"),0)</f>
        <v>0</v>
      </c>
      <c r="BT46" s="57">
        <f ca="1">IFERROR(__xludf.DUMMYFUNCTION("IMPORTRANGE(""https://docs.google.com/spreadsheets/d/1wPdvRbu02d33MYVlbsCnyTiZpefEBs9NNktAnT1HZvw/edit?usp=sharing"",""สุรินทร์!J733"")"),0)</f>
        <v>0</v>
      </c>
      <c r="BU46" s="57">
        <f ca="1">IFERROR(__xludf.DUMMYFUNCTION("IMPORTRANGE(""https://docs.google.com/spreadsheets/d/1wPdvRbu02d33MYVlbsCnyTiZpefEBs9NNktAnT1HZvw/edit?usp=sharing"",""สุรินทร์!J734"")"),0)</f>
        <v>0</v>
      </c>
      <c r="BV46" s="57">
        <f ca="1">IFERROR(__xludf.DUMMYFUNCTION("IMPORTRANGE(""https://docs.google.com/spreadsheets/d/1wPdvRbu02d33MYVlbsCnyTiZpefEBs9NNktAnT1HZvw/edit?usp=sharing"",""สุรินทร์!J735"")"),0)</f>
        <v>0</v>
      </c>
    </row>
    <row r="47" spans="1:74" ht="21" customHeight="1" x14ac:dyDescent="0.3">
      <c r="A47" s="54">
        <v>16</v>
      </c>
      <c r="B47" s="55" t="s">
        <v>68</v>
      </c>
      <c r="C47" s="56">
        <f t="shared" ca="1" si="63"/>
        <v>6190</v>
      </c>
      <c r="D47" s="57">
        <f ca="1">IFERROR(__xludf.DUMMYFUNCTION("IMPORTRANGE(""https://docs.google.com/spreadsheets/d/1GVExpf-Exi_2gmuqTYH28fseTB9MoKPXWcXCbSt_YrM/edit?usp=sharing"",""หนองคาย!L690"")"),6190)</f>
        <v>6190</v>
      </c>
      <c r="E47" s="64">
        <f ca="1">IFERROR(__xludf.DUMMYFUNCTION("IMPORTRANGE(""https://docs.google.com/spreadsheets/d/1GVExpf-Exi_2gmuqTYH28fseTB9MoKPXWcXCbSt_YrM/edit?usp=sharing"",""หนองคาย!L697"")"),0)</f>
        <v>0</v>
      </c>
      <c r="F47" s="64">
        <f ca="1">IFERROR(__xludf.DUMMYFUNCTION("IMPORTRANGE(""https://docs.google.com/spreadsheets/d/1GVExpf-Exi_2gmuqTYH28fseTB9MoKPXWcXCbSt_YrM/edit?usp=sharing"",""หนองคาย!M690"")"),6190)</f>
        <v>6190</v>
      </c>
      <c r="G47" s="64">
        <f ca="1">IFERROR(__xludf.DUMMYFUNCTION("IMPORTRANGE(""https://docs.google.com/spreadsheets/d/1GVExpf-Exi_2gmuqTYH28fseTB9MoKPXWcXCbSt_YrM/edit?usp=sharing"",""หนองคาย!M697"")"),0)</f>
        <v>0</v>
      </c>
      <c r="H47" s="58">
        <f t="shared" ca="1" si="33"/>
        <v>3800</v>
      </c>
      <c r="I47" s="59">
        <f t="shared" ca="1" si="1"/>
        <v>61.389337641357031</v>
      </c>
      <c r="J47" s="60">
        <f t="shared" ca="1" si="64"/>
        <v>3800</v>
      </c>
      <c r="K47" s="61">
        <f t="shared" ca="1" si="39"/>
        <v>61.389337641357031</v>
      </c>
      <c r="L47" s="61">
        <f t="shared" ca="1" si="40"/>
        <v>61.389337641357031</v>
      </c>
      <c r="M47" s="64">
        <f ca="1">IFERROR(__xludf.DUMMYFUNCTION("IMPORTRANGE(""https://docs.google.com/spreadsheets/d/1GVExpf-Exi_2gmuqTYH28fseTB9MoKPXWcXCbSt_YrM/edit?usp=sharing"",""หนองคาย!N691"")"),0)</f>
        <v>0</v>
      </c>
      <c r="N47" s="64">
        <f ca="1">IFERROR(__xludf.DUMMYFUNCTION("IMPORTRANGE(""https://docs.google.com/spreadsheets/d/1GVExpf-Exi_2gmuqTYH28fseTB9MoKPXWcXCbSt_YrM/edit?usp=sharing"",""หนองคาย!N692"")"),0)</f>
        <v>0</v>
      </c>
      <c r="O47" s="64">
        <f ca="1">IFERROR(__xludf.DUMMYFUNCTION("IMPORTRANGE(""https://docs.google.com/spreadsheets/d/1GVExpf-Exi_2gmuqTYH28fseTB9MoKPXWcXCbSt_YrM/edit?usp=sharing"",""หนองคาย!N693"")"),0)</f>
        <v>0</v>
      </c>
      <c r="P47" s="64">
        <f ca="1">IFERROR(__xludf.DUMMYFUNCTION("IMPORTRANGE(""https://docs.google.com/spreadsheets/d/1GVExpf-Exi_2gmuqTYH28fseTB9MoKPXWcXCbSt_YrM/edit?usp=sharing"",""หนองคาย!N694"")"),3800)</f>
        <v>3800</v>
      </c>
      <c r="Q47" s="62">
        <f ca="1">IFERROR(__xludf.DUMMYFUNCTION("IMPORTRANGE(""https://docs.google.com/spreadsheets/d/1GVExpf-Exi_2gmuqTYH28fseTB9MoKPXWcXCbSt_YrM/edit?usp=sharing"",""หนองคาย!N697"")"),0)</f>
        <v>0</v>
      </c>
      <c r="R47" s="62">
        <f t="shared" ca="1" si="42"/>
        <v>0</v>
      </c>
      <c r="S47" s="57">
        <f ca="1">IFERROR(__xludf.DUMMYFUNCTION("IMPORTRANGE(""https://docs.google.com/spreadsheets/d/1GVExpf-Exi_2gmuqTYH28fseTB9MoKPXWcXCbSt_YrM/edit?usp=sharing"",""หนองคาย!I699"")"),0)</f>
        <v>0</v>
      </c>
      <c r="T47" s="57">
        <f ca="1">IFERROR(__xludf.DUMMYFUNCTION("IMPORTRANGE(""https://docs.google.com/spreadsheets/d/1GVExpf-Exi_2gmuqTYH28fseTB9MoKPXWcXCbSt_YrM/edit?usp=sharing"",""หนองคาย!J699"")"),0)</f>
        <v>0</v>
      </c>
      <c r="U47" s="63">
        <f t="shared" ca="1" si="34"/>
        <v>0</v>
      </c>
      <c r="V47" s="57">
        <f ca="1">IFERROR(__xludf.DUMMYFUNCTION("IMPORTRANGE(""https://docs.google.com/spreadsheets/d/1GVExpf-Exi_2gmuqTYH28fseTB9MoKPXWcXCbSt_YrM/edit?usp=sharing"",""หนองคาย!I700"")"),0)</f>
        <v>0</v>
      </c>
      <c r="W47" s="57">
        <f ca="1">IFERROR(__xludf.DUMMYFUNCTION("IMPORTRANGE(""https://docs.google.com/spreadsheets/d/1GVExpf-Exi_2gmuqTYH28fseTB9MoKPXWcXCbSt_YrM/edit?usp=sharing"",""หนองคาย!J700"")"),0)</f>
        <v>0</v>
      </c>
      <c r="X47" s="63">
        <f t="shared" ca="1" si="35"/>
        <v>0</v>
      </c>
      <c r="Y47" s="57">
        <f ca="1">IFERROR(__xludf.DUMMYFUNCTION("IMPORTRANGE(""https://docs.google.com/spreadsheets/d/1GVExpf-Exi_2gmuqTYH28fseTB9MoKPXWcXCbSt_YrM/edit?usp=sharing"",""หนองคาย!I701"")"),20)</f>
        <v>20</v>
      </c>
      <c r="Z47" s="57">
        <f ca="1">IFERROR(__xludf.DUMMYFUNCTION("IMPORTRANGE(""https://docs.google.com/spreadsheets/d/1GVExpf-Exi_2gmuqTYH28fseTB9MoKPXWcXCbSt_YrM/edit?usp=sharing"",""หนองคาย!J701"")"),48.95)</f>
        <v>48.95</v>
      </c>
      <c r="AA47" s="63">
        <f t="shared" ca="1" si="36"/>
        <v>244.75</v>
      </c>
      <c r="AB47" s="63">
        <f ca="1">IFERROR(__xludf.DUMMYFUNCTION("IMPORTRANGE(""https://docs.google.com/spreadsheets/d/1GVExpf-Exi_2gmuqTYH28fseTB9MoKPXWcXCbSt_YrM/edit?usp=sharing"",""หนองคาย!J702"")"),2)</f>
        <v>2</v>
      </c>
      <c r="AC47" s="63">
        <f ca="1">IFERROR(__xludf.DUMMYFUNCTION("IMPORTRANGE(""https://docs.google.com/spreadsheets/d/1GVExpf-Exi_2gmuqTYH28fseTB9MoKPXWcXCbSt_YrM/edit?usp=sharing"",""หนองคาย!J703"")"),3)</f>
        <v>3</v>
      </c>
      <c r="AD47" s="63">
        <f ca="1">IFERROR(__xludf.DUMMYFUNCTION("IMPORTRANGE(""https://docs.google.com/spreadsheets/d/1GVExpf-Exi_2gmuqTYH28fseTB9MoKPXWcXCbSt_YrM/edit?usp=sharing"",""หนองคาย!J704"")"),48.95)</f>
        <v>48.95</v>
      </c>
      <c r="AE47" s="63">
        <f ca="1">IFERROR(__xludf.DUMMYFUNCTION("IMPORTRANGE(""https://docs.google.com/spreadsheets/d/1GVExpf-Exi_2gmuqTYH28fseTB9MoKPXWcXCbSt_YrM/edit?usp=sharing"",""หนองคาย!J705"")"),0)</f>
        <v>0</v>
      </c>
      <c r="AF47" s="63">
        <f ca="1">IFERROR(__xludf.DUMMYFUNCTION("IMPORTRANGE(""https://docs.google.com/spreadsheets/d/1GVExpf-Exi_2gmuqTYH28fseTB9MoKPXWcXCbSt_YrM/edit?usp=sharing"",""หนองคาย!J706"")"),0)</f>
        <v>0</v>
      </c>
      <c r="AG47" s="63">
        <f ca="1">IFERROR(__xludf.DUMMYFUNCTION("IMPORTRANGE(""https://docs.google.com/spreadsheets/d/1GVExpf-Exi_2gmuqTYH28fseTB9MoKPXWcXCbSt_YrM/edit?usp=sharing"",""หนองคาย!J707"")"),0)</f>
        <v>0</v>
      </c>
      <c r="AH47" s="57">
        <f ca="1">IFERROR(__xludf.DUMMYFUNCTION("IMPORTRANGE(""https://docs.google.com/spreadsheets/d/1GVExpf-Exi_2gmuqTYH28fseTB9MoKPXWcXCbSt_YrM/edit?usp=sharing"",""หนองคาย!I708"")"),0)</f>
        <v>0</v>
      </c>
      <c r="AI47" s="57">
        <f ca="1">IFERROR(__xludf.DUMMYFUNCTION("IMPORTRANGE(""https://docs.google.com/spreadsheets/d/1GVExpf-Exi_2gmuqTYH28fseTB9MoKPXWcXCbSt_YrM/edit?usp=sharing"",""หนองคาย!J708"")"),0)</f>
        <v>0</v>
      </c>
      <c r="AJ47" s="63">
        <f t="shared" ca="1" si="37"/>
        <v>0</v>
      </c>
      <c r="AK47" s="57">
        <f ca="1">IFERROR(__xludf.DUMMYFUNCTION("IMPORTRANGE(""https://docs.google.com/spreadsheets/d/1GVExpf-Exi_2gmuqTYH28fseTB9MoKPXWcXCbSt_YrM/edit?usp=sharing"",""หนองคาย!J709"")"),0)</f>
        <v>0</v>
      </c>
      <c r="AL47" s="57">
        <f ca="1">IFERROR(__xludf.DUMMYFUNCTION("IMPORTRANGE(""https://docs.google.com/spreadsheets/d/1GVExpf-Exi_2gmuqTYH28fseTB9MoKPXWcXCbSt_YrM/edit?usp=sharing"",""หนองคาย!J710"")"),0)</f>
        <v>0</v>
      </c>
      <c r="AM47" s="57">
        <f ca="1">IFERROR(__xludf.DUMMYFUNCTION("IMPORTRANGE(""https://docs.google.com/spreadsheets/d/1GVExpf-Exi_2gmuqTYH28fseTB9MoKPXWcXCbSt_YrM/edit?usp=sharing"",""หนองคาย!J712"")"),0)</f>
        <v>0</v>
      </c>
      <c r="AN47" s="57">
        <f ca="1">IFERROR(__xludf.DUMMYFUNCTION("IMPORTRANGE(""https://docs.google.com/spreadsheets/d/1GVExpf-Exi_2gmuqTYH28fseTB9MoKPXWcXCbSt_YrM/edit?usp=sharing"",""หนองคาย!J713"")"),0)</f>
        <v>0</v>
      </c>
      <c r="AO47" s="57">
        <f ca="1">IFERROR(__xludf.DUMMYFUNCTION("IMPORTRANGE(""https://docs.google.com/spreadsheets/d/1GVExpf-Exi_2gmuqTYH28fseTB9MoKPXWcXCbSt_YrM/edit?usp=sharing"",""หนองคาย!J714"")"),0)</f>
        <v>0</v>
      </c>
      <c r="AP47" s="57">
        <f ca="1">IFERROR(__xludf.DUMMYFUNCTION("IMPORTRANGE(""https://docs.google.com/spreadsheets/d/1GVExpf-Exi_2gmuqTYH28fseTB9MoKPXWcXCbSt_YrM/edit?usp=sharing"",""หนองคาย!J715"")"),0)</f>
        <v>0</v>
      </c>
      <c r="AQ47" s="57">
        <f ca="1">IFERROR(__xludf.DUMMYFUNCTION("IMPORTRANGE(""https://docs.google.com/spreadsheets/d/1GVExpf-Exi_2gmuqTYH28fseTB9MoKPXWcXCbSt_YrM/edit?usp=sharing"",""หนองคาย!J716"")"),0)</f>
        <v>0</v>
      </c>
      <c r="AR47" s="57">
        <f ca="1">IFERROR(__xludf.DUMMYFUNCTION("IMPORTRANGE(""https://docs.google.com/spreadsheets/d/1GVExpf-Exi_2gmuqTYH28fseTB9MoKPXWcXCbSt_YrM/edit?usp=sharing"",""หนองคาย!J717"")"),0)</f>
        <v>0</v>
      </c>
      <c r="AS47" s="57">
        <f ca="1">IFERROR(__xludf.DUMMYFUNCTION("IMPORTRANGE(""https://docs.google.com/spreadsheets/d/1GVExpf-Exi_2gmuqTYH28fseTB9MoKPXWcXCbSt_YrM/edit?usp=sharing"",""หนองคาย!I720"")"),77)</f>
        <v>77</v>
      </c>
      <c r="AT47" s="57">
        <f ca="1">IFERROR(__xludf.DUMMYFUNCTION("IMPORTRANGE(""https://docs.google.com/spreadsheets/d/1GVExpf-Exi_2gmuqTYH28fseTB9MoKPXWcXCbSt_YrM/edit?usp=sharing"",""หนองคาย!J718"")"),0)</f>
        <v>0</v>
      </c>
      <c r="AU47" s="57">
        <f ca="1">IFERROR(__xludf.DUMMYFUNCTION("IMPORTRANGE(""https://docs.google.com/spreadsheets/d/1GVExpf-Exi_2gmuqTYH28fseTB9MoKPXWcXCbSt_YrM/edit?usp=sharing"",""หนองคาย!J719"")"),0)</f>
        <v>0</v>
      </c>
      <c r="AV47" s="57">
        <f ca="1">IFERROR(__xludf.DUMMYFUNCTION("IMPORTRANGE(""https://docs.google.com/spreadsheets/d/1GVExpf-Exi_2gmuqTYH28fseTB9MoKPXWcXCbSt_YrM/edit?usp=sharing"",""หนองคาย!J720"")"),0)</f>
        <v>0</v>
      </c>
      <c r="AW47" s="63">
        <f t="shared" ca="1" si="14"/>
        <v>0</v>
      </c>
      <c r="AX47" s="57">
        <f ca="1">IFERROR(__xludf.DUMMYFUNCTION("IMPORTRANGE(""https://docs.google.com/spreadsheets/d/1GVExpf-Exi_2gmuqTYH28fseTB9MoKPXWcXCbSt_YrM/edit?usp=sharing"",""หนองคาย!I721"")"),4)</f>
        <v>4</v>
      </c>
      <c r="AY47" s="57">
        <f ca="1">IFERROR(__xludf.DUMMYFUNCTION("IMPORTRANGE(""https://docs.google.com/spreadsheets/d/1GVExpf-Exi_2gmuqTYH28fseTB9MoKPXWcXCbSt_YrM/edit?usp=sharing"",""หนองคาย!I722"")"),40)</f>
        <v>40</v>
      </c>
      <c r="AZ47" s="57">
        <f ca="1">IFERROR(__xludf.DUMMYFUNCTION("IMPORTRANGE(""https://docs.google.com/spreadsheets/d/1GVExpf-Exi_2gmuqTYH28fseTB9MoKPXWcXCbSt_YrM/edit?usp=sharing"",""หนองคาย!J721"")"),0)</f>
        <v>0</v>
      </c>
      <c r="BA47" s="63">
        <f t="shared" ca="1" si="16"/>
        <v>0</v>
      </c>
      <c r="BB47" s="57">
        <f ca="1">IFERROR(__xludf.DUMMYFUNCTION("IMPORTRANGE(""https://docs.google.com/spreadsheets/d/1GVExpf-Exi_2gmuqTYH28fseTB9MoKPXWcXCbSt_YrM/edit?usp=sharing"",""หนองคาย!J722"")"),0)</f>
        <v>0</v>
      </c>
      <c r="BC47" s="63">
        <f t="shared" ca="1" si="17"/>
        <v>0</v>
      </c>
      <c r="BD47" s="57">
        <f ca="1">IFERROR(__xludf.DUMMYFUNCTION("IMPORTRANGE(""https://docs.google.com/spreadsheets/d/1GVExpf-Exi_2gmuqTYH28fseTB9MoKPXWcXCbSt_YrM/edit?usp=sharing"",""หนองคาย!I723"")"),2)</f>
        <v>2</v>
      </c>
      <c r="BE47" s="57">
        <f ca="1">IFERROR(__xludf.DUMMYFUNCTION("IMPORTRANGE(""https://docs.google.com/spreadsheets/d/1GVExpf-Exi_2gmuqTYH28fseTB9MoKPXWcXCbSt_YrM/edit?usp=sharing"",""หนองคาย!I725"")"),20)</f>
        <v>20</v>
      </c>
      <c r="BF47" s="57">
        <f ca="1">IFERROR(__xludf.DUMMYFUNCTION("IMPORTRANGE(""https://docs.google.com/spreadsheets/d/1GVExpf-Exi_2gmuqTYH28fseTB9MoKPXWcXCbSt_YrM/edit?usp=sharing"",""หนองคาย!J723"")"),0)</f>
        <v>0</v>
      </c>
      <c r="BG47" s="57">
        <f ca="1">IFERROR(__xludf.DUMMYFUNCTION("IMPORTRANGE(""https://docs.google.com/spreadsheets/d/1GVExpf-Exi_2gmuqTYH28fseTB9MoKPXWcXCbSt_YrM/edit?usp=sharing"",""หนองคาย!J724"")"),0)</f>
        <v>0</v>
      </c>
      <c r="BH47" s="57">
        <f ca="1">IFERROR(__xludf.DUMMYFUNCTION("IMPORTRANGE(""https://docs.google.com/spreadsheets/d/1GVExpf-Exi_2gmuqTYH28fseTB9MoKPXWcXCbSt_YrM/edit?usp=sharing"",""หนองคาย!J725"")"),0)</f>
        <v>0</v>
      </c>
      <c r="BI47" s="57">
        <f ca="1">IFERROR(__xludf.DUMMYFUNCTION("IMPORTRANGE(""https://docs.google.com/spreadsheets/d/1GVExpf-Exi_2gmuqTYH28fseTB9MoKPXWcXCbSt_YrM/edit?usp=sharing"",""หนองคาย!I726"")"),2)</f>
        <v>2</v>
      </c>
      <c r="BJ47" s="57">
        <f ca="1">IFERROR(__xludf.DUMMYFUNCTION("IMPORTRANGE(""https://docs.google.com/spreadsheets/d/1GVExpf-Exi_2gmuqTYH28fseTB9MoKPXWcXCbSt_YrM/edit?usp=sharing"",""หนองคาย!I728"")"),20)</f>
        <v>20</v>
      </c>
      <c r="BK47" s="57">
        <f ca="1">IFERROR(__xludf.DUMMYFUNCTION("IMPORTRANGE(""https://docs.google.com/spreadsheets/d/1GVExpf-Exi_2gmuqTYH28fseTB9MoKPXWcXCbSt_YrM/edit?usp=sharing"",""หนองคาย!J726"")"),0)</f>
        <v>0</v>
      </c>
      <c r="BL47" s="57">
        <f ca="1">IFERROR(__xludf.DUMMYFUNCTION("IMPORTRANGE(""https://docs.google.com/spreadsheets/d/1GVExpf-Exi_2gmuqTYH28fseTB9MoKPXWcXCbSt_YrM/edit?usp=sharing"",""หนองคาย!J727"")"),0)</f>
        <v>0</v>
      </c>
      <c r="BM47" s="57">
        <f ca="1">IFERROR(__xludf.DUMMYFUNCTION("IMPORTRANGE(""https://docs.google.com/spreadsheets/d/1GVExpf-Exi_2gmuqTYH28fseTB9MoKPXWcXCbSt_YrM/edit?usp=sharing"",""หนองคาย!J728"")"),0)</f>
        <v>0</v>
      </c>
      <c r="BN47" s="57">
        <f ca="1">IFERROR(__xludf.DUMMYFUNCTION("IMPORTRANGE(""https://docs.google.com/spreadsheets/d/1GVExpf-Exi_2gmuqTYH28fseTB9MoKPXWcXCbSt_YrM/edit?usp=sharing"",""หนองคาย!I729"")"),0)</f>
        <v>0</v>
      </c>
      <c r="BO47" s="57">
        <f ca="1">IFERROR(__xludf.DUMMYFUNCTION("IMPORTRANGE(""https://docs.google.com/spreadsheets/d/1GVExpf-Exi_2gmuqTYH28fseTB9MoKPXWcXCbSt_YrM/edit?usp=sharing"",""หนองคาย!J729"")"),0)</f>
        <v>0</v>
      </c>
      <c r="BP47" s="63">
        <f t="shared" ca="1" si="19"/>
        <v>0</v>
      </c>
      <c r="BQ47" s="57">
        <f ca="1">IFERROR(__xludf.DUMMYFUNCTION("IMPORTRANGE(""https://docs.google.com/spreadsheets/d/1GVExpf-Exi_2gmuqTYH28fseTB9MoKPXWcXCbSt_YrM/edit?usp=sharing"",""หนองคาย!J730"")"),0)</f>
        <v>0</v>
      </c>
      <c r="BR47" s="57">
        <f ca="1">IFERROR(__xludf.DUMMYFUNCTION("IMPORTRANGE(""https://docs.google.com/spreadsheets/d/1GVExpf-Exi_2gmuqTYH28fseTB9MoKPXWcXCbSt_YrM/edit?usp=sharing"",""หนองคาย!J731"")"),0)</f>
        <v>0</v>
      </c>
      <c r="BS47" s="57">
        <f ca="1">IFERROR(__xludf.DUMMYFUNCTION("IMPORTRANGE(""https://docs.google.com/spreadsheets/d/1GVExpf-Exi_2gmuqTYH28fseTB9MoKPXWcXCbSt_YrM/edit?usp=sharing"",""หนองคาย!J732"")"),0)</f>
        <v>0</v>
      </c>
      <c r="BT47" s="57">
        <f ca="1">IFERROR(__xludf.DUMMYFUNCTION("IMPORTRANGE(""https://docs.google.com/spreadsheets/d/1GVExpf-Exi_2gmuqTYH28fseTB9MoKPXWcXCbSt_YrM/edit?usp=sharing"",""หนองคาย!J733"")"),0)</f>
        <v>0</v>
      </c>
      <c r="BU47" s="57">
        <f ca="1">IFERROR(__xludf.DUMMYFUNCTION("IMPORTRANGE(""https://docs.google.com/spreadsheets/d/1GVExpf-Exi_2gmuqTYH28fseTB9MoKPXWcXCbSt_YrM/edit?usp=sharing"",""หนองคาย!J734"")"),0)</f>
        <v>0</v>
      </c>
      <c r="BV47" s="57">
        <f ca="1">IFERROR(__xludf.DUMMYFUNCTION("IMPORTRANGE(""https://docs.google.com/spreadsheets/d/1GVExpf-Exi_2gmuqTYH28fseTB9MoKPXWcXCbSt_YrM/edit?usp=sharing"",""หนองคาย!J735"")"),0)</f>
        <v>0</v>
      </c>
    </row>
    <row r="48" spans="1:74" ht="21" customHeight="1" x14ac:dyDescent="0.3">
      <c r="A48" s="54">
        <v>17</v>
      </c>
      <c r="B48" s="55" t="s">
        <v>69</v>
      </c>
      <c r="C48" s="56">
        <f t="shared" ca="1" si="63"/>
        <v>3080</v>
      </c>
      <c r="D48" s="57">
        <f ca="1">IFERROR(__xludf.DUMMYFUNCTION("IMPORTRANGE(""https://docs.google.com/spreadsheets/d/16UeMz0UgOB5BZcoxP75eYGcLFtGYRn9GoesD4OX9m5U/edit?usp=sharing"",""หนองบัวลำภู!L690"")"),3080)</f>
        <v>3080</v>
      </c>
      <c r="E48" s="64">
        <f ca="1">IFERROR(__xludf.DUMMYFUNCTION("IMPORTRANGE(""https://docs.google.com/spreadsheets/d/16UeMz0UgOB5BZcoxP75eYGcLFtGYRn9GoesD4OX9m5U/edit?usp=sharing"",""หนองบัวลำภู!L697"")"),0)</f>
        <v>0</v>
      </c>
      <c r="F48" s="64">
        <f ca="1">IFERROR(__xludf.DUMMYFUNCTION("IMPORTRANGE(""https://docs.google.com/spreadsheets/d/16UeMz0UgOB5BZcoxP75eYGcLFtGYRn9GoesD4OX9m5U/edit?usp=sharing"",""หนองบัวลำภู!M690"")"),3080)</f>
        <v>3080</v>
      </c>
      <c r="G48" s="64">
        <f ca="1">IFERROR(__xludf.DUMMYFUNCTION("IMPORTRANGE(""https://docs.google.com/spreadsheets/d/16UeMz0UgOB5BZcoxP75eYGcLFtGYRn9GoesD4OX9m5U/edit?usp=sharing"",""หนองบัวลำภู!M697"")"),0)</f>
        <v>0</v>
      </c>
      <c r="H48" s="58">
        <f t="shared" ca="1" si="33"/>
        <v>0</v>
      </c>
      <c r="I48" s="59">
        <f t="shared" ca="1" si="1"/>
        <v>0</v>
      </c>
      <c r="J48" s="60">
        <f t="shared" ca="1" si="64"/>
        <v>0</v>
      </c>
      <c r="K48" s="61">
        <f t="shared" ca="1" si="39"/>
        <v>0</v>
      </c>
      <c r="L48" s="61">
        <f t="shared" ca="1" si="40"/>
        <v>0</v>
      </c>
      <c r="M48" s="64">
        <f ca="1">IFERROR(__xludf.DUMMYFUNCTION("IMPORTRANGE(""https://docs.google.com/spreadsheets/d/16UeMz0UgOB5BZcoxP75eYGcLFtGYRn9GoesD4OX9m5U/edit?usp=sharing"",""หนองบัวลำภู!N691"")"),0)</f>
        <v>0</v>
      </c>
      <c r="N48" s="64">
        <f ca="1">IFERROR(__xludf.DUMMYFUNCTION("IMPORTRANGE(""https://docs.google.com/spreadsheets/d/16UeMz0UgOB5BZcoxP75eYGcLFtGYRn9GoesD4OX9m5U/edit?usp=sharing"",""หนองบัวลำภู!N692"")"),0)</f>
        <v>0</v>
      </c>
      <c r="O48" s="64">
        <f ca="1">IFERROR(__xludf.DUMMYFUNCTION("IMPORTRANGE(""https://docs.google.com/spreadsheets/d/16UeMz0UgOB5BZcoxP75eYGcLFtGYRn9GoesD4OX9m5U/edit?usp=sharing"",""หนองบัวลำภู!N693"")"),0)</f>
        <v>0</v>
      </c>
      <c r="P48" s="64">
        <f ca="1">IFERROR(__xludf.DUMMYFUNCTION("IMPORTRANGE(""https://docs.google.com/spreadsheets/d/16UeMz0UgOB5BZcoxP75eYGcLFtGYRn9GoesD4OX9m5U/edit?usp=sharing"",""หนองบัวลำภู!N694"")"),0)</f>
        <v>0</v>
      </c>
      <c r="Q48" s="62">
        <f ca="1">IFERROR(__xludf.DUMMYFUNCTION("IMPORTRANGE(""https://docs.google.com/spreadsheets/d/16UeMz0UgOB5BZcoxP75eYGcLFtGYRn9GoesD4OX9m5U/edit?usp=sharing"",""หนองบัวลำภู!N697"")"),0)</f>
        <v>0</v>
      </c>
      <c r="R48" s="62">
        <f t="shared" ca="1" si="42"/>
        <v>0</v>
      </c>
      <c r="S48" s="57">
        <f ca="1">IFERROR(__xludf.DUMMYFUNCTION("IMPORTRANGE(""https://docs.google.com/spreadsheets/d/16UeMz0UgOB5BZcoxP75eYGcLFtGYRn9GoesD4OX9m5U/edit?usp=sharing"",""หนองบัวลำภู!I699"")"),0)</f>
        <v>0</v>
      </c>
      <c r="T48" s="57">
        <f ca="1">IFERROR(__xludf.DUMMYFUNCTION("IMPORTRANGE(""https://docs.google.com/spreadsheets/d/16UeMz0UgOB5BZcoxP75eYGcLFtGYRn9GoesD4OX9m5U/edit?usp=sharing"",""หนองบัวลำภู!J699"")"),0)</f>
        <v>0</v>
      </c>
      <c r="U48" s="63">
        <f t="shared" ca="1" si="34"/>
        <v>0</v>
      </c>
      <c r="V48" s="57">
        <f ca="1">IFERROR(__xludf.DUMMYFUNCTION("IMPORTRANGE(""https://docs.google.com/spreadsheets/d/16UeMz0UgOB5BZcoxP75eYGcLFtGYRn9GoesD4OX9m5U/edit?usp=sharing"",""หนองบัวลำภู!I700"")"),9)</f>
        <v>9</v>
      </c>
      <c r="W48" s="57">
        <f ca="1">IFERROR(__xludf.DUMMYFUNCTION("IMPORTRANGE(""https://docs.google.com/spreadsheets/d/16UeMz0UgOB5BZcoxP75eYGcLFtGYRn9GoesD4OX9m5U/edit?usp=sharing"",""หนองบัวลำภู!J700"")"),0)</f>
        <v>0</v>
      </c>
      <c r="X48" s="63">
        <f t="shared" ca="1" si="35"/>
        <v>0</v>
      </c>
      <c r="Y48" s="57">
        <f ca="1">IFERROR(__xludf.DUMMYFUNCTION("IMPORTRANGE(""https://docs.google.com/spreadsheets/d/16UeMz0UgOB5BZcoxP75eYGcLFtGYRn9GoesD4OX9m5U/edit?usp=sharing"",""หนองบัวลำภู!I701"")"),0)</f>
        <v>0</v>
      </c>
      <c r="Z48" s="57">
        <f ca="1">IFERROR(__xludf.DUMMYFUNCTION("IMPORTRANGE(""https://docs.google.com/spreadsheets/d/16UeMz0UgOB5BZcoxP75eYGcLFtGYRn9GoesD4OX9m5U/edit?usp=sharing"",""หนองบัวลำภู!J701"")"),0)</f>
        <v>0</v>
      </c>
      <c r="AA48" s="63">
        <f t="shared" ca="1" si="36"/>
        <v>0</v>
      </c>
      <c r="AB48" s="63">
        <f ca="1">IFERROR(__xludf.DUMMYFUNCTION("IMPORTRANGE(""https://docs.google.com/spreadsheets/d/16UeMz0UgOB5BZcoxP75eYGcLFtGYRn9GoesD4OX9m5U/edit?usp=sharing"",""หนองบัวลำภู!J702"")"),0)</f>
        <v>0</v>
      </c>
      <c r="AC48" s="63">
        <f ca="1">IFERROR(__xludf.DUMMYFUNCTION("IMPORTRANGE(""https://docs.google.com/spreadsheets/d/16UeMz0UgOB5BZcoxP75eYGcLFtGYRn9GoesD4OX9m5U/edit?usp=sharing"",""หนองบัวลำภู!J703"")"),0)</f>
        <v>0</v>
      </c>
      <c r="AD48" s="63">
        <f ca="1">IFERROR(__xludf.DUMMYFUNCTION("IMPORTRANGE(""https://docs.google.com/spreadsheets/d/16UeMz0UgOB5BZcoxP75eYGcLFtGYRn9GoesD4OX9m5U/edit?usp=sharing"",""หนองบัวลำภู!J704"")"),0)</f>
        <v>0</v>
      </c>
      <c r="AE48" s="63">
        <f ca="1">IFERROR(__xludf.DUMMYFUNCTION("IMPORTRANGE(""https://docs.google.com/spreadsheets/d/16UeMz0UgOB5BZcoxP75eYGcLFtGYRn9GoesD4OX9m5U/edit?usp=sharing"",""หนองบัวลำภู!J705"")"),0)</f>
        <v>0</v>
      </c>
      <c r="AF48" s="63">
        <f ca="1">IFERROR(__xludf.DUMMYFUNCTION("IMPORTRANGE(""https://docs.google.com/spreadsheets/d/16UeMz0UgOB5BZcoxP75eYGcLFtGYRn9GoesD4OX9m5U/edit?usp=sharing"",""หนองบัวลำภู!J706"")"),0)</f>
        <v>0</v>
      </c>
      <c r="AG48" s="63">
        <f ca="1">IFERROR(__xludf.DUMMYFUNCTION("IMPORTRANGE(""https://docs.google.com/spreadsheets/d/16UeMz0UgOB5BZcoxP75eYGcLFtGYRn9GoesD4OX9m5U/edit?usp=sharing"",""หนองบัวลำภู!J707"")"),0)</f>
        <v>0</v>
      </c>
      <c r="AH48" s="57">
        <f ca="1">IFERROR(__xludf.DUMMYFUNCTION("IMPORTRANGE(""https://docs.google.com/spreadsheets/d/16UeMz0UgOB5BZcoxP75eYGcLFtGYRn9GoesD4OX9m5U/edit?usp=sharing"",""หนองบัวลำภู!I708"")"),0)</f>
        <v>0</v>
      </c>
      <c r="AI48" s="57">
        <f ca="1">IFERROR(__xludf.DUMMYFUNCTION("IMPORTRANGE(""https://docs.google.com/spreadsheets/d/16UeMz0UgOB5BZcoxP75eYGcLFtGYRn9GoesD4OX9m5U/edit?usp=sharing"",""หนองบัวลำภู!J708"")"),45)</f>
        <v>45</v>
      </c>
      <c r="AJ48" s="63">
        <f t="shared" ca="1" si="37"/>
        <v>0</v>
      </c>
      <c r="AK48" s="57">
        <f ca="1">IFERROR(__xludf.DUMMYFUNCTION("IMPORTRANGE(""https://docs.google.com/spreadsheets/d/16UeMz0UgOB5BZcoxP75eYGcLFtGYRn9GoesD4OX9m5U/edit?usp=sharing"",""หนองบัวลำภู!J709"")"),2)</f>
        <v>2</v>
      </c>
      <c r="AL48" s="57">
        <f ca="1">IFERROR(__xludf.DUMMYFUNCTION("IMPORTRANGE(""https://docs.google.com/spreadsheets/d/16UeMz0UgOB5BZcoxP75eYGcLFtGYRn9GoesD4OX9m5U/edit?usp=sharing"",""หนองบัวลำภู!J710"")"),45)</f>
        <v>45</v>
      </c>
      <c r="AM48" s="57">
        <f ca="1">IFERROR(__xludf.DUMMYFUNCTION("IMPORTRANGE(""https://docs.google.com/spreadsheets/d/16UeMz0UgOB5BZcoxP75eYGcLFtGYRn9GoesD4OX9m5U/edit?usp=sharing"",""หนองบัวลำภู!J712"")"),9)</f>
        <v>9</v>
      </c>
      <c r="AN48" s="57">
        <f ca="1">IFERROR(__xludf.DUMMYFUNCTION("IMPORTRANGE(""https://docs.google.com/spreadsheets/d/16UeMz0UgOB5BZcoxP75eYGcLFtGYRn9GoesD4OX9m5U/edit?usp=sharing"",""หนองบัวลำภู!J713"")"),9)</f>
        <v>9</v>
      </c>
      <c r="AO48" s="57">
        <f ca="1">IFERROR(__xludf.DUMMYFUNCTION("IMPORTRANGE(""https://docs.google.com/spreadsheets/d/16UeMz0UgOB5BZcoxP75eYGcLFtGYRn9GoesD4OX9m5U/edit?usp=sharing"",""หนองบัวลำภู!J714"")"),45)</f>
        <v>45</v>
      </c>
      <c r="AP48" s="57">
        <f ca="1">IFERROR(__xludf.DUMMYFUNCTION("IMPORTRANGE(""https://docs.google.com/spreadsheets/d/16UeMz0UgOB5BZcoxP75eYGcLFtGYRn9GoesD4OX9m5U/edit?usp=sharing"",""หนองบัวลำภู!J715"")"),0)</f>
        <v>0</v>
      </c>
      <c r="AQ48" s="57">
        <f ca="1">IFERROR(__xludf.DUMMYFUNCTION("IMPORTRANGE(""https://docs.google.com/spreadsheets/d/16UeMz0UgOB5BZcoxP75eYGcLFtGYRn9GoesD4OX9m5U/edit?usp=sharing"",""หนองบัวลำภู!J716"")"),0)</f>
        <v>0</v>
      </c>
      <c r="AR48" s="57">
        <f ca="1">IFERROR(__xludf.DUMMYFUNCTION("IMPORTRANGE(""https://docs.google.com/spreadsheets/d/16UeMz0UgOB5BZcoxP75eYGcLFtGYRn9GoesD4OX9m5U/edit?usp=sharing"",""หนองบัวลำภู!J717"")"),0)</f>
        <v>0</v>
      </c>
      <c r="AS48" s="57">
        <f ca="1">IFERROR(__xludf.DUMMYFUNCTION("IMPORTRANGE(""https://docs.google.com/spreadsheets/d/16UeMz0UgOB5BZcoxP75eYGcLFtGYRn9GoesD4OX9m5U/edit?usp=sharing"",""หนองบัวลำภู!I720"")"),0)</f>
        <v>0</v>
      </c>
      <c r="AT48" s="57">
        <f ca="1">IFERROR(__xludf.DUMMYFUNCTION("IMPORTRANGE(""https://docs.google.com/spreadsheets/d/16UeMz0UgOB5BZcoxP75eYGcLFtGYRn9GoesD4OX9m5U/edit?usp=sharing"",""หนองบัวลำภู!J718"")"),0)</f>
        <v>0</v>
      </c>
      <c r="AU48" s="57">
        <f ca="1">IFERROR(__xludf.DUMMYFUNCTION("IMPORTRANGE(""https://docs.google.com/spreadsheets/d/16UeMz0UgOB5BZcoxP75eYGcLFtGYRn9GoesD4OX9m5U/edit?usp=sharing"",""หนองบัวลำภู!J719"")"),0)</f>
        <v>0</v>
      </c>
      <c r="AV48" s="57">
        <f ca="1">IFERROR(__xludf.DUMMYFUNCTION("IMPORTRANGE(""https://docs.google.com/spreadsheets/d/16UeMz0UgOB5BZcoxP75eYGcLFtGYRn9GoesD4OX9m5U/edit?usp=sharing"",""หนองบัวลำภู!J720"")"),0)</f>
        <v>0</v>
      </c>
      <c r="AW48" s="63">
        <f t="shared" ca="1" si="14"/>
        <v>0</v>
      </c>
      <c r="AX48" s="57">
        <f ca="1">IFERROR(__xludf.DUMMYFUNCTION("IMPORTRANGE(""https://docs.google.com/spreadsheets/d/16UeMz0UgOB5BZcoxP75eYGcLFtGYRn9GoesD4OX9m5U/edit?usp=sharing"",""หนองบัวลำภู!I721"")"),0)</f>
        <v>0</v>
      </c>
      <c r="AY48" s="57">
        <f ca="1">IFERROR(__xludf.DUMMYFUNCTION("IMPORTRANGE(""https://docs.google.com/spreadsheets/d/16UeMz0UgOB5BZcoxP75eYGcLFtGYRn9GoesD4OX9m5U/edit?usp=sharing"",""หนองบัวลำภู!I722"")"),0)</f>
        <v>0</v>
      </c>
      <c r="AZ48" s="57">
        <f ca="1">IFERROR(__xludf.DUMMYFUNCTION("IMPORTRANGE(""https://docs.google.com/spreadsheets/d/16UeMz0UgOB5BZcoxP75eYGcLFtGYRn9GoesD4OX9m5U/edit?usp=sharing"",""หนองบัวลำภู!J721"")"),0)</f>
        <v>0</v>
      </c>
      <c r="BA48" s="63">
        <f t="shared" ca="1" si="16"/>
        <v>0</v>
      </c>
      <c r="BB48" s="57">
        <f ca="1">IFERROR(__xludf.DUMMYFUNCTION("IMPORTRANGE(""https://docs.google.com/spreadsheets/d/16UeMz0UgOB5BZcoxP75eYGcLFtGYRn9GoesD4OX9m5U/edit?usp=sharing"",""หนองบัวลำภู!J722"")"),0)</f>
        <v>0</v>
      </c>
      <c r="BC48" s="63">
        <f t="shared" ca="1" si="17"/>
        <v>0</v>
      </c>
      <c r="BD48" s="57">
        <f ca="1">IFERROR(__xludf.DUMMYFUNCTION("IMPORTRANGE(""https://docs.google.com/spreadsheets/d/16UeMz0UgOB5BZcoxP75eYGcLFtGYRn9GoesD4OX9m5U/edit?usp=sharing"",""หนองบัวลำภู!I723"")"),0)</f>
        <v>0</v>
      </c>
      <c r="BE48" s="57">
        <f ca="1">IFERROR(__xludf.DUMMYFUNCTION("IMPORTRANGE(""https://docs.google.com/spreadsheets/d/16UeMz0UgOB5BZcoxP75eYGcLFtGYRn9GoesD4OX9m5U/edit?usp=sharing"",""หนองบัวลำภู!I725"")"),0)</f>
        <v>0</v>
      </c>
      <c r="BF48" s="57">
        <f ca="1">IFERROR(__xludf.DUMMYFUNCTION("IMPORTRANGE(""https://docs.google.com/spreadsheets/d/16UeMz0UgOB5BZcoxP75eYGcLFtGYRn9GoesD4OX9m5U/edit?usp=sharing"",""หนองบัวลำภู!J723"")"),0)</f>
        <v>0</v>
      </c>
      <c r="BG48" s="57">
        <f ca="1">IFERROR(__xludf.DUMMYFUNCTION("IMPORTRANGE(""https://docs.google.com/spreadsheets/d/16UeMz0UgOB5BZcoxP75eYGcLFtGYRn9GoesD4OX9m5U/edit?usp=sharing"",""หนองบัวลำภู!J724"")"),0)</f>
        <v>0</v>
      </c>
      <c r="BH48" s="57">
        <f ca="1">IFERROR(__xludf.DUMMYFUNCTION("IMPORTRANGE(""https://docs.google.com/spreadsheets/d/16UeMz0UgOB5BZcoxP75eYGcLFtGYRn9GoesD4OX9m5U/edit?usp=sharing"",""หนองบัวลำภู!J725"")"),0)</f>
        <v>0</v>
      </c>
      <c r="BI48" s="57">
        <f ca="1">IFERROR(__xludf.DUMMYFUNCTION("IMPORTRANGE(""https://docs.google.com/spreadsheets/d/16UeMz0UgOB5BZcoxP75eYGcLFtGYRn9GoesD4OX9m5U/edit?usp=sharing"",""หนองบัวลำภู!I726"")"),0)</f>
        <v>0</v>
      </c>
      <c r="BJ48" s="57">
        <f ca="1">IFERROR(__xludf.DUMMYFUNCTION("IMPORTRANGE(""https://docs.google.com/spreadsheets/d/16UeMz0UgOB5BZcoxP75eYGcLFtGYRn9GoesD4OX9m5U/edit?usp=sharing"",""หนองบัวลำภู!I728"")"),0)</f>
        <v>0</v>
      </c>
      <c r="BK48" s="57">
        <f ca="1">IFERROR(__xludf.DUMMYFUNCTION("IMPORTRANGE(""https://docs.google.com/spreadsheets/d/16UeMz0UgOB5BZcoxP75eYGcLFtGYRn9GoesD4OX9m5U/edit?usp=sharing"",""หนองบัวลำภู!J726"")"),0)</f>
        <v>0</v>
      </c>
      <c r="BL48" s="57">
        <f ca="1">IFERROR(__xludf.DUMMYFUNCTION("IMPORTRANGE(""https://docs.google.com/spreadsheets/d/16UeMz0UgOB5BZcoxP75eYGcLFtGYRn9GoesD4OX9m5U/edit?usp=sharing"",""หนองบัวลำภู!J727"")"),0)</f>
        <v>0</v>
      </c>
      <c r="BM48" s="57">
        <f ca="1">IFERROR(__xludf.DUMMYFUNCTION("IMPORTRANGE(""https://docs.google.com/spreadsheets/d/16UeMz0UgOB5BZcoxP75eYGcLFtGYRn9GoesD4OX9m5U/edit?usp=sharing"",""หนองบัวลำภู!J728"")"),0)</f>
        <v>0</v>
      </c>
      <c r="BN48" s="57">
        <f ca="1">IFERROR(__xludf.DUMMYFUNCTION("IMPORTRANGE(""https://docs.google.com/spreadsheets/d/16UeMz0UgOB5BZcoxP75eYGcLFtGYRn9GoesD4OX9m5U/edit?usp=sharing"",""หนองบัวลำภู!I729"")"),10)</f>
        <v>10</v>
      </c>
      <c r="BO48" s="57">
        <f ca="1">IFERROR(__xludf.DUMMYFUNCTION("IMPORTRANGE(""https://docs.google.com/spreadsheets/d/16UeMz0UgOB5BZcoxP75eYGcLFtGYRn9GoesD4OX9m5U/edit?usp=sharing"",""หนองบัวลำภู!J729"")"),12)</f>
        <v>12</v>
      </c>
      <c r="BP48" s="63">
        <f t="shared" ca="1" si="19"/>
        <v>120</v>
      </c>
      <c r="BQ48" s="57" t="str">
        <f ca="1">IFERROR(__xludf.DUMMYFUNCTION("IMPORTRANGE(""https://docs.google.com/spreadsheets/d/16UeMz0UgOB5BZcoxP75eYGcLFtGYRn9GoesD4OX9m5U/edit?usp=sharing"",""หนองบัวลำภู!J730"")"),"")</f>
        <v/>
      </c>
      <c r="BR48" s="57" t="str">
        <f ca="1">IFERROR(__xludf.DUMMYFUNCTION("IMPORTRANGE(""https://docs.google.com/spreadsheets/d/16UeMz0UgOB5BZcoxP75eYGcLFtGYRn9GoesD4OX9m5U/edit?usp=sharing"",""หนองบัวลำภู!J731"")"),"")</f>
        <v/>
      </c>
      <c r="BS48" s="57" t="str">
        <f ca="1">IFERROR(__xludf.DUMMYFUNCTION("IMPORTRANGE(""https://docs.google.com/spreadsheets/d/16UeMz0UgOB5BZcoxP75eYGcLFtGYRn9GoesD4OX9m5U/edit?usp=sharing"",""หนองบัวลำภู!J732"")"),"")</f>
        <v/>
      </c>
      <c r="BT48" s="57">
        <f ca="1">IFERROR(__xludf.DUMMYFUNCTION("IMPORTRANGE(""https://docs.google.com/spreadsheets/d/16UeMz0UgOB5BZcoxP75eYGcLFtGYRn9GoesD4OX9m5U/edit?usp=sharing"",""หนองบัวลำภู!J733"")"),1)</f>
        <v>1</v>
      </c>
      <c r="BU48" s="57">
        <f ca="1">IFERROR(__xludf.DUMMYFUNCTION("IMPORTRANGE(""https://docs.google.com/spreadsheets/d/16UeMz0UgOB5BZcoxP75eYGcLFtGYRn9GoesD4OX9m5U/edit?usp=sharing"",""หนองบัวลำภู!J734"")"),1)</f>
        <v>1</v>
      </c>
      <c r="BV48" s="57">
        <f ca="1">IFERROR(__xludf.DUMMYFUNCTION("IMPORTRANGE(""https://docs.google.com/spreadsheets/d/16UeMz0UgOB5BZcoxP75eYGcLFtGYRn9GoesD4OX9m5U/edit?usp=sharing"",""หนองบัวลำภู!J735"")"),12)</f>
        <v>12</v>
      </c>
    </row>
    <row r="49" spans="1:74" ht="21" customHeight="1" x14ac:dyDescent="0.3">
      <c r="A49" s="54">
        <v>18</v>
      </c>
      <c r="B49" s="55" t="s">
        <v>70</v>
      </c>
      <c r="C49" s="56">
        <f t="shared" ca="1" si="63"/>
        <v>2940</v>
      </c>
      <c r="D49" s="57">
        <f ca="1">IFERROR(__xludf.DUMMYFUNCTION("IMPORTRANGE(""https://docs.google.com/spreadsheets/d/1uUP8Zo1-qaJLuIkRU0qlwLSE3DHkbdrrj2JGJiWBQZE/edit?usp=sharing"",""อำนาจเจริญ!L690"")"),2940)</f>
        <v>2940</v>
      </c>
      <c r="E49" s="64">
        <f ca="1">IFERROR(__xludf.DUMMYFUNCTION("IMPORTRANGE(""https://docs.google.com/spreadsheets/d/1uUP8Zo1-qaJLuIkRU0qlwLSE3DHkbdrrj2JGJiWBQZE/edit?usp=sharing"",""อำนาจเจริญ!L697"")"),0)</f>
        <v>0</v>
      </c>
      <c r="F49" s="64">
        <f ca="1">IFERROR(__xludf.DUMMYFUNCTION("IMPORTRANGE(""https://docs.google.com/spreadsheets/d/1uUP8Zo1-qaJLuIkRU0qlwLSE3DHkbdrrj2JGJiWBQZE/edit?usp=sharing"",""อำนาจเจริญ!M690"")"),2940)</f>
        <v>2940</v>
      </c>
      <c r="G49" s="64">
        <f ca="1">IFERROR(__xludf.DUMMYFUNCTION("IMPORTRANGE(""https://docs.google.com/spreadsheets/d/1uUP8Zo1-qaJLuIkRU0qlwLSE3DHkbdrrj2JGJiWBQZE/edit?usp=sharing"",""อำนาจเจริญ!M697"")"),0)</f>
        <v>0</v>
      </c>
      <c r="H49" s="58">
        <f t="shared" ca="1" si="33"/>
        <v>0</v>
      </c>
      <c r="I49" s="59">
        <f t="shared" ca="1" si="1"/>
        <v>0</v>
      </c>
      <c r="J49" s="60">
        <f t="shared" ca="1" si="64"/>
        <v>0</v>
      </c>
      <c r="K49" s="61">
        <f t="shared" ca="1" si="39"/>
        <v>0</v>
      </c>
      <c r="L49" s="61">
        <f t="shared" ca="1" si="40"/>
        <v>0</v>
      </c>
      <c r="M49" s="64">
        <f ca="1">IFERROR(__xludf.DUMMYFUNCTION("IMPORTRANGE(""https://docs.google.com/spreadsheets/d/1uUP8Zo1-qaJLuIkRU0qlwLSE3DHkbdrrj2JGJiWBQZE/edit?usp=sharing"",""อำนาจเจริญ!N691"")"),0)</f>
        <v>0</v>
      </c>
      <c r="N49" s="64">
        <f ca="1">IFERROR(__xludf.DUMMYFUNCTION("IMPORTRANGE(""https://docs.google.com/spreadsheets/d/1uUP8Zo1-qaJLuIkRU0qlwLSE3DHkbdrrj2JGJiWBQZE/edit?usp=sharing"",""อำนาจเจริญ!N692"")"),0)</f>
        <v>0</v>
      </c>
      <c r="O49" s="64">
        <f ca="1">IFERROR(__xludf.DUMMYFUNCTION("IMPORTRANGE(""https://docs.google.com/spreadsheets/d/1uUP8Zo1-qaJLuIkRU0qlwLSE3DHkbdrrj2JGJiWBQZE/edit?usp=sharing"",""อำนาจเจริญ!N693"")"),0)</f>
        <v>0</v>
      </c>
      <c r="P49" s="64">
        <f ca="1">IFERROR(__xludf.DUMMYFUNCTION("IMPORTRANGE(""https://docs.google.com/spreadsheets/d/1uUP8Zo1-qaJLuIkRU0qlwLSE3DHkbdrrj2JGJiWBQZE/edit?usp=sharing"",""อำนาจเจริญ!N694"")"),0)</f>
        <v>0</v>
      </c>
      <c r="Q49" s="62">
        <f ca="1">IFERROR(__xludf.DUMMYFUNCTION("IMPORTRANGE(""https://docs.google.com/spreadsheets/d/1uUP8Zo1-qaJLuIkRU0qlwLSE3DHkbdrrj2JGJiWBQZE/edit?usp=sharing"",""อำนาจเจริญ!N697"")"),0)</f>
        <v>0</v>
      </c>
      <c r="R49" s="62">
        <f t="shared" ca="1" si="42"/>
        <v>0</v>
      </c>
      <c r="S49" s="57">
        <f ca="1">IFERROR(__xludf.DUMMYFUNCTION("IMPORTRANGE(""https://docs.google.com/spreadsheets/d/1uUP8Zo1-qaJLuIkRU0qlwLSE3DHkbdrrj2JGJiWBQZE/edit?usp=sharing"",""อำนาจเจริญ!I699"")"),18)</f>
        <v>18</v>
      </c>
      <c r="T49" s="57">
        <f ca="1">IFERROR(__xludf.DUMMYFUNCTION("IMPORTRANGE(""https://docs.google.com/spreadsheets/d/1uUP8Zo1-qaJLuIkRU0qlwLSE3DHkbdrrj2JGJiWBQZE/edit?usp=sharing"",""อำนาจเจริญ!J699"")"),0)</f>
        <v>0</v>
      </c>
      <c r="U49" s="63">
        <f t="shared" ca="1" si="34"/>
        <v>0</v>
      </c>
      <c r="V49" s="57">
        <f ca="1">IFERROR(__xludf.DUMMYFUNCTION("IMPORTRANGE(""https://docs.google.com/spreadsheets/d/1uUP8Zo1-qaJLuIkRU0qlwLSE3DHkbdrrj2JGJiWBQZE/edit?usp=sharing"",""อำนาจเจริญ!I700"")"),0)</f>
        <v>0</v>
      </c>
      <c r="W49" s="57">
        <f ca="1">IFERROR(__xludf.DUMMYFUNCTION("IMPORTRANGE(""https://docs.google.com/spreadsheets/d/1uUP8Zo1-qaJLuIkRU0qlwLSE3DHkbdrrj2JGJiWBQZE/edit?usp=sharing"",""อำนาจเจริญ!J700"")"),0)</f>
        <v>0</v>
      </c>
      <c r="X49" s="63">
        <f t="shared" ca="1" si="35"/>
        <v>0</v>
      </c>
      <c r="Y49" s="57">
        <f ca="1">IFERROR(__xludf.DUMMYFUNCTION("IMPORTRANGE(""https://docs.google.com/spreadsheets/d/1uUP8Zo1-qaJLuIkRU0qlwLSE3DHkbdrrj2JGJiWBQZE/edit?usp=sharing"",""อำนาจเจริญ!I701"")"),0)</f>
        <v>0</v>
      </c>
      <c r="Z49" s="57">
        <f ca="1">IFERROR(__xludf.DUMMYFUNCTION("IMPORTRANGE(""https://docs.google.com/spreadsheets/d/1uUP8Zo1-qaJLuIkRU0qlwLSE3DHkbdrrj2JGJiWBQZE/edit?usp=sharing"",""อำนาจเจริญ!J701"")"),0)</f>
        <v>0</v>
      </c>
      <c r="AA49" s="63">
        <f t="shared" ca="1" si="36"/>
        <v>0</v>
      </c>
      <c r="AB49" s="63">
        <f ca="1">IFERROR(__xludf.DUMMYFUNCTION("IMPORTRANGE(""https://docs.google.com/spreadsheets/d/1uUP8Zo1-qaJLuIkRU0qlwLSE3DHkbdrrj2JGJiWBQZE/edit?usp=sharing"",""อำนาจเจริญ!J702"")"),0)</f>
        <v>0</v>
      </c>
      <c r="AC49" s="63">
        <f ca="1">IFERROR(__xludf.DUMMYFUNCTION("IMPORTRANGE(""https://docs.google.com/spreadsheets/d/1uUP8Zo1-qaJLuIkRU0qlwLSE3DHkbdrrj2JGJiWBQZE/edit?usp=sharing"",""อำนาจเจริญ!J703"")"),0)</f>
        <v>0</v>
      </c>
      <c r="AD49" s="63">
        <f ca="1">IFERROR(__xludf.DUMMYFUNCTION("IMPORTRANGE(""https://docs.google.com/spreadsheets/d/1uUP8Zo1-qaJLuIkRU0qlwLSE3DHkbdrrj2JGJiWBQZE/edit?usp=sharing"",""อำนาจเจริญ!J704"")"),0)</f>
        <v>0</v>
      </c>
      <c r="AE49" s="63">
        <f ca="1">IFERROR(__xludf.DUMMYFUNCTION("IMPORTRANGE(""https://docs.google.com/spreadsheets/d/1uUP8Zo1-qaJLuIkRU0qlwLSE3DHkbdrrj2JGJiWBQZE/edit?usp=sharing"",""อำนาจเจริญ!J705"")"),0)</f>
        <v>0</v>
      </c>
      <c r="AF49" s="63">
        <f ca="1">IFERROR(__xludf.DUMMYFUNCTION("IMPORTRANGE(""https://docs.google.com/spreadsheets/d/1uUP8Zo1-qaJLuIkRU0qlwLSE3DHkbdrrj2JGJiWBQZE/edit?usp=sharing"",""อำนาจเจริญ!J706"")"),0)</f>
        <v>0</v>
      </c>
      <c r="AG49" s="63">
        <f ca="1">IFERROR(__xludf.DUMMYFUNCTION("IMPORTRANGE(""https://docs.google.com/spreadsheets/d/1uUP8Zo1-qaJLuIkRU0qlwLSE3DHkbdrrj2JGJiWBQZE/edit?usp=sharing"",""อำนาจเจริญ!J707"")"),0)</f>
        <v>0</v>
      </c>
      <c r="AH49" s="57">
        <f ca="1">IFERROR(__xludf.DUMMYFUNCTION("IMPORTRANGE(""https://docs.google.com/spreadsheets/d/1uUP8Zo1-qaJLuIkRU0qlwLSE3DHkbdrrj2JGJiWBQZE/edit?usp=sharing"",""อำนาจเจริญ!I708"")"),7)</f>
        <v>7</v>
      </c>
      <c r="AI49" s="57">
        <f ca="1">IFERROR(__xludf.DUMMYFUNCTION("IMPORTRANGE(""https://docs.google.com/spreadsheets/d/1uUP8Zo1-qaJLuIkRU0qlwLSE3DHkbdrrj2JGJiWBQZE/edit?usp=sharing"",""อำนาจเจริญ!J708"")"),0)</f>
        <v>0</v>
      </c>
      <c r="AJ49" s="63">
        <f t="shared" ca="1" si="37"/>
        <v>0</v>
      </c>
      <c r="AK49" s="57">
        <f ca="1">IFERROR(__xludf.DUMMYFUNCTION("IMPORTRANGE(""https://docs.google.com/spreadsheets/d/1uUP8Zo1-qaJLuIkRU0qlwLSE3DHkbdrrj2JGJiWBQZE/edit?usp=sharing"",""อำนาจเจริญ!J709"")"),0)</f>
        <v>0</v>
      </c>
      <c r="AL49" s="57">
        <f ca="1">IFERROR(__xludf.DUMMYFUNCTION("IMPORTRANGE(""https://docs.google.com/spreadsheets/d/1uUP8Zo1-qaJLuIkRU0qlwLSE3DHkbdrrj2JGJiWBQZE/edit?usp=sharing"",""อำนาจเจริญ!J710"")"),0)</f>
        <v>0</v>
      </c>
      <c r="AM49" s="57">
        <f ca="1">IFERROR(__xludf.DUMMYFUNCTION("IMPORTRANGE(""https://docs.google.com/spreadsheets/d/1uUP8Zo1-qaJLuIkRU0qlwLSE3DHkbdrrj2JGJiWBQZE/edit?usp=sharing"",""อำนาจเจริญ!J712"")"),0)</f>
        <v>0</v>
      </c>
      <c r="AN49" s="57">
        <f ca="1">IFERROR(__xludf.DUMMYFUNCTION("IMPORTRANGE(""https://docs.google.com/spreadsheets/d/1uUP8Zo1-qaJLuIkRU0qlwLSE3DHkbdrrj2JGJiWBQZE/edit?usp=sharing"",""อำนาจเจริญ!J713"")"),0)</f>
        <v>0</v>
      </c>
      <c r="AO49" s="57">
        <f ca="1">IFERROR(__xludf.DUMMYFUNCTION("IMPORTRANGE(""https://docs.google.com/spreadsheets/d/1uUP8Zo1-qaJLuIkRU0qlwLSE3DHkbdrrj2JGJiWBQZE/edit?usp=sharing"",""อำนาจเจริญ!J714"")"),0)</f>
        <v>0</v>
      </c>
      <c r="AP49" s="57">
        <f ca="1">IFERROR(__xludf.DUMMYFUNCTION("IMPORTRANGE(""https://docs.google.com/spreadsheets/d/1uUP8Zo1-qaJLuIkRU0qlwLSE3DHkbdrrj2JGJiWBQZE/edit?usp=sharing"",""อำนาจเจริญ!J715"")"),0)</f>
        <v>0</v>
      </c>
      <c r="AQ49" s="57">
        <f ca="1">IFERROR(__xludf.DUMMYFUNCTION("IMPORTRANGE(""https://docs.google.com/spreadsheets/d/1uUP8Zo1-qaJLuIkRU0qlwLSE3DHkbdrrj2JGJiWBQZE/edit?usp=sharing"",""อำนาจเจริญ!J716"")"),0)</f>
        <v>0</v>
      </c>
      <c r="AR49" s="57">
        <f ca="1">IFERROR(__xludf.DUMMYFUNCTION("IMPORTRANGE(""https://docs.google.com/spreadsheets/d/1uUP8Zo1-qaJLuIkRU0qlwLSE3DHkbdrrj2JGJiWBQZE/edit?usp=sharing"",""อำนาจเจริญ!J717"")"),0)</f>
        <v>0</v>
      </c>
      <c r="AS49" s="57">
        <f ca="1">IFERROR(__xludf.DUMMYFUNCTION("IMPORTRANGE(""https://docs.google.com/spreadsheets/d/1uUP8Zo1-qaJLuIkRU0qlwLSE3DHkbdrrj2JGJiWBQZE/edit?usp=sharing"",""อำนาจเจริญ!I720"")"),0)</f>
        <v>0</v>
      </c>
      <c r="AT49" s="57">
        <f ca="1">IFERROR(__xludf.DUMMYFUNCTION("IMPORTRANGE(""https://docs.google.com/spreadsheets/d/1uUP8Zo1-qaJLuIkRU0qlwLSE3DHkbdrrj2JGJiWBQZE/edit?usp=sharing"",""อำนาจเจริญ!J718"")"),0)</f>
        <v>0</v>
      </c>
      <c r="AU49" s="57">
        <f ca="1">IFERROR(__xludf.DUMMYFUNCTION("IMPORTRANGE(""https://docs.google.com/spreadsheets/d/1uUP8Zo1-qaJLuIkRU0qlwLSE3DHkbdrrj2JGJiWBQZE/edit?usp=sharing"",""อำนาจเจริญ!J719"")"),0)</f>
        <v>0</v>
      </c>
      <c r="AV49" s="57">
        <f ca="1">IFERROR(__xludf.DUMMYFUNCTION("IMPORTRANGE(""https://docs.google.com/spreadsheets/d/1uUP8Zo1-qaJLuIkRU0qlwLSE3DHkbdrrj2JGJiWBQZE/edit?usp=sharing"",""อำนาจเจริญ!J720"")"),0)</f>
        <v>0</v>
      </c>
      <c r="AW49" s="63">
        <f t="shared" ca="1" si="14"/>
        <v>0</v>
      </c>
      <c r="AX49" s="57">
        <f ca="1">IFERROR(__xludf.DUMMYFUNCTION("IMPORTRANGE(""https://docs.google.com/spreadsheets/d/1uUP8Zo1-qaJLuIkRU0qlwLSE3DHkbdrrj2JGJiWBQZE/edit?usp=sharing"",""อำนาจเจริญ!I721"")"),0)</f>
        <v>0</v>
      </c>
      <c r="AY49" s="57">
        <f ca="1">IFERROR(__xludf.DUMMYFUNCTION("IMPORTRANGE(""https://docs.google.com/spreadsheets/d/1uUP8Zo1-qaJLuIkRU0qlwLSE3DHkbdrrj2JGJiWBQZE/edit?usp=sharing"",""อำนาจเจริญ!I722"")"),0)</f>
        <v>0</v>
      </c>
      <c r="AZ49" s="57">
        <f ca="1">IFERROR(__xludf.DUMMYFUNCTION("IMPORTRANGE(""https://docs.google.com/spreadsheets/d/1uUP8Zo1-qaJLuIkRU0qlwLSE3DHkbdrrj2JGJiWBQZE/edit?usp=sharing"",""อำนาจเจริญ!J721"")"),0)</f>
        <v>0</v>
      </c>
      <c r="BA49" s="63">
        <f t="shared" ca="1" si="16"/>
        <v>0</v>
      </c>
      <c r="BB49" s="57">
        <f ca="1">IFERROR(__xludf.DUMMYFUNCTION("IMPORTRANGE(""https://docs.google.com/spreadsheets/d/1uUP8Zo1-qaJLuIkRU0qlwLSE3DHkbdrrj2JGJiWBQZE/edit?usp=sharing"",""อำนาจเจริญ!J722"")"),0)</f>
        <v>0</v>
      </c>
      <c r="BC49" s="63">
        <f t="shared" ca="1" si="17"/>
        <v>0</v>
      </c>
      <c r="BD49" s="57">
        <f ca="1">IFERROR(__xludf.DUMMYFUNCTION("IMPORTRANGE(""https://docs.google.com/spreadsheets/d/1uUP8Zo1-qaJLuIkRU0qlwLSE3DHkbdrrj2JGJiWBQZE/edit?usp=sharing"",""อำนาจเจริญ!I723"")"),0)</f>
        <v>0</v>
      </c>
      <c r="BE49" s="57">
        <f ca="1">IFERROR(__xludf.DUMMYFUNCTION("IMPORTRANGE(""https://docs.google.com/spreadsheets/d/1uUP8Zo1-qaJLuIkRU0qlwLSE3DHkbdrrj2JGJiWBQZE/edit?usp=sharing"",""อำนาจเจริญ!I725"")"),0)</f>
        <v>0</v>
      </c>
      <c r="BF49" s="57">
        <f ca="1">IFERROR(__xludf.DUMMYFUNCTION("IMPORTRANGE(""https://docs.google.com/spreadsheets/d/1uUP8Zo1-qaJLuIkRU0qlwLSE3DHkbdrrj2JGJiWBQZE/edit?usp=sharing"",""อำนาจเจริญ!J723"")"),0)</f>
        <v>0</v>
      </c>
      <c r="BG49" s="57">
        <f ca="1">IFERROR(__xludf.DUMMYFUNCTION("IMPORTRANGE(""https://docs.google.com/spreadsheets/d/1uUP8Zo1-qaJLuIkRU0qlwLSE3DHkbdrrj2JGJiWBQZE/edit?usp=sharing"",""อำนาจเจริญ!J724"")"),0)</f>
        <v>0</v>
      </c>
      <c r="BH49" s="57">
        <f ca="1">IFERROR(__xludf.DUMMYFUNCTION("IMPORTRANGE(""https://docs.google.com/spreadsheets/d/1uUP8Zo1-qaJLuIkRU0qlwLSE3DHkbdrrj2JGJiWBQZE/edit?usp=sharing"",""อำนาจเจริญ!J725"")"),0)</f>
        <v>0</v>
      </c>
      <c r="BI49" s="57">
        <f ca="1">IFERROR(__xludf.DUMMYFUNCTION("IMPORTRANGE(""https://docs.google.com/spreadsheets/d/1uUP8Zo1-qaJLuIkRU0qlwLSE3DHkbdrrj2JGJiWBQZE/edit?usp=sharing"",""อำนาจเจริญ!I726"")"),0)</f>
        <v>0</v>
      </c>
      <c r="BJ49" s="57">
        <f ca="1">IFERROR(__xludf.DUMMYFUNCTION("IMPORTRANGE(""https://docs.google.com/spreadsheets/d/1uUP8Zo1-qaJLuIkRU0qlwLSE3DHkbdrrj2JGJiWBQZE/edit?usp=sharing"",""อำนาจเจริญ!I728"")"),0)</f>
        <v>0</v>
      </c>
      <c r="BK49" s="57">
        <f ca="1">IFERROR(__xludf.DUMMYFUNCTION("IMPORTRANGE(""https://docs.google.com/spreadsheets/d/1uUP8Zo1-qaJLuIkRU0qlwLSE3DHkbdrrj2JGJiWBQZE/edit?usp=sharing"",""อำนาจเจริญ!J726"")"),0)</f>
        <v>0</v>
      </c>
      <c r="BL49" s="57">
        <f ca="1">IFERROR(__xludf.DUMMYFUNCTION("IMPORTRANGE(""https://docs.google.com/spreadsheets/d/1uUP8Zo1-qaJLuIkRU0qlwLSE3DHkbdrrj2JGJiWBQZE/edit?usp=sharing"",""อำนาจเจริญ!J727"")"),0)</f>
        <v>0</v>
      </c>
      <c r="BM49" s="57">
        <f ca="1">IFERROR(__xludf.DUMMYFUNCTION("IMPORTRANGE(""https://docs.google.com/spreadsheets/d/1uUP8Zo1-qaJLuIkRU0qlwLSE3DHkbdrrj2JGJiWBQZE/edit?usp=sharing"",""อำนาจเจริญ!J728"")"),0)</f>
        <v>0</v>
      </c>
      <c r="BN49" s="57">
        <f ca="1">IFERROR(__xludf.DUMMYFUNCTION("IMPORTRANGE(""https://docs.google.com/spreadsheets/d/1uUP8Zo1-qaJLuIkRU0qlwLSE3DHkbdrrj2JGJiWBQZE/edit?usp=sharing"",""อำนาจเจริญ!I729"")"),0)</f>
        <v>0</v>
      </c>
      <c r="BO49" s="57">
        <f ca="1">IFERROR(__xludf.DUMMYFUNCTION("IMPORTRANGE(""https://docs.google.com/spreadsheets/d/1uUP8Zo1-qaJLuIkRU0qlwLSE3DHkbdrrj2JGJiWBQZE/edit?usp=sharing"",""อำนาจเจริญ!J729"")"),0)</f>
        <v>0</v>
      </c>
      <c r="BP49" s="63">
        <f t="shared" ca="1" si="19"/>
        <v>0</v>
      </c>
      <c r="BQ49" s="57">
        <f ca="1">IFERROR(__xludf.DUMMYFUNCTION("IMPORTRANGE(""https://docs.google.com/spreadsheets/d/1uUP8Zo1-qaJLuIkRU0qlwLSE3DHkbdrrj2JGJiWBQZE/edit?usp=sharing"",""อำนาจเจริญ!J730"")"),0)</f>
        <v>0</v>
      </c>
      <c r="BR49" s="57">
        <f ca="1">IFERROR(__xludf.DUMMYFUNCTION("IMPORTRANGE(""https://docs.google.com/spreadsheets/d/1uUP8Zo1-qaJLuIkRU0qlwLSE3DHkbdrrj2JGJiWBQZE/edit?usp=sharing"",""อำนาจเจริญ!J731"")"),0)</f>
        <v>0</v>
      </c>
      <c r="BS49" s="57">
        <f ca="1">IFERROR(__xludf.DUMMYFUNCTION("IMPORTRANGE(""https://docs.google.com/spreadsheets/d/1uUP8Zo1-qaJLuIkRU0qlwLSE3DHkbdrrj2JGJiWBQZE/edit?usp=sharing"",""อำนาจเจริญ!J732"")"),0)</f>
        <v>0</v>
      </c>
      <c r="BT49" s="57">
        <f ca="1">IFERROR(__xludf.DUMMYFUNCTION("IMPORTRANGE(""https://docs.google.com/spreadsheets/d/1uUP8Zo1-qaJLuIkRU0qlwLSE3DHkbdrrj2JGJiWBQZE/edit?usp=sharing"",""อำนาจเจริญ!J733"")"),0)</f>
        <v>0</v>
      </c>
      <c r="BU49" s="57">
        <f ca="1">IFERROR(__xludf.DUMMYFUNCTION("IMPORTRANGE(""https://docs.google.com/spreadsheets/d/1uUP8Zo1-qaJLuIkRU0qlwLSE3DHkbdrrj2JGJiWBQZE/edit?usp=sharing"",""อำนาจเจริญ!J734"")"),0)</f>
        <v>0</v>
      </c>
      <c r="BV49" s="57">
        <f ca="1">IFERROR(__xludf.DUMMYFUNCTION("IMPORTRANGE(""https://docs.google.com/spreadsheets/d/1uUP8Zo1-qaJLuIkRU0qlwLSE3DHkbdrrj2JGJiWBQZE/edit?usp=sharing"",""อำนาจเจริญ!J735"")"),0)</f>
        <v>0</v>
      </c>
    </row>
    <row r="50" spans="1:74" ht="21" customHeight="1" x14ac:dyDescent="0.3">
      <c r="A50" s="54">
        <v>19</v>
      </c>
      <c r="B50" s="55" t="s">
        <v>71</v>
      </c>
      <c r="C50" s="56">
        <f t="shared" ca="1" si="63"/>
        <v>153880</v>
      </c>
      <c r="D50" s="57">
        <f ca="1">IFERROR(__xludf.DUMMYFUNCTION("IMPORTRANGE(""https://docs.google.com/spreadsheets/d/1hb_taSOHanzRjqfzWPiFo8yiT83VV1L7vvUCLhOiHKc/edit?usp=sharing"",""อุดรธานี!L690"")"),153880)</f>
        <v>153880</v>
      </c>
      <c r="E50" s="64">
        <f ca="1">IFERROR(__xludf.DUMMYFUNCTION("IMPORTRANGE(""https://docs.google.com/spreadsheets/d/1hb_taSOHanzRjqfzWPiFo8yiT83VV1L7vvUCLhOiHKc/edit?usp=sharing"",""อุดรธานี!L697"")"),0)</f>
        <v>0</v>
      </c>
      <c r="F50" s="64">
        <f ca="1">IFERROR(__xludf.DUMMYFUNCTION("IMPORTRANGE(""https://docs.google.com/spreadsheets/d/1hb_taSOHanzRjqfzWPiFo8yiT83VV1L7vvUCLhOiHKc/edit?usp=sharing"",""อุดรธานี!M690"")"),153880)</f>
        <v>153880</v>
      </c>
      <c r="G50" s="64">
        <f ca="1">IFERROR(__xludf.DUMMYFUNCTION("IMPORTRANGE(""https://docs.google.com/spreadsheets/d/1hb_taSOHanzRjqfzWPiFo8yiT83VV1L7vvUCLhOiHKc/edit?usp=sharing"",""อุดรธานี!M697"")"),0)</f>
        <v>0</v>
      </c>
      <c r="H50" s="58">
        <f t="shared" ca="1" si="33"/>
        <v>62985</v>
      </c>
      <c r="I50" s="59">
        <f t="shared" ca="1" si="1"/>
        <v>40.931245126072263</v>
      </c>
      <c r="J50" s="60">
        <f t="shared" ca="1" si="64"/>
        <v>62985</v>
      </c>
      <c r="K50" s="61">
        <f t="shared" ca="1" si="39"/>
        <v>40.931245126072263</v>
      </c>
      <c r="L50" s="61">
        <f t="shared" ca="1" si="40"/>
        <v>40.931245126072263</v>
      </c>
      <c r="M50" s="64">
        <f ca="1">IFERROR(__xludf.DUMMYFUNCTION("IMPORTRANGE(""https://docs.google.com/spreadsheets/d/1hb_taSOHanzRjqfzWPiFo8yiT83VV1L7vvUCLhOiHKc/edit?usp=sharing"",""อุดรธานี!N691"")"),0)</f>
        <v>0</v>
      </c>
      <c r="N50" s="64">
        <f ca="1">IFERROR(__xludf.DUMMYFUNCTION("IMPORTRANGE(""https://docs.google.com/spreadsheets/d/1hb_taSOHanzRjqfzWPiFo8yiT83VV1L7vvUCLhOiHKc/edit?usp=sharing"",""อุดรธานี!N692"")"),0)</f>
        <v>0</v>
      </c>
      <c r="O50" s="64">
        <f ca="1">IFERROR(__xludf.DUMMYFUNCTION("IMPORTRANGE(""https://docs.google.com/spreadsheets/d/1hb_taSOHanzRjqfzWPiFo8yiT83VV1L7vvUCLhOiHKc/edit?usp=sharing"",""อุดรธานี!N693"")"),0)</f>
        <v>0</v>
      </c>
      <c r="P50" s="64">
        <f ca="1">IFERROR(__xludf.DUMMYFUNCTION("IMPORTRANGE(""https://docs.google.com/spreadsheets/d/1hb_taSOHanzRjqfzWPiFo8yiT83VV1L7vvUCLhOiHKc/edit?usp=sharing"",""อุดรธานี!N694"")"),62985)</f>
        <v>62985</v>
      </c>
      <c r="Q50" s="62">
        <f ca="1">IFERROR(__xludf.DUMMYFUNCTION("IMPORTRANGE(""https://docs.google.com/spreadsheets/d/1hb_taSOHanzRjqfzWPiFo8yiT83VV1L7vvUCLhOiHKc/edit?usp=sharing"",""อุดรธานี!N697"")"),0)</f>
        <v>0</v>
      </c>
      <c r="R50" s="62">
        <f t="shared" ca="1" si="42"/>
        <v>0</v>
      </c>
      <c r="S50" s="57">
        <f ca="1">IFERROR(__xludf.DUMMYFUNCTION("IMPORTRANGE(""https://docs.google.com/spreadsheets/d/1hb_taSOHanzRjqfzWPiFo8yiT83VV1L7vvUCLhOiHKc/edit?usp=sharing"",""อุดรธานี!I699"")"),663)</f>
        <v>663</v>
      </c>
      <c r="T50" s="57">
        <f ca="1">IFERROR(__xludf.DUMMYFUNCTION("IMPORTRANGE(""https://docs.google.com/spreadsheets/d/1hb_taSOHanzRjqfzWPiFo8yiT83VV1L7vvUCLhOiHKc/edit?usp=sharing"",""อุดรธานี!J699"")"),362.21)</f>
        <v>362.21</v>
      </c>
      <c r="U50" s="63">
        <f t="shared" ca="1" si="34"/>
        <v>54.631975867269986</v>
      </c>
      <c r="V50" s="57">
        <f ca="1">IFERROR(__xludf.DUMMYFUNCTION("IMPORTRANGE(""https://docs.google.com/spreadsheets/d/1hb_taSOHanzRjqfzWPiFo8yiT83VV1L7vvUCLhOiHKc/edit?usp=sharing"",""อุดรธานี!I700"")"),62)</f>
        <v>62</v>
      </c>
      <c r="W50" s="57">
        <f ca="1">IFERROR(__xludf.DUMMYFUNCTION("IMPORTRANGE(""https://docs.google.com/spreadsheets/d/1hb_taSOHanzRjqfzWPiFo8yiT83VV1L7vvUCLhOiHKc/edit?usp=sharing"",""อุดรธานี!J700"")"),26)</f>
        <v>26</v>
      </c>
      <c r="X50" s="63">
        <f t="shared" ca="1" si="35"/>
        <v>41.935483870967744</v>
      </c>
      <c r="Y50" s="57">
        <f ca="1">IFERROR(__xludf.DUMMYFUNCTION("IMPORTRANGE(""https://docs.google.com/spreadsheets/d/1hb_taSOHanzRjqfzWPiFo8yiT83VV1L7vvUCLhOiHKc/edit?usp=sharing"",""อุดรธานี!I701"")"),342)</f>
        <v>342</v>
      </c>
      <c r="Z50" s="57">
        <f ca="1">IFERROR(__xludf.DUMMYFUNCTION("IMPORTRANGE(""https://docs.google.com/spreadsheets/d/1hb_taSOHanzRjqfzWPiFo8yiT83VV1L7vvUCLhOiHKc/edit?usp=sharing"",""อุดรธานี!J701"")"),0)</f>
        <v>0</v>
      </c>
      <c r="AA50" s="63">
        <f t="shared" ca="1" si="36"/>
        <v>0</v>
      </c>
      <c r="AB50" s="63">
        <f ca="1">IFERROR(__xludf.DUMMYFUNCTION("IMPORTRANGE(""https://docs.google.com/spreadsheets/d/1hb_taSOHanzRjqfzWPiFo8yiT83VV1L7vvUCLhOiHKc/edit?usp=sharing"",""อุดรธานี!J702"")"),0)</f>
        <v>0</v>
      </c>
      <c r="AC50" s="63">
        <f ca="1">IFERROR(__xludf.DUMMYFUNCTION("IMPORTRANGE(""https://docs.google.com/spreadsheets/d/1hb_taSOHanzRjqfzWPiFo8yiT83VV1L7vvUCLhOiHKc/edit?usp=sharing"",""อุดรธานี!J703"")"),0)</f>
        <v>0</v>
      </c>
      <c r="AD50" s="63">
        <f ca="1">IFERROR(__xludf.DUMMYFUNCTION("IMPORTRANGE(""https://docs.google.com/spreadsheets/d/1hb_taSOHanzRjqfzWPiFo8yiT83VV1L7vvUCLhOiHKc/edit?usp=sharing"",""อุดรธานี!J704"")"),0)</f>
        <v>0</v>
      </c>
      <c r="AE50" s="63">
        <f ca="1">IFERROR(__xludf.DUMMYFUNCTION("IMPORTRANGE(""https://docs.google.com/spreadsheets/d/1hb_taSOHanzRjqfzWPiFo8yiT83VV1L7vvUCLhOiHKc/edit?usp=sharing"",""อุดรธานี!J705"")"),0)</f>
        <v>0</v>
      </c>
      <c r="AF50" s="63">
        <f ca="1">IFERROR(__xludf.DUMMYFUNCTION("IMPORTRANGE(""https://docs.google.com/spreadsheets/d/1hb_taSOHanzRjqfzWPiFo8yiT83VV1L7vvUCLhOiHKc/edit?usp=sharing"",""อุดรธานี!J706"")"),0)</f>
        <v>0</v>
      </c>
      <c r="AG50" s="63">
        <f ca="1">IFERROR(__xludf.DUMMYFUNCTION("IMPORTRANGE(""https://docs.google.com/spreadsheets/d/1hb_taSOHanzRjqfzWPiFo8yiT83VV1L7vvUCLhOiHKc/edit?usp=sharing"",""อุดรธานี!J707"")"),0)</f>
        <v>0</v>
      </c>
      <c r="AH50" s="57">
        <f ca="1">IFERROR(__xludf.DUMMYFUNCTION("IMPORTRANGE(""https://docs.google.com/spreadsheets/d/1hb_taSOHanzRjqfzWPiFo8yiT83VV1L7vvUCLhOiHKc/edit?usp=sharing"",""อุดรธานี!I708"")"),0)</f>
        <v>0</v>
      </c>
      <c r="AI50" s="57">
        <f ca="1">IFERROR(__xludf.DUMMYFUNCTION("IMPORTRANGE(""https://docs.google.com/spreadsheets/d/1hb_taSOHanzRjqfzWPiFo8yiT83VV1L7vvUCLhOiHKc/edit?usp=sharing"",""อุดรธานี!J708"")"),0)</f>
        <v>0</v>
      </c>
      <c r="AJ50" s="63">
        <f t="shared" ca="1" si="37"/>
        <v>0</v>
      </c>
      <c r="AK50" s="57">
        <f ca="1">IFERROR(__xludf.DUMMYFUNCTION("IMPORTRANGE(""https://docs.google.com/spreadsheets/d/1hb_taSOHanzRjqfzWPiFo8yiT83VV1L7vvUCLhOiHKc/edit?usp=sharing"",""อุดรธานี!J709"")"),0)</f>
        <v>0</v>
      </c>
      <c r="AL50" s="57">
        <f ca="1">IFERROR(__xludf.DUMMYFUNCTION("IMPORTRANGE(""https://docs.google.com/spreadsheets/d/1hb_taSOHanzRjqfzWPiFo8yiT83VV1L7vvUCLhOiHKc/edit?usp=sharing"",""อุดรธานี!J710"")"),0)</f>
        <v>0</v>
      </c>
      <c r="AM50" s="57">
        <f ca="1">IFERROR(__xludf.DUMMYFUNCTION("IMPORTRANGE(""https://docs.google.com/spreadsheets/d/1hb_taSOHanzRjqfzWPiFo8yiT83VV1L7vvUCLhOiHKc/edit?usp=sharing"",""อุดรธานี!J712"")"),0)</f>
        <v>0</v>
      </c>
      <c r="AN50" s="57">
        <f ca="1">IFERROR(__xludf.DUMMYFUNCTION("IMPORTRANGE(""https://docs.google.com/spreadsheets/d/1hb_taSOHanzRjqfzWPiFo8yiT83VV1L7vvUCLhOiHKc/edit?usp=sharing"",""อุดรธานี!J713"")"),0)</f>
        <v>0</v>
      </c>
      <c r="AO50" s="57">
        <f ca="1">IFERROR(__xludf.DUMMYFUNCTION("IMPORTRANGE(""https://docs.google.com/spreadsheets/d/1hb_taSOHanzRjqfzWPiFo8yiT83VV1L7vvUCLhOiHKc/edit?usp=sharing"",""อุดรธานี!J714"")"),0)</f>
        <v>0</v>
      </c>
      <c r="AP50" s="57">
        <f ca="1">IFERROR(__xludf.DUMMYFUNCTION("IMPORTRANGE(""https://docs.google.com/spreadsheets/d/1hb_taSOHanzRjqfzWPiFo8yiT83VV1L7vvUCLhOiHKc/edit?usp=sharing"",""อุดรธานี!J715"")"),0)</f>
        <v>0</v>
      </c>
      <c r="AQ50" s="57">
        <f ca="1">IFERROR(__xludf.DUMMYFUNCTION("IMPORTRANGE(""https://docs.google.com/spreadsheets/d/1hb_taSOHanzRjqfzWPiFo8yiT83VV1L7vvUCLhOiHKc/edit?usp=sharing"",""อุดรธานี!J716"")"),0)</f>
        <v>0</v>
      </c>
      <c r="AR50" s="57">
        <f ca="1">IFERROR(__xludf.DUMMYFUNCTION("IMPORTRANGE(""https://docs.google.com/spreadsheets/d/1hb_taSOHanzRjqfzWPiFo8yiT83VV1L7vvUCLhOiHKc/edit?usp=sharing"",""อุดรธานี!J717"")"),0)</f>
        <v>0</v>
      </c>
      <c r="AS50" s="57">
        <f ca="1">IFERROR(__xludf.DUMMYFUNCTION("IMPORTRANGE(""https://docs.google.com/spreadsheets/d/1hb_taSOHanzRjqfzWPiFo8yiT83VV1L7vvUCLhOiHKc/edit?usp=sharing"",""อุดรธานี!I720"")"),44)</f>
        <v>44</v>
      </c>
      <c r="AT50" s="57">
        <f ca="1">IFERROR(__xludf.DUMMYFUNCTION("IMPORTRANGE(""https://docs.google.com/spreadsheets/d/1hb_taSOHanzRjqfzWPiFo8yiT83VV1L7vvUCLhOiHKc/edit?usp=sharing"",""อุดรธานี!J718"")"),0)</f>
        <v>0</v>
      </c>
      <c r="AU50" s="57">
        <f ca="1">IFERROR(__xludf.DUMMYFUNCTION("IMPORTRANGE(""https://docs.google.com/spreadsheets/d/1hb_taSOHanzRjqfzWPiFo8yiT83VV1L7vvUCLhOiHKc/edit?usp=sharing"",""อุดรธานี!J719"")"),0)</f>
        <v>0</v>
      </c>
      <c r="AV50" s="57">
        <f ca="1">IFERROR(__xludf.DUMMYFUNCTION("IMPORTRANGE(""https://docs.google.com/spreadsheets/d/1hb_taSOHanzRjqfzWPiFo8yiT83VV1L7vvUCLhOiHKc/edit?usp=sharing"",""อุดรธานี!J720"")"),0)</f>
        <v>0</v>
      </c>
      <c r="AW50" s="63">
        <f t="shared" ca="1" si="14"/>
        <v>0</v>
      </c>
      <c r="AX50" s="57">
        <f ca="1">IFERROR(__xludf.DUMMYFUNCTION("IMPORTRANGE(""https://docs.google.com/spreadsheets/d/1hb_taSOHanzRjqfzWPiFo8yiT83VV1L7vvUCLhOiHKc/edit?usp=sharing"",""อุดรธานี!I721"")"),39)</f>
        <v>39</v>
      </c>
      <c r="AY50" s="57">
        <f ca="1">IFERROR(__xludf.DUMMYFUNCTION("IMPORTRANGE(""https://docs.google.com/spreadsheets/d/1hb_taSOHanzRjqfzWPiFo8yiT83VV1L7vvUCLhOiHKc/edit?usp=sharing"",""อุดรธานี!I722"")"),410)</f>
        <v>410</v>
      </c>
      <c r="AZ50" s="57">
        <f ca="1">IFERROR(__xludf.DUMMYFUNCTION("IMPORTRANGE(""https://docs.google.com/spreadsheets/d/1hb_taSOHanzRjqfzWPiFo8yiT83VV1L7vvUCLhOiHKc/edit?usp=sharing"",""อุดรธานี!J721"")"),0)</f>
        <v>0</v>
      </c>
      <c r="BA50" s="63">
        <f t="shared" ca="1" si="16"/>
        <v>0</v>
      </c>
      <c r="BB50" s="57">
        <f ca="1">IFERROR(__xludf.DUMMYFUNCTION("IMPORTRANGE(""https://docs.google.com/spreadsheets/d/1hb_taSOHanzRjqfzWPiFo8yiT83VV1L7vvUCLhOiHKc/edit?usp=sharing"",""อุดรธานี!J722"")"),0)</f>
        <v>0</v>
      </c>
      <c r="BC50" s="63">
        <f t="shared" ca="1" si="17"/>
        <v>0</v>
      </c>
      <c r="BD50" s="57">
        <f ca="1">IFERROR(__xludf.DUMMYFUNCTION("IMPORTRANGE(""https://docs.google.com/spreadsheets/d/1hb_taSOHanzRjqfzWPiFo8yiT83VV1L7vvUCLhOiHKc/edit?usp=sharing"",""อุดรธานี!I723"")"),39)</f>
        <v>39</v>
      </c>
      <c r="BE50" s="57">
        <f ca="1">IFERROR(__xludf.DUMMYFUNCTION("IMPORTRANGE(""https://docs.google.com/spreadsheets/d/1hb_taSOHanzRjqfzWPiFo8yiT83VV1L7vvUCLhOiHKc/edit?usp=sharing"",""อุดรธานี!I725"")"),410)</f>
        <v>410</v>
      </c>
      <c r="BF50" s="57">
        <f ca="1">IFERROR(__xludf.DUMMYFUNCTION("IMPORTRANGE(""https://docs.google.com/spreadsheets/d/1hb_taSOHanzRjqfzWPiFo8yiT83VV1L7vvUCLhOiHKc/edit?usp=sharing"",""อุดรธานี!J723"")"),0)</f>
        <v>0</v>
      </c>
      <c r="BG50" s="57">
        <f ca="1">IFERROR(__xludf.DUMMYFUNCTION("IMPORTRANGE(""https://docs.google.com/spreadsheets/d/1hb_taSOHanzRjqfzWPiFo8yiT83VV1L7vvUCLhOiHKc/edit?usp=sharing"",""อุดรธานี!J724"")"),0)</f>
        <v>0</v>
      </c>
      <c r="BH50" s="57">
        <f ca="1">IFERROR(__xludf.DUMMYFUNCTION("IMPORTRANGE(""https://docs.google.com/spreadsheets/d/1hb_taSOHanzRjqfzWPiFo8yiT83VV1L7vvUCLhOiHKc/edit?usp=sharing"",""อุดรธานี!J725"")"),0)</f>
        <v>0</v>
      </c>
      <c r="BI50" s="57">
        <f ca="1">IFERROR(__xludf.DUMMYFUNCTION("IMPORTRANGE(""https://docs.google.com/spreadsheets/d/1hb_taSOHanzRjqfzWPiFo8yiT83VV1L7vvUCLhOiHKc/edit?usp=sharing"",""อุดรธานี!I726"")"),0)</f>
        <v>0</v>
      </c>
      <c r="BJ50" s="57">
        <f ca="1">IFERROR(__xludf.DUMMYFUNCTION("IMPORTRANGE(""https://docs.google.com/spreadsheets/d/1hb_taSOHanzRjqfzWPiFo8yiT83VV1L7vvUCLhOiHKc/edit?usp=sharing"",""อุดรธานี!I728"")"),0)</f>
        <v>0</v>
      </c>
      <c r="BK50" s="57">
        <f ca="1">IFERROR(__xludf.DUMMYFUNCTION("IMPORTRANGE(""https://docs.google.com/spreadsheets/d/1hb_taSOHanzRjqfzWPiFo8yiT83VV1L7vvUCLhOiHKc/edit?usp=sharing"",""อุดรธานี!J726"")"),0)</f>
        <v>0</v>
      </c>
      <c r="BL50" s="57">
        <f ca="1">IFERROR(__xludf.DUMMYFUNCTION("IMPORTRANGE(""https://docs.google.com/spreadsheets/d/1hb_taSOHanzRjqfzWPiFo8yiT83VV1L7vvUCLhOiHKc/edit?usp=sharing"",""อุดรธานี!J727"")"),0)</f>
        <v>0</v>
      </c>
      <c r="BM50" s="57">
        <f ca="1">IFERROR(__xludf.DUMMYFUNCTION("IMPORTRANGE(""https://docs.google.com/spreadsheets/d/1hb_taSOHanzRjqfzWPiFo8yiT83VV1L7vvUCLhOiHKc/edit?usp=sharing"",""อุดรธานี!J728"")"),0)</f>
        <v>0</v>
      </c>
      <c r="BN50" s="57">
        <f ca="1">IFERROR(__xludf.DUMMYFUNCTION("IMPORTRANGE(""https://docs.google.com/spreadsheets/d/1hb_taSOHanzRjqfzWPiFo8yiT83VV1L7vvUCLhOiHKc/edit?usp=sharing"",""อุดรธานี!I729"")"),663)</f>
        <v>663</v>
      </c>
      <c r="BO50" s="57">
        <f ca="1">IFERROR(__xludf.DUMMYFUNCTION("IMPORTRANGE(""https://docs.google.com/spreadsheets/d/1hb_taSOHanzRjqfzWPiFo8yiT83VV1L7vvUCLhOiHKc/edit?usp=sharing"",""อุดรธานี!J729"")"),362)</f>
        <v>362</v>
      </c>
      <c r="BP50" s="63">
        <f t="shared" ca="1" si="19"/>
        <v>54.600301659125186</v>
      </c>
      <c r="BQ50" s="57">
        <f ca="1">IFERROR(__xludf.DUMMYFUNCTION("IMPORTRANGE(""https://docs.google.com/spreadsheets/d/1hb_taSOHanzRjqfzWPiFo8yiT83VV1L7vvUCLhOiHKc/edit?usp=sharing"",""อุดรธานี!J730"")"),0)</f>
        <v>0</v>
      </c>
      <c r="BR50" s="57">
        <f ca="1">IFERROR(__xludf.DUMMYFUNCTION("IMPORTRANGE(""https://docs.google.com/spreadsheets/d/1hb_taSOHanzRjqfzWPiFo8yiT83VV1L7vvUCLhOiHKc/edit?usp=sharing"",""อุดรธานี!J731"")"),0)</f>
        <v>0</v>
      </c>
      <c r="BS50" s="57">
        <f ca="1">IFERROR(__xludf.DUMMYFUNCTION("IMPORTRANGE(""https://docs.google.com/spreadsheets/d/1hb_taSOHanzRjqfzWPiFo8yiT83VV1L7vvUCLhOiHKc/edit?usp=sharing"",""อุดรธานี!J732"")"),0)</f>
        <v>0</v>
      </c>
      <c r="BT50" s="57">
        <f ca="1">IFERROR(__xludf.DUMMYFUNCTION("IMPORTRANGE(""https://docs.google.com/spreadsheets/d/1hb_taSOHanzRjqfzWPiFo8yiT83VV1L7vvUCLhOiHKc/edit?usp=sharing"",""อุดรธานี!J733"")"),34)</f>
        <v>34</v>
      </c>
      <c r="BU50" s="57">
        <f ca="1">IFERROR(__xludf.DUMMYFUNCTION("IMPORTRANGE(""https://docs.google.com/spreadsheets/d/1hb_taSOHanzRjqfzWPiFo8yiT83VV1L7vvUCLhOiHKc/edit?usp=sharing"",""อุดรธานี!J734"")"),34)</f>
        <v>34</v>
      </c>
      <c r="BV50" s="57">
        <f ca="1">IFERROR(__xludf.DUMMYFUNCTION("IMPORTRANGE(""https://docs.google.com/spreadsheets/d/1hb_taSOHanzRjqfzWPiFo8yiT83VV1L7vvUCLhOiHKc/edit?usp=sharing"",""อุดรธานี!J735"")"),362)</f>
        <v>362</v>
      </c>
    </row>
    <row r="51" spans="1:74" ht="21" customHeight="1" x14ac:dyDescent="0.3">
      <c r="A51" s="65">
        <v>20</v>
      </c>
      <c r="B51" s="66" t="s">
        <v>72</v>
      </c>
      <c r="C51" s="67">
        <f t="shared" ca="1" si="63"/>
        <v>11840</v>
      </c>
      <c r="D51" s="68">
        <f ca="1">IFERROR(__xludf.DUMMYFUNCTION("IMPORTRANGE(""https://docs.google.com/spreadsheets/d/17IOkEwkUd63EGNfyNDnM5de9YlZ7rwzTiW6-dokVjKI/edit?usp=sharing"",""อุบลราชธานี!L690"")"),11840)</f>
        <v>11840</v>
      </c>
      <c r="E51" s="69">
        <f ca="1">IFERROR(__xludf.DUMMYFUNCTION("IMPORTRANGE(""https://docs.google.com/spreadsheets/d/17IOkEwkUd63EGNfyNDnM5de9YlZ7rwzTiW6-dokVjKI/edit?usp=sharing"",""อุบลราชธานี!L697"")"),0)</f>
        <v>0</v>
      </c>
      <c r="F51" s="69">
        <f ca="1">IFERROR(__xludf.DUMMYFUNCTION("IMPORTRANGE(""https://docs.google.com/spreadsheets/d/17IOkEwkUd63EGNfyNDnM5de9YlZ7rwzTiW6-dokVjKI/edit?usp=sharing"",""อุบลราชธานี!M690"")"),11840)</f>
        <v>11840</v>
      </c>
      <c r="G51" s="69">
        <f ca="1">IFERROR(__xludf.DUMMYFUNCTION("IMPORTRANGE(""https://docs.google.com/spreadsheets/d/17IOkEwkUd63EGNfyNDnM5de9YlZ7rwzTiW6-dokVjKI/edit?usp=sharing"",""อุบลราชธานี!M697"")"),0)</f>
        <v>0</v>
      </c>
      <c r="H51" s="70">
        <f t="shared" ca="1" si="33"/>
        <v>0</v>
      </c>
      <c r="I51" s="71">
        <f t="shared" ca="1" si="1"/>
        <v>0</v>
      </c>
      <c r="J51" s="72">
        <f t="shared" ca="1" si="64"/>
        <v>0</v>
      </c>
      <c r="K51" s="73">
        <f t="shared" ca="1" si="39"/>
        <v>0</v>
      </c>
      <c r="L51" s="73">
        <f t="shared" ca="1" si="40"/>
        <v>0</v>
      </c>
      <c r="M51" s="69">
        <f ca="1">IFERROR(__xludf.DUMMYFUNCTION("IMPORTRANGE(""https://docs.google.com/spreadsheets/d/17IOkEwkUd63EGNfyNDnM5de9YlZ7rwzTiW6-dokVjKI/edit?usp=sharing"",""อุบลราชธานี!N691"")"),0)</f>
        <v>0</v>
      </c>
      <c r="N51" s="69">
        <f ca="1">IFERROR(__xludf.DUMMYFUNCTION("IMPORTRANGE(""https://docs.google.com/spreadsheets/d/17IOkEwkUd63EGNfyNDnM5de9YlZ7rwzTiW6-dokVjKI/edit?usp=sharing"",""อุบลราชธานี!N692"")"),0)</f>
        <v>0</v>
      </c>
      <c r="O51" s="69">
        <f ca="1">IFERROR(__xludf.DUMMYFUNCTION("IMPORTRANGE(""https://docs.google.com/spreadsheets/d/17IOkEwkUd63EGNfyNDnM5de9YlZ7rwzTiW6-dokVjKI/edit?usp=sharing"",""อุบลราชธานี!N693"")"),0)</f>
        <v>0</v>
      </c>
      <c r="P51" s="69">
        <f ca="1">IFERROR(__xludf.DUMMYFUNCTION("IMPORTRANGE(""https://docs.google.com/spreadsheets/d/17IOkEwkUd63EGNfyNDnM5de9YlZ7rwzTiW6-dokVjKI/edit?usp=sharing"",""อุบลราชธานี!N694"")"),0)</f>
        <v>0</v>
      </c>
      <c r="Q51" s="74">
        <f ca="1">IFERROR(__xludf.DUMMYFUNCTION("IMPORTRANGE(""https://docs.google.com/spreadsheets/d/17IOkEwkUd63EGNfyNDnM5de9YlZ7rwzTiW6-dokVjKI/edit?usp=sharing"",""อุบลราชธานี!N697"")"),0)</f>
        <v>0</v>
      </c>
      <c r="R51" s="74">
        <f t="shared" ca="1" si="42"/>
        <v>0</v>
      </c>
      <c r="S51" s="68">
        <f ca="1">IFERROR(__xludf.DUMMYFUNCTION("IMPORTRANGE(""https://docs.google.com/spreadsheets/d/17IOkEwkUd63EGNfyNDnM5de9YlZ7rwzTiW6-dokVjKI/edit?usp=sharing"",""อุบลราชธานี!I699"")"),88)</f>
        <v>88</v>
      </c>
      <c r="T51" s="68">
        <f ca="1">IFERROR(__xludf.DUMMYFUNCTION("IMPORTRANGE(""https://docs.google.com/spreadsheets/d/17IOkEwkUd63EGNfyNDnM5de9YlZ7rwzTiW6-dokVjKI/edit?usp=sharing"",""อุบลราชธานี!J699"")"),0)</f>
        <v>0</v>
      </c>
      <c r="U51" s="75">
        <f t="shared" ca="1" si="34"/>
        <v>0</v>
      </c>
      <c r="V51" s="68">
        <f ca="1">IFERROR(__xludf.DUMMYFUNCTION("IMPORTRANGE(""https://docs.google.com/spreadsheets/d/17IOkEwkUd63EGNfyNDnM5de9YlZ7rwzTiW6-dokVjKI/edit?usp=sharing"",""อุบลราชธานี!I700"")"),17)</f>
        <v>17</v>
      </c>
      <c r="W51" s="68">
        <f ca="1">IFERROR(__xludf.DUMMYFUNCTION("IMPORTRANGE(""https://docs.google.com/spreadsheets/d/17IOkEwkUd63EGNfyNDnM5de9YlZ7rwzTiW6-dokVjKI/edit?usp=sharing"",""อุบลราชธานี!J700"")"),10)</f>
        <v>10</v>
      </c>
      <c r="X51" s="75">
        <f t="shared" ca="1" si="35"/>
        <v>58.823529411764703</v>
      </c>
      <c r="Y51" s="68">
        <f ca="1">IFERROR(__xludf.DUMMYFUNCTION("IMPORTRANGE(""https://docs.google.com/spreadsheets/d/17IOkEwkUd63EGNfyNDnM5de9YlZ7rwzTiW6-dokVjKI/edit?usp=sharing"",""อุบลราชธานี!I701"")"),0)</f>
        <v>0</v>
      </c>
      <c r="Z51" s="68">
        <f ca="1">IFERROR(__xludf.DUMMYFUNCTION("IMPORTRANGE(""https://docs.google.com/spreadsheets/d/17IOkEwkUd63EGNfyNDnM5de9YlZ7rwzTiW6-dokVjKI/edit?usp=sharing"",""อุบลราชธานี!J701"")"),0)</f>
        <v>0</v>
      </c>
      <c r="AA51" s="75">
        <f t="shared" ca="1" si="36"/>
        <v>0</v>
      </c>
      <c r="AB51" s="75">
        <f ca="1">IFERROR(__xludf.DUMMYFUNCTION("IMPORTRANGE(""https://docs.google.com/spreadsheets/d/17IOkEwkUd63EGNfyNDnM5de9YlZ7rwzTiW6-dokVjKI/edit?usp=sharing"",""อุบลราชธานี!J702"")"),0)</f>
        <v>0</v>
      </c>
      <c r="AC51" s="75">
        <f ca="1">IFERROR(__xludf.DUMMYFUNCTION("IMPORTRANGE(""https://docs.google.com/spreadsheets/d/17IOkEwkUd63EGNfyNDnM5de9YlZ7rwzTiW6-dokVjKI/edit?usp=sharing"",""อุบลราชธานี!J703"")"),0)</f>
        <v>0</v>
      </c>
      <c r="AD51" s="75">
        <f ca="1">IFERROR(__xludf.DUMMYFUNCTION("IMPORTRANGE(""https://docs.google.com/spreadsheets/d/17IOkEwkUd63EGNfyNDnM5de9YlZ7rwzTiW6-dokVjKI/edit?usp=sharing"",""อุบลราชธานี!J704"")"),0)</f>
        <v>0</v>
      </c>
      <c r="AE51" s="75">
        <f ca="1">IFERROR(__xludf.DUMMYFUNCTION("IMPORTRANGE(""https://docs.google.com/spreadsheets/d/17IOkEwkUd63EGNfyNDnM5de9YlZ7rwzTiW6-dokVjKI/edit?usp=sharing"",""อุบลราชธานี!J705"")"),0)</f>
        <v>0</v>
      </c>
      <c r="AF51" s="75">
        <f ca="1">IFERROR(__xludf.DUMMYFUNCTION("IMPORTRANGE(""https://docs.google.com/spreadsheets/d/17IOkEwkUd63EGNfyNDnM5de9YlZ7rwzTiW6-dokVjKI/edit?usp=sharing"",""อุบลราชธานี!J706"")"),0)</f>
        <v>0</v>
      </c>
      <c r="AG51" s="75">
        <f ca="1">IFERROR(__xludf.DUMMYFUNCTION("IMPORTRANGE(""https://docs.google.com/spreadsheets/d/17IOkEwkUd63EGNfyNDnM5de9YlZ7rwzTiW6-dokVjKI/edit?usp=sharing"",""อุบลราชธานี!J707"")"),0)</f>
        <v>0</v>
      </c>
      <c r="AH51" s="68">
        <f ca="1">IFERROR(__xludf.DUMMYFUNCTION("IMPORTRANGE(""https://docs.google.com/spreadsheets/d/17IOkEwkUd63EGNfyNDnM5de9YlZ7rwzTiW6-dokVjKI/edit?usp=sharing"",""อุบลราชธานี!I708"")"),0)</f>
        <v>0</v>
      </c>
      <c r="AI51" s="68">
        <f ca="1">IFERROR(__xludf.DUMMYFUNCTION("IMPORTRANGE(""https://docs.google.com/spreadsheets/d/17IOkEwkUd63EGNfyNDnM5de9YlZ7rwzTiW6-dokVjKI/edit?usp=sharing"",""อุบลราชธานี!J708"")"),0)</f>
        <v>0</v>
      </c>
      <c r="AJ51" s="75">
        <f t="shared" ca="1" si="37"/>
        <v>0</v>
      </c>
      <c r="AK51" s="68">
        <f ca="1">IFERROR(__xludf.DUMMYFUNCTION("IMPORTRANGE(""https://docs.google.com/spreadsheets/d/17IOkEwkUd63EGNfyNDnM5de9YlZ7rwzTiW6-dokVjKI/edit?usp=sharing"",""อุบลราชธานี!J709"")"),0)</f>
        <v>0</v>
      </c>
      <c r="AL51" s="68">
        <f ca="1">IFERROR(__xludf.DUMMYFUNCTION("IMPORTRANGE(""https://docs.google.com/spreadsheets/d/17IOkEwkUd63EGNfyNDnM5de9YlZ7rwzTiW6-dokVjKI/edit?usp=sharing"",""อุบลราชธานี!J710"")"),0)</f>
        <v>0</v>
      </c>
      <c r="AM51" s="68">
        <f ca="1">IFERROR(__xludf.DUMMYFUNCTION("IMPORTRANGE(""https://docs.google.com/spreadsheets/d/17IOkEwkUd63EGNfyNDnM5de9YlZ7rwzTiW6-dokVjKI/edit?usp=sharing"",""อุบลราชธานี!J712"")"),0)</f>
        <v>0</v>
      </c>
      <c r="AN51" s="68">
        <f ca="1">IFERROR(__xludf.DUMMYFUNCTION("IMPORTRANGE(""https://docs.google.com/spreadsheets/d/17IOkEwkUd63EGNfyNDnM5de9YlZ7rwzTiW6-dokVjKI/edit?usp=sharing"",""อุบลราชธานี!J713"")"),0)</f>
        <v>0</v>
      </c>
      <c r="AO51" s="68">
        <f ca="1">IFERROR(__xludf.DUMMYFUNCTION("IMPORTRANGE(""https://docs.google.com/spreadsheets/d/17IOkEwkUd63EGNfyNDnM5de9YlZ7rwzTiW6-dokVjKI/edit?usp=sharing"",""อุบลราชธานี!J714"")"),0)</f>
        <v>0</v>
      </c>
      <c r="AP51" s="68">
        <f ca="1">IFERROR(__xludf.DUMMYFUNCTION("IMPORTRANGE(""https://docs.google.com/spreadsheets/d/17IOkEwkUd63EGNfyNDnM5de9YlZ7rwzTiW6-dokVjKI/edit?usp=sharing"",""อุบลราชธานี!J715"")"),0)</f>
        <v>0</v>
      </c>
      <c r="AQ51" s="68">
        <f ca="1">IFERROR(__xludf.DUMMYFUNCTION("IMPORTRANGE(""https://docs.google.com/spreadsheets/d/17IOkEwkUd63EGNfyNDnM5de9YlZ7rwzTiW6-dokVjKI/edit?usp=sharing"",""อุบลราชธานี!J716"")"),0)</f>
        <v>0</v>
      </c>
      <c r="AR51" s="68">
        <f ca="1">IFERROR(__xludf.DUMMYFUNCTION("IMPORTRANGE(""https://docs.google.com/spreadsheets/d/17IOkEwkUd63EGNfyNDnM5de9YlZ7rwzTiW6-dokVjKI/edit?usp=sharing"",""อุบลราชธานี!J717"")"),0)</f>
        <v>0</v>
      </c>
      <c r="AS51" s="68">
        <f ca="1">IFERROR(__xludf.DUMMYFUNCTION("IMPORTRANGE(""https://docs.google.com/spreadsheets/d/17IOkEwkUd63EGNfyNDnM5de9YlZ7rwzTiW6-dokVjKI/edit?usp=sharing"",""อุบลราชธานี!I720"")"),0)</f>
        <v>0</v>
      </c>
      <c r="AT51" s="68">
        <f ca="1">IFERROR(__xludf.DUMMYFUNCTION("IMPORTRANGE(""https://docs.google.com/spreadsheets/d/17IOkEwkUd63EGNfyNDnM5de9YlZ7rwzTiW6-dokVjKI/edit?usp=sharing"",""อุบลราชธานี!J718"")"),0)</f>
        <v>0</v>
      </c>
      <c r="AU51" s="68">
        <f ca="1">IFERROR(__xludf.DUMMYFUNCTION("IMPORTRANGE(""https://docs.google.com/spreadsheets/d/17IOkEwkUd63EGNfyNDnM5de9YlZ7rwzTiW6-dokVjKI/edit?usp=sharing"",""อุบลราชธานี!J719"")"),0)</f>
        <v>0</v>
      </c>
      <c r="AV51" s="68">
        <f ca="1">IFERROR(__xludf.DUMMYFUNCTION("IMPORTRANGE(""https://docs.google.com/spreadsheets/d/17IOkEwkUd63EGNfyNDnM5de9YlZ7rwzTiW6-dokVjKI/edit?usp=sharing"",""อุบลราชธานี!J720"")"),0)</f>
        <v>0</v>
      </c>
      <c r="AW51" s="75">
        <f t="shared" ca="1" si="14"/>
        <v>0</v>
      </c>
      <c r="AX51" s="68">
        <f ca="1">IFERROR(__xludf.DUMMYFUNCTION("IMPORTRANGE(""https://docs.google.com/spreadsheets/d/17IOkEwkUd63EGNfyNDnM5de9YlZ7rwzTiW6-dokVjKI/edit?usp=sharing"",""อุบลราชธานี!I721"")"),0)</f>
        <v>0</v>
      </c>
      <c r="AY51" s="68">
        <f ca="1">IFERROR(__xludf.DUMMYFUNCTION("IMPORTRANGE(""https://docs.google.com/spreadsheets/d/17IOkEwkUd63EGNfyNDnM5de9YlZ7rwzTiW6-dokVjKI/edit?usp=sharing"",""อุบลราชธานี!I722"")"),0)</f>
        <v>0</v>
      </c>
      <c r="AZ51" s="68">
        <f ca="1">IFERROR(__xludf.DUMMYFUNCTION("IMPORTRANGE(""https://docs.google.com/spreadsheets/d/17IOkEwkUd63EGNfyNDnM5de9YlZ7rwzTiW6-dokVjKI/edit?usp=sharing"",""อุบลราชธานี!J721"")"),0)</f>
        <v>0</v>
      </c>
      <c r="BA51" s="75">
        <f t="shared" ca="1" si="16"/>
        <v>0</v>
      </c>
      <c r="BB51" s="68">
        <f ca="1">IFERROR(__xludf.DUMMYFUNCTION("IMPORTRANGE(""https://docs.google.com/spreadsheets/d/17IOkEwkUd63EGNfyNDnM5de9YlZ7rwzTiW6-dokVjKI/edit?usp=sharing"",""อุบลราชธานี!J722"")"),0)</f>
        <v>0</v>
      </c>
      <c r="BC51" s="75">
        <f t="shared" ca="1" si="17"/>
        <v>0</v>
      </c>
      <c r="BD51" s="68">
        <f ca="1">IFERROR(__xludf.DUMMYFUNCTION("IMPORTRANGE(""https://docs.google.com/spreadsheets/d/17IOkEwkUd63EGNfyNDnM5de9YlZ7rwzTiW6-dokVjKI/edit?usp=sharing"",""อุบลราชธานี!I723"")"),0)</f>
        <v>0</v>
      </c>
      <c r="BE51" s="68">
        <f ca="1">IFERROR(__xludf.DUMMYFUNCTION("IMPORTRANGE(""https://docs.google.com/spreadsheets/d/17IOkEwkUd63EGNfyNDnM5de9YlZ7rwzTiW6-dokVjKI/edit?usp=sharing"",""อุบลราชธานี!I725"")"),0)</f>
        <v>0</v>
      </c>
      <c r="BF51" s="68">
        <f ca="1">IFERROR(__xludf.DUMMYFUNCTION("IMPORTRANGE(""https://docs.google.com/spreadsheets/d/17IOkEwkUd63EGNfyNDnM5de9YlZ7rwzTiW6-dokVjKI/edit?usp=sharing"",""อุบลราชธานี!J723"")"),0)</f>
        <v>0</v>
      </c>
      <c r="BG51" s="68">
        <f ca="1">IFERROR(__xludf.DUMMYFUNCTION("IMPORTRANGE(""https://docs.google.com/spreadsheets/d/17IOkEwkUd63EGNfyNDnM5de9YlZ7rwzTiW6-dokVjKI/edit?usp=sharing"",""อุบลราชธานี!J724"")"),0)</f>
        <v>0</v>
      </c>
      <c r="BH51" s="68">
        <f ca="1">IFERROR(__xludf.DUMMYFUNCTION("IMPORTRANGE(""https://docs.google.com/spreadsheets/d/17IOkEwkUd63EGNfyNDnM5de9YlZ7rwzTiW6-dokVjKI/edit?usp=sharing"",""อุบลราชธานี!J725"")"),0)</f>
        <v>0</v>
      </c>
      <c r="BI51" s="68">
        <f ca="1">IFERROR(__xludf.DUMMYFUNCTION("IMPORTRANGE(""https://docs.google.com/spreadsheets/d/17IOkEwkUd63EGNfyNDnM5de9YlZ7rwzTiW6-dokVjKI/edit?usp=sharing"",""อุบลราชธานี!I726"")"),0)</f>
        <v>0</v>
      </c>
      <c r="BJ51" s="68">
        <f ca="1">IFERROR(__xludf.DUMMYFUNCTION("IMPORTRANGE(""https://docs.google.com/spreadsheets/d/17IOkEwkUd63EGNfyNDnM5de9YlZ7rwzTiW6-dokVjKI/edit?usp=sharing"",""อุบลราชธานี!I728"")"),0)</f>
        <v>0</v>
      </c>
      <c r="BK51" s="68">
        <f ca="1">IFERROR(__xludf.DUMMYFUNCTION("IMPORTRANGE(""https://docs.google.com/spreadsheets/d/17IOkEwkUd63EGNfyNDnM5de9YlZ7rwzTiW6-dokVjKI/edit?usp=sharing"",""อุบลราชธานี!J726"")"),0)</f>
        <v>0</v>
      </c>
      <c r="BL51" s="68">
        <f ca="1">IFERROR(__xludf.DUMMYFUNCTION("IMPORTRANGE(""https://docs.google.com/spreadsheets/d/17IOkEwkUd63EGNfyNDnM5de9YlZ7rwzTiW6-dokVjKI/edit?usp=sharing"",""อุบลราชธานี!J727"")"),0)</f>
        <v>0</v>
      </c>
      <c r="BM51" s="68">
        <f ca="1">IFERROR(__xludf.DUMMYFUNCTION("IMPORTRANGE(""https://docs.google.com/spreadsheets/d/17IOkEwkUd63EGNfyNDnM5de9YlZ7rwzTiW6-dokVjKI/edit?usp=sharing"",""อุบลราชธานี!J728"")"),0)</f>
        <v>0</v>
      </c>
      <c r="BN51" s="68">
        <f ca="1">IFERROR(__xludf.DUMMYFUNCTION("IMPORTRANGE(""https://docs.google.com/spreadsheets/d/17IOkEwkUd63EGNfyNDnM5de9YlZ7rwzTiW6-dokVjKI/edit?usp=sharing"",""อุบลราชธานี!I729"")"),0)</f>
        <v>0</v>
      </c>
      <c r="BO51" s="68">
        <f ca="1">IFERROR(__xludf.DUMMYFUNCTION("IMPORTRANGE(""https://docs.google.com/spreadsheets/d/17IOkEwkUd63EGNfyNDnM5de9YlZ7rwzTiW6-dokVjKI/edit?usp=sharing"",""อุบลราชธานี!J729"")"),0)</f>
        <v>0</v>
      </c>
      <c r="BP51" s="75">
        <f t="shared" ca="1" si="19"/>
        <v>0</v>
      </c>
      <c r="BQ51" s="68">
        <f ca="1">IFERROR(__xludf.DUMMYFUNCTION("IMPORTRANGE(""https://docs.google.com/spreadsheets/d/17IOkEwkUd63EGNfyNDnM5de9YlZ7rwzTiW6-dokVjKI/edit?usp=sharing"",""อุบลราชธานี!J730"")"),0)</f>
        <v>0</v>
      </c>
      <c r="BR51" s="68">
        <f ca="1">IFERROR(__xludf.DUMMYFUNCTION("IMPORTRANGE(""https://docs.google.com/spreadsheets/d/17IOkEwkUd63EGNfyNDnM5de9YlZ7rwzTiW6-dokVjKI/edit?usp=sharing"",""อุบลราชธานี!J731"")"),0)</f>
        <v>0</v>
      </c>
      <c r="BS51" s="68">
        <f ca="1">IFERROR(__xludf.DUMMYFUNCTION("IMPORTRANGE(""https://docs.google.com/spreadsheets/d/17IOkEwkUd63EGNfyNDnM5de9YlZ7rwzTiW6-dokVjKI/edit?usp=sharing"",""อุบลราชธานี!J732"")"),0)</f>
        <v>0</v>
      </c>
      <c r="BT51" s="68">
        <f ca="1">IFERROR(__xludf.DUMMYFUNCTION("IMPORTRANGE(""https://docs.google.com/spreadsheets/d/17IOkEwkUd63EGNfyNDnM5de9YlZ7rwzTiW6-dokVjKI/edit?usp=sharing"",""อุบลราชธานี!J733"")"),0)</f>
        <v>0</v>
      </c>
      <c r="BU51" s="68">
        <f ca="1">IFERROR(__xludf.DUMMYFUNCTION("IMPORTRANGE(""https://docs.google.com/spreadsheets/d/17IOkEwkUd63EGNfyNDnM5de9YlZ7rwzTiW6-dokVjKI/edit?usp=sharing"",""อุบลราชธานี!J734"")"),0)</f>
        <v>0</v>
      </c>
      <c r="BV51" s="68">
        <f ca="1">IFERROR(__xludf.DUMMYFUNCTION("IMPORTRANGE(""https://docs.google.com/spreadsheets/d/17IOkEwkUd63EGNfyNDnM5de9YlZ7rwzTiW6-dokVjKI/edit?usp=sharing"",""อุบลราชธานี!J735"")"),0)</f>
        <v>0</v>
      </c>
    </row>
    <row r="52" spans="1:74" ht="21" customHeight="1" x14ac:dyDescent="0.3">
      <c r="A52" s="186" t="s">
        <v>73</v>
      </c>
      <c r="B52" s="178"/>
      <c r="C52" s="76">
        <f t="shared" ref="C52:G52" ca="1" si="65">SUM(C53:C73)</f>
        <v>352810</v>
      </c>
      <c r="D52" s="34">
        <f t="shared" ca="1" si="65"/>
        <v>352810</v>
      </c>
      <c r="E52" s="34">
        <f t="shared" ca="1" si="65"/>
        <v>0</v>
      </c>
      <c r="F52" s="34">
        <f t="shared" ca="1" si="65"/>
        <v>352810</v>
      </c>
      <c r="G52" s="34">
        <f t="shared" ca="1" si="65"/>
        <v>0</v>
      </c>
      <c r="H52" s="34">
        <f t="shared" ca="1" si="33"/>
        <v>39343.119999999995</v>
      </c>
      <c r="I52" s="35">
        <f t="shared" ca="1" si="1"/>
        <v>11.15136192284799</v>
      </c>
      <c r="J52" s="34">
        <f ca="1">SUM(J53:J73)</f>
        <v>39343.119999999995</v>
      </c>
      <c r="K52" s="35">
        <f t="shared" ca="1" si="39"/>
        <v>11.15136192284799</v>
      </c>
      <c r="L52" s="35">
        <f t="shared" ca="1" si="40"/>
        <v>11.15136192284799</v>
      </c>
      <c r="M52" s="34">
        <f t="shared" ref="M52:Q52" ca="1" si="66">SUM(M53:M73)</f>
        <v>0</v>
      </c>
      <c r="N52" s="34">
        <f t="shared" ca="1" si="66"/>
        <v>0</v>
      </c>
      <c r="O52" s="34">
        <f t="shared" ca="1" si="66"/>
        <v>0</v>
      </c>
      <c r="P52" s="34">
        <f t="shared" ca="1" si="66"/>
        <v>39343.119999999995</v>
      </c>
      <c r="Q52" s="36">
        <f t="shared" ca="1" si="66"/>
        <v>0</v>
      </c>
      <c r="R52" s="36">
        <f t="shared" ca="1" si="42"/>
        <v>0</v>
      </c>
      <c r="S52" s="34">
        <f t="shared" ref="S52:T52" ca="1" si="67">SUM(S53:S73)</f>
        <v>175</v>
      </c>
      <c r="T52" s="34">
        <f t="shared" ca="1" si="67"/>
        <v>25.2</v>
      </c>
      <c r="U52" s="37">
        <f t="shared" ca="1" si="34"/>
        <v>14.4</v>
      </c>
      <c r="V52" s="34">
        <f t="shared" ref="V52:W52" ca="1" si="68">SUM(V53:V73)</f>
        <v>138</v>
      </c>
      <c r="W52" s="34">
        <f t="shared" ca="1" si="68"/>
        <v>19</v>
      </c>
      <c r="X52" s="37">
        <f t="shared" ca="1" si="35"/>
        <v>13.768115942028986</v>
      </c>
      <c r="Y52" s="34">
        <f t="shared" ref="Y52:Z52" ca="1" si="69">SUM(Y53:Y73)</f>
        <v>1841</v>
      </c>
      <c r="Z52" s="34">
        <f t="shared" ca="1" si="69"/>
        <v>614.53199999999993</v>
      </c>
      <c r="AA52" s="37">
        <f t="shared" ca="1" si="36"/>
        <v>33.380336773492658</v>
      </c>
      <c r="AB52" s="37">
        <f t="shared" ref="AB52:AI52" ca="1" si="70">SUM(AB53:AB73)</f>
        <v>67</v>
      </c>
      <c r="AC52" s="37">
        <f t="shared" ca="1" si="70"/>
        <v>71</v>
      </c>
      <c r="AD52" s="37">
        <f t="shared" ca="1" si="70"/>
        <v>569.53199999999993</v>
      </c>
      <c r="AE52" s="37">
        <f t="shared" ca="1" si="70"/>
        <v>2</v>
      </c>
      <c r="AF52" s="37">
        <f t="shared" ca="1" si="70"/>
        <v>2</v>
      </c>
      <c r="AG52" s="37">
        <f t="shared" ca="1" si="70"/>
        <v>45</v>
      </c>
      <c r="AH52" s="34">
        <f t="shared" ca="1" si="70"/>
        <v>2261</v>
      </c>
      <c r="AI52" s="34">
        <f t="shared" ca="1" si="70"/>
        <v>393</v>
      </c>
      <c r="AJ52" s="37">
        <f t="shared" ca="1" si="37"/>
        <v>17.381689517912427</v>
      </c>
      <c r="AK52" s="34">
        <f t="shared" ref="AK52:AV52" ca="1" si="71">SUM(AK53:AK73)</f>
        <v>23</v>
      </c>
      <c r="AL52" s="34">
        <f t="shared" ca="1" si="71"/>
        <v>378</v>
      </c>
      <c r="AM52" s="34">
        <f t="shared" ca="1" si="71"/>
        <v>37</v>
      </c>
      <c r="AN52" s="34">
        <f t="shared" ca="1" si="71"/>
        <v>39</v>
      </c>
      <c r="AO52" s="34">
        <f t="shared" ca="1" si="71"/>
        <v>342</v>
      </c>
      <c r="AP52" s="34">
        <f t="shared" ca="1" si="71"/>
        <v>8</v>
      </c>
      <c r="AQ52" s="34">
        <f t="shared" ca="1" si="71"/>
        <v>8</v>
      </c>
      <c r="AR52" s="34">
        <f t="shared" ca="1" si="71"/>
        <v>51</v>
      </c>
      <c r="AS52" s="34">
        <f t="shared" ca="1" si="71"/>
        <v>2011</v>
      </c>
      <c r="AT52" s="34">
        <f t="shared" ca="1" si="71"/>
        <v>0</v>
      </c>
      <c r="AU52" s="34">
        <f t="shared" ca="1" si="71"/>
        <v>0</v>
      </c>
      <c r="AV52" s="34">
        <f t="shared" ca="1" si="71"/>
        <v>0</v>
      </c>
      <c r="AW52" s="37">
        <f t="shared" ca="1" si="14"/>
        <v>0</v>
      </c>
      <c r="AX52" s="34">
        <f t="shared" ref="AX52:AZ52" ca="1" si="72">SUM(AX53:AX73)</f>
        <v>242</v>
      </c>
      <c r="AY52" s="34">
        <f t="shared" ca="1" si="72"/>
        <v>2461</v>
      </c>
      <c r="AZ52" s="34">
        <f t="shared" ca="1" si="72"/>
        <v>40</v>
      </c>
      <c r="BA52" s="37">
        <f t="shared" ca="1" si="16"/>
        <v>16.528925619834709</v>
      </c>
      <c r="BB52" s="34">
        <f ca="1">SUM(BB53:BB73)</f>
        <v>374.82000000000005</v>
      </c>
      <c r="BC52" s="37">
        <f t="shared" ca="1" si="17"/>
        <v>15.230394148720036</v>
      </c>
      <c r="BD52" s="34">
        <f t="shared" ref="BD52:BO52" ca="1" si="73">SUM(BD53:BD73)</f>
        <v>181</v>
      </c>
      <c r="BE52" s="34">
        <f t="shared" ca="1" si="73"/>
        <v>1898</v>
      </c>
      <c r="BF52" s="34">
        <f t="shared" ca="1" si="73"/>
        <v>31</v>
      </c>
      <c r="BG52" s="34">
        <f t="shared" ca="1" si="73"/>
        <v>36</v>
      </c>
      <c r="BH52" s="34">
        <f t="shared" ca="1" si="73"/>
        <v>337.75</v>
      </c>
      <c r="BI52" s="34">
        <f t="shared" ca="1" si="73"/>
        <v>61</v>
      </c>
      <c r="BJ52" s="34">
        <f t="shared" ca="1" si="73"/>
        <v>563</v>
      </c>
      <c r="BK52" s="34">
        <f t="shared" ca="1" si="73"/>
        <v>9</v>
      </c>
      <c r="BL52" s="34">
        <f t="shared" ca="1" si="73"/>
        <v>10</v>
      </c>
      <c r="BM52" s="34">
        <f t="shared" ca="1" si="73"/>
        <v>37.07</v>
      </c>
      <c r="BN52" s="34">
        <f t="shared" ca="1" si="73"/>
        <v>547</v>
      </c>
      <c r="BO52" s="34">
        <f t="shared" ca="1" si="73"/>
        <v>489.17750000000001</v>
      </c>
      <c r="BP52" s="37">
        <f t="shared" ca="1" si="19"/>
        <v>89.429159049360152</v>
      </c>
      <c r="BQ52" s="34">
        <f t="shared" ref="BQ52:BV52" ca="1" si="74">SUM(BQ53:BQ73)</f>
        <v>11</v>
      </c>
      <c r="BR52" s="34">
        <f t="shared" ca="1" si="74"/>
        <v>10</v>
      </c>
      <c r="BS52" s="34">
        <f t="shared" ca="1" si="74"/>
        <v>153.7525</v>
      </c>
      <c r="BT52" s="34">
        <f t="shared" ca="1" si="74"/>
        <v>26</v>
      </c>
      <c r="BU52" s="34">
        <f t="shared" ca="1" si="74"/>
        <v>23</v>
      </c>
      <c r="BV52" s="34">
        <f t="shared" ca="1" si="74"/>
        <v>335.42500000000001</v>
      </c>
    </row>
    <row r="53" spans="1:74" ht="21" customHeight="1" x14ac:dyDescent="0.3">
      <c r="A53" s="54">
        <v>1</v>
      </c>
      <c r="B53" s="55" t="s">
        <v>74</v>
      </c>
      <c r="C53" s="56">
        <f t="shared" ref="C53:C73" ca="1" si="75">D53+E53</f>
        <v>6600</v>
      </c>
      <c r="D53" s="57">
        <f ca="1">IFERROR(__xludf.DUMMYFUNCTION("IMPORTRANGE(""https://docs.google.com/spreadsheets/d/1hKO5uv94SSRZWOvrh72HRcpyoEQF9TsE_Cvxl77XNU4/edit?usp=sharing"",""กาญจนบุรี!L690"")"),6600)</f>
        <v>6600</v>
      </c>
      <c r="E53" s="57">
        <f ca="1">IFERROR(__xludf.DUMMYFUNCTION("IMPORTRANGE(""https://docs.google.com/spreadsheets/d/1hKO5uv94SSRZWOvrh72HRcpyoEQF9TsE_Cvxl77XNU4/edit?usp=sharing"",""กาญจนบุรี!L697"")"),0)</f>
        <v>0</v>
      </c>
      <c r="F53" s="57">
        <f ca="1">IFERROR(__xludf.DUMMYFUNCTION("IMPORTRANGE(""https://docs.google.com/spreadsheets/d/1hKO5uv94SSRZWOvrh72HRcpyoEQF9TsE_Cvxl77XNU4/edit?usp=sharing"",""กาญจนบุรี!M690"")"),6600)</f>
        <v>6600</v>
      </c>
      <c r="G53" s="57">
        <f ca="1">IFERROR(__xludf.DUMMYFUNCTION("IMPORTRANGE(""https://docs.google.com/spreadsheets/d/1hKO5uv94SSRZWOvrh72HRcpyoEQF9TsE_Cvxl77XNU4/edit?usp=sharing"",""กาญจนบุรี!M697"")"),0)</f>
        <v>0</v>
      </c>
      <c r="H53" s="58">
        <f t="shared" ca="1" si="33"/>
        <v>0</v>
      </c>
      <c r="I53" s="59">
        <f t="shared" ca="1" si="1"/>
        <v>0</v>
      </c>
      <c r="J53" s="60">
        <f t="shared" ref="J53:J73" ca="1" si="76">M53+N53+O53+P53</f>
        <v>0</v>
      </c>
      <c r="K53" s="61">
        <f t="shared" ca="1" si="39"/>
        <v>0</v>
      </c>
      <c r="L53" s="61">
        <f t="shared" ca="1" si="40"/>
        <v>0</v>
      </c>
      <c r="M53" s="57">
        <f ca="1">IFERROR(__xludf.DUMMYFUNCTION("IMPORTRANGE(""https://docs.google.com/spreadsheets/d/1hKO5uv94SSRZWOvrh72HRcpyoEQF9TsE_Cvxl77XNU4/edit?usp=sharing"",""กาญจนบุรี!N691"")"),0)</f>
        <v>0</v>
      </c>
      <c r="N53" s="57">
        <f ca="1">IFERROR(__xludf.DUMMYFUNCTION("IMPORTRANGE(""https://docs.google.com/spreadsheets/d/1hKO5uv94SSRZWOvrh72HRcpyoEQF9TsE_Cvxl77XNU4/edit?usp=sharing"",""กาญจนบุรี!N692"")"),0)</f>
        <v>0</v>
      </c>
      <c r="O53" s="57">
        <f ca="1">IFERROR(__xludf.DUMMYFUNCTION("IMPORTRANGE(""https://docs.google.com/spreadsheets/d/1hKO5uv94SSRZWOvrh72HRcpyoEQF9TsE_Cvxl77XNU4/edit?usp=sharing"",""กาญจนบุรี!N693"")"),0)</f>
        <v>0</v>
      </c>
      <c r="P53" s="57">
        <f ca="1">IFERROR(__xludf.DUMMYFUNCTION("IMPORTRANGE(""https://docs.google.com/spreadsheets/d/1hKO5uv94SSRZWOvrh72HRcpyoEQF9TsE_Cvxl77XNU4/edit?usp=sharing"",""กาญจนบุรี!N694"")"),0)</f>
        <v>0</v>
      </c>
      <c r="Q53" s="62">
        <f ca="1">IFERROR(__xludf.DUMMYFUNCTION("IMPORTRANGE(""https://docs.google.com/spreadsheets/d/1hKO5uv94SSRZWOvrh72HRcpyoEQF9TsE_Cvxl77XNU4/edit?usp=sharing"",""กาญจนบุรี!N697"")"),0)</f>
        <v>0</v>
      </c>
      <c r="R53" s="62">
        <f t="shared" ca="1" si="42"/>
        <v>0</v>
      </c>
      <c r="S53" s="57">
        <f ca="1">IFERROR(__xludf.DUMMYFUNCTION("IMPORTRANGE(""https://docs.google.com/spreadsheets/d/1hKO5uv94SSRZWOvrh72HRcpyoEQF9TsE_Cvxl77XNU4/edit?usp=sharing"",""กาญจนบุรี!I699"")"),0)</f>
        <v>0</v>
      </c>
      <c r="T53" s="57">
        <f ca="1">IFERROR(__xludf.DUMMYFUNCTION("IMPORTRANGE(""https://docs.google.com/spreadsheets/d/1hKO5uv94SSRZWOvrh72HRcpyoEQF9TsE_Cvxl77XNU4/edit?usp=sharing"",""กาญจนบุรี!J699"")"),0)</f>
        <v>0</v>
      </c>
      <c r="U53" s="63">
        <f t="shared" ca="1" si="34"/>
        <v>0</v>
      </c>
      <c r="V53" s="57">
        <f ca="1">IFERROR(__xludf.DUMMYFUNCTION("IMPORTRANGE(""https://docs.google.com/spreadsheets/d/1hKO5uv94SSRZWOvrh72HRcpyoEQF9TsE_Cvxl77XNU4/edit?usp=sharing"",""กาญจนบุรี!I700"")"),0)</f>
        <v>0</v>
      </c>
      <c r="W53" s="57">
        <f ca="1">IFERROR(__xludf.DUMMYFUNCTION("IMPORTRANGE(""https://docs.google.com/spreadsheets/d/1hKO5uv94SSRZWOvrh72HRcpyoEQF9TsE_Cvxl77XNU4/edit?usp=sharing"",""กาญจนบุรี!J700"")"),0)</f>
        <v>0</v>
      </c>
      <c r="X53" s="63">
        <f t="shared" ca="1" si="35"/>
        <v>0</v>
      </c>
      <c r="Y53" s="57">
        <f ca="1">IFERROR(__xludf.DUMMYFUNCTION("IMPORTRANGE(""https://docs.google.com/spreadsheets/d/1hKO5uv94SSRZWOvrh72HRcpyoEQF9TsE_Cvxl77XNU4/edit?usp=sharing"",""กาญจนบุรี!I701"")"),0)</f>
        <v>0</v>
      </c>
      <c r="Z53" s="57">
        <f ca="1">IFERROR(__xludf.DUMMYFUNCTION("IMPORTRANGE(""https://docs.google.com/spreadsheets/d/1hKO5uv94SSRZWOvrh72HRcpyoEQF9TsE_Cvxl77XNU4/edit?usp=sharing"",""กาญจนบุรี!J701"")"),0)</f>
        <v>0</v>
      </c>
      <c r="AA53" s="63">
        <f t="shared" ca="1" si="36"/>
        <v>0</v>
      </c>
      <c r="AB53" s="63">
        <f ca="1">IFERROR(__xludf.DUMMYFUNCTION("IMPORTRANGE(""https://docs.google.com/spreadsheets/d/1hKO5uv94SSRZWOvrh72HRcpyoEQF9TsE_Cvxl77XNU4/edit?usp=sharing"",""กาญจนบุรี!J702"")"),0)</f>
        <v>0</v>
      </c>
      <c r="AC53" s="63">
        <f ca="1">IFERROR(__xludf.DUMMYFUNCTION("IMPORTRANGE(""https://docs.google.com/spreadsheets/d/1hKO5uv94SSRZWOvrh72HRcpyoEQF9TsE_Cvxl77XNU4/edit?usp=sharing"",""กาญจนบุรี!J703"")"),0)</f>
        <v>0</v>
      </c>
      <c r="AD53" s="63">
        <f ca="1">IFERROR(__xludf.DUMMYFUNCTION("IMPORTRANGE(""https://docs.google.com/spreadsheets/d/1hKO5uv94SSRZWOvrh72HRcpyoEQF9TsE_Cvxl77XNU4/edit?usp=sharing"",""กาญจนบุรี!J704"")"),0)</f>
        <v>0</v>
      </c>
      <c r="AE53" s="63">
        <f ca="1">IFERROR(__xludf.DUMMYFUNCTION("IMPORTRANGE(""https://docs.google.com/spreadsheets/d/1hKO5uv94SSRZWOvrh72HRcpyoEQF9TsE_Cvxl77XNU4/edit?usp=sharing"",""กาญจนบุรี!J705"")"),0)</f>
        <v>0</v>
      </c>
      <c r="AF53" s="63">
        <f ca="1">IFERROR(__xludf.DUMMYFUNCTION("IMPORTRANGE(""https://docs.google.com/spreadsheets/d/1hKO5uv94SSRZWOvrh72HRcpyoEQF9TsE_Cvxl77XNU4/edit?usp=sharing"",""กาญจนบุรี!J706"")"),0)</f>
        <v>0</v>
      </c>
      <c r="AG53" s="63">
        <f ca="1">IFERROR(__xludf.DUMMYFUNCTION("IMPORTRANGE(""https://docs.google.com/spreadsheets/d/1hKO5uv94SSRZWOvrh72HRcpyoEQF9TsE_Cvxl77XNU4/edit?usp=sharing"",""กาญจนบุรี!J707"")"),0)</f>
        <v>0</v>
      </c>
      <c r="AH53" s="57">
        <f ca="1">IFERROR(__xludf.DUMMYFUNCTION("IMPORTRANGE(""https://docs.google.com/spreadsheets/d/1hKO5uv94SSRZWOvrh72HRcpyoEQF9TsE_Cvxl77XNU4/edit?usp=sharing"",""กาญจนบุรี!I708"")"),0)</f>
        <v>0</v>
      </c>
      <c r="AI53" s="57">
        <f ca="1">IFERROR(__xludf.DUMMYFUNCTION("IMPORTRANGE(""https://docs.google.com/spreadsheets/d/1hKO5uv94SSRZWOvrh72HRcpyoEQF9TsE_Cvxl77XNU4/edit?usp=sharing"",""กาญจนบุรี!J708"")"),0)</f>
        <v>0</v>
      </c>
      <c r="AJ53" s="63">
        <f t="shared" ca="1" si="37"/>
        <v>0</v>
      </c>
      <c r="AK53" s="57">
        <f ca="1">IFERROR(__xludf.DUMMYFUNCTION("IMPORTRANGE(""https://docs.google.com/spreadsheets/d/1hKO5uv94SSRZWOvrh72HRcpyoEQF9TsE_Cvxl77XNU4/edit?usp=sharing"",""กาญจนบุรี!J709"")"),0)</f>
        <v>0</v>
      </c>
      <c r="AL53" s="57">
        <f ca="1">IFERROR(__xludf.DUMMYFUNCTION("IMPORTRANGE(""https://docs.google.com/spreadsheets/d/1hKO5uv94SSRZWOvrh72HRcpyoEQF9TsE_Cvxl77XNU4/edit?usp=sharing"",""กาญจนบุรี!J710"")"),0)</f>
        <v>0</v>
      </c>
      <c r="AM53" s="57">
        <f ca="1">IFERROR(__xludf.DUMMYFUNCTION("IMPORTRANGE(""https://docs.google.com/spreadsheets/d/1hKO5uv94SSRZWOvrh72HRcpyoEQF9TsE_Cvxl77XNU4/edit?usp=sharing"",""กาญจนบุรี!J712"")"),0)</f>
        <v>0</v>
      </c>
      <c r="AN53" s="57">
        <f ca="1">IFERROR(__xludf.DUMMYFUNCTION("IMPORTRANGE(""https://docs.google.com/spreadsheets/d/1hKO5uv94SSRZWOvrh72HRcpyoEQF9TsE_Cvxl77XNU4/edit?usp=sharing"",""กาญจนบุรี!J713"")"),0)</f>
        <v>0</v>
      </c>
      <c r="AO53" s="57">
        <f ca="1">IFERROR(__xludf.DUMMYFUNCTION("IMPORTRANGE(""https://docs.google.com/spreadsheets/d/1hKO5uv94SSRZWOvrh72HRcpyoEQF9TsE_Cvxl77XNU4/edit?usp=sharing"",""กาญจนบุรี!J714"")"),0)</f>
        <v>0</v>
      </c>
      <c r="AP53" s="57">
        <f ca="1">IFERROR(__xludf.DUMMYFUNCTION("IMPORTRANGE(""https://docs.google.com/spreadsheets/d/1hKO5uv94SSRZWOvrh72HRcpyoEQF9TsE_Cvxl77XNU4/edit?usp=sharing"",""กาญจนบุรี!J715"")"),0)</f>
        <v>0</v>
      </c>
      <c r="AQ53" s="57">
        <f ca="1">IFERROR(__xludf.DUMMYFUNCTION("IMPORTRANGE(""https://docs.google.com/spreadsheets/d/1hKO5uv94SSRZWOvrh72HRcpyoEQF9TsE_Cvxl77XNU4/edit?usp=sharing"",""กาญจนบุรี!J716"")"),0)</f>
        <v>0</v>
      </c>
      <c r="AR53" s="57">
        <f ca="1">IFERROR(__xludf.DUMMYFUNCTION("IMPORTRANGE(""https://docs.google.com/spreadsheets/d/1hKO5uv94SSRZWOvrh72HRcpyoEQF9TsE_Cvxl77XNU4/edit?usp=sharing"",""กาญจนบุรี!J717"")"),0)</f>
        <v>0</v>
      </c>
      <c r="AS53" s="57">
        <f ca="1">IFERROR(__xludf.DUMMYFUNCTION("IMPORTRANGE(""https://docs.google.com/spreadsheets/d/1hKO5uv94SSRZWOvrh72HRcpyoEQF9TsE_Cvxl77XNU4/edit?usp=sharing"",""กาญจนบุรี!I720"")"),0)</f>
        <v>0</v>
      </c>
      <c r="AT53" s="57">
        <f ca="1">IFERROR(__xludf.DUMMYFUNCTION("IMPORTRANGE(""https://docs.google.com/spreadsheets/d/1hKO5uv94SSRZWOvrh72HRcpyoEQF9TsE_Cvxl77XNU4/edit?usp=sharing"",""กาญจนบุรี!J718"")"),0)</f>
        <v>0</v>
      </c>
      <c r="AU53" s="57">
        <f ca="1">IFERROR(__xludf.DUMMYFUNCTION("IMPORTRANGE(""https://docs.google.com/spreadsheets/d/1hKO5uv94SSRZWOvrh72HRcpyoEQF9TsE_Cvxl77XNU4/edit?usp=sharing"",""กาญจนบุรี!J719"")"),0)</f>
        <v>0</v>
      </c>
      <c r="AV53" s="57">
        <f ca="1">IFERROR(__xludf.DUMMYFUNCTION("IMPORTRANGE(""https://docs.google.com/spreadsheets/d/1hKO5uv94SSRZWOvrh72HRcpyoEQF9TsE_Cvxl77XNU4/edit?usp=sharing"",""กาญจนบุรี!J720"")"),0)</f>
        <v>0</v>
      </c>
      <c r="AW53" s="63">
        <f t="shared" ca="1" si="14"/>
        <v>0</v>
      </c>
      <c r="AX53" s="57">
        <f ca="1">IFERROR(__xludf.DUMMYFUNCTION("IMPORTRANGE(""https://docs.google.com/spreadsheets/d/1hKO5uv94SSRZWOvrh72HRcpyoEQF9TsE_Cvxl77XNU4/edit?usp=sharing"",""กาญจนบุรี!I721"")"),5)</f>
        <v>5</v>
      </c>
      <c r="AY53" s="57">
        <f ca="1">IFERROR(__xludf.DUMMYFUNCTION("IMPORTRANGE(""https://docs.google.com/spreadsheets/d/1hKO5uv94SSRZWOvrh72HRcpyoEQF9TsE_Cvxl77XNU4/edit?usp=sharing"",""กาญจนบุรี!I722"")"),50)</f>
        <v>50</v>
      </c>
      <c r="AZ53" s="57">
        <f ca="1">IFERROR(__xludf.DUMMYFUNCTION("IMPORTRANGE(""https://docs.google.com/spreadsheets/d/1hKO5uv94SSRZWOvrh72HRcpyoEQF9TsE_Cvxl77XNU4/edit?usp=sharing"",""กาญจนบุรี!J721"")"),0)</f>
        <v>0</v>
      </c>
      <c r="BA53" s="63">
        <f t="shared" ca="1" si="16"/>
        <v>0</v>
      </c>
      <c r="BB53" s="57">
        <f ca="1">IFERROR(__xludf.DUMMYFUNCTION("IMPORTRANGE(""https://docs.google.com/spreadsheets/d/1hKO5uv94SSRZWOvrh72HRcpyoEQF9TsE_Cvxl77XNU4/edit?usp=sharing"",""กาญจนบุรี!J722"")"),0)</f>
        <v>0</v>
      </c>
      <c r="BC53" s="63">
        <f t="shared" ca="1" si="17"/>
        <v>0</v>
      </c>
      <c r="BD53" s="57">
        <f ca="1">IFERROR(__xludf.DUMMYFUNCTION("IMPORTRANGE(""https://docs.google.com/spreadsheets/d/1hKO5uv94SSRZWOvrh72HRcpyoEQF9TsE_Cvxl77XNU4/edit?usp=sharing"",""กาญจนบุรี!I723"")"),5)</f>
        <v>5</v>
      </c>
      <c r="BE53" s="57">
        <f ca="1">IFERROR(__xludf.DUMMYFUNCTION("IMPORTRANGE(""https://docs.google.com/spreadsheets/d/1hKO5uv94SSRZWOvrh72HRcpyoEQF9TsE_Cvxl77XNU4/edit?usp=sharing"",""กาญจนบุรี!I725"")"),50)</f>
        <v>50</v>
      </c>
      <c r="BF53" s="57">
        <f ca="1">IFERROR(__xludf.DUMMYFUNCTION("IMPORTRANGE(""https://docs.google.com/spreadsheets/d/1hKO5uv94SSRZWOvrh72HRcpyoEQF9TsE_Cvxl77XNU4/edit?usp=sharing"",""กาญจนบุรี!J723"")"),0)</f>
        <v>0</v>
      </c>
      <c r="BG53" s="57">
        <f ca="1">IFERROR(__xludf.DUMMYFUNCTION("IMPORTRANGE(""https://docs.google.com/spreadsheets/d/1hKO5uv94SSRZWOvrh72HRcpyoEQF9TsE_Cvxl77XNU4/edit?usp=sharing"",""กาญจนบุรี!J724"")"),0)</f>
        <v>0</v>
      </c>
      <c r="BH53" s="57">
        <f ca="1">IFERROR(__xludf.DUMMYFUNCTION("IMPORTRANGE(""https://docs.google.com/spreadsheets/d/1hKO5uv94SSRZWOvrh72HRcpyoEQF9TsE_Cvxl77XNU4/edit?usp=sharing"",""กาญจนบุรี!J725"")"),0)</f>
        <v>0</v>
      </c>
      <c r="BI53" s="57">
        <f ca="1">IFERROR(__xludf.DUMMYFUNCTION("IMPORTRANGE(""https://docs.google.com/spreadsheets/d/1hKO5uv94SSRZWOvrh72HRcpyoEQF9TsE_Cvxl77XNU4/edit?usp=sharing"",""กาญจนบุรี!I726"")"),0)</f>
        <v>0</v>
      </c>
      <c r="BJ53" s="57">
        <f ca="1">IFERROR(__xludf.DUMMYFUNCTION("IMPORTRANGE(""https://docs.google.com/spreadsheets/d/1hKO5uv94SSRZWOvrh72HRcpyoEQF9TsE_Cvxl77XNU4/edit?usp=sharing"",""กาญจนบุรี!I728"")"),0)</f>
        <v>0</v>
      </c>
      <c r="BK53" s="57">
        <f ca="1">IFERROR(__xludf.DUMMYFUNCTION("IMPORTRANGE(""https://docs.google.com/spreadsheets/d/1hKO5uv94SSRZWOvrh72HRcpyoEQF9TsE_Cvxl77XNU4/edit?usp=sharing"",""กาญจนบุรี!J726"")"),0)</f>
        <v>0</v>
      </c>
      <c r="BL53" s="57">
        <f ca="1">IFERROR(__xludf.DUMMYFUNCTION("IMPORTRANGE(""https://docs.google.com/spreadsheets/d/1hKO5uv94SSRZWOvrh72HRcpyoEQF9TsE_Cvxl77XNU4/edit?usp=sharing"",""กาญจนบุรี!J727"")"),0)</f>
        <v>0</v>
      </c>
      <c r="BM53" s="57">
        <f ca="1">IFERROR(__xludf.DUMMYFUNCTION("IMPORTRANGE(""https://docs.google.com/spreadsheets/d/1hKO5uv94SSRZWOvrh72HRcpyoEQF9TsE_Cvxl77XNU4/edit?usp=sharing"",""กาญจนบุรี!J728"")"),0)</f>
        <v>0</v>
      </c>
      <c r="BN53" s="57">
        <f ca="1">IFERROR(__xludf.DUMMYFUNCTION("IMPORTRANGE(""https://docs.google.com/spreadsheets/d/1hKO5uv94SSRZWOvrh72HRcpyoEQF9TsE_Cvxl77XNU4/edit?usp=sharing"",""กาญจนบุรี!I729"")"),50)</f>
        <v>50</v>
      </c>
      <c r="BO53" s="57">
        <f ca="1">IFERROR(__xludf.DUMMYFUNCTION("IMPORTRANGE(""https://docs.google.com/spreadsheets/d/1hKO5uv94SSRZWOvrh72HRcpyoEQF9TsE_Cvxl77XNU4/edit?usp=sharing"",""กาญจนบุรี!J729"")"),0)</f>
        <v>0</v>
      </c>
      <c r="BP53" s="63">
        <f t="shared" ca="1" si="19"/>
        <v>0</v>
      </c>
      <c r="BQ53" s="57">
        <f ca="1">IFERROR(__xludf.DUMMYFUNCTION("IMPORTRANGE(""https://docs.google.com/spreadsheets/d/1hKO5uv94SSRZWOvrh72HRcpyoEQF9TsE_Cvxl77XNU4/edit?usp=sharing"",""กาญจนบุรี!J730"")"),0)</f>
        <v>0</v>
      </c>
      <c r="BR53" s="57">
        <f ca="1">IFERROR(__xludf.DUMMYFUNCTION("IMPORTRANGE(""https://docs.google.com/spreadsheets/d/1hKO5uv94SSRZWOvrh72HRcpyoEQF9TsE_Cvxl77XNU4/edit?usp=sharing"",""กาญจนบุรี!J731"")"),0)</f>
        <v>0</v>
      </c>
      <c r="BS53" s="57">
        <f ca="1">IFERROR(__xludf.DUMMYFUNCTION("IMPORTRANGE(""https://docs.google.com/spreadsheets/d/1hKO5uv94SSRZWOvrh72HRcpyoEQF9TsE_Cvxl77XNU4/edit?usp=sharing"",""กาญจนบุรี!J732"")"),0)</f>
        <v>0</v>
      </c>
      <c r="BT53" s="57">
        <f ca="1">IFERROR(__xludf.DUMMYFUNCTION("IMPORTRANGE(""https://docs.google.com/spreadsheets/d/1hKO5uv94SSRZWOvrh72HRcpyoEQF9TsE_Cvxl77XNU4/edit?usp=sharing"",""กาญจนบุรี!J733"")"),0)</f>
        <v>0</v>
      </c>
      <c r="BU53" s="57">
        <f ca="1">IFERROR(__xludf.DUMMYFUNCTION("IMPORTRANGE(""https://docs.google.com/spreadsheets/d/1hKO5uv94SSRZWOvrh72HRcpyoEQF9TsE_Cvxl77XNU4/edit?usp=sharing"",""กาญจนบุรี!J734"")"),0)</f>
        <v>0</v>
      </c>
      <c r="BV53" s="57">
        <f ca="1">IFERROR(__xludf.DUMMYFUNCTION("IMPORTRANGE(""https://docs.google.com/spreadsheets/d/1hKO5uv94SSRZWOvrh72HRcpyoEQF9TsE_Cvxl77XNU4/edit?usp=sharing"",""กาญจนบุรี!J735"")"),0)</f>
        <v>0</v>
      </c>
    </row>
    <row r="54" spans="1:74" ht="21" customHeight="1" x14ac:dyDescent="0.3">
      <c r="A54" s="54">
        <v>2</v>
      </c>
      <c r="B54" s="55" t="s">
        <v>75</v>
      </c>
      <c r="C54" s="56">
        <f t="shared" ca="1" si="75"/>
        <v>27360</v>
      </c>
      <c r="D54" s="57">
        <f ca="1">IFERROR(__xludf.DUMMYFUNCTION("IMPORTRANGE(""https://docs.google.com/spreadsheets/d/1njBaP_xXd-Uotvo2D9zb01TTCFkLJLDK97Tk1l9Qux0/edit?usp=sharing"",""จันทบุรี!L690"")"),27360)</f>
        <v>27360</v>
      </c>
      <c r="E54" s="64">
        <f ca="1">IFERROR(__xludf.DUMMYFUNCTION("IMPORTRANGE(""https://docs.google.com/spreadsheets/d/1njBaP_xXd-Uotvo2D9zb01TTCFkLJLDK97Tk1l9Qux0/edit?usp=sharing"",""จันทบุรี!L697"")"),0)</f>
        <v>0</v>
      </c>
      <c r="F54" s="64">
        <f ca="1">IFERROR(__xludf.DUMMYFUNCTION("IMPORTRANGE(""https://docs.google.com/spreadsheets/d/1njBaP_xXd-Uotvo2D9zb01TTCFkLJLDK97Tk1l9Qux0/edit?usp=sharing"",""จันทบุรี!M690"")"),27360)</f>
        <v>27360</v>
      </c>
      <c r="G54" s="64">
        <f ca="1">IFERROR(__xludf.DUMMYFUNCTION("IMPORTRANGE(""https://docs.google.com/spreadsheets/d/1njBaP_xXd-Uotvo2D9zb01TTCFkLJLDK97Tk1l9Qux0/edit?usp=sharing"",""จันทบุรี!M697"")"),0)</f>
        <v>0</v>
      </c>
      <c r="H54" s="58">
        <f t="shared" ca="1" si="33"/>
        <v>2585</v>
      </c>
      <c r="I54" s="59">
        <f t="shared" ca="1" si="1"/>
        <v>9.4480994152046787</v>
      </c>
      <c r="J54" s="60">
        <f t="shared" ca="1" si="76"/>
        <v>2585</v>
      </c>
      <c r="K54" s="61">
        <f t="shared" ca="1" si="39"/>
        <v>9.4480994152046787</v>
      </c>
      <c r="L54" s="61">
        <f t="shared" ca="1" si="40"/>
        <v>9.4480994152046787</v>
      </c>
      <c r="M54" s="64">
        <f ca="1">IFERROR(__xludf.DUMMYFUNCTION("IMPORTRANGE(""https://docs.google.com/spreadsheets/d/1njBaP_xXd-Uotvo2D9zb01TTCFkLJLDK97Tk1l9Qux0/edit?usp=sharing"",""จันทบุรี!N691"")"),0)</f>
        <v>0</v>
      </c>
      <c r="N54" s="64">
        <f ca="1">IFERROR(__xludf.DUMMYFUNCTION("IMPORTRANGE(""https://docs.google.com/spreadsheets/d/1njBaP_xXd-Uotvo2D9zb01TTCFkLJLDK97Tk1l9Qux0/edit?usp=sharing"",""จันทบุรี!N692"")"),0)</f>
        <v>0</v>
      </c>
      <c r="O54" s="64">
        <f ca="1">IFERROR(__xludf.DUMMYFUNCTION("IMPORTRANGE(""https://docs.google.com/spreadsheets/d/1njBaP_xXd-Uotvo2D9zb01TTCFkLJLDK97Tk1l9Qux0/edit?usp=sharing"",""จันทบุรี!N693"")"),0)</f>
        <v>0</v>
      </c>
      <c r="P54" s="64">
        <f ca="1">IFERROR(__xludf.DUMMYFUNCTION("IMPORTRANGE(""https://docs.google.com/spreadsheets/d/1njBaP_xXd-Uotvo2D9zb01TTCFkLJLDK97Tk1l9Qux0/edit?usp=sharing"",""จันทบุรี!N694"")"),2585)</f>
        <v>2585</v>
      </c>
      <c r="Q54" s="62">
        <f ca="1">IFERROR(__xludf.DUMMYFUNCTION("IMPORTRANGE(""https://docs.google.com/spreadsheets/d/1njBaP_xXd-Uotvo2D9zb01TTCFkLJLDK97Tk1l9Qux0/edit?usp=sharing"",""จันทบุรี!N697"")"),0)</f>
        <v>0</v>
      </c>
      <c r="R54" s="62">
        <f t="shared" ca="1" si="42"/>
        <v>0</v>
      </c>
      <c r="S54" s="57">
        <f ca="1">IFERROR(__xludf.DUMMYFUNCTION("IMPORTRANGE(""https://docs.google.com/spreadsheets/d/1njBaP_xXd-Uotvo2D9zb01TTCFkLJLDK97Tk1l9Qux0/edit?usp=sharing"",""จันทบุรี!I699"")"),10)</f>
        <v>10</v>
      </c>
      <c r="T54" s="57">
        <f ca="1">IFERROR(__xludf.DUMMYFUNCTION("IMPORTRANGE(""https://docs.google.com/spreadsheets/d/1njBaP_xXd-Uotvo2D9zb01TTCFkLJLDK97Tk1l9Qux0/edit?usp=sharing"",""จันทบุรี!J699"")"),0)</f>
        <v>0</v>
      </c>
      <c r="U54" s="63">
        <f t="shared" ca="1" si="34"/>
        <v>0</v>
      </c>
      <c r="V54" s="57">
        <f ca="1">IFERROR(__xludf.DUMMYFUNCTION("IMPORTRANGE(""https://docs.google.com/spreadsheets/d/1njBaP_xXd-Uotvo2D9zb01TTCFkLJLDK97Tk1l9Qux0/edit?usp=sharing"",""จันทบุรี!I700"")"),2)</f>
        <v>2</v>
      </c>
      <c r="W54" s="57">
        <f ca="1">IFERROR(__xludf.DUMMYFUNCTION("IMPORTRANGE(""https://docs.google.com/spreadsheets/d/1njBaP_xXd-Uotvo2D9zb01TTCFkLJLDK97Tk1l9Qux0/edit?usp=sharing"",""จันทบุรี!J700"")"),0)</f>
        <v>0</v>
      </c>
      <c r="X54" s="63">
        <f t="shared" ca="1" si="35"/>
        <v>0</v>
      </c>
      <c r="Y54" s="57">
        <f ca="1">IFERROR(__xludf.DUMMYFUNCTION("IMPORTRANGE(""https://docs.google.com/spreadsheets/d/1njBaP_xXd-Uotvo2D9zb01TTCFkLJLDK97Tk1l9Qux0/edit?usp=sharing"",""จันทบุรี!I701"")"),0)</f>
        <v>0</v>
      </c>
      <c r="Z54" s="57">
        <f ca="1">IFERROR(__xludf.DUMMYFUNCTION("IMPORTRANGE(""https://docs.google.com/spreadsheets/d/1njBaP_xXd-Uotvo2D9zb01TTCFkLJLDK97Tk1l9Qux0/edit?usp=sharing"",""จันทบุรี!J701"")"),0)</f>
        <v>0</v>
      </c>
      <c r="AA54" s="63">
        <f t="shared" ca="1" si="36"/>
        <v>0</v>
      </c>
      <c r="AB54" s="63">
        <f ca="1">IFERROR(__xludf.DUMMYFUNCTION("IMPORTRANGE(""https://docs.google.com/spreadsheets/d/1njBaP_xXd-Uotvo2D9zb01TTCFkLJLDK97Tk1l9Qux0/edit?usp=sharing"",""จันทบุรี!J702"")"),0)</f>
        <v>0</v>
      </c>
      <c r="AC54" s="63">
        <f ca="1">IFERROR(__xludf.DUMMYFUNCTION("IMPORTRANGE(""https://docs.google.com/spreadsheets/d/1njBaP_xXd-Uotvo2D9zb01TTCFkLJLDK97Tk1l9Qux0/edit?usp=sharing"",""จันทบุรี!J703"")"),0)</f>
        <v>0</v>
      </c>
      <c r="AD54" s="63">
        <f ca="1">IFERROR(__xludf.DUMMYFUNCTION("IMPORTRANGE(""https://docs.google.com/spreadsheets/d/1njBaP_xXd-Uotvo2D9zb01TTCFkLJLDK97Tk1l9Qux0/edit?usp=sharing"",""จันทบุรี!J704"")"),0)</f>
        <v>0</v>
      </c>
      <c r="AE54" s="63">
        <f ca="1">IFERROR(__xludf.DUMMYFUNCTION("IMPORTRANGE(""https://docs.google.com/spreadsheets/d/1njBaP_xXd-Uotvo2D9zb01TTCFkLJLDK97Tk1l9Qux0/edit?usp=sharing"",""จันทบุรี!J705"")"),0)</f>
        <v>0</v>
      </c>
      <c r="AF54" s="63">
        <f ca="1">IFERROR(__xludf.DUMMYFUNCTION("IMPORTRANGE(""https://docs.google.com/spreadsheets/d/1njBaP_xXd-Uotvo2D9zb01TTCFkLJLDK97Tk1l9Qux0/edit?usp=sharing"",""จันทบุรี!J706"")"),0)</f>
        <v>0</v>
      </c>
      <c r="AG54" s="63">
        <f ca="1">IFERROR(__xludf.DUMMYFUNCTION("IMPORTRANGE(""https://docs.google.com/spreadsheets/d/1njBaP_xXd-Uotvo2D9zb01TTCFkLJLDK97Tk1l9Qux0/edit?usp=sharing"",""จันทบุรี!J707"")"),0)</f>
        <v>0</v>
      </c>
      <c r="AH54" s="57">
        <f ca="1">IFERROR(__xludf.DUMMYFUNCTION("IMPORTRANGE(""https://docs.google.com/spreadsheets/d/1njBaP_xXd-Uotvo2D9zb01TTCFkLJLDK97Tk1l9Qux0/edit?usp=sharing"",""จันทบุรี!I708"")"),1245)</f>
        <v>1245</v>
      </c>
      <c r="AI54" s="57">
        <f ca="1">IFERROR(__xludf.DUMMYFUNCTION("IMPORTRANGE(""https://docs.google.com/spreadsheets/d/1njBaP_xXd-Uotvo2D9zb01TTCFkLJLDK97Tk1l9Qux0/edit?usp=sharing"",""จันทบุรี!J708"")"),0)</f>
        <v>0</v>
      </c>
      <c r="AJ54" s="63">
        <f t="shared" ca="1" si="37"/>
        <v>0</v>
      </c>
      <c r="AK54" s="57">
        <f ca="1">IFERROR(__xludf.DUMMYFUNCTION("IMPORTRANGE(""https://docs.google.com/spreadsheets/d/1njBaP_xXd-Uotvo2D9zb01TTCFkLJLDK97Tk1l9Qux0/edit?usp=sharing"",""จันทบุรี!J709"")"),0)</f>
        <v>0</v>
      </c>
      <c r="AL54" s="57">
        <f ca="1">IFERROR(__xludf.DUMMYFUNCTION("IMPORTRANGE(""https://docs.google.com/spreadsheets/d/1njBaP_xXd-Uotvo2D9zb01TTCFkLJLDK97Tk1l9Qux0/edit?usp=sharing"",""จันทบุรี!J710"")"),0)</f>
        <v>0</v>
      </c>
      <c r="AM54" s="57">
        <f ca="1">IFERROR(__xludf.DUMMYFUNCTION("IMPORTRANGE(""https://docs.google.com/spreadsheets/d/1njBaP_xXd-Uotvo2D9zb01TTCFkLJLDK97Tk1l9Qux0/edit?usp=sharing"",""จันทบุรี!J712"")"),0)</f>
        <v>0</v>
      </c>
      <c r="AN54" s="57">
        <f ca="1">IFERROR(__xludf.DUMMYFUNCTION("IMPORTRANGE(""https://docs.google.com/spreadsheets/d/1njBaP_xXd-Uotvo2D9zb01TTCFkLJLDK97Tk1l9Qux0/edit?usp=sharing"",""จันทบุรี!J713"")"),0)</f>
        <v>0</v>
      </c>
      <c r="AO54" s="57">
        <f ca="1">IFERROR(__xludf.DUMMYFUNCTION("IMPORTRANGE(""https://docs.google.com/spreadsheets/d/1njBaP_xXd-Uotvo2D9zb01TTCFkLJLDK97Tk1l9Qux0/edit?usp=sharing"",""จันทบุรี!J714"")"),0)</f>
        <v>0</v>
      </c>
      <c r="AP54" s="57">
        <f ca="1">IFERROR(__xludf.DUMMYFUNCTION("IMPORTRANGE(""https://docs.google.com/spreadsheets/d/1njBaP_xXd-Uotvo2D9zb01TTCFkLJLDK97Tk1l9Qux0/edit?usp=sharing"",""จันทบุรี!J715"")"),0)</f>
        <v>0</v>
      </c>
      <c r="AQ54" s="57">
        <f ca="1">IFERROR(__xludf.DUMMYFUNCTION("IMPORTRANGE(""https://docs.google.com/spreadsheets/d/1njBaP_xXd-Uotvo2D9zb01TTCFkLJLDK97Tk1l9Qux0/edit?usp=sharing"",""จันทบุรี!J716"")"),0)</f>
        <v>0</v>
      </c>
      <c r="AR54" s="57">
        <f ca="1">IFERROR(__xludf.DUMMYFUNCTION("IMPORTRANGE(""https://docs.google.com/spreadsheets/d/1njBaP_xXd-Uotvo2D9zb01TTCFkLJLDK97Tk1l9Qux0/edit?usp=sharing"",""จันทบุรี!J717"")"),0)</f>
        <v>0</v>
      </c>
      <c r="AS54" s="57">
        <f ca="1">IFERROR(__xludf.DUMMYFUNCTION("IMPORTRANGE(""https://docs.google.com/spreadsheets/d/1njBaP_xXd-Uotvo2D9zb01TTCFkLJLDK97Tk1l9Qux0/edit?usp=sharing"",""จันทบุรี!I720"")"),0)</f>
        <v>0</v>
      </c>
      <c r="AT54" s="57">
        <f ca="1">IFERROR(__xludf.DUMMYFUNCTION("IMPORTRANGE(""https://docs.google.com/spreadsheets/d/1njBaP_xXd-Uotvo2D9zb01TTCFkLJLDK97Tk1l9Qux0/edit?usp=sharing"",""จันทบุรี!J718"")"),0)</f>
        <v>0</v>
      </c>
      <c r="AU54" s="57">
        <f ca="1">IFERROR(__xludf.DUMMYFUNCTION("IMPORTRANGE(""https://docs.google.com/spreadsheets/d/1njBaP_xXd-Uotvo2D9zb01TTCFkLJLDK97Tk1l9Qux0/edit?usp=sharing"",""จันทบุรี!J719"")"),0)</f>
        <v>0</v>
      </c>
      <c r="AV54" s="57">
        <f ca="1">IFERROR(__xludf.DUMMYFUNCTION("IMPORTRANGE(""https://docs.google.com/spreadsheets/d/1njBaP_xXd-Uotvo2D9zb01TTCFkLJLDK97Tk1l9Qux0/edit?usp=sharing"",""จันทบุรี!J720"")"),0)</f>
        <v>0</v>
      </c>
      <c r="AW54" s="63">
        <f t="shared" ca="1" si="14"/>
        <v>0</v>
      </c>
      <c r="AX54" s="57">
        <f ca="1">IFERROR(__xludf.DUMMYFUNCTION("IMPORTRANGE(""https://docs.google.com/spreadsheets/d/1njBaP_xXd-Uotvo2D9zb01TTCFkLJLDK97Tk1l9Qux0/edit?usp=sharing"",""จันทบุรี!I721"")"),1)</f>
        <v>1</v>
      </c>
      <c r="AY54" s="57">
        <f ca="1">IFERROR(__xludf.DUMMYFUNCTION("IMPORTRANGE(""https://docs.google.com/spreadsheets/d/1njBaP_xXd-Uotvo2D9zb01TTCFkLJLDK97Tk1l9Qux0/edit?usp=sharing"",""จันทบุรี!I722"")"),9)</f>
        <v>9</v>
      </c>
      <c r="AZ54" s="57">
        <f ca="1">IFERROR(__xludf.DUMMYFUNCTION("IMPORTRANGE(""https://docs.google.com/spreadsheets/d/1njBaP_xXd-Uotvo2D9zb01TTCFkLJLDK97Tk1l9Qux0/edit?usp=sharing"",""จันทบุรี!J721"")"),1)</f>
        <v>1</v>
      </c>
      <c r="BA54" s="63">
        <f t="shared" ca="1" si="16"/>
        <v>100</v>
      </c>
      <c r="BB54" s="57">
        <f ca="1">IFERROR(__xludf.DUMMYFUNCTION("IMPORTRANGE(""https://docs.google.com/spreadsheets/d/1njBaP_xXd-Uotvo2D9zb01TTCFkLJLDK97Tk1l9Qux0/edit?usp=sharing"",""จันทบุรี!J722"")"),9.57)</f>
        <v>9.57</v>
      </c>
      <c r="BC54" s="63">
        <f t="shared" ca="1" si="17"/>
        <v>106.33333333333333</v>
      </c>
      <c r="BD54" s="57">
        <f ca="1">IFERROR(__xludf.DUMMYFUNCTION("IMPORTRANGE(""https://docs.google.com/spreadsheets/d/1njBaP_xXd-Uotvo2D9zb01TTCFkLJLDK97Tk1l9Qux0/edit?usp=sharing"",""จันทบุรี!I723"")"),1)</f>
        <v>1</v>
      </c>
      <c r="BE54" s="57">
        <f ca="1">IFERROR(__xludf.DUMMYFUNCTION("IMPORTRANGE(""https://docs.google.com/spreadsheets/d/1njBaP_xXd-Uotvo2D9zb01TTCFkLJLDK97Tk1l9Qux0/edit?usp=sharing"",""จันทบุรี!I725"")"),9)</f>
        <v>9</v>
      </c>
      <c r="BF54" s="57">
        <f ca="1">IFERROR(__xludf.DUMMYFUNCTION("IMPORTRANGE(""https://docs.google.com/spreadsheets/d/1njBaP_xXd-Uotvo2D9zb01TTCFkLJLDK97Tk1l9Qux0/edit?usp=sharing"",""จันทบุรี!J723"")"),1)</f>
        <v>1</v>
      </c>
      <c r="BG54" s="57">
        <f ca="1">IFERROR(__xludf.DUMMYFUNCTION("IMPORTRANGE(""https://docs.google.com/spreadsheets/d/1njBaP_xXd-Uotvo2D9zb01TTCFkLJLDK97Tk1l9Qux0/edit?usp=sharing"",""จันทบุรี!J724"")"),1)</f>
        <v>1</v>
      </c>
      <c r="BH54" s="57">
        <f ca="1">IFERROR(__xludf.DUMMYFUNCTION("IMPORTRANGE(""https://docs.google.com/spreadsheets/d/1njBaP_xXd-Uotvo2D9zb01TTCFkLJLDK97Tk1l9Qux0/edit?usp=sharing"",""จันทบุรี!J725"")"),9.57)</f>
        <v>9.57</v>
      </c>
      <c r="BI54" s="57">
        <f ca="1">IFERROR(__xludf.DUMMYFUNCTION("IMPORTRANGE(""https://docs.google.com/spreadsheets/d/1njBaP_xXd-Uotvo2D9zb01TTCFkLJLDK97Tk1l9Qux0/edit?usp=sharing"",""จันทบุรี!I726"")"),0)</f>
        <v>0</v>
      </c>
      <c r="BJ54" s="57">
        <f ca="1">IFERROR(__xludf.DUMMYFUNCTION("IMPORTRANGE(""https://docs.google.com/spreadsheets/d/1njBaP_xXd-Uotvo2D9zb01TTCFkLJLDK97Tk1l9Qux0/edit?usp=sharing"",""จันทบุรี!I728"")"),0)</f>
        <v>0</v>
      </c>
      <c r="BK54" s="57">
        <f ca="1">IFERROR(__xludf.DUMMYFUNCTION("IMPORTRANGE(""https://docs.google.com/spreadsheets/d/1njBaP_xXd-Uotvo2D9zb01TTCFkLJLDK97Tk1l9Qux0/edit?usp=sharing"",""จันทบุรี!J726"")"),0)</f>
        <v>0</v>
      </c>
      <c r="BL54" s="57">
        <f ca="1">IFERROR(__xludf.DUMMYFUNCTION("IMPORTRANGE(""https://docs.google.com/spreadsheets/d/1njBaP_xXd-Uotvo2D9zb01TTCFkLJLDK97Tk1l9Qux0/edit?usp=sharing"",""จันทบุรี!J727"")"),0)</f>
        <v>0</v>
      </c>
      <c r="BM54" s="57">
        <f ca="1">IFERROR(__xludf.DUMMYFUNCTION("IMPORTRANGE(""https://docs.google.com/spreadsheets/d/1njBaP_xXd-Uotvo2D9zb01TTCFkLJLDK97Tk1l9Qux0/edit?usp=sharing"",""จันทบุรี!J728"")"),0)</f>
        <v>0</v>
      </c>
      <c r="BN54" s="57">
        <f ca="1">IFERROR(__xludf.DUMMYFUNCTION("IMPORTRANGE(""https://docs.google.com/spreadsheets/d/1njBaP_xXd-Uotvo2D9zb01TTCFkLJLDK97Tk1l9Qux0/edit?usp=sharing"",""จันทบุรี!I729"")"),1)</f>
        <v>1</v>
      </c>
      <c r="BO54" s="57">
        <f ca="1">IFERROR(__xludf.DUMMYFUNCTION("IMPORTRANGE(""https://docs.google.com/spreadsheets/d/1njBaP_xXd-Uotvo2D9zb01TTCFkLJLDK97Tk1l9Qux0/edit?usp=sharing"",""จันทบุรี!J729"")"),0)</f>
        <v>0</v>
      </c>
      <c r="BP54" s="63">
        <f t="shared" ca="1" si="19"/>
        <v>0</v>
      </c>
      <c r="BQ54" s="57">
        <f ca="1">IFERROR(__xludf.DUMMYFUNCTION("IMPORTRANGE(""https://docs.google.com/spreadsheets/d/1njBaP_xXd-Uotvo2D9zb01TTCFkLJLDK97Tk1l9Qux0/edit?usp=sharing"",""จันทบุรี!J730"")"),0)</f>
        <v>0</v>
      </c>
      <c r="BR54" s="57">
        <f ca="1">IFERROR(__xludf.DUMMYFUNCTION("IMPORTRANGE(""https://docs.google.com/spreadsheets/d/1njBaP_xXd-Uotvo2D9zb01TTCFkLJLDK97Tk1l9Qux0/edit?usp=sharing"",""จันทบุรี!J731"")"),0)</f>
        <v>0</v>
      </c>
      <c r="BS54" s="57">
        <f ca="1">IFERROR(__xludf.DUMMYFUNCTION("IMPORTRANGE(""https://docs.google.com/spreadsheets/d/1njBaP_xXd-Uotvo2D9zb01TTCFkLJLDK97Tk1l9Qux0/edit?usp=sharing"",""จันทบุรี!J732"")"),0)</f>
        <v>0</v>
      </c>
      <c r="BT54" s="57">
        <f ca="1">IFERROR(__xludf.DUMMYFUNCTION("IMPORTRANGE(""https://docs.google.com/spreadsheets/d/1njBaP_xXd-Uotvo2D9zb01TTCFkLJLDK97Tk1l9Qux0/edit?usp=sharing"",""จันทบุรี!J733"")"),0)</f>
        <v>0</v>
      </c>
      <c r="BU54" s="57">
        <f ca="1">IFERROR(__xludf.DUMMYFUNCTION("IMPORTRANGE(""https://docs.google.com/spreadsheets/d/1njBaP_xXd-Uotvo2D9zb01TTCFkLJLDK97Tk1l9Qux0/edit?usp=sharing"",""จันทบุรี!J734"")"),0)</f>
        <v>0</v>
      </c>
      <c r="BV54" s="57">
        <f ca="1">IFERROR(__xludf.DUMMYFUNCTION("IMPORTRANGE(""https://docs.google.com/spreadsheets/d/1njBaP_xXd-Uotvo2D9zb01TTCFkLJLDK97Tk1l9Qux0/edit?usp=sharing"",""จันทบุรี!J735"")"),0)</f>
        <v>0</v>
      </c>
    </row>
    <row r="55" spans="1:74" ht="21" customHeight="1" x14ac:dyDescent="0.3">
      <c r="A55" s="54">
        <v>3</v>
      </c>
      <c r="B55" s="55" t="s">
        <v>76</v>
      </c>
      <c r="C55" s="56">
        <f t="shared" ca="1" si="75"/>
        <v>31600</v>
      </c>
      <c r="D55" s="57">
        <f ca="1">IFERROR(__xludf.DUMMYFUNCTION("IMPORTRANGE(""https://docs.google.com/spreadsheets/d/14xp6qUzrGFnUk_qnc1eEmfiaNRd4_grkhpfQH_46fa8/edit?usp=sharing"",""ฉะเชิงเทรา!L690"")"),31600)</f>
        <v>31600</v>
      </c>
      <c r="E55" s="64">
        <f ca="1">IFERROR(__xludf.DUMMYFUNCTION("IMPORTRANGE(""https://docs.google.com/spreadsheets/d/14xp6qUzrGFnUk_qnc1eEmfiaNRd4_grkhpfQH_46fa8/edit?usp=sharing"",""ฉะเชิงเทรา!L697"")"),0)</f>
        <v>0</v>
      </c>
      <c r="F55" s="64">
        <f ca="1">IFERROR(__xludf.DUMMYFUNCTION("IMPORTRANGE(""https://docs.google.com/spreadsheets/d/14xp6qUzrGFnUk_qnc1eEmfiaNRd4_grkhpfQH_46fa8/edit?usp=sharing"",""ฉะเชิงเทรา!M690"")"),31600)</f>
        <v>31600</v>
      </c>
      <c r="G55" s="64">
        <f ca="1">IFERROR(__xludf.DUMMYFUNCTION("IMPORTRANGE(""https://docs.google.com/spreadsheets/d/14xp6qUzrGFnUk_qnc1eEmfiaNRd4_grkhpfQH_46fa8/edit?usp=sharing"",""ฉะเชิงเทรา!M697"")"),0)</f>
        <v>0</v>
      </c>
      <c r="H55" s="58">
        <f t="shared" ca="1" si="33"/>
        <v>2905</v>
      </c>
      <c r="I55" s="59">
        <f t="shared" ca="1" si="1"/>
        <v>9.1930379746835449</v>
      </c>
      <c r="J55" s="60">
        <f t="shared" ca="1" si="76"/>
        <v>2905</v>
      </c>
      <c r="K55" s="61">
        <f t="shared" ca="1" si="39"/>
        <v>9.1930379746835449</v>
      </c>
      <c r="L55" s="61">
        <f t="shared" ca="1" si="40"/>
        <v>9.1930379746835449</v>
      </c>
      <c r="M55" s="64">
        <f ca="1">IFERROR(__xludf.DUMMYFUNCTION("IMPORTRANGE(""https://docs.google.com/spreadsheets/d/14xp6qUzrGFnUk_qnc1eEmfiaNRd4_grkhpfQH_46fa8/edit?usp=sharing"",""ฉะเชิงเทรา!N691"")"),0)</f>
        <v>0</v>
      </c>
      <c r="N55" s="64">
        <f ca="1">IFERROR(__xludf.DUMMYFUNCTION("IMPORTRANGE(""https://docs.google.com/spreadsheets/d/14xp6qUzrGFnUk_qnc1eEmfiaNRd4_grkhpfQH_46fa8/edit?usp=sharing"",""ฉะเชิงเทรา!N692"")"),0)</f>
        <v>0</v>
      </c>
      <c r="O55" s="64">
        <f ca="1">IFERROR(__xludf.DUMMYFUNCTION("IMPORTRANGE(""https://docs.google.com/spreadsheets/d/14xp6qUzrGFnUk_qnc1eEmfiaNRd4_grkhpfQH_46fa8/edit?usp=sharing"",""ฉะเชิงเทรา!N693"")"),0)</f>
        <v>0</v>
      </c>
      <c r="P55" s="64">
        <f ca="1">IFERROR(__xludf.DUMMYFUNCTION("IMPORTRANGE(""https://docs.google.com/spreadsheets/d/14xp6qUzrGFnUk_qnc1eEmfiaNRd4_grkhpfQH_46fa8/edit?usp=sharing"",""ฉะเชิงเทรา!N694"")"),2905)</f>
        <v>2905</v>
      </c>
      <c r="Q55" s="62">
        <f ca="1">IFERROR(__xludf.DUMMYFUNCTION("IMPORTRANGE(""https://docs.google.com/spreadsheets/d/14xp6qUzrGFnUk_qnc1eEmfiaNRd4_grkhpfQH_46fa8/edit?usp=sharing"",""ฉะเชิงเทรา!N697"")"),0)</f>
        <v>0</v>
      </c>
      <c r="R55" s="62">
        <f t="shared" ca="1" si="42"/>
        <v>0</v>
      </c>
      <c r="S55" s="57">
        <f ca="1">IFERROR(__xludf.DUMMYFUNCTION("IMPORTRANGE(""https://docs.google.com/spreadsheets/d/14xp6qUzrGFnUk_qnc1eEmfiaNRd4_grkhpfQH_46fa8/edit?usp=sharing"",""ฉะเชิงเทรา!I699"")"),0)</f>
        <v>0</v>
      </c>
      <c r="T55" s="57">
        <f ca="1">IFERROR(__xludf.DUMMYFUNCTION("IMPORTRANGE(""https://docs.google.com/spreadsheets/d/14xp6qUzrGFnUk_qnc1eEmfiaNRd4_grkhpfQH_46fa8/edit?usp=sharing"",""ฉะเชิงเทรา!J699"")"),0)</f>
        <v>0</v>
      </c>
      <c r="U55" s="63">
        <f t="shared" ca="1" si="34"/>
        <v>0</v>
      </c>
      <c r="V55" s="57">
        <f ca="1">IFERROR(__xludf.DUMMYFUNCTION("IMPORTRANGE(""https://docs.google.com/spreadsheets/d/14xp6qUzrGFnUk_qnc1eEmfiaNRd4_grkhpfQH_46fa8/edit?usp=sharing"",""ฉะเชิงเทรา!I700"")"),0)</f>
        <v>0</v>
      </c>
      <c r="W55" s="57">
        <f ca="1">IFERROR(__xludf.DUMMYFUNCTION("IMPORTRANGE(""https://docs.google.com/spreadsheets/d/14xp6qUzrGFnUk_qnc1eEmfiaNRd4_grkhpfQH_46fa8/edit?usp=sharing"",""ฉะเชิงเทรา!J700"")"),0)</f>
        <v>0</v>
      </c>
      <c r="X55" s="63">
        <f t="shared" ca="1" si="35"/>
        <v>0</v>
      </c>
      <c r="Y55" s="57">
        <f ca="1">IFERROR(__xludf.DUMMYFUNCTION("IMPORTRANGE(""https://docs.google.com/spreadsheets/d/14xp6qUzrGFnUk_qnc1eEmfiaNRd4_grkhpfQH_46fa8/edit?usp=sharing"",""ฉะเชิงเทรา!I701"")"),300)</f>
        <v>300</v>
      </c>
      <c r="Z55" s="57">
        <f ca="1">IFERROR(__xludf.DUMMYFUNCTION("IMPORTRANGE(""https://docs.google.com/spreadsheets/d/14xp6qUzrGFnUk_qnc1eEmfiaNRd4_grkhpfQH_46fa8/edit?usp=sharing"",""ฉะเชิงเทรา!J701"")"),12)</f>
        <v>12</v>
      </c>
      <c r="AA55" s="63">
        <f t="shared" ca="1" si="36"/>
        <v>4</v>
      </c>
      <c r="AB55" s="63">
        <f ca="1">IFERROR(__xludf.DUMMYFUNCTION("IMPORTRANGE(""https://docs.google.com/spreadsheets/d/14xp6qUzrGFnUk_qnc1eEmfiaNRd4_grkhpfQH_46fa8/edit?usp=sharing"",""ฉะเชิงเทรา!J702"")"),1)</f>
        <v>1</v>
      </c>
      <c r="AC55" s="63">
        <f ca="1">IFERROR(__xludf.DUMMYFUNCTION("IMPORTRANGE(""https://docs.google.com/spreadsheets/d/14xp6qUzrGFnUk_qnc1eEmfiaNRd4_grkhpfQH_46fa8/edit?usp=sharing"",""ฉะเชิงเทรา!J703"")"),1)</f>
        <v>1</v>
      </c>
      <c r="AD55" s="63">
        <f ca="1">IFERROR(__xludf.DUMMYFUNCTION("IMPORTRANGE(""https://docs.google.com/spreadsheets/d/14xp6qUzrGFnUk_qnc1eEmfiaNRd4_grkhpfQH_46fa8/edit?usp=sharing"",""ฉะเชิงเทรา!J704"")"),12)</f>
        <v>12</v>
      </c>
      <c r="AE55" s="63">
        <f ca="1">IFERROR(__xludf.DUMMYFUNCTION("IMPORTRANGE(""https://docs.google.com/spreadsheets/d/14xp6qUzrGFnUk_qnc1eEmfiaNRd4_grkhpfQH_46fa8/edit?usp=sharing"",""ฉะเชิงเทรา!J705"")"),0)</f>
        <v>0</v>
      </c>
      <c r="AF55" s="63">
        <f ca="1">IFERROR(__xludf.DUMMYFUNCTION("IMPORTRANGE(""https://docs.google.com/spreadsheets/d/14xp6qUzrGFnUk_qnc1eEmfiaNRd4_grkhpfQH_46fa8/edit?usp=sharing"",""ฉะเชิงเทรา!J706"")"),0)</f>
        <v>0</v>
      </c>
      <c r="AG55" s="63">
        <f ca="1">IFERROR(__xludf.DUMMYFUNCTION("IMPORTRANGE(""https://docs.google.com/spreadsheets/d/14xp6qUzrGFnUk_qnc1eEmfiaNRd4_grkhpfQH_46fa8/edit?usp=sharing"",""ฉะเชิงเทรา!J707"")"),0)</f>
        <v>0</v>
      </c>
      <c r="AH55" s="57">
        <f ca="1">IFERROR(__xludf.DUMMYFUNCTION("IMPORTRANGE(""https://docs.google.com/spreadsheets/d/14xp6qUzrGFnUk_qnc1eEmfiaNRd4_grkhpfQH_46fa8/edit?usp=sharing"",""ฉะเชิงเทรา!I708"")"),150)</f>
        <v>150</v>
      </c>
      <c r="AI55" s="57">
        <f ca="1">IFERROR(__xludf.DUMMYFUNCTION("IMPORTRANGE(""https://docs.google.com/spreadsheets/d/14xp6qUzrGFnUk_qnc1eEmfiaNRd4_grkhpfQH_46fa8/edit?usp=sharing"",""ฉะเชิงเทรา!J708"")"),151)</f>
        <v>151</v>
      </c>
      <c r="AJ55" s="63">
        <f t="shared" ca="1" si="37"/>
        <v>100.66666666666667</v>
      </c>
      <c r="AK55" s="57">
        <f ca="1">IFERROR(__xludf.DUMMYFUNCTION("IMPORTRANGE(""https://docs.google.com/spreadsheets/d/14xp6qUzrGFnUk_qnc1eEmfiaNRd4_grkhpfQH_46fa8/edit?usp=sharing"",""ฉะเชิงเทรา!J709"")"),3)</f>
        <v>3</v>
      </c>
      <c r="AL55" s="57">
        <f ca="1">IFERROR(__xludf.DUMMYFUNCTION("IMPORTRANGE(""https://docs.google.com/spreadsheets/d/14xp6qUzrGFnUk_qnc1eEmfiaNRd4_grkhpfQH_46fa8/edit?usp=sharing"",""ฉะเชิงเทรา!J710"")"),51)</f>
        <v>51</v>
      </c>
      <c r="AM55" s="57">
        <f ca="1">IFERROR(__xludf.DUMMYFUNCTION("IMPORTRANGE(""https://docs.google.com/spreadsheets/d/14xp6qUzrGFnUk_qnc1eEmfiaNRd4_grkhpfQH_46fa8/edit?usp=sharing"",""ฉะเชิงเทรา!J712"")"),20)</f>
        <v>20</v>
      </c>
      <c r="AN55" s="57">
        <f ca="1">IFERROR(__xludf.DUMMYFUNCTION("IMPORTRANGE(""https://docs.google.com/spreadsheets/d/14xp6qUzrGFnUk_qnc1eEmfiaNRd4_grkhpfQH_46fa8/edit?usp=sharing"",""ฉะเชิงเทรา!J713"")"),20)</f>
        <v>20</v>
      </c>
      <c r="AO55" s="57">
        <f ca="1">IFERROR(__xludf.DUMMYFUNCTION("IMPORTRANGE(""https://docs.google.com/spreadsheets/d/14xp6qUzrGFnUk_qnc1eEmfiaNRd4_grkhpfQH_46fa8/edit?usp=sharing"",""ฉะเชิงเทรา!J714"")"),100)</f>
        <v>100</v>
      </c>
      <c r="AP55" s="57">
        <f ca="1">IFERROR(__xludf.DUMMYFUNCTION("IMPORTRANGE(""https://docs.google.com/spreadsheets/d/14xp6qUzrGFnUk_qnc1eEmfiaNRd4_grkhpfQH_46fa8/edit?usp=sharing"",""ฉะเชิงเทรา!J715"")"),8)</f>
        <v>8</v>
      </c>
      <c r="AQ55" s="57">
        <f ca="1">IFERROR(__xludf.DUMMYFUNCTION("IMPORTRANGE(""https://docs.google.com/spreadsheets/d/14xp6qUzrGFnUk_qnc1eEmfiaNRd4_grkhpfQH_46fa8/edit?usp=sharing"",""ฉะเชิงเทรา!J716"")"),8)</f>
        <v>8</v>
      </c>
      <c r="AR55" s="57">
        <f ca="1">IFERROR(__xludf.DUMMYFUNCTION("IMPORTRANGE(""https://docs.google.com/spreadsheets/d/14xp6qUzrGFnUk_qnc1eEmfiaNRd4_grkhpfQH_46fa8/edit?usp=sharing"",""ฉะเชิงเทรา!J717"")"),51)</f>
        <v>51</v>
      </c>
      <c r="AS55" s="57">
        <f ca="1">IFERROR(__xludf.DUMMYFUNCTION("IMPORTRANGE(""https://docs.google.com/spreadsheets/d/14xp6qUzrGFnUk_qnc1eEmfiaNRd4_grkhpfQH_46fa8/edit?usp=sharing"",""ฉะเชิงเทรา!I720"")"),80)</f>
        <v>80</v>
      </c>
      <c r="AT55" s="57">
        <f ca="1">IFERROR(__xludf.DUMMYFUNCTION("IMPORTRANGE(""https://docs.google.com/spreadsheets/d/14xp6qUzrGFnUk_qnc1eEmfiaNRd4_grkhpfQH_46fa8/edit?usp=sharing"",""ฉะเชิงเทรา!J718"")"),0)</f>
        <v>0</v>
      </c>
      <c r="AU55" s="57">
        <f ca="1">IFERROR(__xludf.DUMMYFUNCTION("IMPORTRANGE(""https://docs.google.com/spreadsheets/d/14xp6qUzrGFnUk_qnc1eEmfiaNRd4_grkhpfQH_46fa8/edit?usp=sharing"",""ฉะเชิงเทรา!J719"")"),0)</f>
        <v>0</v>
      </c>
      <c r="AV55" s="57">
        <f ca="1">IFERROR(__xludf.DUMMYFUNCTION("IMPORTRANGE(""https://docs.google.com/spreadsheets/d/14xp6qUzrGFnUk_qnc1eEmfiaNRd4_grkhpfQH_46fa8/edit?usp=sharing"",""ฉะเชิงเทรา!J720"")"),0)</f>
        <v>0</v>
      </c>
      <c r="AW55" s="63">
        <f t="shared" ca="1" si="14"/>
        <v>0</v>
      </c>
      <c r="AX55" s="57">
        <f ca="1">IFERROR(__xludf.DUMMYFUNCTION("IMPORTRANGE(""https://docs.google.com/spreadsheets/d/14xp6qUzrGFnUk_qnc1eEmfiaNRd4_grkhpfQH_46fa8/edit?usp=sharing"",""ฉะเชิงเทรา!I721"")"),35)</f>
        <v>35</v>
      </c>
      <c r="AY55" s="57">
        <f ca="1">IFERROR(__xludf.DUMMYFUNCTION("IMPORTRANGE(""https://docs.google.com/spreadsheets/d/14xp6qUzrGFnUk_qnc1eEmfiaNRd4_grkhpfQH_46fa8/edit?usp=sharing"",""ฉะเชิงเทรา!I722"")"),350)</f>
        <v>350</v>
      </c>
      <c r="AZ55" s="57">
        <f ca="1">IFERROR(__xludf.DUMMYFUNCTION("IMPORTRANGE(""https://docs.google.com/spreadsheets/d/14xp6qUzrGFnUk_qnc1eEmfiaNRd4_grkhpfQH_46fa8/edit?usp=sharing"",""ฉะเชิงเทรา!J721"")"),10)</f>
        <v>10</v>
      </c>
      <c r="BA55" s="63">
        <f t="shared" ca="1" si="16"/>
        <v>28.571428571428573</v>
      </c>
      <c r="BB55" s="57">
        <f ca="1">IFERROR(__xludf.DUMMYFUNCTION("IMPORTRANGE(""https://docs.google.com/spreadsheets/d/14xp6qUzrGFnUk_qnc1eEmfiaNRd4_grkhpfQH_46fa8/edit?usp=sharing"",""ฉะเชิงเทรา!J722"")"),99.51)</f>
        <v>99.51</v>
      </c>
      <c r="BC55" s="63">
        <f t="shared" ca="1" si="17"/>
        <v>28.431428571428572</v>
      </c>
      <c r="BD55" s="57">
        <f ca="1">IFERROR(__xludf.DUMMYFUNCTION("IMPORTRANGE(""https://docs.google.com/spreadsheets/d/14xp6qUzrGFnUk_qnc1eEmfiaNRd4_grkhpfQH_46fa8/edit?usp=sharing"",""ฉะเชิงเทรา!I723"")"),30)</f>
        <v>30</v>
      </c>
      <c r="BE55" s="57">
        <f ca="1">IFERROR(__xludf.DUMMYFUNCTION("IMPORTRANGE(""https://docs.google.com/spreadsheets/d/14xp6qUzrGFnUk_qnc1eEmfiaNRd4_grkhpfQH_46fa8/edit?usp=sharing"",""ฉะเชิงเทรา!I725"")"),300)</f>
        <v>300</v>
      </c>
      <c r="BF55" s="57">
        <f ca="1">IFERROR(__xludf.DUMMYFUNCTION("IMPORTRANGE(""https://docs.google.com/spreadsheets/d/14xp6qUzrGFnUk_qnc1eEmfiaNRd4_grkhpfQH_46fa8/edit?usp=sharing"",""ฉะเชิงเทรา!J723"")"),10)</f>
        <v>10</v>
      </c>
      <c r="BG55" s="57">
        <f ca="1">IFERROR(__xludf.DUMMYFUNCTION("IMPORTRANGE(""https://docs.google.com/spreadsheets/d/14xp6qUzrGFnUk_qnc1eEmfiaNRd4_grkhpfQH_46fa8/edit?usp=sharing"",""ฉะเชิงเทรา!J724"")"),14)</f>
        <v>14</v>
      </c>
      <c r="BH55" s="57">
        <f ca="1">IFERROR(__xludf.DUMMYFUNCTION("IMPORTRANGE(""https://docs.google.com/spreadsheets/d/14xp6qUzrGFnUk_qnc1eEmfiaNRd4_grkhpfQH_46fa8/edit?usp=sharing"",""ฉะเชิงเทรา!J725"")"),99.51)</f>
        <v>99.51</v>
      </c>
      <c r="BI55" s="57">
        <f ca="1">IFERROR(__xludf.DUMMYFUNCTION("IMPORTRANGE(""https://docs.google.com/spreadsheets/d/14xp6qUzrGFnUk_qnc1eEmfiaNRd4_grkhpfQH_46fa8/edit?usp=sharing"",""ฉะเชิงเทรา!I726"")"),5)</f>
        <v>5</v>
      </c>
      <c r="BJ55" s="57">
        <f ca="1">IFERROR(__xludf.DUMMYFUNCTION("IMPORTRANGE(""https://docs.google.com/spreadsheets/d/14xp6qUzrGFnUk_qnc1eEmfiaNRd4_grkhpfQH_46fa8/edit?usp=sharing"",""ฉะเชิงเทรา!I728"")"),50)</f>
        <v>50</v>
      </c>
      <c r="BK55" s="57">
        <f ca="1">IFERROR(__xludf.DUMMYFUNCTION("IMPORTRANGE(""https://docs.google.com/spreadsheets/d/14xp6qUzrGFnUk_qnc1eEmfiaNRd4_grkhpfQH_46fa8/edit?usp=sharing"",""ฉะเชิงเทรา!J726"")"),0)</f>
        <v>0</v>
      </c>
      <c r="BL55" s="57">
        <f ca="1">IFERROR(__xludf.DUMMYFUNCTION("IMPORTRANGE(""https://docs.google.com/spreadsheets/d/14xp6qUzrGFnUk_qnc1eEmfiaNRd4_grkhpfQH_46fa8/edit?usp=sharing"",""ฉะเชิงเทรา!J727"")"),0)</f>
        <v>0</v>
      </c>
      <c r="BM55" s="57">
        <f ca="1">IFERROR(__xludf.DUMMYFUNCTION("IMPORTRANGE(""https://docs.google.com/spreadsheets/d/14xp6qUzrGFnUk_qnc1eEmfiaNRd4_grkhpfQH_46fa8/edit?usp=sharing"",""ฉะเชิงเทรา!J728"")"),0)</f>
        <v>0</v>
      </c>
      <c r="BN55" s="57">
        <f ca="1">IFERROR(__xludf.DUMMYFUNCTION("IMPORTRANGE(""https://docs.google.com/spreadsheets/d/14xp6qUzrGFnUk_qnc1eEmfiaNRd4_grkhpfQH_46fa8/edit?usp=sharing"",""ฉะเชิงเทรา!I729"")"),100)</f>
        <v>100</v>
      </c>
      <c r="BO55" s="57">
        <f ca="1">IFERROR(__xludf.DUMMYFUNCTION("IMPORTRANGE(""https://docs.google.com/spreadsheets/d/14xp6qUzrGFnUk_qnc1eEmfiaNRd4_grkhpfQH_46fa8/edit?usp=sharing"",""ฉะเชิงเทรา!J729"")"),29)</f>
        <v>29</v>
      </c>
      <c r="BP55" s="63">
        <f t="shared" ca="1" si="19"/>
        <v>29</v>
      </c>
      <c r="BQ55" s="57">
        <f ca="1">IFERROR(__xludf.DUMMYFUNCTION("IMPORTRANGE(""https://docs.google.com/spreadsheets/d/14xp6qUzrGFnUk_qnc1eEmfiaNRd4_grkhpfQH_46fa8/edit?usp=sharing"",""ฉะเชิงเทรา!J730"")"),1)</f>
        <v>1</v>
      </c>
      <c r="BR55" s="57">
        <f ca="1">IFERROR(__xludf.DUMMYFUNCTION("IMPORTRANGE(""https://docs.google.com/spreadsheets/d/14xp6qUzrGFnUk_qnc1eEmfiaNRd4_grkhpfQH_46fa8/edit?usp=sharing"",""ฉะเชิงเทรา!J731"")"),1)</f>
        <v>1</v>
      </c>
      <c r="BS55" s="57">
        <f ca="1">IFERROR(__xludf.DUMMYFUNCTION("IMPORTRANGE(""https://docs.google.com/spreadsheets/d/14xp6qUzrGFnUk_qnc1eEmfiaNRd4_grkhpfQH_46fa8/edit?usp=sharing"",""ฉะเชิงเทรา!J732"")"),2)</f>
        <v>2</v>
      </c>
      <c r="BT55" s="57">
        <f ca="1">IFERROR(__xludf.DUMMYFUNCTION("IMPORTRANGE(""https://docs.google.com/spreadsheets/d/14xp6qUzrGFnUk_qnc1eEmfiaNRd4_grkhpfQH_46fa8/edit?usp=sharing"",""ฉะเชิงเทรา!J733"")"),1)</f>
        <v>1</v>
      </c>
      <c r="BU55" s="57">
        <f ca="1">IFERROR(__xludf.DUMMYFUNCTION("IMPORTRANGE(""https://docs.google.com/spreadsheets/d/14xp6qUzrGFnUk_qnc1eEmfiaNRd4_grkhpfQH_46fa8/edit?usp=sharing"",""ฉะเชิงเทรา!J734"")"),1)</f>
        <v>1</v>
      </c>
      <c r="BV55" s="57">
        <f ca="1">IFERROR(__xludf.DUMMYFUNCTION("IMPORTRANGE(""https://docs.google.com/spreadsheets/d/14xp6qUzrGFnUk_qnc1eEmfiaNRd4_grkhpfQH_46fa8/edit?usp=sharing"",""ฉะเชิงเทรา!J735"")"),27)</f>
        <v>27</v>
      </c>
    </row>
    <row r="56" spans="1:74" ht="21" customHeight="1" x14ac:dyDescent="0.3">
      <c r="A56" s="54">
        <v>4</v>
      </c>
      <c r="B56" s="55" t="s">
        <v>77</v>
      </c>
      <c r="C56" s="56">
        <f t="shared" ca="1" si="75"/>
        <v>0</v>
      </c>
      <c r="D56" s="57">
        <f ca="1">IFERROR(__xludf.DUMMYFUNCTION("IMPORTRANGE(""https://docs.google.com/spreadsheets/d/1_Zwps30dlVa-pZFsorjVf1Pil6WXwzCsJU0U2whO3NI/edit?usp=sharing"",""ชลบุรี!L690"")"),0)</f>
        <v>0</v>
      </c>
      <c r="E56" s="64">
        <f ca="1">IFERROR(__xludf.DUMMYFUNCTION("IMPORTRANGE(""https://docs.google.com/spreadsheets/d/1_Zwps30dlVa-pZFsorjVf1Pil6WXwzCsJU0U2whO3NI/edit?usp=sharing"",""ชลบุรี!L697"")"),0)</f>
        <v>0</v>
      </c>
      <c r="F56" s="64">
        <f ca="1">IFERROR(__xludf.DUMMYFUNCTION("IMPORTRANGE(""https://docs.google.com/spreadsheets/d/1_Zwps30dlVa-pZFsorjVf1Pil6WXwzCsJU0U2whO3NI/edit?usp=sharing"",""ชลบุรี!M690"")"),0)</f>
        <v>0</v>
      </c>
      <c r="G56" s="64">
        <f ca="1">IFERROR(__xludf.DUMMYFUNCTION("IMPORTRANGE(""https://docs.google.com/spreadsheets/d/1_Zwps30dlVa-pZFsorjVf1Pil6WXwzCsJU0U2whO3NI/edit?usp=sharing"",""ชลบุรี!M697"")"),0)</f>
        <v>0</v>
      </c>
      <c r="H56" s="58">
        <f t="shared" ca="1" si="33"/>
        <v>0</v>
      </c>
      <c r="I56" s="59">
        <f t="shared" ca="1" si="1"/>
        <v>0</v>
      </c>
      <c r="J56" s="60">
        <f t="shared" ca="1" si="76"/>
        <v>0</v>
      </c>
      <c r="K56" s="61">
        <f t="shared" ca="1" si="39"/>
        <v>0</v>
      </c>
      <c r="L56" s="61">
        <f t="shared" ca="1" si="40"/>
        <v>0</v>
      </c>
      <c r="M56" s="64">
        <f ca="1">IFERROR(__xludf.DUMMYFUNCTION("IMPORTRANGE(""https://docs.google.com/spreadsheets/d/1_Zwps30dlVa-pZFsorjVf1Pil6WXwzCsJU0U2whO3NI/edit?usp=sharing"",""ชลบุรี!N691"")"),0)</f>
        <v>0</v>
      </c>
      <c r="N56" s="64">
        <f ca="1">IFERROR(__xludf.DUMMYFUNCTION("IMPORTRANGE(""https://docs.google.com/spreadsheets/d/1_Zwps30dlVa-pZFsorjVf1Pil6WXwzCsJU0U2whO3NI/edit?usp=sharing"",""ชลบุรี!N692"")"),0)</f>
        <v>0</v>
      </c>
      <c r="O56" s="64">
        <f ca="1">IFERROR(__xludf.DUMMYFUNCTION("IMPORTRANGE(""https://docs.google.com/spreadsheets/d/1_Zwps30dlVa-pZFsorjVf1Pil6WXwzCsJU0U2whO3NI/edit?usp=sharing"",""ชลบุรี!N693"")"),0)</f>
        <v>0</v>
      </c>
      <c r="P56" s="64">
        <f ca="1">IFERROR(__xludf.DUMMYFUNCTION("IMPORTRANGE(""https://docs.google.com/spreadsheets/d/1_Zwps30dlVa-pZFsorjVf1Pil6WXwzCsJU0U2whO3NI/edit?usp=sharing"",""ชลบุรี!N694"")"),0)</f>
        <v>0</v>
      </c>
      <c r="Q56" s="62">
        <f ca="1">IFERROR(__xludf.DUMMYFUNCTION("IMPORTRANGE(""https://docs.google.com/spreadsheets/d/1_Zwps30dlVa-pZFsorjVf1Pil6WXwzCsJU0U2whO3NI/edit?usp=sharing"",""ชลบุรี!N697"")"),0)</f>
        <v>0</v>
      </c>
      <c r="R56" s="62">
        <f t="shared" ca="1" si="42"/>
        <v>0</v>
      </c>
      <c r="S56" s="57">
        <f ca="1">IFERROR(__xludf.DUMMYFUNCTION("IMPORTRANGE(""https://docs.google.com/spreadsheets/d/1_Zwps30dlVa-pZFsorjVf1Pil6WXwzCsJU0U2whO3NI/edit?usp=sharing"",""ชลบุรี!I699"")"),0)</f>
        <v>0</v>
      </c>
      <c r="T56" s="57">
        <f ca="1">IFERROR(__xludf.DUMMYFUNCTION("IMPORTRANGE(""https://docs.google.com/spreadsheets/d/1_Zwps30dlVa-pZFsorjVf1Pil6WXwzCsJU0U2whO3NI/edit?usp=sharing"",""ชลบุรี!J699"")"),0)</f>
        <v>0</v>
      </c>
      <c r="U56" s="63">
        <f t="shared" ca="1" si="34"/>
        <v>0</v>
      </c>
      <c r="V56" s="57">
        <f ca="1">IFERROR(__xludf.DUMMYFUNCTION("IMPORTRANGE(""https://docs.google.com/spreadsheets/d/1_Zwps30dlVa-pZFsorjVf1Pil6WXwzCsJU0U2whO3NI/edit?usp=sharing"",""ชลบุรี!I700"")"),0)</f>
        <v>0</v>
      </c>
      <c r="W56" s="57">
        <f ca="1">IFERROR(__xludf.DUMMYFUNCTION("IMPORTRANGE(""https://docs.google.com/spreadsheets/d/1_Zwps30dlVa-pZFsorjVf1Pil6WXwzCsJU0U2whO3NI/edit?usp=sharing"",""ชลบุรี!J700"")"),0)</f>
        <v>0</v>
      </c>
      <c r="X56" s="63">
        <f t="shared" ca="1" si="35"/>
        <v>0</v>
      </c>
      <c r="Y56" s="57">
        <f ca="1">IFERROR(__xludf.DUMMYFUNCTION("IMPORTRANGE(""https://docs.google.com/spreadsheets/d/1_Zwps30dlVa-pZFsorjVf1Pil6WXwzCsJU0U2whO3NI/edit?usp=sharing"",""ชลบุรี!I701"")"),0)</f>
        <v>0</v>
      </c>
      <c r="Z56" s="57">
        <f ca="1">IFERROR(__xludf.DUMMYFUNCTION("IMPORTRANGE(""https://docs.google.com/spreadsheets/d/1_Zwps30dlVa-pZFsorjVf1Pil6WXwzCsJU0U2whO3NI/edit?usp=sharing"",""ชลบุรี!J701"")"),0)</f>
        <v>0</v>
      </c>
      <c r="AA56" s="63">
        <f t="shared" ca="1" si="36"/>
        <v>0</v>
      </c>
      <c r="AB56" s="63">
        <f ca="1">IFERROR(__xludf.DUMMYFUNCTION("IMPORTRANGE(""https://docs.google.com/spreadsheets/d/1_Zwps30dlVa-pZFsorjVf1Pil6WXwzCsJU0U2whO3NI/edit?usp=sharing"",""ชลบุรี!J702"")"),0)</f>
        <v>0</v>
      </c>
      <c r="AC56" s="63">
        <f ca="1">IFERROR(__xludf.DUMMYFUNCTION("IMPORTRANGE(""https://docs.google.com/spreadsheets/d/1_Zwps30dlVa-pZFsorjVf1Pil6WXwzCsJU0U2whO3NI/edit?usp=sharing"",""ชลบุรี!J703"")"),0)</f>
        <v>0</v>
      </c>
      <c r="AD56" s="63">
        <f ca="1">IFERROR(__xludf.DUMMYFUNCTION("IMPORTRANGE(""https://docs.google.com/spreadsheets/d/1_Zwps30dlVa-pZFsorjVf1Pil6WXwzCsJU0U2whO3NI/edit?usp=sharing"",""ชลบุรี!J704"")"),0)</f>
        <v>0</v>
      </c>
      <c r="AE56" s="63">
        <f ca="1">IFERROR(__xludf.DUMMYFUNCTION("IMPORTRANGE(""https://docs.google.com/spreadsheets/d/1_Zwps30dlVa-pZFsorjVf1Pil6WXwzCsJU0U2whO3NI/edit?usp=sharing"",""ชลบุรี!J705"")"),0)</f>
        <v>0</v>
      </c>
      <c r="AF56" s="63">
        <f ca="1">IFERROR(__xludf.DUMMYFUNCTION("IMPORTRANGE(""https://docs.google.com/spreadsheets/d/1_Zwps30dlVa-pZFsorjVf1Pil6WXwzCsJU0U2whO3NI/edit?usp=sharing"",""ชลบุรี!J706"")"),0)</f>
        <v>0</v>
      </c>
      <c r="AG56" s="63">
        <f ca="1">IFERROR(__xludf.DUMMYFUNCTION("IMPORTRANGE(""https://docs.google.com/spreadsheets/d/1_Zwps30dlVa-pZFsorjVf1Pil6WXwzCsJU0U2whO3NI/edit?usp=sharing"",""ชลบุรี!J707"")"),0)</f>
        <v>0</v>
      </c>
      <c r="AH56" s="57">
        <f ca="1">IFERROR(__xludf.DUMMYFUNCTION("IMPORTRANGE(""https://docs.google.com/spreadsheets/d/1_Zwps30dlVa-pZFsorjVf1Pil6WXwzCsJU0U2whO3NI/edit?usp=sharing"",""ชลบุรี!I708"")"),0)</f>
        <v>0</v>
      </c>
      <c r="AI56" s="57">
        <f ca="1">IFERROR(__xludf.DUMMYFUNCTION("IMPORTRANGE(""https://docs.google.com/spreadsheets/d/1_Zwps30dlVa-pZFsorjVf1Pil6WXwzCsJU0U2whO3NI/edit?usp=sharing"",""ชลบุรี!J708"")"),0)</f>
        <v>0</v>
      </c>
      <c r="AJ56" s="63">
        <f t="shared" ca="1" si="37"/>
        <v>0</v>
      </c>
      <c r="AK56" s="57">
        <f ca="1">IFERROR(__xludf.DUMMYFUNCTION("IMPORTRANGE(""https://docs.google.com/spreadsheets/d/1_Zwps30dlVa-pZFsorjVf1Pil6WXwzCsJU0U2whO3NI/edit?usp=sharing"",""ชลบุรี!J709"")"),0)</f>
        <v>0</v>
      </c>
      <c r="AL56" s="57">
        <f ca="1">IFERROR(__xludf.DUMMYFUNCTION("IMPORTRANGE(""https://docs.google.com/spreadsheets/d/1_Zwps30dlVa-pZFsorjVf1Pil6WXwzCsJU0U2whO3NI/edit?usp=sharing"",""ชลบุรี!J710"")"),0)</f>
        <v>0</v>
      </c>
      <c r="AM56" s="57">
        <f ca="1">IFERROR(__xludf.DUMMYFUNCTION("IMPORTRANGE(""https://docs.google.com/spreadsheets/d/1_Zwps30dlVa-pZFsorjVf1Pil6WXwzCsJU0U2whO3NI/edit?usp=sharing"",""ชลบุรี!J712"")"),0)</f>
        <v>0</v>
      </c>
      <c r="AN56" s="57">
        <f ca="1">IFERROR(__xludf.DUMMYFUNCTION("IMPORTRANGE(""https://docs.google.com/spreadsheets/d/1_Zwps30dlVa-pZFsorjVf1Pil6WXwzCsJU0U2whO3NI/edit?usp=sharing"",""ชลบุรี!J713"")"),0)</f>
        <v>0</v>
      </c>
      <c r="AO56" s="57">
        <f ca="1">IFERROR(__xludf.DUMMYFUNCTION("IMPORTRANGE(""https://docs.google.com/spreadsheets/d/1_Zwps30dlVa-pZFsorjVf1Pil6WXwzCsJU0U2whO3NI/edit?usp=sharing"",""ชลบุรี!J714"")"),0)</f>
        <v>0</v>
      </c>
      <c r="AP56" s="57">
        <f ca="1">IFERROR(__xludf.DUMMYFUNCTION("IMPORTRANGE(""https://docs.google.com/spreadsheets/d/1_Zwps30dlVa-pZFsorjVf1Pil6WXwzCsJU0U2whO3NI/edit?usp=sharing"",""ชลบุรี!J715"")"),0)</f>
        <v>0</v>
      </c>
      <c r="AQ56" s="57">
        <f ca="1">IFERROR(__xludf.DUMMYFUNCTION("IMPORTRANGE(""https://docs.google.com/spreadsheets/d/1_Zwps30dlVa-pZFsorjVf1Pil6WXwzCsJU0U2whO3NI/edit?usp=sharing"",""ชลบุรี!J716"")"),0)</f>
        <v>0</v>
      </c>
      <c r="AR56" s="57">
        <f ca="1">IFERROR(__xludf.DUMMYFUNCTION("IMPORTRANGE(""https://docs.google.com/spreadsheets/d/1_Zwps30dlVa-pZFsorjVf1Pil6WXwzCsJU0U2whO3NI/edit?usp=sharing"",""ชลบุรี!J717"")"),0)</f>
        <v>0</v>
      </c>
      <c r="AS56" s="57">
        <f ca="1">IFERROR(__xludf.DUMMYFUNCTION("IMPORTRANGE(""https://docs.google.com/spreadsheets/d/1_Zwps30dlVa-pZFsorjVf1Pil6WXwzCsJU0U2whO3NI/edit?usp=sharing"",""ชลบุรี!I720"")"),0)</f>
        <v>0</v>
      </c>
      <c r="AT56" s="57">
        <f ca="1">IFERROR(__xludf.DUMMYFUNCTION("IMPORTRANGE(""https://docs.google.com/spreadsheets/d/1_Zwps30dlVa-pZFsorjVf1Pil6WXwzCsJU0U2whO3NI/edit?usp=sharing"",""ชลบุรี!J718"")"),0)</f>
        <v>0</v>
      </c>
      <c r="AU56" s="57">
        <f ca="1">IFERROR(__xludf.DUMMYFUNCTION("IMPORTRANGE(""https://docs.google.com/spreadsheets/d/1_Zwps30dlVa-pZFsorjVf1Pil6WXwzCsJU0U2whO3NI/edit?usp=sharing"",""ชลบุรี!J719"")"),0)</f>
        <v>0</v>
      </c>
      <c r="AV56" s="57">
        <f ca="1">IFERROR(__xludf.DUMMYFUNCTION("IMPORTRANGE(""https://docs.google.com/spreadsheets/d/1_Zwps30dlVa-pZFsorjVf1Pil6WXwzCsJU0U2whO3NI/edit?usp=sharing"",""ชลบุรี!J720"")"),0)</f>
        <v>0</v>
      </c>
      <c r="AW56" s="63">
        <f t="shared" ca="1" si="14"/>
        <v>0</v>
      </c>
      <c r="AX56" s="57">
        <f ca="1">IFERROR(__xludf.DUMMYFUNCTION("IMPORTRANGE(""https://docs.google.com/spreadsheets/d/1_Zwps30dlVa-pZFsorjVf1Pil6WXwzCsJU0U2whO3NI/edit?usp=sharing"",""ชลบุรี!I721"")"),0)</f>
        <v>0</v>
      </c>
      <c r="AY56" s="57">
        <f ca="1">IFERROR(__xludf.DUMMYFUNCTION("IMPORTRANGE(""https://docs.google.com/spreadsheets/d/1_Zwps30dlVa-pZFsorjVf1Pil6WXwzCsJU0U2whO3NI/edit?usp=sharing"",""ชลบุรี!I722"")"),0)</f>
        <v>0</v>
      </c>
      <c r="AZ56" s="57">
        <f ca="1">IFERROR(__xludf.DUMMYFUNCTION("IMPORTRANGE(""https://docs.google.com/spreadsheets/d/1_Zwps30dlVa-pZFsorjVf1Pil6WXwzCsJU0U2whO3NI/edit?usp=sharing"",""ชลบุรี!J721"")"),0)</f>
        <v>0</v>
      </c>
      <c r="BA56" s="63">
        <f t="shared" ca="1" si="16"/>
        <v>0</v>
      </c>
      <c r="BB56" s="57">
        <f ca="1">IFERROR(__xludf.DUMMYFUNCTION("IMPORTRANGE(""https://docs.google.com/spreadsheets/d/1_Zwps30dlVa-pZFsorjVf1Pil6WXwzCsJU0U2whO3NI/edit?usp=sharing"",""ชลบุรี!J722"")"),0)</f>
        <v>0</v>
      </c>
      <c r="BC56" s="63">
        <f t="shared" ca="1" si="17"/>
        <v>0</v>
      </c>
      <c r="BD56" s="57">
        <f ca="1">IFERROR(__xludf.DUMMYFUNCTION("IMPORTRANGE(""https://docs.google.com/spreadsheets/d/1_Zwps30dlVa-pZFsorjVf1Pil6WXwzCsJU0U2whO3NI/edit?usp=sharing"",""ชลบุรี!I723"")"),0)</f>
        <v>0</v>
      </c>
      <c r="BE56" s="57">
        <f ca="1">IFERROR(__xludf.DUMMYFUNCTION("IMPORTRANGE(""https://docs.google.com/spreadsheets/d/1_Zwps30dlVa-pZFsorjVf1Pil6WXwzCsJU0U2whO3NI/edit?usp=sharing"",""ชลบุรี!I725"")"),0)</f>
        <v>0</v>
      </c>
      <c r="BF56" s="57">
        <f ca="1">IFERROR(__xludf.DUMMYFUNCTION("IMPORTRANGE(""https://docs.google.com/spreadsheets/d/1_Zwps30dlVa-pZFsorjVf1Pil6WXwzCsJU0U2whO3NI/edit?usp=sharing"",""ชลบุรี!J723"")"),0)</f>
        <v>0</v>
      </c>
      <c r="BG56" s="57">
        <f ca="1">IFERROR(__xludf.DUMMYFUNCTION("IMPORTRANGE(""https://docs.google.com/spreadsheets/d/1_Zwps30dlVa-pZFsorjVf1Pil6WXwzCsJU0U2whO3NI/edit?usp=sharing"",""ชลบุรี!J724"")"),0)</f>
        <v>0</v>
      </c>
      <c r="BH56" s="57">
        <f ca="1">IFERROR(__xludf.DUMMYFUNCTION("IMPORTRANGE(""https://docs.google.com/spreadsheets/d/1_Zwps30dlVa-pZFsorjVf1Pil6WXwzCsJU0U2whO3NI/edit?usp=sharing"",""ชลบุรี!J725"")"),0)</f>
        <v>0</v>
      </c>
      <c r="BI56" s="57">
        <f ca="1">IFERROR(__xludf.DUMMYFUNCTION("IMPORTRANGE(""https://docs.google.com/spreadsheets/d/1_Zwps30dlVa-pZFsorjVf1Pil6WXwzCsJU0U2whO3NI/edit?usp=sharing"",""ชลบุรี!I726"")"),0)</f>
        <v>0</v>
      </c>
      <c r="BJ56" s="57">
        <f ca="1">IFERROR(__xludf.DUMMYFUNCTION("IMPORTRANGE(""https://docs.google.com/spreadsheets/d/1_Zwps30dlVa-pZFsorjVf1Pil6WXwzCsJU0U2whO3NI/edit?usp=sharing"",""ชลบุรี!I728"")"),0)</f>
        <v>0</v>
      </c>
      <c r="BK56" s="57">
        <f ca="1">IFERROR(__xludf.DUMMYFUNCTION("IMPORTRANGE(""https://docs.google.com/spreadsheets/d/1_Zwps30dlVa-pZFsorjVf1Pil6WXwzCsJU0U2whO3NI/edit?usp=sharing"",""ชลบุรี!J726"")"),0)</f>
        <v>0</v>
      </c>
      <c r="BL56" s="57">
        <f ca="1">IFERROR(__xludf.DUMMYFUNCTION("IMPORTRANGE(""https://docs.google.com/spreadsheets/d/1_Zwps30dlVa-pZFsorjVf1Pil6WXwzCsJU0U2whO3NI/edit?usp=sharing"",""ชลบุรี!J727"")"),0)</f>
        <v>0</v>
      </c>
      <c r="BM56" s="57">
        <f ca="1">IFERROR(__xludf.DUMMYFUNCTION("IMPORTRANGE(""https://docs.google.com/spreadsheets/d/1_Zwps30dlVa-pZFsorjVf1Pil6WXwzCsJU0U2whO3NI/edit?usp=sharing"",""ชลบุรี!J728"")"),0)</f>
        <v>0</v>
      </c>
      <c r="BN56" s="57">
        <f ca="1">IFERROR(__xludf.DUMMYFUNCTION("IMPORTRANGE(""https://docs.google.com/spreadsheets/d/1_Zwps30dlVa-pZFsorjVf1Pil6WXwzCsJU0U2whO3NI/edit?usp=sharing"",""ชลบุรี!I729"")"),0)</f>
        <v>0</v>
      </c>
      <c r="BO56" s="57">
        <f ca="1">IFERROR(__xludf.DUMMYFUNCTION("IMPORTRANGE(""https://docs.google.com/spreadsheets/d/1_Zwps30dlVa-pZFsorjVf1Pil6WXwzCsJU0U2whO3NI/edit?usp=sharing"",""ชลบุรี!J729"")"),0)</f>
        <v>0</v>
      </c>
      <c r="BP56" s="63">
        <f t="shared" ca="1" si="19"/>
        <v>0</v>
      </c>
      <c r="BQ56" s="57">
        <f ca="1">IFERROR(__xludf.DUMMYFUNCTION("IMPORTRANGE(""https://docs.google.com/spreadsheets/d/1_Zwps30dlVa-pZFsorjVf1Pil6WXwzCsJU0U2whO3NI/edit?usp=sharing"",""ชลบุรี!J730"")"),0)</f>
        <v>0</v>
      </c>
      <c r="BR56" s="57">
        <f ca="1">IFERROR(__xludf.DUMMYFUNCTION("IMPORTRANGE(""https://docs.google.com/spreadsheets/d/1_Zwps30dlVa-pZFsorjVf1Pil6WXwzCsJU0U2whO3NI/edit?usp=sharing"",""ชลบุรี!J731"")"),0)</f>
        <v>0</v>
      </c>
      <c r="BS56" s="57">
        <f ca="1">IFERROR(__xludf.DUMMYFUNCTION("IMPORTRANGE(""https://docs.google.com/spreadsheets/d/1_Zwps30dlVa-pZFsorjVf1Pil6WXwzCsJU0U2whO3NI/edit?usp=sharing"",""ชลบุรี!J732"")"),0)</f>
        <v>0</v>
      </c>
      <c r="BT56" s="57">
        <f ca="1">IFERROR(__xludf.DUMMYFUNCTION("IMPORTRANGE(""https://docs.google.com/spreadsheets/d/1_Zwps30dlVa-pZFsorjVf1Pil6WXwzCsJU0U2whO3NI/edit?usp=sharing"",""ชลบุรี!J733"")"),0)</f>
        <v>0</v>
      </c>
      <c r="BU56" s="57">
        <f ca="1">IFERROR(__xludf.DUMMYFUNCTION("IMPORTRANGE(""https://docs.google.com/spreadsheets/d/1_Zwps30dlVa-pZFsorjVf1Pil6WXwzCsJU0U2whO3NI/edit?usp=sharing"",""ชลบุรี!J734"")"),0)</f>
        <v>0</v>
      </c>
      <c r="BV56" s="57">
        <f ca="1">IFERROR(__xludf.DUMMYFUNCTION("IMPORTRANGE(""https://docs.google.com/spreadsheets/d/1_Zwps30dlVa-pZFsorjVf1Pil6WXwzCsJU0U2whO3NI/edit?usp=sharing"",""ชลบุรี!J735"")"),0)</f>
        <v>0</v>
      </c>
    </row>
    <row r="57" spans="1:74" ht="21" customHeight="1" x14ac:dyDescent="0.3">
      <c r="A57" s="54">
        <v>5</v>
      </c>
      <c r="B57" s="55" t="s">
        <v>78</v>
      </c>
      <c r="C57" s="56">
        <f t="shared" ca="1" si="75"/>
        <v>11040</v>
      </c>
      <c r="D57" s="57">
        <f ca="1">IFERROR(__xludf.DUMMYFUNCTION("IMPORTRANGE(""https://docs.google.com/spreadsheets/d/1xAsT4sUbBlom7l0acStESh_15nvjZcXjZM7fK5uZSq8/edit?usp=sharing"",""ชัยนาท!L690"")"),11040)</f>
        <v>11040</v>
      </c>
      <c r="E57" s="64">
        <f ca="1">IFERROR(__xludf.DUMMYFUNCTION("IMPORTRANGE(""https://docs.google.com/spreadsheets/d/1xAsT4sUbBlom7l0acStESh_15nvjZcXjZM7fK5uZSq8/edit?usp=sharing"",""ชัยนาท!L697"")"),0)</f>
        <v>0</v>
      </c>
      <c r="F57" s="64">
        <f ca="1">IFERROR(__xludf.DUMMYFUNCTION("IMPORTRANGE(""https://docs.google.com/spreadsheets/d/1xAsT4sUbBlom7l0acStESh_15nvjZcXjZM7fK5uZSq8/edit?usp=sharing"",""ชัยนาท!M690"")"),11040)</f>
        <v>11040</v>
      </c>
      <c r="G57" s="64">
        <f ca="1">IFERROR(__xludf.DUMMYFUNCTION("IMPORTRANGE(""https://docs.google.com/spreadsheets/d/1xAsT4sUbBlom7l0acStESh_15nvjZcXjZM7fK5uZSq8/edit?usp=sharing"",""ชัยนาท!M697"")"),0)</f>
        <v>0</v>
      </c>
      <c r="H57" s="58">
        <f t="shared" ca="1" si="33"/>
        <v>4720</v>
      </c>
      <c r="I57" s="59">
        <f t="shared" ca="1" si="1"/>
        <v>42.753623188405797</v>
      </c>
      <c r="J57" s="60">
        <f t="shared" ca="1" si="76"/>
        <v>4720</v>
      </c>
      <c r="K57" s="61">
        <f t="shared" ca="1" si="39"/>
        <v>42.753623188405797</v>
      </c>
      <c r="L57" s="61">
        <f t="shared" ca="1" si="40"/>
        <v>42.753623188405797</v>
      </c>
      <c r="M57" s="64">
        <f ca="1">IFERROR(__xludf.DUMMYFUNCTION("IMPORTRANGE(""https://docs.google.com/spreadsheets/d/1xAsT4sUbBlom7l0acStESh_15nvjZcXjZM7fK5uZSq8/edit?usp=sharing"",""ชัยนาท!N691"")"),0)</f>
        <v>0</v>
      </c>
      <c r="N57" s="64">
        <f ca="1">IFERROR(__xludf.DUMMYFUNCTION("IMPORTRANGE(""https://docs.google.com/spreadsheets/d/1xAsT4sUbBlom7l0acStESh_15nvjZcXjZM7fK5uZSq8/edit?usp=sharing"",""ชัยนาท!N692"")"),0)</f>
        <v>0</v>
      </c>
      <c r="O57" s="64">
        <f ca="1">IFERROR(__xludf.DUMMYFUNCTION("IMPORTRANGE(""https://docs.google.com/spreadsheets/d/1xAsT4sUbBlom7l0acStESh_15nvjZcXjZM7fK5uZSq8/edit?usp=sharing"",""ชัยนาท!N693"")"),0)</f>
        <v>0</v>
      </c>
      <c r="P57" s="64">
        <f ca="1">IFERROR(__xludf.DUMMYFUNCTION("IMPORTRANGE(""https://docs.google.com/spreadsheets/d/1xAsT4sUbBlom7l0acStESh_15nvjZcXjZM7fK5uZSq8/edit?usp=sharing"",""ชัยนาท!N694"")"),4720)</f>
        <v>4720</v>
      </c>
      <c r="Q57" s="62">
        <f ca="1">IFERROR(__xludf.DUMMYFUNCTION("IMPORTRANGE(""https://docs.google.com/spreadsheets/d/1xAsT4sUbBlom7l0acStESh_15nvjZcXjZM7fK5uZSq8/edit?usp=sharing"",""ชัยนาท!N697"")"),0)</f>
        <v>0</v>
      </c>
      <c r="R57" s="62">
        <f t="shared" ca="1" si="42"/>
        <v>0</v>
      </c>
      <c r="S57" s="57">
        <f ca="1">IFERROR(__xludf.DUMMYFUNCTION("IMPORTRANGE(""https://docs.google.com/spreadsheets/d/1xAsT4sUbBlom7l0acStESh_15nvjZcXjZM7fK5uZSq8/edit?usp=sharing"",""ชัยนาท!I699"")"),25)</f>
        <v>25</v>
      </c>
      <c r="T57" s="57">
        <f ca="1">IFERROR(__xludf.DUMMYFUNCTION("IMPORTRANGE(""https://docs.google.com/spreadsheets/d/1xAsT4sUbBlom7l0acStESh_15nvjZcXjZM7fK5uZSq8/edit?usp=sharing"",""ชัยนาท!J699"")"),25.2)</f>
        <v>25.2</v>
      </c>
      <c r="U57" s="63">
        <f t="shared" ca="1" si="34"/>
        <v>100.8</v>
      </c>
      <c r="V57" s="57">
        <f ca="1">IFERROR(__xludf.DUMMYFUNCTION("IMPORTRANGE(""https://docs.google.com/spreadsheets/d/1xAsT4sUbBlom7l0acStESh_15nvjZcXjZM7fK5uZSq8/edit?usp=sharing"",""ชัยนาท!I700"")"),5)</f>
        <v>5</v>
      </c>
      <c r="W57" s="57">
        <f ca="1">IFERROR(__xludf.DUMMYFUNCTION("IMPORTRANGE(""https://docs.google.com/spreadsheets/d/1xAsT4sUbBlom7l0acStESh_15nvjZcXjZM7fK5uZSq8/edit?usp=sharing"",""ชัยนาท!J700"")"),0)</f>
        <v>0</v>
      </c>
      <c r="X57" s="63">
        <f t="shared" ca="1" si="35"/>
        <v>0</v>
      </c>
      <c r="Y57" s="57">
        <f ca="1">IFERROR(__xludf.DUMMYFUNCTION("IMPORTRANGE(""https://docs.google.com/spreadsheets/d/1xAsT4sUbBlom7l0acStESh_15nvjZcXjZM7fK5uZSq8/edit?usp=sharing"",""ชัยนาท!I701"")"),70)</f>
        <v>70</v>
      </c>
      <c r="Z57" s="57">
        <f ca="1">IFERROR(__xludf.DUMMYFUNCTION("IMPORTRANGE(""https://docs.google.com/spreadsheets/d/1xAsT4sUbBlom7l0acStESh_15nvjZcXjZM7fK5uZSq8/edit?usp=sharing"",""ชัยนาท!J701"")"),129)</f>
        <v>129</v>
      </c>
      <c r="AA57" s="63">
        <f t="shared" ca="1" si="36"/>
        <v>184.28571428571428</v>
      </c>
      <c r="AB57" s="63">
        <f ca="1">IFERROR(__xludf.DUMMYFUNCTION("IMPORTRANGE(""https://docs.google.com/spreadsheets/d/1xAsT4sUbBlom7l0acStESh_15nvjZcXjZM7fK5uZSq8/edit?usp=sharing"",""ชัยนาท!J702"")"),5)</f>
        <v>5</v>
      </c>
      <c r="AC57" s="63">
        <f ca="1">IFERROR(__xludf.DUMMYFUNCTION("IMPORTRANGE(""https://docs.google.com/spreadsheets/d/1xAsT4sUbBlom7l0acStESh_15nvjZcXjZM7fK5uZSq8/edit?usp=sharing"",""ชัยนาท!J703"")"),5)</f>
        <v>5</v>
      </c>
      <c r="AD57" s="63">
        <f ca="1">IFERROR(__xludf.DUMMYFUNCTION("IMPORTRANGE(""https://docs.google.com/spreadsheets/d/1xAsT4sUbBlom7l0acStESh_15nvjZcXjZM7fK5uZSq8/edit?usp=sharing"",""ชัยนาท!J704"")"),84)</f>
        <v>84</v>
      </c>
      <c r="AE57" s="63">
        <f ca="1">IFERROR(__xludf.DUMMYFUNCTION("IMPORTRANGE(""https://docs.google.com/spreadsheets/d/1xAsT4sUbBlom7l0acStESh_15nvjZcXjZM7fK5uZSq8/edit?usp=sharing"",""ชัยนาท!J705"")"),2)</f>
        <v>2</v>
      </c>
      <c r="AF57" s="63">
        <f ca="1">IFERROR(__xludf.DUMMYFUNCTION("IMPORTRANGE(""https://docs.google.com/spreadsheets/d/1xAsT4sUbBlom7l0acStESh_15nvjZcXjZM7fK5uZSq8/edit?usp=sharing"",""ชัยนาท!J706"")"),2)</f>
        <v>2</v>
      </c>
      <c r="AG57" s="63">
        <f ca="1">IFERROR(__xludf.DUMMYFUNCTION("IMPORTRANGE(""https://docs.google.com/spreadsheets/d/1xAsT4sUbBlom7l0acStESh_15nvjZcXjZM7fK5uZSq8/edit?usp=sharing"",""ชัยนาท!J707"")"),45)</f>
        <v>45</v>
      </c>
      <c r="AH57" s="57">
        <f ca="1">IFERROR(__xludf.DUMMYFUNCTION("IMPORTRANGE(""https://docs.google.com/spreadsheets/d/1xAsT4sUbBlom7l0acStESh_15nvjZcXjZM7fK5uZSq8/edit?usp=sharing"",""ชัยนาท!I708"")"),60)</f>
        <v>60</v>
      </c>
      <c r="AI57" s="57">
        <f ca="1">IFERROR(__xludf.DUMMYFUNCTION("IMPORTRANGE(""https://docs.google.com/spreadsheets/d/1xAsT4sUbBlom7l0acStESh_15nvjZcXjZM7fK5uZSq8/edit?usp=sharing"",""ชัยนาท!J708"")"),0)</f>
        <v>0</v>
      </c>
      <c r="AJ57" s="63">
        <f t="shared" ca="1" si="37"/>
        <v>0</v>
      </c>
      <c r="AK57" s="57">
        <f ca="1">IFERROR(__xludf.DUMMYFUNCTION("IMPORTRANGE(""https://docs.google.com/spreadsheets/d/1xAsT4sUbBlom7l0acStESh_15nvjZcXjZM7fK5uZSq8/edit?usp=sharing"",""ชัยนาท!J709"")"),0)</f>
        <v>0</v>
      </c>
      <c r="AL57" s="57">
        <f ca="1">IFERROR(__xludf.DUMMYFUNCTION("IMPORTRANGE(""https://docs.google.com/spreadsheets/d/1xAsT4sUbBlom7l0acStESh_15nvjZcXjZM7fK5uZSq8/edit?usp=sharing"",""ชัยนาท!J710"")"),0)</f>
        <v>0</v>
      </c>
      <c r="AM57" s="57">
        <f ca="1">IFERROR(__xludf.DUMMYFUNCTION("IMPORTRANGE(""https://docs.google.com/spreadsheets/d/1xAsT4sUbBlom7l0acStESh_15nvjZcXjZM7fK5uZSq8/edit?usp=sharing"",""ชัยนาท!J712"")"),0)</f>
        <v>0</v>
      </c>
      <c r="AN57" s="57">
        <f ca="1">IFERROR(__xludf.DUMMYFUNCTION("IMPORTRANGE(""https://docs.google.com/spreadsheets/d/1xAsT4sUbBlom7l0acStESh_15nvjZcXjZM7fK5uZSq8/edit?usp=sharing"",""ชัยนาท!J713"")"),0)</f>
        <v>0</v>
      </c>
      <c r="AO57" s="57">
        <f ca="1">IFERROR(__xludf.DUMMYFUNCTION("IMPORTRANGE(""https://docs.google.com/spreadsheets/d/1xAsT4sUbBlom7l0acStESh_15nvjZcXjZM7fK5uZSq8/edit?usp=sharing"",""ชัยนาท!J714"")"),0)</f>
        <v>0</v>
      </c>
      <c r="AP57" s="57">
        <f ca="1">IFERROR(__xludf.DUMMYFUNCTION("IMPORTRANGE(""https://docs.google.com/spreadsheets/d/1xAsT4sUbBlom7l0acStESh_15nvjZcXjZM7fK5uZSq8/edit?usp=sharing"",""ชัยนาท!J715"")"),0)</f>
        <v>0</v>
      </c>
      <c r="AQ57" s="57">
        <f ca="1">IFERROR(__xludf.DUMMYFUNCTION("IMPORTRANGE(""https://docs.google.com/spreadsheets/d/1xAsT4sUbBlom7l0acStESh_15nvjZcXjZM7fK5uZSq8/edit?usp=sharing"",""ชัยนาท!J716"")"),0)</f>
        <v>0</v>
      </c>
      <c r="AR57" s="57">
        <f ca="1">IFERROR(__xludf.DUMMYFUNCTION("IMPORTRANGE(""https://docs.google.com/spreadsheets/d/1xAsT4sUbBlom7l0acStESh_15nvjZcXjZM7fK5uZSq8/edit?usp=sharing"",""ชัยนาท!J717"")"),0)</f>
        <v>0</v>
      </c>
      <c r="AS57" s="57">
        <f ca="1">IFERROR(__xludf.DUMMYFUNCTION("IMPORTRANGE(""https://docs.google.com/spreadsheets/d/1xAsT4sUbBlom7l0acStESh_15nvjZcXjZM7fK5uZSq8/edit?usp=sharing"",""ชัยนาท!I720"")"),50)</f>
        <v>50</v>
      </c>
      <c r="AT57" s="57">
        <f ca="1">IFERROR(__xludf.DUMMYFUNCTION("IMPORTRANGE(""https://docs.google.com/spreadsheets/d/1xAsT4sUbBlom7l0acStESh_15nvjZcXjZM7fK5uZSq8/edit?usp=sharing"",""ชัยนาท!J718"")"),0)</f>
        <v>0</v>
      </c>
      <c r="AU57" s="57">
        <f ca="1">IFERROR(__xludf.DUMMYFUNCTION("IMPORTRANGE(""https://docs.google.com/spreadsheets/d/1xAsT4sUbBlom7l0acStESh_15nvjZcXjZM7fK5uZSq8/edit?usp=sharing"",""ชัยนาท!J719"")"),0)</f>
        <v>0</v>
      </c>
      <c r="AV57" s="57">
        <f ca="1">IFERROR(__xludf.DUMMYFUNCTION("IMPORTRANGE(""https://docs.google.com/spreadsheets/d/1xAsT4sUbBlom7l0acStESh_15nvjZcXjZM7fK5uZSq8/edit?usp=sharing"",""ชัยนาท!J720"")"),0)</f>
        <v>0</v>
      </c>
      <c r="AW57" s="63">
        <f t="shared" ca="1" si="14"/>
        <v>0</v>
      </c>
      <c r="AX57" s="57">
        <f ca="1">IFERROR(__xludf.DUMMYFUNCTION("IMPORTRANGE(""https://docs.google.com/spreadsheets/d/1xAsT4sUbBlom7l0acStESh_15nvjZcXjZM7fK5uZSq8/edit?usp=sharing"",""ชัยนาท!I721"")"),5)</f>
        <v>5</v>
      </c>
      <c r="AY57" s="57">
        <f ca="1">IFERROR(__xludf.DUMMYFUNCTION("IMPORTRANGE(""https://docs.google.com/spreadsheets/d/1xAsT4sUbBlom7l0acStESh_15nvjZcXjZM7fK5uZSq8/edit?usp=sharing"",""ชัยนาท!I722"")"),100)</f>
        <v>100</v>
      </c>
      <c r="AZ57" s="57">
        <f ca="1">IFERROR(__xludf.DUMMYFUNCTION("IMPORTRANGE(""https://docs.google.com/spreadsheets/d/1xAsT4sUbBlom7l0acStESh_15nvjZcXjZM7fK5uZSq8/edit?usp=sharing"",""ชัยนาท!J721"")"),0)</f>
        <v>0</v>
      </c>
      <c r="BA57" s="63">
        <f t="shared" ca="1" si="16"/>
        <v>0</v>
      </c>
      <c r="BB57" s="57">
        <f ca="1">IFERROR(__xludf.DUMMYFUNCTION("IMPORTRANGE(""https://docs.google.com/spreadsheets/d/1xAsT4sUbBlom7l0acStESh_15nvjZcXjZM7fK5uZSq8/edit?usp=sharing"",""ชัยนาท!J722"")"),0)</f>
        <v>0</v>
      </c>
      <c r="BC57" s="63">
        <f t="shared" ca="1" si="17"/>
        <v>0</v>
      </c>
      <c r="BD57" s="57">
        <f ca="1">IFERROR(__xludf.DUMMYFUNCTION("IMPORTRANGE(""https://docs.google.com/spreadsheets/d/1xAsT4sUbBlom7l0acStESh_15nvjZcXjZM7fK5uZSq8/edit?usp=sharing"",""ชัยนาท!I723"")"),5)</f>
        <v>5</v>
      </c>
      <c r="BE57" s="57">
        <f ca="1">IFERROR(__xludf.DUMMYFUNCTION("IMPORTRANGE(""https://docs.google.com/spreadsheets/d/1xAsT4sUbBlom7l0acStESh_15nvjZcXjZM7fK5uZSq8/edit?usp=sharing"",""ชัยนาท!I725"")"),100)</f>
        <v>100</v>
      </c>
      <c r="BF57" s="57">
        <f ca="1">IFERROR(__xludf.DUMMYFUNCTION("IMPORTRANGE(""https://docs.google.com/spreadsheets/d/1xAsT4sUbBlom7l0acStESh_15nvjZcXjZM7fK5uZSq8/edit?usp=sharing"",""ชัยนาท!J723"")"),0)</f>
        <v>0</v>
      </c>
      <c r="BG57" s="57">
        <f ca="1">IFERROR(__xludf.DUMMYFUNCTION("IMPORTRANGE(""https://docs.google.com/spreadsheets/d/1xAsT4sUbBlom7l0acStESh_15nvjZcXjZM7fK5uZSq8/edit?usp=sharing"",""ชัยนาท!J724"")"),0)</f>
        <v>0</v>
      </c>
      <c r="BH57" s="57">
        <f ca="1">IFERROR(__xludf.DUMMYFUNCTION("IMPORTRANGE(""https://docs.google.com/spreadsheets/d/1xAsT4sUbBlom7l0acStESh_15nvjZcXjZM7fK5uZSq8/edit?usp=sharing"",""ชัยนาท!J725"")"),0)</f>
        <v>0</v>
      </c>
      <c r="BI57" s="57">
        <f ca="1">IFERROR(__xludf.DUMMYFUNCTION("IMPORTRANGE(""https://docs.google.com/spreadsheets/d/1xAsT4sUbBlom7l0acStESh_15nvjZcXjZM7fK5uZSq8/edit?usp=sharing"",""ชัยนาท!I726"")"),0)</f>
        <v>0</v>
      </c>
      <c r="BJ57" s="57">
        <f ca="1">IFERROR(__xludf.DUMMYFUNCTION("IMPORTRANGE(""https://docs.google.com/spreadsheets/d/1xAsT4sUbBlom7l0acStESh_15nvjZcXjZM7fK5uZSq8/edit?usp=sharing"",""ชัยนาท!I728"")"),0)</f>
        <v>0</v>
      </c>
      <c r="BK57" s="57">
        <f ca="1">IFERROR(__xludf.DUMMYFUNCTION("IMPORTRANGE(""https://docs.google.com/spreadsheets/d/1xAsT4sUbBlom7l0acStESh_15nvjZcXjZM7fK5uZSq8/edit?usp=sharing"",""ชัยนาท!J726"")"),0)</f>
        <v>0</v>
      </c>
      <c r="BL57" s="57">
        <f ca="1">IFERROR(__xludf.DUMMYFUNCTION("IMPORTRANGE(""https://docs.google.com/spreadsheets/d/1xAsT4sUbBlom7l0acStESh_15nvjZcXjZM7fK5uZSq8/edit?usp=sharing"",""ชัยนาท!J727"")"),0)</f>
        <v>0</v>
      </c>
      <c r="BM57" s="57">
        <f ca="1">IFERROR(__xludf.DUMMYFUNCTION("IMPORTRANGE(""https://docs.google.com/spreadsheets/d/1xAsT4sUbBlom7l0acStESh_15nvjZcXjZM7fK5uZSq8/edit?usp=sharing"",""ชัยนาท!J728"")"),0)</f>
        <v>0</v>
      </c>
      <c r="BN57" s="57">
        <f ca="1">IFERROR(__xludf.DUMMYFUNCTION("IMPORTRANGE(""https://docs.google.com/spreadsheets/d/1xAsT4sUbBlom7l0acStESh_15nvjZcXjZM7fK5uZSq8/edit?usp=sharing"",""ชัยนาท!I729"")"),0)</f>
        <v>0</v>
      </c>
      <c r="BO57" s="57">
        <f ca="1">IFERROR(__xludf.DUMMYFUNCTION("IMPORTRANGE(""https://docs.google.com/spreadsheets/d/1xAsT4sUbBlom7l0acStESh_15nvjZcXjZM7fK5uZSq8/edit?usp=sharing"",""ชัยนาท!J729"")"),0)</f>
        <v>0</v>
      </c>
      <c r="BP57" s="63">
        <f t="shared" ca="1" si="19"/>
        <v>0</v>
      </c>
      <c r="BQ57" s="57">
        <f ca="1">IFERROR(__xludf.DUMMYFUNCTION("IMPORTRANGE(""https://docs.google.com/spreadsheets/d/1xAsT4sUbBlom7l0acStESh_15nvjZcXjZM7fK5uZSq8/edit?usp=sharing"",""ชัยนาท!J730"")"),0)</f>
        <v>0</v>
      </c>
      <c r="BR57" s="57">
        <f ca="1">IFERROR(__xludf.DUMMYFUNCTION("IMPORTRANGE(""https://docs.google.com/spreadsheets/d/1xAsT4sUbBlom7l0acStESh_15nvjZcXjZM7fK5uZSq8/edit?usp=sharing"",""ชัยนาท!J731"")"),0)</f>
        <v>0</v>
      </c>
      <c r="BS57" s="57">
        <f ca="1">IFERROR(__xludf.DUMMYFUNCTION("IMPORTRANGE(""https://docs.google.com/spreadsheets/d/1xAsT4sUbBlom7l0acStESh_15nvjZcXjZM7fK5uZSq8/edit?usp=sharing"",""ชัยนาท!J732"")"),0)</f>
        <v>0</v>
      </c>
      <c r="BT57" s="57">
        <f ca="1">IFERROR(__xludf.DUMMYFUNCTION("IMPORTRANGE(""https://docs.google.com/spreadsheets/d/1xAsT4sUbBlom7l0acStESh_15nvjZcXjZM7fK5uZSq8/edit?usp=sharing"",""ชัยนาท!J733"")"),0)</f>
        <v>0</v>
      </c>
      <c r="BU57" s="57">
        <f ca="1">IFERROR(__xludf.DUMMYFUNCTION("IMPORTRANGE(""https://docs.google.com/spreadsheets/d/1xAsT4sUbBlom7l0acStESh_15nvjZcXjZM7fK5uZSq8/edit?usp=sharing"",""ชัยนาท!J734"")"),0)</f>
        <v>0</v>
      </c>
      <c r="BV57" s="57">
        <f ca="1">IFERROR(__xludf.DUMMYFUNCTION("IMPORTRANGE(""https://docs.google.com/spreadsheets/d/1xAsT4sUbBlom7l0acStESh_15nvjZcXjZM7fK5uZSq8/edit?usp=sharing"",""ชัยนาท!J735"")"),0)</f>
        <v>0</v>
      </c>
    </row>
    <row r="58" spans="1:74" ht="21" customHeight="1" x14ac:dyDescent="0.3">
      <c r="A58" s="54">
        <v>6</v>
      </c>
      <c r="B58" s="55" t="s">
        <v>79</v>
      </c>
      <c r="C58" s="56">
        <f t="shared" ca="1" si="75"/>
        <v>0</v>
      </c>
      <c r="D58" s="57">
        <f ca="1">IFERROR(__xludf.DUMMYFUNCTION("IMPORTRANGE(""https://docs.google.com/spreadsheets/d/1vWPVBOAaZ6mHSI8yf95DNqHwTJ1cpeFsvqt6cxV34QA/edit?usp=sharing"",""ตราด!L690"")"),0)</f>
        <v>0</v>
      </c>
      <c r="E58" s="64">
        <f ca="1">IFERROR(__xludf.DUMMYFUNCTION("IMPORTRANGE(""https://docs.google.com/spreadsheets/d/1vWPVBOAaZ6mHSI8yf95DNqHwTJ1cpeFsvqt6cxV34QA/edit?usp=sharing"",""ตราด!L697"")"),0)</f>
        <v>0</v>
      </c>
      <c r="F58" s="64">
        <f ca="1">IFERROR(__xludf.DUMMYFUNCTION("IMPORTRANGE(""https://docs.google.com/spreadsheets/d/1vWPVBOAaZ6mHSI8yf95DNqHwTJ1cpeFsvqt6cxV34QA/edit?usp=sharing"",""ตราด!M690"")"),0)</f>
        <v>0</v>
      </c>
      <c r="G58" s="64">
        <f ca="1">IFERROR(__xludf.DUMMYFUNCTION("IMPORTRANGE(""https://docs.google.com/spreadsheets/d/1vWPVBOAaZ6mHSI8yf95DNqHwTJ1cpeFsvqt6cxV34QA/edit?usp=sharing"",""ตราด!M697"")"),0)</f>
        <v>0</v>
      </c>
      <c r="H58" s="58">
        <f t="shared" ca="1" si="33"/>
        <v>0</v>
      </c>
      <c r="I58" s="59">
        <f t="shared" ca="1" si="1"/>
        <v>0</v>
      </c>
      <c r="J58" s="60">
        <f t="shared" ca="1" si="76"/>
        <v>0</v>
      </c>
      <c r="K58" s="61">
        <f t="shared" ca="1" si="39"/>
        <v>0</v>
      </c>
      <c r="L58" s="61">
        <f t="shared" ca="1" si="40"/>
        <v>0</v>
      </c>
      <c r="M58" s="64">
        <f ca="1">IFERROR(__xludf.DUMMYFUNCTION("IMPORTRANGE(""https://docs.google.com/spreadsheets/d/1vWPVBOAaZ6mHSI8yf95DNqHwTJ1cpeFsvqt6cxV34QA/edit?usp=sharing"",""ตราด!N691"")"),0)</f>
        <v>0</v>
      </c>
      <c r="N58" s="64">
        <f ca="1">IFERROR(__xludf.DUMMYFUNCTION("IMPORTRANGE(""https://docs.google.com/spreadsheets/d/1vWPVBOAaZ6mHSI8yf95DNqHwTJ1cpeFsvqt6cxV34QA/edit?usp=sharing"",""ตราด!N692"")"),0)</f>
        <v>0</v>
      </c>
      <c r="O58" s="64">
        <f ca="1">IFERROR(__xludf.DUMMYFUNCTION("IMPORTRANGE(""https://docs.google.com/spreadsheets/d/1vWPVBOAaZ6mHSI8yf95DNqHwTJ1cpeFsvqt6cxV34QA/edit?usp=sharing"",""ตราด!N693"")"),0)</f>
        <v>0</v>
      </c>
      <c r="P58" s="64">
        <f ca="1">IFERROR(__xludf.DUMMYFUNCTION("IMPORTRANGE(""https://docs.google.com/spreadsheets/d/1vWPVBOAaZ6mHSI8yf95DNqHwTJ1cpeFsvqt6cxV34QA/edit?usp=sharing"",""ตราด!N694"")"),0)</f>
        <v>0</v>
      </c>
      <c r="Q58" s="62">
        <f ca="1">IFERROR(__xludf.DUMMYFUNCTION("IMPORTRANGE(""https://docs.google.com/spreadsheets/d/1vWPVBOAaZ6mHSI8yf95DNqHwTJ1cpeFsvqt6cxV34QA/edit?usp=sharing"",""ตราด!N697"")"),0)</f>
        <v>0</v>
      </c>
      <c r="R58" s="62">
        <f t="shared" ca="1" si="42"/>
        <v>0</v>
      </c>
      <c r="S58" s="57">
        <f ca="1">IFERROR(__xludf.DUMMYFUNCTION("IMPORTRANGE(""https://docs.google.com/spreadsheets/d/1vWPVBOAaZ6mHSI8yf95DNqHwTJ1cpeFsvqt6cxV34QA/edit?usp=sharing"",""ตราด!I699"")"),0)</f>
        <v>0</v>
      </c>
      <c r="T58" s="57">
        <f ca="1">IFERROR(__xludf.DUMMYFUNCTION("IMPORTRANGE(""https://docs.google.com/spreadsheets/d/1vWPVBOAaZ6mHSI8yf95DNqHwTJ1cpeFsvqt6cxV34QA/edit?usp=sharing"",""ตราด!J699"")"),0)</f>
        <v>0</v>
      </c>
      <c r="U58" s="63">
        <f t="shared" ca="1" si="34"/>
        <v>0</v>
      </c>
      <c r="V58" s="57">
        <f ca="1">IFERROR(__xludf.DUMMYFUNCTION("IMPORTRANGE(""https://docs.google.com/spreadsheets/d/1vWPVBOAaZ6mHSI8yf95DNqHwTJ1cpeFsvqt6cxV34QA/edit?usp=sharing"",""ตราด!I700"")"),0)</f>
        <v>0</v>
      </c>
      <c r="W58" s="57">
        <f ca="1">IFERROR(__xludf.DUMMYFUNCTION("IMPORTRANGE(""https://docs.google.com/spreadsheets/d/1vWPVBOAaZ6mHSI8yf95DNqHwTJ1cpeFsvqt6cxV34QA/edit?usp=sharing"",""ตราด!J700"")"),0)</f>
        <v>0</v>
      </c>
      <c r="X58" s="63">
        <f t="shared" ca="1" si="35"/>
        <v>0</v>
      </c>
      <c r="Y58" s="57">
        <f ca="1">IFERROR(__xludf.DUMMYFUNCTION("IMPORTRANGE(""https://docs.google.com/spreadsheets/d/1vWPVBOAaZ6mHSI8yf95DNqHwTJ1cpeFsvqt6cxV34QA/edit?usp=sharing"",""ตราด!I701"")"),0)</f>
        <v>0</v>
      </c>
      <c r="Z58" s="57">
        <f ca="1">IFERROR(__xludf.DUMMYFUNCTION("IMPORTRANGE(""https://docs.google.com/spreadsheets/d/1vWPVBOAaZ6mHSI8yf95DNqHwTJ1cpeFsvqt6cxV34QA/edit?usp=sharing"",""ตราด!J701"")"),0)</f>
        <v>0</v>
      </c>
      <c r="AA58" s="63">
        <f t="shared" ca="1" si="36"/>
        <v>0</v>
      </c>
      <c r="AB58" s="63">
        <f ca="1">IFERROR(__xludf.DUMMYFUNCTION("IMPORTRANGE(""https://docs.google.com/spreadsheets/d/1vWPVBOAaZ6mHSI8yf95DNqHwTJ1cpeFsvqt6cxV34QA/edit?usp=sharing"",""ตราด!J702"")"),0)</f>
        <v>0</v>
      </c>
      <c r="AC58" s="63">
        <f ca="1">IFERROR(__xludf.DUMMYFUNCTION("IMPORTRANGE(""https://docs.google.com/spreadsheets/d/1vWPVBOAaZ6mHSI8yf95DNqHwTJ1cpeFsvqt6cxV34QA/edit?usp=sharing"",""ตราด!J703"")"),0)</f>
        <v>0</v>
      </c>
      <c r="AD58" s="63">
        <f ca="1">IFERROR(__xludf.DUMMYFUNCTION("IMPORTRANGE(""https://docs.google.com/spreadsheets/d/1vWPVBOAaZ6mHSI8yf95DNqHwTJ1cpeFsvqt6cxV34QA/edit?usp=sharing"",""ตราด!J704"")"),0)</f>
        <v>0</v>
      </c>
      <c r="AE58" s="63">
        <f ca="1">IFERROR(__xludf.DUMMYFUNCTION("IMPORTRANGE(""https://docs.google.com/spreadsheets/d/1vWPVBOAaZ6mHSI8yf95DNqHwTJ1cpeFsvqt6cxV34QA/edit?usp=sharing"",""ตราด!J705"")"),0)</f>
        <v>0</v>
      </c>
      <c r="AF58" s="63">
        <f ca="1">IFERROR(__xludf.DUMMYFUNCTION("IMPORTRANGE(""https://docs.google.com/spreadsheets/d/1vWPVBOAaZ6mHSI8yf95DNqHwTJ1cpeFsvqt6cxV34QA/edit?usp=sharing"",""ตราด!J706"")"),0)</f>
        <v>0</v>
      </c>
      <c r="AG58" s="63">
        <f ca="1">IFERROR(__xludf.DUMMYFUNCTION("IMPORTRANGE(""https://docs.google.com/spreadsheets/d/1vWPVBOAaZ6mHSI8yf95DNqHwTJ1cpeFsvqt6cxV34QA/edit?usp=sharing"",""ตราด!J707"")"),0)</f>
        <v>0</v>
      </c>
      <c r="AH58" s="57">
        <f ca="1">IFERROR(__xludf.DUMMYFUNCTION("IMPORTRANGE(""https://docs.google.com/spreadsheets/d/1vWPVBOAaZ6mHSI8yf95DNqHwTJ1cpeFsvqt6cxV34QA/edit?usp=sharing"",""ตราด!I708"")"),0)</f>
        <v>0</v>
      </c>
      <c r="AI58" s="57">
        <f ca="1">IFERROR(__xludf.DUMMYFUNCTION("IMPORTRANGE(""https://docs.google.com/spreadsheets/d/1vWPVBOAaZ6mHSI8yf95DNqHwTJ1cpeFsvqt6cxV34QA/edit?usp=sharing"",""ตราด!J708"")"),0)</f>
        <v>0</v>
      </c>
      <c r="AJ58" s="63">
        <f t="shared" ca="1" si="37"/>
        <v>0</v>
      </c>
      <c r="AK58" s="57">
        <f ca="1">IFERROR(__xludf.DUMMYFUNCTION("IMPORTRANGE(""https://docs.google.com/spreadsheets/d/1vWPVBOAaZ6mHSI8yf95DNqHwTJ1cpeFsvqt6cxV34QA/edit?usp=sharing"",""ตราด!J709"")"),0)</f>
        <v>0</v>
      </c>
      <c r="AL58" s="57">
        <f ca="1">IFERROR(__xludf.DUMMYFUNCTION("IMPORTRANGE(""https://docs.google.com/spreadsheets/d/1vWPVBOAaZ6mHSI8yf95DNqHwTJ1cpeFsvqt6cxV34QA/edit?usp=sharing"",""ตราด!J710"")"),0)</f>
        <v>0</v>
      </c>
      <c r="AM58" s="57">
        <f ca="1">IFERROR(__xludf.DUMMYFUNCTION("IMPORTRANGE(""https://docs.google.com/spreadsheets/d/1vWPVBOAaZ6mHSI8yf95DNqHwTJ1cpeFsvqt6cxV34QA/edit?usp=sharing"",""ตราด!J712"")"),0)</f>
        <v>0</v>
      </c>
      <c r="AN58" s="57">
        <f ca="1">IFERROR(__xludf.DUMMYFUNCTION("IMPORTRANGE(""https://docs.google.com/spreadsheets/d/1vWPVBOAaZ6mHSI8yf95DNqHwTJ1cpeFsvqt6cxV34QA/edit?usp=sharing"",""ตราด!J713"")"),0)</f>
        <v>0</v>
      </c>
      <c r="AO58" s="57">
        <f ca="1">IFERROR(__xludf.DUMMYFUNCTION("IMPORTRANGE(""https://docs.google.com/spreadsheets/d/1vWPVBOAaZ6mHSI8yf95DNqHwTJ1cpeFsvqt6cxV34QA/edit?usp=sharing"",""ตราด!J714"")"),0)</f>
        <v>0</v>
      </c>
      <c r="AP58" s="57">
        <f ca="1">IFERROR(__xludf.DUMMYFUNCTION("IMPORTRANGE(""https://docs.google.com/spreadsheets/d/1vWPVBOAaZ6mHSI8yf95DNqHwTJ1cpeFsvqt6cxV34QA/edit?usp=sharing"",""ตราด!J715"")"),0)</f>
        <v>0</v>
      </c>
      <c r="AQ58" s="57">
        <f ca="1">IFERROR(__xludf.DUMMYFUNCTION("IMPORTRANGE(""https://docs.google.com/spreadsheets/d/1vWPVBOAaZ6mHSI8yf95DNqHwTJ1cpeFsvqt6cxV34QA/edit?usp=sharing"",""ตราด!J716"")"),0)</f>
        <v>0</v>
      </c>
      <c r="AR58" s="57">
        <f ca="1">IFERROR(__xludf.DUMMYFUNCTION("IMPORTRANGE(""https://docs.google.com/spreadsheets/d/1vWPVBOAaZ6mHSI8yf95DNqHwTJ1cpeFsvqt6cxV34QA/edit?usp=sharing"",""ตราด!J717"")"),0)</f>
        <v>0</v>
      </c>
      <c r="AS58" s="57">
        <f ca="1">IFERROR(__xludf.DUMMYFUNCTION("IMPORTRANGE(""https://docs.google.com/spreadsheets/d/1vWPVBOAaZ6mHSI8yf95DNqHwTJ1cpeFsvqt6cxV34QA/edit?usp=sharing"",""ตราด!I720"")"),0)</f>
        <v>0</v>
      </c>
      <c r="AT58" s="57">
        <f ca="1">IFERROR(__xludf.DUMMYFUNCTION("IMPORTRANGE(""https://docs.google.com/spreadsheets/d/1vWPVBOAaZ6mHSI8yf95DNqHwTJ1cpeFsvqt6cxV34QA/edit?usp=sharing"",""ตราด!J718"")"),0)</f>
        <v>0</v>
      </c>
      <c r="AU58" s="57">
        <f ca="1">IFERROR(__xludf.DUMMYFUNCTION("IMPORTRANGE(""https://docs.google.com/spreadsheets/d/1vWPVBOAaZ6mHSI8yf95DNqHwTJ1cpeFsvqt6cxV34QA/edit?usp=sharing"",""ตราด!J719"")"),0)</f>
        <v>0</v>
      </c>
      <c r="AV58" s="57">
        <f ca="1">IFERROR(__xludf.DUMMYFUNCTION("IMPORTRANGE(""https://docs.google.com/spreadsheets/d/1vWPVBOAaZ6mHSI8yf95DNqHwTJ1cpeFsvqt6cxV34QA/edit?usp=sharing"",""ตราด!J720"")"),0)</f>
        <v>0</v>
      </c>
      <c r="AW58" s="63">
        <f t="shared" ca="1" si="14"/>
        <v>0</v>
      </c>
      <c r="AX58" s="57">
        <f ca="1">IFERROR(__xludf.DUMMYFUNCTION("IMPORTRANGE(""https://docs.google.com/spreadsheets/d/1vWPVBOAaZ6mHSI8yf95DNqHwTJ1cpeFsvqt6cxV34QA/edit?usp=sharing"",""ตราด!I721"")"),0)</f>
        <v>0</v>
      </c>
      <c r="AY58" s="57">
        <f ca="1">IFERROR(__xludf.DUMMYFUNCTION("IMPORTRANGE(""https://docs.google.com/spreadsheets/d/1vWPVBOAaZ6mHSI8yf95DNqHwTJ1cpeFsvqt6cxV34QA/edit?usp=sharing"",""ตราด!I722"")"),0)</f>
        <v>0</v>
      </c>
      <c r="AZ58" s="57">
        <f ca="1">IFERROR(__xludf.DUMMYFUNCTION("IMPORTRANGE(""https://docs.google.com/spreadsheets/d/1vWPVBOAaZ6mHSI8yf95DNqHwTJ1cpeFsvqt6cxV34QA/edit?usp=sharing"",""ตราด!J721"")"),0)</f>
        <v>0</v>
      </c>
      <c r="BA58" s="63">
        <f t="shared" ca="1" si="16"/>
        <v>0</v>
      </c>
      <c r="BB58" s="57">
        <f ca="1">IFERROR(__xludf.DUMMYFUNCTION("IMPORTRANGE(""https://docs.google.com/spreadsheets/d/1vWPVBOAaZ6mHSI8yf95DNqHwTJ1cpeFsvqt6cxV34QA/edit?usp=sharing"",""ตราด!J722"")"),0)</f>
        <v>0</v>
      </c>
      <c r="BC58" s="63">
        <f t="shared" ca="1" si="17"/>
        <v>0</v>
      </c>
      <c r="BD58" s="57">
        <f ca="1">IFERROR(__xludf.DUMMYFUNCTION("IMPORTRANGE(""https://docs.google.com/spreadsheets/d/1vWPVBOAaZ6mHSI8yf95DNqHwTJ1cpeFsvqt6cxV34QA/edit?usp=sharing"",""ตราด!I723"")"),0)</f>
        <v>0</v>
      </c>
      <c r="BE58" s="57">
        <f ca="1">IFERROR(__xludf.DUMMYFUNCTION("IMPORTRANGE(""https://docs.google.com/spreadsheets/d/1vWPVBOAaZ6mHSI8yf95DNqHwTJ1cpeFsvqt6cxV34QA/edit?usp=sharing"",""ตราด!I725"")"),0)</f>
        <v>0</v>
      </c>
      <c r="BF58" s="57">
        <f ca="1">IFERROR(__xludf.DUMMYFUNCTION("IMPORTRANGE(""https://docs.google.com/spreadsheets/d/1vWPVBOAaZ6mHSI8yf95DNqHwTJ1cpeFsvqt6cxV34QA/edit?usp=sharing"",""ตราด!J723"")"),0)</f>
        <v>0</v>
      </c>
      <c r="BG58" s="57">
        <f ca="1">IFERROR(__xludf.DUMMYFUNCTION("IMPORTRANGE(""https://docs.google.com/spreadsheets/d/1vWPVBOAaZ6mHSI8yf95DNqHwTJ1cpeFsvqt6cxV34QA/edit?usp=sharing"",""ตราด!J724"")"),0)</f>
        <v>0</v>
      </c>
      <c r="BH58" s="57">
        <f ca="1">IFERROR(__xludf.DUMMYFUNCTION("IMPORTRANGE(""https://docs.google.com/spreadsheets/d/1vWPVBOAaZ6mHSI8yf95DNqHwTJ1cpeFsvqt6cxV34QA/edit?usp=sharing"",""ตราด!J725"")"),0)</f>
        <v>0</v>
      </c>
      <c r="BI58" s="57">
        <f ca="1">IFERROR(__xludf.DUMMYFUNCTION("IMPORTRANGE(""https://docs.google.com/spreadsheets/d/1vWPVBOAaZ6mHSI8yf95DNqHwTJ1cpeFsvqt6cxV34QA/edit?usp=sharing"",""ตราด!I726"")"),0)</f>
        <v>0</v>
      </c>
      <c r="BJ58" s="57">
        <f ca="1">IFERROR(__xludf.DUMMYFUNCTION("IMPORTRANGE(""https://docs.google.com/spreadsheets/d/1vWPVBOAaZ6mHSI8yf95DNqHwTJ1cpeFsvqt6cxV34QA/edit?usp=sharing"",""ตราด!I728"")"),0)</f>
        <v>0</v>
      </c>
      <c r="BK58" s="57">
        <f ca="1">IFERROR(__xludf.DUMMYFUNCTION("IMPORTRANGE(""https://docs.google.com/spreadsheets/d/1vWPVBOAaZ6mHSI8yf95DNqHwTJ1cpeFsvqt6cxV34QA/edit?usp=sharing"",""ตราด!J726"")"),0)</f>
        <v>0</v>
      </c>
      <c r="BL58" s="57">
        <f ca="1">IFERROR(__xludf.DUMMYFUNCTION("IMPORTRANGE(""https://docs.google.com/spreadsheets/d/1vWPVBOAaZ6mHSI8yf95DNqHwTJ1cpeFsvqt6cxV34QA/edit?usp=sharing"",""ตราด!J727"")"),0)</f>
        <v>0</v>
      </c>
      <c r="BM58" s="57">
        <f ca="1">IFERROR(__xludf.DUMMYFUNCTION("IMPORTRANGE(""https://docs.google.com/spreadsheets/d/1vWPVBOAaZ6mHSI8yf95DNqHwTJ1cpeFsvqt6cxV34QA/edit?usp=sharing"",""ตราด!J728"")"),0)</f>
        <v>0</v>
      </c>
      <c r="BN58" s="57">
        <f ca="1">IFERROR(__xludf.DUMMYFUNCTION("IMPORTRANGE(""https://docs.google.com/spreadsheets/d/1vWPVBOAaZ6mHSI8yf95DNqHwTJ1cpeFsvqt6cxV34QA/edit?usp=sharing"",""ตราด!I729"")"),0)</f>
        <v>0</v>
      </c>
      <c r="BO58" s="57">
        <f ca="1">IFERROR(__xludf.DUMMYFUNCTION("IMPORTRANGE(""https://docs.google.com/spreadsheets/d/1vWPVBOAaZ6mHSI8yf95DNqHwTJ1cpeFsvqt6cxV34QA/edit?usp=sharing"",""ตราด!J729"")"),0)</f>
        <v>0</v>
      </c>
      <c r="BP58" s="63">
        <f t="shared" ca="1" si="19"/>
        <v>0</v>
      </c>
      <c r="BQ58" s="57">
        <f ca="1">IFERROR(__xludf.DUMMYFUNCTION("IMPORTRANGE(""https://docs.google.com/spreadsheets/d/1vWPVBOAaZ6mHSI8yf95DNqHwTJ1cpeFsvqt6cxV34QA/edit?usp=sharing"",""ตราด!J730"")"),0)</f>
        <v>0</v>
      </c>
      <c r="BR58" s="57">
        <f ca="1">IFERROR(__xludf.DUMMYFUNCTION("IMPORTRANGE(""https://docs.google.com/spreadsheets/d/1vWPVBOAaZ6mHSI8yf95DNqHwTJ1cpeFsvqt6cxV34QA/edit?usp=sharing"",""ตราด!J731"")"),0)</f>
        <v>0</v>
      </c>
      <c r="BS58" s="57">
        <f ca="1">IFERROR(__xludf.DUMMYFUNCTION("IMPORTRANGE(""https://docs.google.com/spreadsheets/d/1vWPVBOAaZ6mHSI8yf95DNqHwTJ1cpeFsvqt6cxV34QA/edit?usp=sharing"",""ตราด!J732"")"),0)</f>
        <v>0</v>
      </c>
      <c r="BT58" s="57">
        <f ca="1">IFERROR(__xludf.DUMMYFUNCTION("IMPORTRANGE(""https://docs.google.com/spreadsheets/d/1vWPVBOAaZ6mHSI8yf95DNqHwTJ1cpeFsvqt6cxV34QA/edit?usp=sharing"",""ตราด!J733"")"),0)</f>
        <v>0</v>
      </c>
      <c r="BU58" s="57">
        <f ca="1">IFERROR(__xludf.DUMMYFUNCTION("IMPORTRANGE(""https://docs.google.com/spreadsheets/d/1vWPVBOAaZ6mHSI8yf95DNqHwTJ1cpeFsvqt6cxV34QA/edit?usp=sharing"",""ตราด!J734"")"),0)</f>
        <v>0</v>
      </c>
      <c r="BV58" s="57">
        <f ca="1">IFERROR(__xludf.DUMMYFUNCTION("IMPORTRANGE(""https://docs.google.com/spreadsheets/d/1vWPVBOAaZ6mHSI8yf95DNqHwTJ1cpeFsvqt6cxV34QA/edit?usp=sharing"",""ตราด!J735"")"),0)</f>
        <v>0</v>
      </c>
    </row>
    <row r="59" spans="1:74" ht="21" customHeight="1" x14ac:dyDescent="0.3">
      <c r="A59" s="54">
        <v>7</v>
      </c>
      <c r="B59" s="55" t="s">
        <v>80</v>
      </c>
      <c r="C59" s="56">
        <f t="shared" ca="1" si="75"/>
        <v>54320</v>
      </c>
      <c r="D59" s="57">
        <f ca="1">IFERROR(__xludf.DUMMYFUNCTION("IMPORTRANGE(""https://docs.google.com/spreadsheets/d/1phaeSb9lTGgzDpbvVqI9hfmOQQzUom07-HEvpbARzEg/edit?usp=sharing"",""นครนายก!L690"")"),54320)</f>
        <v>54320</v>
      </c>
      <c r="E59" s="64">
        <f ca="1">IFERROR(__xludf.DUMMYFUNCTION("IMPORTRANGE(""https://docs.google.com/spreadsheets/d/1phaeSb9lTGgzDpbvVqI9hfmOQQzUom07-HEvpbARzEg/edit?usp=sharing"",""นครนายก!L697"")"),0)</f>
        <v>0</v>
      </c>
      <c r="F59" s="64">
        <f ca="1">IFERROR(__xludf.DUMMYFUNCTION("IMPORTRANGE(""https://docs.google.com/spreadsheets/d/1phaeSb9lTGgzDpbvVqI9hfmOQQzUom07-HEvpbARzEg/edit?usp=sharing"",""นครนายก!M690"")"),54320)</f>
        <v>54320</v>
      </c>
      <c r="G59" s="64">
        <f ca="1">IFERROR(__xludf.DUMMYFUNCTION("IMPORTRANGE(""https://docs.google.com/spreadsheets/d/1phaeSb9lTGgzDpbvVqI9hfmOQQzUom07-HEvpbARzEg/edit?usp=sharing"",""นครนายก!M697"")"),0)</f>
        <v>0</v>
      </c>
      <c r="H59" s="58">
        <f t="shared" ca="1" si="33"/>
        <v>1360</v>
      </c>
      <c r="I59" s="59">
        <f t="shared" ca="1" si="1"/>
        <v>2.5036818851251841</v>
      </c>
      <c r="J59" s="60">
        <f t="shared" ca="1" si="76"/>
        <v>1360</v>
      </c>
      <c r="K59" s="61">
        <f t="shared" ca="1" si="39"/>
        <v>2.5036818851251841</v>
      </c>
      <c r="L59" s="61">
        <f t="shared" ca="1" si="40"/>
        <v>2.5036818851251841</v>
      </c>
      <c r="M59" s="64">
        <f ca="1">IFERROR(__xludf.DUMMYFUNCTION("IMPORTRANGE(""https://docs.google.com/spreadsheets/d/1phaeSb9lTGgzDpbvVqI9hfmOQQzUom07-HEvpbARzEg/edit?usp=sharing"",""นครนายก!N691"")"),0)</f>
        <v>0</v>
      </c>
      <c r="N59" s="64">
        <f ca="1">IFERROR(__xludf.DUMMYFUNCTION("IMPORTRANGE(""https://docs.google.com/spreadsheets/d/1phaeSb9lTGgzDpbvVqI9hfmOQQzUom07-HEvpbARzEg/edit?usp=sharing"",""นครนายก!N692"")"),0)</f>
        <v>0</v>
      </c>
      <c r="O59" s="64">
        <f ca="1">IFERROR(__xludf.DUMMYFUNCTION("IMPORTRANGE(""https://docs.google.com/spreadsheets/d/1phaeSb9lTGgzDpbvVqI9hfmOQQzUom07-HEvpbARzEg/edit?usp=sharing"",""นครนายก!N693"")"),0)</f>
        <v>0</v>
      </c>
      <c r="P59" s="64">
        <f ca="1">IFERROR(__xludf.DUMMYFUNCTION("IMPORTRANGE(""https://docs.google.com/spreadsheets/d/1phaeSb9lTGgzDpbvVqI9hfmOQQzUom07-HEvpbARzEg/edit?usp=sharing"",""นครนายก!N694"")"),1360)</f>
        <v>1360</v>
      </c>
      <c r="Q59" s="62">
        <f ca="1">IFERROR(__xludf.DUMMYFUNCTION("IMPORTRANGE(""https://docs.google.com/spreadsheets/d/1phaeSb9lTGgzDpbvVqI9hfmOQQzUom07-HEvpbARzEg/edit?usp=sharing"",""นครนายก!N697"")"),0)</f>
        <v>0</v>
      </c>
      <c r="R59" s="62">
        <f t="shared" ca="1" si="42"/>
        <v>0</v>
      </c>
      <c r="S59" s="57">
        <f ca="1">IFERROR(__xludf.DUMMYFUNCTION("IMPORTRANGE(""https://docs.google.com/spreadsheets/d/1phaeSb9lTGgzDpbvVqI9hfmOQQzUom07-HEvpbARzEg/edit?usp=sharing"",""นครนายก!I699"")"),0)</f>
        <v>0</v>
      </c>
      <c r="T59" s="57">
        <f ca="1">IFERROR(__xludf.DUMMYFUNCTION("IMPORTRANGE(""https://docs.google.com/spreadsheets/d/1phaeSb9lTGgzDpbvVqI9hfmOQQzUom07-HEvpbARzEg/edit?usp=sharing"",""นครนายก!J699"")"),0)</f>
        <v>0</v>
      </c>
      <c r="U59" s="63">
        <f t="shared" ca="1" si="34"/>
        <v>0</v>
      </c>
      <c r="V59" s="57">
        <f ca="1">IFERROR(__xludf.DUMMYFUNCTION("IMPORTRANGE(""https://docs.google.com/spreadsheets/d/1phaeSb9lTGgzDpbvVqI9hfmOQQzUom07-HEvpbARzEg/edit?usp=sharing"",""นครนายก!I700"")"),0)</f>
        <v>0</v>
      </c>
      <c r="W59" s="57">
        <f ca="1">IFERROR(__xludf.DUMMYFUNCTION("IMPORTRANGE(""https://docs.google.com/spreadsheets/d/1phaeSb9lTGgzDpbvVqI9hfmOQQzUom07-HEvpbARzEg/edit?usp=sharing"",""นครนายก!J700"")"),0)</f>
        <v>0</v>
      </c>
      <c r="X59" s="63">
        <f t="shared" ca="1" si="35"/>
        <v>0</v>
      </c>
      <c r="Y59" s="57">
        <f ca="1">IFERROR(__xludf.DUMMYFUNCTION("IMPORTRANGE(""https://docs.google.com/spreadsheets/d/1phaeSb9lTGgzDpbvVqI9hfmOQQzUom07-HEvpbARzEg/edit?usp=sharing"",""นครนายก!I701"")"),541)</f>
        <v>541</v>
      </c>
      <c r="Z59" s="57">
        <f ca="1">IFERROR(__xludf.DUMMYFUNCTION("IMPORTRANGE(""https://docs.google.com/spreadsheets/d/1phaeSb9lTGgzDpbvVqI9hfmOQQzUom07-HEvpbARzEg/edit?usp=sharing"",""นครนายก!J701"")"),0)</f>
        <v>0</v>
      </c>
      <c r="AA59" s="63">
        <f t="shared" ca="1" si="36"/>
        <v>0</v>
      </c>
      <c r="AB59" s="63">
        <f ca="1">IFERROR(__xludf.DUMMYFUNCTION("IMPORTRANGE(""https://docs.google.com/spreadsheets/d/1phaeSb9lTGgzDpbvVqI9hfmOQQzUom07-HEvpbARzEg/edit?usp=sharing"",""นครนายก!J702"")"),0)</f>
        <v>0</v>
      </c>
      <c r="AC59" s="63">
        <f ca="1">IFERROR(__xludf.DUMMYFUNCTION("IMPORTRANGE(""https://docs.google.com/spreadsheets/d/1phaeSb9lTGgzDpbvVqI9hfmOQQzUom07-HEvpbARzEg/edit?usp=sharing"",""นครนายก!J703"")"),0)</f>
        <v>0</v>
      </c>
      <c r="AD59" s="63">
        <f ca="1">IFERROR(__xludf.DUMMYFUNCTION("IMPORTRANGE(""https://docs.google.com/spreadsheets/d/1phaeSb9lTGgzDpbvVqI9hfmOQQzUom07-HEvpbARzEg/edit?usp=sharing"",""นครนายก!J704"")"),0)</f>
        <v>0</v>
      </c>
      <c r="AE59" s="63">
        <f ca="1">IFERROR(__xludf.DUMMYFUNCTION("IMPORTRANGE(""https://docs.google.com/spreadsheets/d/1phaeSb9lTGgzDpbvVqI9hfmOQQzUom07-HEvpbARzEg/edit?usp=sharing"",""นครนายก!J705"")"),0)</f>
        <v>0</v>
      </c>
      <c r="AF59" s="63">
        <f ca="1">IFERROR(__xludf.DUMMYFUNCTION("IMPORTRANGE(""https://docs.google.com/spreadsheets/d/1phaeSb9lTGgzDpbvVqI9hfmOQQzUom07-HEvpbARzEg/edit?usp=sharing"",""นครนายก!J706"")"),0)</f>
        <v>0</v>
      </c>
      <c r="AG59" s="63">
        <f ca="1">IFERROR(__xludf.DUMMYFUNCTION("IMPORTRANGE(""https://docs.google.com/spreadsheets/d/1phaeSb9lTGgzDpbvVqI9hfmOQQzUom07-HEvpbARzEg/edit?usp=sharing"",""นครนายก!J707"")"),0)</f>
        <v>0</v>
      </c>
      <c r="AH59" s="57">
        <f ca="1">IFERROR(__xludf.DUMMYFUNCTION("IMPORTRANGE(""https://docs.google.com/spreadsheets/d/1phaeSb9lTGgzDpbvVqI9hfmOQQzUom07-HEvpbARzEg/edit?usp=sharing"",""นครนายก!I708"")"),131)</f>
        <v>131</v>
      </c>
      <c r="AI59" s="57">
        <f ca="1">IFERROR(__xludf.DUMMYFUNCTION("IMPORTRANGE(""https://docs.google.com/spreadsheets/d/1phaeSb9lTGgzDpbvVqI9hfmOQQzUom07-HEvpbARzEg/edit?usp=sharing"",""นครนายก!J708"")"),0)</f>
        <v>0</v>
      </c>
      <c r="AJ59" s="63">
        <f t="shared" ca="1" si="37"/>
        <v>0</v>
      </c>
      <c r="AK59" s="57">
        <f ca="1">IFERROR(__xludf.DUMMYFUNCTION("IMPORTRANGE(""https://docs.google.com/spreadsheets/d/1phaeSb9lTGgzDpbvVqI9hfmOQQzUom07-HEvpbARzEg/edit?usp=sharing"",""นครนายก!J709"")"),0)</f>
        <v>0</v>
      </c>
      <c r="AL59" s="57">
        <f ca="1">IFERROR(__xludf.DUMMYFUNCTION("IMPORTRANGE(""https://docs.google.com/spreadsheets/d/1phaeSb9lTGgzDpbvVqI9hfmOQQzUom07-HEvpbARzEg/edit?usp=sharing"",""นครนายก!J710"")"),0)</f>
        <v>0</v>
      </c>
      <c r="AM59" s="57">
        <f ca="1">IFERROR(__xludf.DUMMYFUNCTION("IMPORTRANGE(""https://docs.google.com/spreadsheets/d/1phaeSb9lTGgzDpbvVqI9hfmOQQzUom07-HEvpbARzEg/edit?usp=sharing"",""นครนายก!J712"")"),0)</f>
        <v>0</v>
      </c>
      <c r="AN59" s="57">
        <f ca="1">IFERROR(__xludf.DUMMYFUNCTION("IMPORTRANGE(""https://docs.google.com/spreadsheets/d/1phaeSb9lTGgzDpbvVqI9hfmOQQzUom07-HEvpbARzEg/edit?usp=sharing"",""นครนายก!J713"")"),0)</f>
        <v>0</v>
      </c>
      <c r="AO59" s="57">
        <f ca="1">IFERROR(__xludf.DUMMYFUNCTION("IMPORTRANGE(""https://docs.google.com/spreadsheets/d/1phaeSb9lTGgzDpbvVqI9hfmOQQzUom07-HEvpbARzEg/edit?usp=sharing"",""นครนายก!J714"")"),0)</f>
        <v>0</v>
      </c>
      <c r="AP59" s="57">
        <f ca="1">IFERROR(__xludf.DUMMYFUNCTION("IMPORTRANGE(""https://docs.google.com/spreadsheets/d/1phaeSb9lTGgzDpbvVqI9hfmOQQzUom07-HEvpbARzEg/edit?usp=sharing"",""นครนายก!J715"")"),0)</f>
        <v>0</v>
      </c>
      <c r="AQ59" s="57">
        <f ca="1">IFERROR(__xludf.DUMMYFUNCTION("IMPORTRANGE(""https://docs.google.com/spreadsheets/d/1phaeSb9lTGgzDpbvVqI9hfmOQQzUom07-HEvpbARzEg/edit?usp=sharing"",""นครนายก!J716"")"),0)</f>
        <v>0</v>
      </c>
      <c r="AR59" s="57">
        <f ca="1">IFERROR(__xludf.DUMMYFUNCTION("IMPORTRANGE(""https://docs.google.com/spreadsheets/d/1phaeSb9lTGgzDpbvVqI9hfmOQQzUom07-HEvpbARzEg/edit?usp=sharing"",""นครนายก!J717"")"),0)</f>
        <v>0</v>
      </c>
      <c r="AS59" s="57">
        <f ca="1">IFERROR(__xludf.DUMMYFUNCTION("IMPORTRANGE(""https://docs.google.com/spreadsheets/d/1phaeSb9lTGgzDpbvVqI9hfmOQQzUom07-HEvpbARzEg/edit?usp=sharing"",""นครนายก!I720"")"),312)</f>
        <v>312</v>
      </c>
      <c r="AT59" s="57">
        <f ca="1">IFERROR(__xludf.DUMMYFUNCTION("IMPORTRANGE(""https://docs.google.com/spreadsheets/d/1phaeSb9lTGgzDpbvVqI9hfmOQQzUom07-HEvpbARzEg/edit?usp=sharing"",""นครนายก!J718"")"),0)</f>
        <v>0</v>
      </c>
      <c r="AU59" s="57">
        <f ca="1">IFERROR(__xludf.DUMMYFUNCTION("IMPORTRANGE(""https://docs.google.com/spreadsheets/d/1phaeSb9lTGgzDpbvVqI9hfmOQQzUom07-HEvpbARzEg/edit?usp=sharing"",""นครนายก!J719"")"),0)</f>
        <v>0</v>
      </c>
      <c r="AV59" s="57">
        <f ca="1">IFERROR(__xludf.DUMMYFUNCTION("IMPORTRANGE(""https://docs.google.com/spreadsheets/d/1phaeSb9lTGgzDpbvVqI9hfmOQQzUom07-HEvpbARzEg/edit?usp=sharing"",""นครนายก!J720"")"),0)</f>
        <v>0</v>
      </c>
      <c r="AW59" s="63">
        <f t="shared" ca="1" si="14"/>
        <v>0</v>
      </c>
      <c r="AX59" s="57">
        <f ca="1">IFERROR(__xludf.DUMMYFUNCTION("IMPORTRANGE(""https://docs.google.com/spreadsheets/d/1phaeSb9lTGgzDpbvVqI9hfmOQQzUom07-HEvpbARzEg/edit?usp=sharing"",""นครนายก!I721"")"),36)</f>
        <v>36</v>
      </c>
      <c r="AY59" s="57">
        <f ca="1">IFERROR(__xludf.DUMMYFUNCTION("IMPORTRANGE(""https://docs.google.com/spreadsheets/d/1phaeSb9lTGgzDpbvVqI9hfmOQQzUom07-HEvpbARzEg/edit?usp=sharing"",""นครนายก!I722"")"),351)</f>
        <v>351</v>
      </c>
      <c r="AZ59" s="57">
        <f ca="1">IFERROR(__xludf.DUMMYFUNCTION("IMPORTRANGE(""https://docs.google.com/spreadsheets/d/1phaeSb9lTGgzDpbvVqI9hfmOQQzUom07-HEvpbARzEg/edit?usp=sharing"",""นครนายก!J721"")"),6)</f>
        <v>6</v>
      </c>
      <c r="BA59" s="63">
        <f t="shared" ca="1" si="16"/>
        <v>16.666666666666668</v>
      </c>
      <c r="BB59" s="57">
        <f ca="1">IFERROR(__xludf.DUMMYFUNCTION("IMPORTRANGE(""https://docs.google.com/spreadsheets/d/1phaeSb9lTGgzDpbvVqI9hfmOQQzUom07-HEvpbARzEg/edit?usp=sharing"",""นครนายก!J722"")"),50.41)</f>
        <v>50.41</v>
      </c>
      <c r="BC59" s="63">
        <f t="shared" ca="1" si="17"/>
        <v>14.361823361823362</v>
      </c>
      <c r="BD59" s="57">
        <f ca="1">IFERROR(__xludf.DUMMYFUNCTION("IMPORTRANGE(""https://docs.google.com/spreadsheets/d/1phaeSb9lTGgzDpbvVqI9hfmOQQzUom07-HEvpbARzEg/edit?usp=sharing"",""นครนายก!I723"")"),17)</f>
        <v>17</v>
      </c>
      <c r="BE59" s="57">
        <f ca="1">IFERROR(__xludf.DUMMYFUNCTION("IMPORTRANGE(""https://docs.google.com/spreadsheets/d/1phaeSb9lTGgzDpbvVqI9hfmOQQzUom07-HEvpbARzEg/edit?usp=sharing"",""นครนายก!I725"")"),220)</f>
        <v>220</v>
      </c>
      <c r="BF59" s="57">
        <f ca="1">IFERROR(__xludf.DUMMYFUNCTION("IMPORTRANGE(""https://docs.google.com/spreadsheets/d/1phaeSb9lTGgzDpbvVqI9hfmOQQzUom07-HEvpbARzEg/edit?usp=sharing"",""นครนายก!J723"")"),2)</f>
        <v>2</v>
      </c>
      <c r="BG59" s="57">
        <f ca="1">IFERROR(__xludf.DUMMYFUNCTION("IMPORTRANGE(""https://docs.google.com/spreadsheets/d/1phaeSb9lTGgzDpbvVqI9hfmOQQzUom07-HEvpbARzEg/edit?usp=sharing"",""นครนายก!J724"")"),3)</f>
        <v>3</v>
      </c>
      <c r="BH59" s="57">
        <f ca="1">IFERROR(__xludf.DUMMYFUNCTION("IMPORTRANGE(""https://docs.google.com/spreadsheets/d/1phaeSb9lTGgzDpbvVqI9hfmOQQzUom07-HEvpbARzEg/edit?usp=sharing"",""นครนายก!J725"")"),23.04)</f>
        <v>23.04</v>
      </c>
      <c r="BI59" s="57">
        <f ca="1">IFERROR(__xludf.DUMMYFUNCTION("IMPORTRANGE(""https://docs.google.com/spreadsheets/d/1phaeSb9lTGgzDpbvVqI9hfmOQQzUom07-HEvpbARzEg/edit?usp=sharing"",""นครนายก!I726"")"),19)</f>
        <v>19</v>
      </c>
      <c r="BJ59" s="57">
        <f ca="1">IFERROR(__xludf.DUMMYFUNCTION("IMPORTRANGE(""https://docs.google.com/spreadsheets/d/1phaeSb9lTGgzDpbvVqI9hfmOQQzUom07-HEvpbARzEg/edit?usp=sharing"",""นครนายก!I728"")"),131)</f>
        <v>131</v>
      </c>
      <c r="BK59" s="57">
        <f ca="1">IFERROR(__xludf.DUMMYFUNCTION("IMPORTRANGE(""https://docs.google.com/spreadsheets/d/1phaeSb9lTGgzDpbvVqI9hfmOQQzUom07-HEvpbARzEg/edit?usp=sharing"",""นครนายก!J726"")"),4)</f>
        <v>4</v>
      </c>
      <c r="BL59" s="57">
        <f ca="1">IFERROR(__xludf.DUMMYFUNCTION("IMPORTRANGE(""https://docs.google.com/spreadsheets/d/1phaeSb9lTGgzDpbvVqI9hfmOQQzUom07-HEvpbARzEg/edit?usp=sharing"",""นครนายก!J727"")"),5)</f>
        <v>5</v>
      </c>
      <c r="BM59" s="57">
        <f ca="1">IFERROR(__xludf.DUMMYFUNCTION("IMPORTRANGE(""https://docs.google.com/spreadsheets/d/1phaeSb9lTGgzDpbvVqI9hfmOQQzUom07-HEvpbARzEg/edit?usp=sharing"",""นครนายก!J728"")"),27.37)</f>
        <v>27.37</v>
      </c>
      <c r="BN59" s="57">
        <f ca="1">IFERROR(__xludf.DUMMYFUNCTION("IMPORTRANGE(""https://docs.google.com/spreadsheets/d/1phaeSb9lTGgzDpbvVqI9hfmOQQzUom07-HEvpbARzEg/edit?usp=sharing"",""นครนายก!I729"")"),131)</f>
        <v>131</v>
      </c>
      <c r="BO59" s="57">
        <f ca="1">IFERROR(__xludf.DUMMYFUNCTION("IMPORTRANGE(""https://docs.google.com/spreadsheets/d/1phaeSb9lTGgzDpbvVqI9hfmOQQzUom07-HEvpbARzEg/edit?usp=sharing"",""นครนายก!J729"")"),159.8)</f>
        <v>159.80000000000001</v>
      </c>
      <c r="BP59" s="63">
        <f t="shared" ca="1" si="19"/>
        <v>121.9847328244275</v>
      </c>
      <c r="BQ59" s="57">
        <f ca="1">IFERROR(__xludf.DUMMYFUNCTION("IMPORTRANGE(""https://docs.google.com/spreadsheets/d/1phaeSb9lTGgzDpbvVqI9hfmOQQzUom07-HEvpbARzEg/edit?usp=sharing"",""นครนายก!J730"")"),6)</f>
        <v>6</v>
      </c>
      <c r="BR59" s="57">
        <f ca="1">IFERROR(__xludf.DUMMYFUNCTION("IMPORTRANGE(""https://docs.google.com/spreadsheets/d/1phaeSb9lTGgzDpbvVqI9hfmOQQzUom07-HEvpbARzEg/edit?usp=sharing"",""นครนายก!J731"")"),6)</f>
        <v>6</v>
      </c>
      <c r="BS59" s="57">
        <f ca="1">IFERROR(__xludf.DUMMYFUNCTION("IMPORTRANGE(""https://docs.google.com/spreadsheets/d/1phaeSb9lTGgzDpbvVqI9hfmOQQzUom07-HEvpbARzEg/edit?usp=sharing"",""นครนายก!J732"")"),100.7525)</f>
        <v>100.7525</v>
      </c>
      <c r="BT59" s="57">
        <f ca="1">IFERROR(__xludf.DUMMYFUNCTION("IMPORTRANGE(""https://docs.google.com/spreadsheets/d/1phaeSb9lTGgzDpbvVqI9hfmOQQzUom07-HEvpbARzEg/edit?usp=sharing"",""นครนายก!J733"")"),2)</f>
        <v>2</v>
      </c>
      <c r="BU59" s="57">
        <f ca="1">IFERROR(__xludf.DUMMYFUNCTION("IMPORTRANGE(""https://docs.google.com/spreadsheets/d/1phaeSb9lTGgzDpbvVqI9hfmOQQzUom07-HEvpbARzEg/edit?usp=sharing"",""นครนายก!J734"")"),2)</f>
        <v>2</v>
      </c>
      <c r="BV59" s="57">
        <f ca="1">IFERROR(__xludf.DUMMYFUNCTION("IMPORTRANGE(""https://docs.google.com/spreadsheets/d/1phaeSb9lTGgzDpbvVqI9hfmOQQzUom07-HEvpbARzEg/edit?usp=sharing"",""นครนายก!J735"")"),59.0475)</f>
        <v>59.047499999999999</v>
      </c>
    </row>
    <row r="60" spans="1:74" ht="21" customHeight="1" x14ac:dyDescent="0.3">
      <c r="A60" s="54">
        <v>8</v>
      </c>
      <c r="B60" s="55" t="s">
        <v>81</v>
      </c>
      <c r="C60" s="56">
        <f t="shared" ca="1" si="75"/>
        <v>4380</v>
      </c>
      <c r="D60" s="57">
        <f ca="1">IFERROR(__xludf.DUMMYFUNCTION("IMPORTRANGE(""https://docs.google.com/spreadsheets/d/1tpwhWwkqkBeiSWCcfB5f2fbwPRbM9hHOEDSDHpl2MIc/edit?usp=sharing"",""นครปฐม!L690"")"),4380)</f>
        <v>4380</v>
      </c>
      <c r="E60" s="64">
        <f ca="1">IFERROR(__xludf.DUMMYFUNCTION("IMPORTRANGE(""https://docs.google.com/spreadsheets/d/1tpwhWwkqkBeiSWCcfB5f2fbwPRbM9hHOEDSDHpl2MIc/edit?usp=sharing"",""นครปฐม!L697"")"),0)</f>
        <v>0</v>
      </c>
      <c r="F60" s="64">
        <f ca="1">IFERROR(__xludf.DUMMYFUNCTION("IMPORTRANGE(""https://docs.google.com/spreadsheets/d/1tpwhWwkqkBeiSWCcfB5f2fbwPRbM9hHOEDSDHpl2MIc/edit?usp=sharing"",""นครปฐม!M690"")"),4380)</f>
        <v>4380</v>
      </c>
      <c r="G60" s="64">
        <f ca="1">IFERROR(__xludf.DUMMYFUNCTION("IMPORTRANGE(""https://docs.google.com/spreadsheets/d/1tpwhWwkqkBeiSWCcfB5f2fbwPRbM9hHOEDSDHpl2MIc/edit?usp=sharing"",""นครปฐม!M697"")"),0)</f>
        <v>0</v>
      </c>
      <c r="H60" s="58">
        <f t="shared" ca="1" si="33"/>
        <v>3360</v>
      </c>
      <c r="I60" s="59">
        <f t="shared" ca="1" si="1"/>
        <v>76.712328767123282</v>
      </c>
      <c r="J60" s="60">
        <f t="shared" ca="1" si="76"/>
        <v>3360</v>
      </c>
      <c r="K60" s="61">
        <f t="shared" ca="1" si="39"/>
        <v>76.712328767123282</v>
      </c>
      <c r="L60" s="61">
        <f t="shared" ca="1" si="40"/>
        <v>76.712328767123282</v>
      </c>
      <c r="M60" s="64">
        <f ca="1">IFERROR(__xludf.DUMMYFUNCTION("IMPORTRANGE(""https://docs.google.com/spreadsheets/d/1tpwhWwkqkBeiSWCcfB5f2fbwPRbM9hHOEDSDHpl2MIc/edit?usp=sharing"",""นครปฐม!N691"")"),0)</f>
        <v>0</v>
      </c>
      <c r="N60" s="64">
        <f ca="1">IFERROR(__xludf.DUMMYFUNCTION("IMPORTRANGE(""https://docs.google.com/spreadsheets/d/1tpwhWwkqkBeiSWCcfB5f2fbwPRbM9hHOEDSDHpl2MIc/edit?usp=sharing"",""นครปฐม!N692"")"),0)</f>
        <v>0</v>
      </c>
      <c r="O60" s="64">
        <f ca="1">IFERROR(__xludf.DUMMYFUNCTION("IMPORTRANGE(""https://docs.google.com/spreadsheets/d/1tpwhWwkqkBeiSWCcfB5f2fbwPRbM9hHOEDSDHpl2MIc/edit?usp=sharing"",""นครปฐม!N693"")"),0)</f>
        <v>0</v>
      </c>
      <c r="P60" s="64">
        <f ca="1">IFERROR(__xludf.DUMMYFUNCTION("IMPORTRANGE(""https://docs.google.com/spreadsheets/d/1tpwhWwkqkBeiSWCcfB5f2fbwPRbM9hHOEDSDHpl2MIc/edit?usp=sharing"",""นครปฐม!N694"")"),3360)</f>
        <v>3360</v>
      </c>
      <c r="Q60" s="62">
        <f ca="1">IFERROR(__xludf.DUMMYFUNCTION("IMPORTRANGE(""https://docs.google.com/spreadsheets/d/1tpwhWwkqkBeiSWCcfB5f2fbwPRbM9hHOEDSDHpl2MIc/edit?usp=sharing"",""นครปฐม!N697"")"),0)</f>
        <v>0</v>
      </c>
      <c r="R60" s="62">
        <f t="shared" ca="1" si="42"/>
        <v>0</v>
      </c>
      <c r="S60" s="57">
        <f ca="1">IFERROR(__xludf.DUMMYFUNCTION("IMPORTRANGE(""https://docs.google.com/spreadsheets/d/1tpwhWwkqkBeiSWCcfB5f2fbwPRbM9hHOEDSDHpl2MIc/edit?usp=sharing"",""นครปฐม!I699"")"),0)</f>
        <v>0</v>
      </c>
      <c r="T60" s="57">
        <f ca="1">IFERROR(__xludf.DUMMYFUNCTION("IMPORTRANGE(""https://docs.google.com/spreadsheets/d/1tpwhWwkqkBeiSWCcfB5f2fbwPRbM9hHOEDSDHpl2MIc/edit?usp=sharing"",""นครปฐม!J699"")"),0)</f>
        <v>0</v>
      </c>
      <c r="U60" s="63">
        <f t="shared" ca="1" si="34"/>
        <v>0</v>
      </c>
      <c r="V60" s="57">
        <f ca="1">IFERROR(__xludf.DUMMYFUNCTION("IMPORTRANGE(""https://docs.google.com/spreadsheets/d/1tpwhWwkqkBeiSWCcfB5f2fbwPRbM9hHOEDSDHpl2MIc/edit?usp=sharing"",""นครปฐม!I700"")"),0)</f>
        <v>0</v>
      </c>
      <c r="W60" s="57">
        <f ca="1">IFERROR(__xludf.DUMMYFUNCTION("IMPORTRANGE(""https://docs.google.com/spreadsheets/d/1tpwhWwkqkBeiSWCcfB5f2fbwPRbM9hHOEDSDHpl2MIc/edit?usp=sharing"",""นครปฐม!J700"")"),0)</f>
        <v>0</v>
      </c>
      <c r="X60" s="63">
        <f t="shared" ca="1" si="35"/>
        <v>0</v>
      </c>
      <c r="Y60" s="57">
        <f ca="1">IFERROR(__xludf.DUMMYFUNCTION("IMPORTRANGE(""https://docs.google.com/spreadsheets/d/1tpwhWwkqkBeiSWCcfB5f2fbwPRbM9hHOEDSDHpl2MIc/edit?usp=sharing"",""นครปฐม!I701"")"),0)</f>
        <v>0</v>
      </c>
      <c r="Z60" s="57">
        <f ca="1">IFERROR(__xludf.DUMMYFUNCTION("IMPORTRANGE(""https://docs.google.com/spreadsheets/d/1tpwhWwkqkBeiSWCcfB5f2fbwPRbM9hHOEDSDHpl2MIc/edit?usp=sharing"",""นครปฐม!J701"")"),0)</f>
        <v>0</v>
      </c>
      <c r="AA60" s="63">
        <f t="shared" ca="1" si="36"/>
        <v>0</v>
      </c>
      <c r="AB60" s="63">
        <f ca="1">IFERROR(__xludf.DUMMYFUNCTION("IMPORTRANGE(""https://docs.google.com/spreadsheets/d/1tpwhWwkqkBeiSWCcfB5f2fbwPRbM9hHOEDSDHpl2MIc/edit?usp=sharing"",""นครปฐม!J702"")"),0)</f>
        <v>0</v>
      </c>
      <c r="AC60" s="63">
        <f ca="1">IFERROR(__xludf.DUMMYFUNCTION("IMPORTRANGE(""https://docs.google.com/spreadsheets/d/1tpwhWwkqkBeiSWCcfB5f2fbwPRbM9hHOEDSDHpl2MIc/edit?usp=sharing"",""นครปฐม!J703"")"),0)</f>
        <v>0</v>
      </c>
      <c r="AD60" s="63">
        <f ca="1">IFERROR(__xludf.DUMMYFUNCTION("IMPORTRANGE(""https://docs.google.com/spreadsheets/d/1tpwhWwkqkBeiSWCcfB5f2fbwPRbM9hHOEDSDHpl2MIc/edit?usp=sharing"",""นครปฐม!J704"")"),0)</f>
        <v>0</v>
      </c>
      <c r="AE60" s="63">
        <f ca="1">IFERROR(__xludf.DUMMYFUNCTION("IMPORTRANGE(""https://docs.google.com/spreadsheets/d/1tpwhWwkqkBeiSWCcfB5f2fbwPRbM9hHOEDSDHpl2MIc/edit?usp=sharing"",""นครปฐม!J705"")"),0)</f>
        <v>0</v>
      </c>
      <c r="AF60" s="63">
        <f ca="1">IFERROR(__xludf.DUMMYFUNCTION("IMPORTRANGE(""https://docs.google.com/spreadsheets/d/1tpwhWwkqkBeiSWCcfB5f2fbwPRbM9hHOEDSDHpl2MIc/edit?usp=sharing"",""นครปฐม!J706"")"),0)</f>
        <v>0</v>
      </c>
      <c r="AG60" s="63">
        <f ca="1">IFERROR(__xludf.DUMMYFUNCTION("IMPORTRANGE(""https://docs.google.com/spreadsheets/d/1tpwhWwkqkBeiSWCcfB5f2fbwPRbM9hHOEDSDHpl2MIc/edit?usp=sharing"",""นครปฐม!J707"")"),0)</f>
        <v>0</v>
      </c>
      <c r="AH60" s="57">
        <f ca="1">IFERROR(__xludf.DUMMYFUNCTION("IMPORTRANGE(""https://docs.google.com/spreadsheets/d/1tpwhWwkqkBeiSWCcfB5f2fbwPRbM9hHOEDSDHpl2MIc/edit?usp=sharing"",""นครปฐม!I708"")"),0)</f>
        <v>0</v>
      </c>
      <c r="AI60" s="57">
        <f ca="1">IFERROR(__xludf.DUMMYFUNCTION("IMPORTRANGE(""https://docs.google.com/spreadsheets/d/1tpwhWwkqkBeiSWCcfB5f2fbwPRbM9hHOEDSDHpl2MIc/edit?usp=sharing"",""นครปฐม!J708"")"),0)</f>
        <v>0</v>
      </c>
      <c r="AJ60" s="63">
        <f t="shared" ca="1" si="37"/>
        <v>0</v>
      </c>
      <c r="AK60" s="57">
        <f ca="1">IFERROR(__xludf.DUMMYFUNCTION("IMPORTRANGE(""https://docs.google.com/spreadsheets/d/1tpwhWwkqkBeiSWCcfB5f2fbwPRbM9hHOEDSDHpl2MIc/edit?usp=sharing"",""นครปฐม!J709"")"),0)</f>
        <v>0</v>
      </c>
      <c r="AL60" s="57">
        <f ca="1">IFERROR(__xludf.DUMMYFUNCTION("IMPORTRANGE(""https://docs.google.com/spreadsheets/d/1tpwhWwkqkBeiSWCcfB5f2fbwPRbM9hHOEDSDHpl2MIc/edit?usp=sharing"",""นครปฐม!J710"")"),0)</f>
        <v>0</v>
      </c>
      <c r="AM60" s="57">
        <f ca="1">IFERROR(__xludf.DUMMYFUNCTION("IMPORTRANGE(""https://docs.google.com/spreadsheets/d/1tpwhWwkqkBeiSWCcfB5f2fbwPRbM9hHOEDSDHpl2MIc/edit?usp=sharing"",""นครปฐม!J712"")"),0)</f>
        <v>0</v>
      </c>
      <c r="AN60" s="57">
        <f ca="1">IFERROR(__xludf.DUMMYFUNCTION("IMPORTRANGE(""https://docs.google.com/spreadsheets/d/1tpwhWwkqkBeiSWCcfB5f2fbwPRbM9hHOEDSDHpl2MIc/edit?usp=sharing"",""นครปฐม!J713"")"),0)</f>
        <v>0</v>
      </c>
      <c r="AO60" s="57">
        <f ca="1">IFERROR(__xludf.DUMMYFUNCTION("IMPORTRANGE(""https://docs.google.com/spreadsheets/d/1tpwhWwkqkBeiSWCcfB5f2fbwPRbM9hHOEDSDHpl2MIc/edit?usp=sharing"",""นครปฐม!J714"")"),0)</f>
        <v>0</v>
      </c>
      <c r="AP60" s="57">
        <f ca="1">IFERROR(__xludf.DUMMYFUNCTION("IMPORTRANGE(""https://docs.google.com/spreadsheets/d/1tpwhWwkqkBeiSWCcfB5f2fbwPRbM9hHOEDSDHpl2MIc/edit?usp=sharing"",""นครปฐม!J715"")"),0)</f>
        <v>0</v>
      </c>
      <c r="AQ60" s="57">
        <f ca="1">IFERROR(__xludf.DUMMYFUNCTION("IMPORTRANGE(""https://docs.google.com/spreadsheets/d/1tpwhWwkqkBeiSWCcfB5f2fbwPRbM9hHOEDSDHpl2MIc/edit?usp=sharing"",""นครปฐม!J716"")"),0)</f>
        <v>0</v>
      </c>
      <c r="AR60" s="117" t="str">
        <f ca="1">IFERROR(__xludf.DUMMYFUNCTION("IMPORTRANGE(""https://docs.google.com/spreadsheets/d/1tpwhWwkqkBeiSWCcfB5f2fbwPRbM9hHOEDSDHpl2MIc/edit?usp=sharing"",""นครปฐม!J717"")"),"")</f>
        <v/>
      </c>
      <c r="AS60" s="57">
        <f ca="1">IFERROR(__xludf.DUMMYFUNCTION("IMPORTRANGE(""https://docs.google.com/spreadsheets/d/1tpwhWwkqkBeiSWCcfB5f2fbwPRbM9hHOEDSDHpl2MIc/edit?usp=sharing"",""นครปฐม!I720"")"),34)</f>
        <v>34</v>
      </c>
      <c r="AT60" s="57">
        <f ca="1">IFERROR(__xludf.DUMMYFUNCTION("IMPORTRANGE(""https://docs.google.com/spreadsheets/d/1tpwhWwkqkBeiSWCcfB5f2fbwPRbM9hHOEDSDHpl2MIc/edit?usp=sharing"",""นครปฐม!J718"")"),0)</f>
        <v>0</v>
      </c>
      <c r="AU60" s="57">
        <f ca="1">IFERROR(__xludf.DUMMYFUNCTION("IMPORTRANGE(""https://docs.google.com/spreadsheets/d/1tpwhWwkqkBeiSWCcfB5f2fbwPRbM9hHOEDSDHpl2MIc/edit?usp=sharing"",""นครปฐม!J719"")"),0)</f>
        <v>0</v>
      </c>
      <c r="AV60" s="57">
        <f ca="1">IFERROR(__xludf.DUMMYFUNCTION("IMPORTRANGE(""https://docs.google.com/spreadsheets/d/1tpwhWwkqkBeiSWCcfB5f2fbwPRbM9hHOEDSDHpl2MIc/edit?usp=sharing"",""นครปฐม!J720"")"),0)</f>
        <v>0</v>
      </c>
      <c r="AW60" s="63">
        <f t="shared" ca="1" si="14"/>
        <v>0</v>
      </c>
      <c r="AX60" s="57">
        <f ca="1">IFERROR(__xludf.DUMMYFUNCTION("IMPORTRANGE(""https://docs.google.com/spreadsheets/d/1tpwhWwkqkBeiSWCcfB5f2fbwPRbM9hHOEDSDHpl2MIc/edit?usp=sharing"",""นครปฐม!I721"")"),3)</f>
        <v>3</v>
      </c>
      <c r="AY60" s="57">
        <f ca="1">IFERROR(__xludf.DUMMYFUNCTION("IMPORTRANGE(""https://docs.google.com/spreadsheets/d/1tpwhWwkqkBeiSWCcfB5f2fbwPRbM9hHOEDSDHpl2MIc/edit?usp=sharing"",""นครปฐม!I722"")"),40)</f>
        <v>40</v>
      </c>
      <c r="AZ60" s="57">
        <f ca="1">IFERROR(__xludf.DUMMYFUNCTION("IMPORTRANGE(""https://docs.google.com/spreadsheets/d/1tpwhWwkqkBeiSWCcfB5f2fbwPRbM9hHOEDSDHpl2MIc/edit?usp=sharing"",""นครปฐม!J721"")"),9)</f>
        <v>9</v>
      </c>
      <c r="BA60" s="63">
        <f t="shared" ca="1" si="16"/>
        <v>300</v>
      </c>
      <c r="BB60" s="57">
        <f ca="1">IFERROR(__xludf.DUMMYFUNCTION("IMPORTRANGE(""https://docs.google.com/spreadsheets/d/1tpwhWwkqkBeiSWCcfB5f2fbwPRbM9hHOEDSDHpl2MIc/edit?usp=sharing"",""นครปฐม!J722"")"),58.56)</f>
        <v>58.56</v>
      </c>
      <c r="BC60" s="63">
        <f t="shared" ca="1" si="17"/>
        <v>146.4</v>
      </c>
      <c r="BD60" s="57">
        <f ca="1">IFERROR(__xludf.DUMMYFUNCTION("IMPORTRANGE(""https://docs.google.com/spreadsheets/d/1tpwhWwkqkBeiSWCcfB5f2fbwPRbM9hHOEDSDHpl2MIc/edit?usp=sharing"",""นครปฐม!I723"")"),2)</f>
        <v>2</v>
      </c>
      <c r="BE60" s="57">
        <f ca="1">IFERROR(__xludf.DUMMYFUNCTION("IMPORTRANGE(""https://docs.google.com/spreadsheets/d/1tpwhWwkqkBeiSWCcfB5f2fbwPRbM9hHOEDSDHpl2MIc/edit?usp=sharing"",""นครปฐม!I725"")"),20)</f>
        <v>20</v>
      </c>
      <c r="BF60" s="57">
        <f ca="1">IFERROR(__xludf.DUMMYFUNCTION("IMPORTRANGE(""https://docs.google.com/spreadsheets/d/1tpwhWwkqkBeiSWCcfB5f2fbwPRbM9hHOEDSDHpl2MIc/edit?usp=sharing"",""นครปฐม!J723"")"),4)</f>
        <v>4</v>
      </c>
      <c r="BG60" s="57">
        <f ca="1">IFERROR(__xludf.DUMMYFUNCTION("IMPORTRANGE(""https://docs.google.com/spreadsheets/d/1tpwhWwkqkBeiSWCcfB5f2fbwPRbM9hHOEDSDHpl2MIc/edit?usp=sharing"",""นครปฐม!J724"")"),4)</f>
        <v>4</v>
      </c>
      <c r="BH60" s="57">
        <f ca="1">IFERROR(__xludf.DUMMYFUNCTION("IMPORTRANGE(""https://docs.google.com/spreadsheets/d/1tpwhWwkqkBeiSWCcfB5f2fbwPRbM9hHOEDSDHpl2MIc/edit?usp=sharing"",""นครปฐม!J725"")"),48.86)</f>
        <v>48.86</v>
      </c>
      <c r="BI60" s="57">
        <f ca="1">IFERROR(__xludf.DUMMYFUNCTION("IMPORTRANGE(""https://docs.google.com/spreadsheets/d/1tpwhWwkqkBeiSWCcfB5f2fbwPRbM9hHOEDSDHpl2MIc/edit?usp=sharing"",""นครปฐม!I726"")"),1)</f>
        <v>1</v>
      </c>
      <c r="BJ60" s="57">
        <f ca="1">IFERROR(__xludf.DUMMYFUNCTION("IMPORTRANGE(""https://docs.google.com/spreadsheets/d/1tpwhWwkqkBeiSWCcfB5f2fbwPRbM9hHOEDSDHpl2MIc/edit?usp=sharing"",""นครปฐม!I728"")"),20)</f>
        <v>20</v>
      </c>
      <c r="BK60" s="57">
        <f ca="1">IFERROR(__xludf.DUMMYFUNCTION("IMPORTRANGE(""https://docs.google.com/spreadsheets/d/1tpwhWwkqkBeiSWCcfB5f2fbwPRbM9hHOEDSDHpl2MIc/edit?usp=sharing"",""นครปฐม!J726"")"),5)</f>
        <v>5</v>
      </c>
      <c r="BL60" s="57">
        <f ca="1">IFERROR(__xludf.DUMMYFUNCTION("IMPORTRANGE(""https://docs.google.com/spreadsheets/d/1tpwhWwkqkBeiSWCcfB5f2fbwPRbM9hHOEDSDHpl2MIc/edit?usp=sharing"",""นครปฐม!J727"")"),5)</f>
        <v>5</v>
      </c>
      <c r="BM60" s="57">
        <f ca="1">IFERROR(__xludf.DUMMYFUNCTION("IMPORTRANGE(""https://docs.google.com/spreadsheets/d/1tpwhWwkqkBeiSWCcfB5f2fbwPRbM9hHOEDSDHpl2MIc/edit?usp=sharing"",""นครปฐม!J728"")"),9.7)</f>
        <v>9.6999999999999993</v>
      </c>
      <c r="BN60" s="57">
        <f ca="1">IFERROR(__xludf.DUMMYFUNCTION("IMPORTRANGE(""https://docs.google.com/spreadsheets/d/1tpwhWwkqkBeiSWCcfB5f2fbwPRbM9hHOEDSDHpl2MIc/edit?usp=sharing"",""นครปฐม!I729"")"),0)</f>
        <v>0</v>
      </c>
      <c r="BO60" s="57">
        <f ca="1">IFERROR(__xludf.DUMMYFUNCTION("IMPORTRANGE(""https://docs.google.com/spreadsheets/d/1tpwhWwkqkBeiSWCcfB5f2fbwPRbM9hHOEDSDHpl2MIc/edit?usp=sharing"",""นครปฐม!J729"")"),0)</f>
        <v>0</v>
      </c>
      <c r="BP60" s="63">
        <f t="shared" ca="1" si="19"/>
        <v>0</v>
      </c>
      <c r="BQ60" s="117" t="str">
        <f ca="1">IFERROR(__xludf.DUMMYFUNCTION("IMPORTRANGE(""https://docs.google.com/spreadsheets/d/1tpwhWwkqkBeiSWCcfB5f2fbwPRbM9hHOEDSDHpl2MIc/edit?usp=sharing"",""นครปฐม!J730"")"),"")</f>
        <v/>
      </c>
      <c r="BR60" s="57">
        <f ca="1">IFERROR(__xludf.DUMMYFUNCTION("IMPORTRANGE(""https://docs.google.com/spreadsheets/d/1tpwhWwkqkBeiSWCcfB5f2fbwPRbM9hHOEDSDHpl2MIc/edit?usp=sharing"",""นครปฐม!J731"")"),0)</f>
        <v>0</v>
      </c>
      <c r="BS60" s="57">
        <f ca="1">IFERROR(__xludf.DUMMYFUNCTION("IMPORTRANGE(""https://docs.google.com/spreadsheets/d/1tpwhWwkqkBeiSWCcfB5f2fbwPRbM9hHOEDSDHpl2MIc/edit?usp=sharing"",""นครปฐม!J732"")"),0)</f>
        <v>0</v>
      </c>
      <c r="BT60" s="57">
        <f ca="1">IFERROR(__xludf.DUMMYFUNCTION("IMPORTRANGE(""https://docs.google.com/spreadsheets/d/1tpwhWwkqkBeiSWCcfB5f2fbwPRbM9hHOEDSDHpl2MIc/edit?usp=sharing"",""นครปฐม!J733"")"),0)</f>
        <v>0</v>
      </c>
      <c r="BU60" s="57">
        <f ca="1">IFERROR(__xludf.DUMMYFUNCTION("IMPORTRANGE(""https://docs.google.com/spreadsheets/d/1tpwhWwkqkBeiSWCcfB5f2fbwPRbM9hHOEDSDHpl2MIc/edit?usp=sharing"",""นครปฐม!J734"")"),0)</f>
        <v>0</v>
      </c>
      <c r="BV60" s="57">
        <f ca="1">IFERROR(__xludf.DUMMYFUNCTION("IMPORTRANGE(""https://docs.google.com/spreadsheets/d/1tpwhWwkqkBeiSWCcfB5f2fbwPRbM9hHOEDSDHpl2MIc/edit?usp=sharing"",""นครปฐม!J735"")"),0)</f>
        <v>0</v>
      </c>
    </row>
    <row r="61" spans="1:74" ht="21" customHeight="1" x14ac:dyDescent="0.3">
      <c r="A61" s="54">
        <v>9</v>
      </c>
      <c r="B61" s="55" t="s">
        <v>82</v>
      </c>
      <c r="C61" s="56">
        <f t="shared" ca="1" si="75"/>
        <v>79450</v>
      </c>
      <c r="D61" s="57">
        <f ca="1">IFERROR(__xludf.DUMMYFUNCTION("IMPORTRANGE(""https://docs.google.com/spreadsheets/d/1fJJCVBkBnhriyv0Cp5ZFMr0I_yrfdEITNpb4zILJgUQ/edit?usp=sharing"",""ปทุมธานี!L690"")"),79450)</f>
        <v>79450</v>
      </c>
      <c r="E61" s="64">
        <f ca="1">IFERROR(__xludf.DUMMYFUNCTION("IMPORTRANGE(""https://docs.google.com/spreadsheets/d/1fJJCVBkBnhriyv0Cp5ZFMr0I_yrfdEITNpb4zILJgUQ/edit?usp=sharing"",""ปทุมธานี!L697"")"),0)</f>
        <v>0</v>
      </c>
      <c r="F61" s="64">
        <f ca="1">IFERROR(__xludf.DUMMYFUNCTION("IMPORTRANGE(""https://docs.google.com/spreadsheets/d/1fJJCVBkBnhriyv0Cp5ZFMr0I_yrfdEITNpb4zILJgUQ/edit?usp=sharing"",""ปทุมธานี!M690"")"),79450)</f>
        <v>79450</v>
      </c>
      <c r="G61" s="64">
        <f ca="1">IFERROR(__xludf.DUMMYFUNCTION("IMPORTRANGE(""https://docs.google.com/spreadsheets/d/1fJJCVBkBnhriyv0Cp5ZFMr0I_yrfdEITNpb4zILJgUQ/edit?usp=sharing"",""ปทุมธานี!M697"")"),0)</f>
        <v>0</v>
      </c>
      <c r="H61" s="58">
        <f t="shared" ca="1" si="33"/>
        <v>11380</v>
      </c>
      <c r="I61" s="59">
        <f t="shared" ca="1" si="1"/>
        <v>14.323473882945249</v>
      </c>
      <c r="J61" s="60">
        <f t="shared" ca="1" si="76"/>
        <v>11380</v>
      </c>
      <c r="K61" s="61">
        <f t="shared" ca="1" si="39"/>
        <v>14.323473882945249</v>
      </c>
      <c r="L61" s="61">
        <f t="shared" ca="1" si="40"/>
        <v>14.323473882945249</v>
      </c>
      <c r="M61" s="64">
        <f ca="1">IFERROR(__xludf.DUMMYFUNCTION("IMPORTRANGE(""https://docs.google.com/spreadsheets/d/1fJJCVBkBnhriyv0Cp5ZFMr0I_yrfdEITNpb4zILJgUQ/edit?usp=sharing"",""ปทุมธานี!N691"")"),0)</f>
        <v>0</v>
      </c>
      <c r="N61" s="64">
        <f ca="1">IFERROR(__xludf.DUMMYFUNCTION("IMPORTRANGE(""https://docs.google.com/spreadsheets/d/1fJJCVBkBnhriyv0Cp5ZFMr0I_yrfdEITNpb4zILJgUQ/edit?usp=sharing"",""ปทุมธานี!N692"")"),0)</f>
        <v>0</v>
      </c>
      <c r="O61" s="64">
        <f ca="1">IFERROR(__xludf.DUMMYFUNCTION("IMPORTRANGE(""https://docs.google.com/spreadsheets/d/1fJJCVBkBnhriyv0Cp5ZFMr0I_yrfdEITNpb4zILJgUQ/edit?usp=sharing"",""ปทุมธานี!N693"")"),0)</f>
        <v>0</v>
      </c>
      <c r="P61" s="64">
        <f ca="1">IFERROR(__xludf.DUMMYFUNCTION("IMPORTRANGE(""https://docs.google.com/spreadsheets/d/1fJJCVBkBnhriyv0Cp5ZFMr0I_yrfdEITNpb4zILJgUQ/edit?usp=sharing"",""ปทุมธานี!N694"")"),11380)</f>
        <v>11380</v>
      </c>
      <c r="Q61" s="62">
        <f ca="1">IFERROR(__xludf.DUMMYFUNCTION("IMPORTRANGE(""https://docs.google.com/spreadsheets/d/1fJJCVBkBnhriyv0Cp5ZFMr0I_yrfdEITNpb4zILJgUQ/edit?usp=sharing"",""ปทุมธานี!N697"")"),0)</f>
        <v>0</v>
      </c>
      <c r="R61" s="62">
        <f t="shared" ca="1" si="42"/>
        <v>0</v>
      </c>
      <c r="S61" s="57">
        <f ca="1">IFERROR(__xludf.DUMMYFUNCTION("IMPORTRANGE(""https://docs.google.com/spreadsheets/d/1fJJCVBkBnhriyv0Cp5ZFMr0I_yrfdEITNpb4zILJgUQ/edit?usp=sharing"",""ปทุมธานี!I699"")"),0)</f>
        <v>0</v>
      </c>
      <c r="T61" s="57">
        <f ca="1">IFERROR(__xludf.DUMMYFUNCTION("IMPORTRANGE(""https://docs.google.com/spreadsheets/d/1fJJCVBkBnhriyv0Cp5ZFMr0I_yrfdEITNpb4zILJgUQ/edit?usp=sharing"",""ปทุมธานี!J699"")"),0)</f>
        <v>0</v>
      </c>
      <c r="U61" s="63">
        <f t="shared" ca="1" si="34"/>
        <v>0</v>
      </c>
      <c r="V61" s="57">
        <f ca="1">IFERROR(__xludf.DUMMYFUNCTION("IMPORTRANGE(""https://docs.google.com/spreadsheets/d/1fJJCVBkBnhriyv0Cp5ZFMr0I_yrfdEITNpb4zILJgUQ/edit?usp=sharing"",""ปทุมธานี!I700"")"),0)</f>
        <v>0</v>
      </c>
      <c r="W61" s="57">
        <f ca="1">IFERROR(__xludf.DUMMYFUNCTION("IMPORTRANGE(""https://docs.google.com/spreadsheets/d/1fJJCVBkBnhriyv0Cp5ZFMr0I_yrfdEITNpb4zILJgUQ/edit?usp=sharing"",""ปทุมธานี!J700"")"),7)</f>
        <v>7</v>
      </c>
      <c r="X61" s="63">
        <f t="shared" ca="1" si="35"/>
        <v>0</v>
      </c>
      <c r="Y61" s="57">
        <f ca="1">IFERROR(__xludf.DUMMYFUNCTION("IMPORTRANGE(""https://docs.google.com/spreadsheets/d/1fJJCVBkBnhriyv0Cp5ZFMr0I_yrfdEITNpb4zILJgUQ/edit?usp=sharing"",""ปทุมธานี!I701"")"),300)</f>
        <v>300</v>
      </c>
      <c r="Z61" s="57">
        <f ca="1">IFERROR(__xludf.DUMMYFUNCTION("IMPORTRANGE(""https://docs.google.com/spreadsheets/d/1fJJCVBkBnhriyv0Cp5ZFMr0I_yrfdEITNpb4zILJgUQ/edit?usp=sharing"",""ปทุมธานี!J701"")"),318.532)</f>
        <v>318.53199999999998</v>
      </c>
      <c r="AA61" s="63">
        <f t="shared" ca="1" si="36"/>
        <v>106.17733333333332</v>
      </c>
      <c r="AB61" s="63">
        <f ca="1">IFERROR(__xludf.DUMMYFUNCTION("IMPORTRANGE(""https://docs.google.com/spreadsheets/d/1fJJCVBkBnhriyv0Cp5ZFMr0I_yrfdEITNpb4zILJgUQ/edit?usp=sharing"",""ปทุมธานี!J702"")"),42)</f>
        <v>42</v>
      </c>
      <c r="AC61" s="63">
        <f ca="1">IFERROR(__xludf.DUMMYFUNCTION("IMPORTRANGE(""https://docs.google.com/spreadsheets/d/1fJJCVBkBnhriyv0Cp5ZFMr0I_yrfdEITNpb4zILJgUQ/edit?usp=sharing"",""ปทุมธานี!J703"")"),45)</f>
        <v>45</v>
      </c>
      <c r="AD61" s="63">
        <f ca="1">IFERROR(__xludf.DUMMYFUNCTION("IMPORTRANGE(""https://docs.google.com/spreadsheets/d/1fJJCVBkBnhriyv0Cp5ZFMr0I_yrfdEITNpb4zILJgUQ/edit?usp=sharing"",""ปทุมธานี!J704"")"),318.532)</f>
        <v>318.53199999999998</v>
      </c>
      <c r="AE61" s="63">
        <f ca="1">IFERROR(__xludf.DUMMYFUNCTION("IMPORTRANGE(""https://docs.google.com/spreadsheets/d/1fJJCVBkBnhriyv0Cp5ZFMr0I_yrfdEITNpb4zILJgUQ/edit?usp=sharing"",""ปทุมธานี!J705"")"),0)</f>
        <v>0</v>
      </c>
      <c r="AF61" s="63">
        <f ca="1">IFERROR(__xludf.DUMMYFUNCTION("IMPORTRANGE(""https://docs.google.com/spreadsheets/d/1fJJCVBkBnhriyv0Cp5ZFMr0I_yrfdEITNpb4zILJgUQ/edit?usp=sharing"",""ปทุมธานี!J706"")"),0)</f>
        <v>0</v>
      </c>
      <c r="AG61" s="63">
        <f ca="1">IFERROR(__xludf.DUMMYFUNCTION("IMPORTRANGE(""https://docs.google.com/spreadsheets/d/1fJJCVBkBnhriyv0Cp5ZFMr0I_yrfdEITNpb4zILJgUQ/edit?usp=sharing"",""ปทุมธานี!J707"")"),0)</f>
        <v>0</v>
      </c>
      <c r="AH61" s="57">
        <f ca="1">IFERROR(__xludf.DUMMYFUNCTION("IMPORTRANGE(""https://docs.google.com/spreadsheets/d/1fJJCVBkBnhriyv0Cp5ZFMr0I_yrfdEITNpb4zILJgUQ/edit?usp=sharing"",""ปทุมธานี!I708"")"),350)</f>
        <v>350</v>
      </c>
      <c r="AI61" s="57">
        <f ca="1">IFERROR(__xludf.DUMMYFUNCTION("IMPORTRANGE(""https://docs.google.com/spreadsheets/d/1fJJCVBkBnhriyv0Cp5ZFMr0I_yrfdEITNpb4zILJgUQ/edit?usp=sharing"",""ปทุมธานี!J708"")"),242)</f>
        <v>242</v>
      </c>
      <c r="AJ61" s="63">
        <f t="shared" ca="1" si="37"/>
        <v>69.142857142857139</v>
      </c>
      <c r="AK61" s="57">
        <f ca="1">IFERROR(__xludf.DUMMYFUNCTION("IMPORTRANGE(""https://docs.google.com/spreadsheets/d/1fJJCVBkBnhriyv0Cp5ZFMr0I_yrfdEITNpb4zILJgUQ/edit?usp=sharing"",""ปทุมธานี!J709"")"),19)</f>
        <v>19</v>
      </c>
      <c r="AL61" s="57">
        <f ca="1">IFERROR(__xludf.DUMMYFUNCTION("IMPORTRANGE(""https://docs.google.com/spreadsheets/d/1fJJCVBkBnhriyv0Cp5ZFMr0I_yrfdEITNpb4zILJgUQ/edit?usp=sharing"",""ปทุมธานี!J710"")"),242)</f>
        <v>242</v>
      </c>
      <c r="AM61" s="57">
        <f ca="1">IFERROR(__xludf.DUMMYFUNCTION("IMPORTRANGE(""https://docs.google.com/spreadsheets/d/1fJJCVBkBnhriyv0Cp5ZFMr0I_yrfdEITNpb4zILJgUQ/edit?usp=sharing"",""ปทุมธานี!J712"")"),17)</f>
        <v>17</v>
      </c>
      <c r="AN61" s="57">
        <f ca="1">IFERROR(__xludf.DUMMYFUNCTION("IMPORTRANGE(""https://docs.google.com/spreadsheets/d/1fJJCVBkBnhriyv0Cp5ZFMr0I_yrfdEITNpb4zILJgUQ/edit?usp=sharing"",""ปทุมธานี!J713"")"),19)</f>
        <v>19</v>
      </c>
      <c r="AO61" s="57">
        <f ca="1">IFERROR(__xludf.DUMMYFUNCTION("IMPORTRANGE(""https://docs.google.com/spreadsheets/d/1fJJCVBkBnhriyv0Cp5ZFMr0I_yrfdEITNpb4zILJgUQ/edit?usp=sharing"",""ปทุมธานี!J714"")"),242)</f>
        <v>242</v>
      </c>
      <c r="AP61" s="57">
        <f ca="1">IFERROR(__xludf.DUMMYFUNCTION("IMPORTRANGE(""https://docs.google.com/spreadsheets/d/1fJJCVBkBnhriyv0Cp5ZFMr0I_yrfdEITNpb4zILJgUQ/edit?usp=sharing"",""ปทุมธานี!J715"")"),0)</f>
        <v>0</v>
      </c>
      <c r="AQ61" s="57">
        <f ca="1">IFERROR(__xludf.DUMMYFUNCTION("IMPORTRANGE(""https://docs.google.com/spreadsheets/d/1fJJCVBkBnhriyv0Cp5ZFMr0I_yrfdEITNpb4zILJgUQ/edit?usp=sharing"",""ปทุมธานี!J716"")"),0)</f>
        <v>0</v>
      </c>
      <c r="AR61" s="57">
        <f ca="1">IFERROR(__xludf.DUMMYFUNCTION("IMPORTRANGE(""https://docs.google.com/spreadsheets/d/1fJJCVBkBnhriyv0Cp5ZFMr0I_yrfdEITNpb4zILJgUQ/edit?usp=sharing"",""ปทุมธานี!J717"")"),0)</f>
        <v>0</v>
      </c>
      <c r="AS61" s="57">
        <f ca="1">IFERROR(__xludf.DUMMYFUNCTION("IMPORTRANGE(""https://docs.google.com/spreadsheets/d/1fJJCVBkBnhriyv0Cp5ZFMr0I_yrfdEITNpb4zILJgUQ/edit?usp=sharing"",""ปทุมธานี!I720"")"),585)</f>
        <v>585</v>
      </c>
      <c r="AT61" s="57">
        <f ca="1">IFERROR(__xludf.DUMMYFUNCTION("IMPORTRANGE(""https://docs.google.com/spreadsheets/d/1fJJCVBkBnhriyv0Cp5ZFMr0I_yrfdEITNpb4zILJgUQ/edit?usp=sharing"",""ปทุมธานี!J718"")"),0)</f>
        <v>0</v>
      </c>
      <c r="AU61" s="57">
        <f ca="1">IFERROR(__xludf.DUMMYFUNCTION("IMPORTRANGE(""https://docs.google.com/spreadsheets/d/1fJJCVBkBnhriyv0Cp5ZFMr0I_yrfdEITNpb4zILJgUQ/edit?usp=sharing"",""ปทุมธานี!J719"")"),0)</f>
        <v>0</v>
      </c>
      <c r="AV61" s="57">
        <f ca="1">IFERROR(__xludf.DUMMYFUNCTION("IMPORTRANGE(""https://docs.google.com/spreadsheets/d/1fJJCVBkBnhriyv0Cp5ZFMr0I_yrfdEITNpb4zILJgUQ/edit?usp=sharing"",""ปทุมธานี!J720"")"),0)</f>
        <v>0</v>
      </c>
      <c r="AW61" s="63">
        <f t="shared" ca="1" si="14"/>
        <v>0</v>
      </c>
      <c r="AX61" s="57">
        <f ca="1">IFERROR(__xludf.DUMMYFUNCTION("IMPORTRANGE(""https://docs.google.com/spreadsheets/d/1fJJCVBkBnhriyv0Cp5ZFMr0I_yrfdEITNpb4zILJgUQ/edit?usp=sharing"",""ปทุมธานี!I721"")"),40)</f>
        <v>40</v>
      </c>
      <c r="AY61" s="57">
        <f ca="1">IFERROR(__xludf.DUMMYFUNCTION("IMPORTRANGE(""https://docs.google.com/spreadsheets/d/1fJJCVBkBnhriyv0Cp5ZFMr0I_yrfdEITNpb4zILJgUQ/edit?usp=sharing"",""ปทุมธานี!I722"")"),400)</f>
        <v>400</v>
      </c>
      <c r="AZ61" s="57">
        <f ca="1">IFERROR(__xludf.DUMMYFUNCTION("IMPORTRANGE(""https://docs.google.com/spreadsheets/d/1fJJCVBkBnhriyv0Cp5ZFMr0I_yrfdEITNpb4zILJgUQ/edit?usp=sharing"",""ปทุมธานี!J721"")"),1)</f>
        <v>1</v>
      </c>
      <c r="BA61" s="63">
        <f t="shared" ca="1" si="16"/>
        <v>2.5</v>
      </c>
      <c r="BB61" s="57">
        <f ca="1">IFERROR(__xludf.DUMMYFUNCTION("IMPORTRANGE(""https://docs.google.com/spreadsheets/d/1fJJCVBkBnhriyv0Cp5ZFMr0I_yrfdEITNpb4zILJgUQ/edit?usp=sharing"",""ปทุมธานี!J722"")"),23.97)</f>
        <v>23.97</v>
      </c>
      <c r="BC61" s="63">
        <f t="shared" ca="1" si="17"/>
        <v>5.9924999999999997</v>
      </c>
      <c r="BD61" s="57">
        <f ca="1">IFERROR(__xludf.DUMMYFUNCTION("IMPORTRANGE(""https://docs.google.com/spreadsheets/d/1fJJCVBkBnhriyv0Cp5ZFMr0I_yrfdEITNpb4zILJgUQ/edit?usp=sharing"",""ปทุมธานี!I723"")"),20)</f>
        <v>20</v>
      </c>
      <c r="BE61" s="57">
        <f ca="1">IFERROR(__xludf.DUMMYFUNCTION("IMPORTRANGE(""https://docs.google.com/spreadsheets/d/1fJJCVBkBnhriyv0Cp5ZFMr0I_yrfdEITNpb4zILJgUQ/edit?usp=sharing"",""ปทุมธานี!I725"")"),200)</f>
        <v>200</v>
      </c>
      <c r="BF61" s="57">
        <f ca="1">IFERROR(__xludf.DUMMYFUNCTION("IMPORTRANGE(""https://docs.google.com/spreadsheets/d/1fJJCVBkBnhriyv0Cp5ZFMr0I_yrfdEITNpb4zILJgUQ/edit?usp=sharing"",""ปทุมธานี!J723"")"),1)</f>
        <v>1</v>
      </c>
      <c r="BG61" s="57">
        <f ca="1">IFERROR(__xludf.DUMMYFUNCTION("IMPORTRANGE(""https://docs.google.com/spreadsheets/d/1fJJCVBkBnhriyv0Cp5ZFMr0I_yrfdEITNpb4zILJgUQ/edit?usp=sharing"",""ปทุมธานี!J724"")"),1)</f>
        <v>1</v>
      </c>
      <c r="BH61" s="57">
        <f ca="1">IFERROR(__xludf.DUMMYFUNCTION("IMPORTRANGE(""https://docs.google.com/spreadsheets/d/1fJJCVBkBnhriyv0Cp5ZFMr0I_yrfdEITNpb4zILJgUQ/edit?usp=sharing"",""ปทุมธานี!J725"")"),23.97)</f>
        <v>23.97</v>
      </c>
      <c r="BI61" s="57">
        <f ca="1">IFERROR(__xludf.DUMMYFUNCTION("IMPORTRANGE(""https://docs.google.com/spreadsheets/d/1fJJCVBkBnhriyv0Cp5ZFMr0I_yrfdEITNpb4zILJgUQ/edit?usp=sharing"",""ปทุมธานี!I726"")"),20)</f>
        <v>20</v>
      </c>
      <c r="BJ61" s="57">
        <f ca="1">IFERROR(__xludf.DUMMYFUNCTION("IMPORTRANGE(""https://docs.google.com/spreadsheets/d/1fJJCVBkBnhriyv0Cp5ZFMr0I_yrfdEITNpb4zILJgUQ/edit?usp=sharing"",""ปทุมธานี!I728"")"),200)</f>
        <v>200</v>
      </c>
      <c r="BK61" s="57">
        <f ca="1">IFERROR(__xludf.DUMMYFUNCTION("IMPORTRANGE(""https://docs.google.com/spreadsheets/d/1fJJCVBkBnhriyv0Cp5ZFMr0I_yrfdEITNpb4zILJgUQ/edit?usp=sharing"",""ปทุมธานี!J726"")"),0)</f>
        <v>0</v>
      </c>
      <c r="BL61" s="57">
        <f ca="1">IFERROR(__xludf.DUMMYFUNCTION("IMPORTRANGE(""https://docs.google.com/spreadsheets/d/1fJJCVBkBnhriyv0Cp5ZFMr0I_yrfdEITNpb4zILJgUQ/edit?usp=sharing"",""ปทุมธานี!J727"")"),0)</f>
        <v>0</v>
      </c>
      <c r="BM61" s="57">
        <f ca="1">IFERROR(__xludf.DUMMYFUNCTION("IMPORTRANGE(""https://docs.google.com/spreadsheets/d/1fJJCVBkBnhriyv0Cp5ZFMr0I_yrfdEITNpb4zILJgUQ/edit?usp=sharing"",""ปทุมธานี!J728"")"),0)</f>
        <v>0</v>
      </c>
      <c r="BN61" s="57">
        <f ca="1">IFERROR(__xludf.DUMMYFUNCTION("IMPORTRANGE(""https://docs.google.com/spreadsheets/d/1fJJCVBkBnhriyv0Cp5ZFMr0I_yrfdEITNpb4zILJgUQ/edit?usp=sharing"",""ปทุมธานี!I729"")"),50)</f>
        <v>50</v>
      </c>
      <c r="BO61" s="57">
        <f ca="1">IFERROR(__xludf.DUMMYFUNCTION("IMPORTRANGE(""https://docs.google.com/spreadsheets/d/1fJJCVBkBnhriyv0Cp5ZFMr0I_yrfdEITNpb4zILJgUQ/edit?usp=sharing"",""ปทุมธานี!J729"")"),76.1375)</f>
        <v>76.137500000000003</v>
      </c>
      <c r="BP61" s="63">
        <f t="shared" ca="1" si="19"/>
        <v>152.27500000000001</v>
      </c>
      <c r="BQ61" s="57">
        <f ca="1">IFERROR(__xludf.DUMMYFUNCTION("IMPORTRANGE(""https://docs.google.com/spreadsheets/d/1fJJCVBkBnhriyv0Cp5ZFMr0I_yrfdEITNpb4zILJgUQ/edit?usp=sharing"",""ปทุมธานี!J730"")"),0)</f>
        <v>0</v>
      </c>
      <c r="BR61" s="57">
        <f ca="1">IFERROR(__xludf.DUMMYFUNCTION("IMPORTRANGE(""https://docs.google.com/spreadsheets/d/1fJJCVBkBnhriyv0Cp5ZFMr0I_yrfdEITNpb4zILJgUQ/edit?usp=sharing"",""ปทุมธานี!J731"")"),0)</f>
        <v>0</v>
      </c>
      <c r="BS61" s="57">
        <f ca="1">IFERROR(__xludf.DUMMYFUNCTION("IMPORTRANGE(""https://docs.google.com/spreadsheets/d/1fJJCVBkBnhriyv0Cp5ZFMr0I_yrfdEITNpb4zILJgUQ/edit?usp=sharing"",""ปทุมธานี!J732"")"),0)</f>
        <v>0</v>
      </c>
      <c r="BT61" s="57">
        <f ca="1">IFERROR(__xludf.DUMMYFUNCTION("IMPORTRANGE(""https://docs.google.com/spreadsheets/d/1fJJCVBkBnhriyv0Cp5ZFMr0I_yrfdEITNpb4zILJgUQ/edit?usp=sharing"",""ปทุมธานี!J733"")"),7)</f>
        <v>7</v>
      </c>
      <c r="BU61" s="57">
        <f ca="1">IFERROR(__xludf.DUMMYFUNCTION("IMPORTRANGE(""https://docs.google.com/spreadsheets/d/1fJJCVBkBnhriyv0Cp5ZFMr0I_yrfdEITNpb4zILJgUQ/edit?usp=sharing"",""ปทุมธานี!J734"")"),4)</f>
        <v>4</v>
      </c>
      <c r="BV61" s="57">
        <f ca="1">IFERROR(__xludf.DUMMYFUNCTION("IMPORTRANGE(""https://docs.google.com/spreadsheets/d/1fJJCVBkBnhriyv0Cp5ZFMr0I_yrfdEITNpb4zILJgUQ/edit?usp=sharing"",""ปทุมธานี!J735"")"),76.1375)</f>
        <v>76.137500000000003</v>
      </c>
    </row>
    <row r="62" spans="1:74" ht="21" customHeight="1" x14ac:dyDescent="0.3">
      <c r="A62" s="54">
        <v>10</v>
      </c>
      <c r="B62" s="55" t="s">
        <v>83</v>
      </c>
      <c r="C62" s="56">
        <f t="shared" ca="1" si="75"/>
        <v>0</v>
      </c>
      <c r="D62" s="57">
        <f ca="1">IFERROR(__xludf.DUMMYFUNCTION("IMPORTRANGE(""https://docs.google.com/spreadsheets/d/1W5Jj_S0gYw6wSO7QcMI02YgyOBDKYgmm0NSUk-AQEac/edit?usp=sharing"",""ประจวบคีรีขันธ์!L690"")"),0)</f>
        <v>0</v>
      </c>
      <c r="E62" s="64">
        <f ca="1">IFERROR(__xludf.DUMMYFUNCTION("IMPORTRANGE(""https://docs.google.com/spreadsheets/d/1W5Jj_S0gYw6wSO7QcMI02YgyOBDKYgmm0NSUk-AQEac/edit?usp=sharing"",""ประจวบคีรีขันธ์!L697"")"),0)</f>
        <v>0</v>
      </c>
      <c r="F62" s="64">
        <f ca="1">IFERROR(__xludf.DUMMYFUNCTION("IMPORTRANGE(""https://docs.google.com/spreadsheets/d/1W5Jj_S0gYw6wSO7QcMI02YgyOBDKYgmm0NSUk-AQEac/edit?usp=sharing"",""ประจวบคีรีขันธ์!M690"")"),0)</f>
        <v>0</v>
      </c>
      <c r="G62" s="64">
        <f ca="1">IFERROR(__xludf.DUMMYFUNCTION("IMPORTRANGE(""https://docs.google.com/spreadsheets/d/1W5Jj_S0gYw6wSO7QcMI02YgyOBDKYgmm0NSUk-AQEac/edit?usp=sharing"",""ประจวบคีรีขันธ์!M697"")"),0)</f>
        <v>0</v>
      </c>
      <c r="H62" s="58">
        <f t="shared" ca="1" si="33"/>
        <v>0</v>
      </c>
      <c r="I62" s="59">
        <f t="shared" ca="1" si="1"/>
        <v>0</v>
      </c>
      <c r="J62" s="60">
        <f t="shared" ca="1" si="76"/>
        <v>0</v>
      </c>
      <c r="K62" s="61">
        <f t="shared" ca="1" si="39"/>
        <v>0</v>
      </c>
      <c r="L62" s="61">
        <f t="shared" ca="1" si="40"/>
        <v>0</v>
      </c>
      <c r="M62" s="64">
        <f ca="1">IFERROR(__xludf.DUMMYFUNCTION("IMPORTRANGE(""https://docs.google.com/spreadsheets/d/1W5Jj_S0gYw6wSO7QcMI02YgyOBDKYgmm0NSUk-AQEac/edit?usp=sharing"",""ประจวบคีรีขันธ์!N691"")"),0)</f>
        <v>0</v>
      </c>
      <c r="N62" s="64">
        <f ca="1">IFERROR(__xludf.DUMMYFUNCTION("IMPORTRANGE(""https://docs.google.com/spreadsheets/d/1W5Jj_S0gYw6wSO7QcMI02YgyOBDKYgmm0NSUk-AQEac/edit?usp=sharing"",""ประจวบคีรีขันธ์!N692"")"),0)</f>
        <v>0</v>
      </c>
      <c r="O62" s="64">
        <f ca="1">IFERROR(__xludf.DUMMYFUNCTION("IMPORTRANGE(""https://docs.google.com/spreadsheets/d/1W5Jj_S0gYw6wSO7QcMI02YgyOBDKYgmm0NSUk-AQEac/edit?usp=sharing"",""ประจวบคีรีขันธ์!N693"")"),0)</f>
        <v>0</v>
      </c>
      <c r="P62" s="64">
        <f ca="1">IFERROR(__xludf.DUMMYFUNCTION("IMPORTRANGE(""https://docs.google.com/spreadsheets/d/1W5Jj_S0gYw6wSO7QcMI02YgyOBDKYgmm0NSUk-AQEac/edit?usp=sharing"",""ประจวบคีรีขันธ์!N694"")"),0)</f>
        <v>0</v>
      </c>
      <c r="Q62" s="62">
        <f ca="1">IFERROR(__xludf.DUMMYFUNCTION("IMPORTRANGE(""https://docs.google.com/spreadsheets/d/1W5Jj_S0gYw6wSO7QcMI02YgyOBDKYgmm0NSUk-AQEac/edit?usp=sharing"",""ประจวบคีรีขันธ์!N697"")"),0)</f>
        <v>0</v>
      </c>
      <c r="R62" s="62">
        <f t="shared" ca="1" si="42"/>
        <v>0</v>
      </c>
      <c r="S62" s="57">
        <f ca="1">IFERROR(__xludf.DUMMYFUNCTION("IMPORTRANGE(""https://docs.google.com/spreadsheets/d/1W5Jj_S0gYw6wSO7QcMI02YgyOBDKYgmm0NSUk-AQEac/edit?usp=sharing"",""ประจวบคีรีขันธ์!I699"")"),0)</f>
        <v>0</v>
      </c>
      <c r="T62" s="57">
        <f ca="1">IFERROR(__xludf.DUMMYFUNCTION("IMPORTRANGE(""https://docs.google.com/spreadsheets/d/1W5Jj_S0gYw6wSO7QcMI02YgyOBDKYgmm0NSUk-AQEac/edit?usp=sharing"",""ประจวบคีรีขันธ์!J699"")"),0)</f>
        <v>0</v>
      </c>
      <c r="U62" s="63">
        <f t="shared" ca="1" si="34"/>
        <v>0</v>
      </c>
      <c r="V62" s="57">
        <f ca="1">IFERROR(__xludf.DUMMYFUNCTION("IMPORTRANGE(""https://docs.google.com/spreadsheets/d/1W5Jj_S0gYw6wSO7QcMI02YgyOBDKYgmm0NSUk-AQEac/edit?usp=sharing"",""ประจวบคีรีขันธ์!I700"")"),0)</f>
        <v>0</v>
      </c>
      <c r="W62" s="57">
        <f ca="1">IFERROR(__xludf.DUMMYFUNCTION("IMPORTRANGE(""https://docs.google.com/spreadsheets/d/1W5Jj_S0gYw6wSO7QcMI02YgyOBDKYgmm0NSUk-AQEac/edit?usp=sharing"",""ประจวบคีรีขันธ์!J700"")"),0)</f>
        <v>0</v>
      </c>
      <c r="X62" s="63">
        <f t="shared" ca="1" si="35"/>
        <v>0</v>
      </c>
      <c r="Y62" s="57">
        <f ca="1">IFERROR(__xludf.DUMMYFUNCTION("IMPORTRANGE(""https://docs.google.com/spreadsheets/d/1W5Jj_S0gYw6wSO7QcMI02YgyOBDKYgmm0NSUk-AQEac/edit?usp=sharing"",""ประจวบคีรีขันธ์!I701"")"),0)</f>
        <v>0</v>
      </c>
      <c r="Z62" s="57">
        <f ca="1">IFERROR(__xludf.DUMMYFUNCTION("IMPORTRANGE(""https://docs.google.com/spreadsheets/d/1W5Jj_S0gYw6wSO7QcMI02YgyOBDKYgmm0NSUk-AQEac/edit?usp=sharing"",""ประจวบคีรีขันธ์!J701"")"),0)</f>
        <v>0</v>
      </c>
      <c r="AA62" s="63">
        <f t="shared" ca="1" si="36"/>
        <v>0</v>
      </c>
      <c r="AB62" s="63">
        <f ca="1">IFERROR(__xludf.DUMMYFUNCTION("IMPORTRANGE(""https://docs.google.com/spreadsheets/d/1W5Jj_S0gYw6wSO7QcMI02YgyOBDKYgmm0NSUk-AQEac/edit?usp=sharing"",""ประจวบคีรีขันธ์!J702"")"),0)</f>
        <v>0</v>
      </c>
      <c r="AC62" s="63">
        <f ca="1">IFERROR(__xludf.DUMMYFUNCTION("IMPORTRANGE(""https://docs.google.com/spreadsheets/d/1W5Jj_S0gYw6wSO7QcMI02YgyOBDKYgmm0NSUk-AQEac/edit?usp=sharing"",""ประจวบคีรีขันธ์!J703"")"),0)</f>
        <v>0</v>
      </c>
      <c r="AD62" s="63">
        <f ca="1">IFERROR(__xludf.DUMMYFUNCTION("IMPORTRANGE(""https://docs.google.com/spreadsheets/d/1W5Jj_S0gYw6wSO7QcMI02YgyOBDKYgmm0NSUk-AQEac/edit?usp=sharing"",""ประจวบคีรีขันธ์!J704"")"),0)</f>
        <v>0</v>
      </c>
      <c r="AE62" s="63">
        <f ca="1">IFERROR(__xludf.DUMMYFUNCTION("IMPORTRANGE(""https://docs.google.com/spreadsheets/d/1W5Jj_S0gYw6wSO7QcMI02YgyOBDKYgmm0NSUk-AQEac/edit?usp=sharing"",""ประจวบคีรีขันธ์!J705"")"),0)</f>
        <v>0</v>
      </c>
      <c r="AF62" s="63">
        <f ca="1">IFERROR(__xludf.DUMMYFUNCTION("IMPORTRANGE(""https://docs.google.com/spreadsheets/d/1W5Jj_S0gYw6wSO7QcMI02YgyOBDKYgmm0NSUk-AQEac/edit?usp=sharing"",""ประจวบคีรีขันธ์!J706"")"),0)</f>
        <v>0</v>
      </c>
      <c r="AG62" s="63">
        <f ca="1">IFERROR(__xludf.DUMMYFUNCTION("IMPORTRANGE(""https://docs.google.com/spreadsheets/d/1W5Jj_S0gYw6wSO7QcMI02YgyOBDKYgmm0NSUk-AQEac/edit?usp=sharing"",""ประจวบคีรีขันธ์!J707"")"),0)</f>
        <v>0</v>
      </c>
      <c r="AH62" s="57">
        <f ca="1">IFERROR(__xludf.DUMMYFUNCTION("IMPORTRANGE(""https://docs.google.com/spreadsheets/d/1W5Jj_S0gYw6wSO7QcMI02YgyOBDKYgmm0NSUk-AQEac/edit?usp=sharing"",""ประจวบคีรีขันธ์!I708"")"),0)</f>
        <v>0</v>
      </c>
      <c r="AI62" s="57">
        <f ca="1">IFERROR(__xludf.DUMMYFUNCTION("IMPORTRANGE(""https://docs.google.com/spreadsheets/d/1W5Jj_S0gYw6wSO7QcMI02YgyOBDKYgmm0NSUk-AQEac/edit?usp=sharing"",""ประจวบคีรีขันธ์!J708"")"),0)</f>
        <v>0</v>
      </c>
      <c r="AJ62" s="63">
        <f t="shared" ca="1" si="37"/>
        <v>0</v>
      </c>
      <c r="AK62" s="57">
        <f ca="1">IFERROR(__xludf.DUMMYFUNCTION("IMPORTRANGE(""https://docs.google.com/spreadsheets/d/1W5Jj_S0gYw6wSO7QcMI02YgyOBDKYgmm0NSUk-AQEac/edit?usp=sharing"",""ประจวบคีรีขันธ์!J709"")"),0)</f>
        <v>0</v>
      </c>
      <c r="AL62" s="57">
        <f ca="1">IFERROR(__xludf.DUMMYFUNCTION("IMPORTRANGE(""https://docs.google.com/spreadsheets/d/1W5Jj_S0gYw6wSO7QcMI02YgyOBDKYgmm0NSUk-AQEac/edit?usp=sharing"",""ประจวบคีรีขันธ์!J710"")"),0)</f>
        <v>0</v>
      </c>
      <c r="AM62" s="57">
        <f ca="1">IFERROR(__xludf.DUMMYFUNCTION("IMPORTRANGE(""https://docs.google.com/spreadsheets/d/1W5Jj_S0gYw6wSO7QcMI02YgyOBDKYgmm0NSUk-AQEac/edit?usp=sharing"",""ประจวบคีรีขันธ์!J712"")"),0)</f>
        <v>0</v>
      </c>
      <c r="AN62" s="57">
        <f ca="1">IFERROR(__xludf.DUMMYFUNCTION("IMPORTRANGE(""https://docs.google.com/spreadsheets/d/1W5Jj_S0gYw6wSO7QcMI02YgyOBDKYgmm0NSUk-AQEac/edit?usp=sharing"",""ประจวบคีรีขันธ์!J713"")"),0)</f>
        <v>0</v>
      </c>
      <c r="AO62" s="57">
        <f ca="1">IFERROR(__xludf.DUMMYFUNCTION("IMPORTRANGE(""https://docs.google.com/spreadsheets/d/1W5Jj_S0gYw6wSO7QcMI02YgyOBDKYgmm0NSUk-AQEac/edit?usp=sharing"",""ประจวบคีรีขันธ์!J714"")"),0)</f>
        <v>0</v>
      </c>
      <c r="AP62" s="57">
        <f ca="1">IFERROR(__xludf.DUMMYFUNCTION("IMPORTRANGE(""https://docs.google.com/spreadsheets/d/1W5Jj_S0gYw6wSO7QcMI02YgyOBDKYgmm0NSUk-AQEac/edit?usp=sharing"",""ประจวบคีรีขันธ์!J715"")"),0)</f>
        <v>0</v>
      </c>
      <c r="AQ62" s="57">
        <f ca="1">IFERROR(__xludf.DUMMYFUNCTION("IMPORTRANGE(""https://docs.google.com/spreadsheets/d/1W5Jj_S0gYw6wSO7QcMI02YgyOBDKYgmm0NSUk-AQEac/edit?usp=sharing"",""ประจวบคีรีขันธ์!J716"")"),0)</f>
        <v>0</v>
      </c>
      <c r="AR62" s="57">
        <f ca="1">IFERROR(__xludf.DUMMYFUNCTION("IMPORTRANGE(""https://docs.google.com/spreadsheets/d/1W5Jj_S0gYw6wSO7QcMI02YgyOBDKYgmm0NSUk-AQEac/edit?usp=sharing"",""ประจวบคีรีขันธ์!J717"")"),0)</f>
        <v>0</v>
      </c>
      <c r="AS62" s="57">
        <f ca="1">IFERROR(__xludf.DUMMYFUNCTION("IMPORTRANGE(""https://docs.google.com/spreadsheets/d/1W5Jj_S0gYw6wSO7QcMI02YgyOBDKYgmm0NSUk-AQEac/edit?usp=sharing"",""ประจวบคีรีขันธ์!I720"")"),0)</f>
        <v>0</v>
      </c>
      <c r="AT62" s="57">
        <f ca="1">IFERROR(__xludf.DUMMYFUNCTION("IMPORTRANGE(""https://docs.google.com/spreadsheets/d/1W5Jj_S0gYw6wSO7QcMI02YgyOBDKYgmm0NSUk-AQEac/edit?usp=sharing"",""ประจวบคีรีขันธ์!J718"")"),0)</f>
        <v>0</v>
      </c>
      <c r="AU62" s="57">
        <f ca="1">IFERROR(__xludf.DUMMYFUNCTION("IMPORTRANGE(""https://docs.google.com/spreadsheets/d/1W5Jj_S0gYw6wSO7QcMI02YgyOBDKYgmm0NSUk-AQEac/edit?usp=sharing"",""ประจวบคีรีขันธ์!J719"")"),0)</f>
        <v>0</v>
      </c>
      <c r="AV62" s="57">
        <f ca="1">IFERROR(__xludf.DUMMYFUNCTION("IMPORTRANGE(""https://docs.google.com/spreadsheets/d/1W5Jj_S0gYw6wSO7QcMI02YgyOBDKYgmm0NSUk-AQEac/edit?usp=sharing"",""ประจวบคีรีขันธ์!J720"")"),0)</f>
        <v>0</v>
      </c>
      <c r="AW62" s="63">
        <f t="shared" ca="1" si="14"/>
        <v>0</v>
      </c>
      <c r="AX62" s="57">
        <f ca="1">IFERROR(__xludf.DUMMYFUNCTION("IMPORTRANGE(""https://docs.google.com/spreadsheets/d/1W5Jj_S0gYw6wSO7QcMI02YgyOBDKYgmm0NSUk-AQEac/edit?usp=sharing"",""ประจวบคีรีขันธ์!I721"")"),0)</f>
        <v>0</v>
      </c>
      <c r="AY62" s="57">
        <f ca="1">IFERROR(__xludf.DUMMYFUNCTION("IMPORTRANGE(""https://docs.google.com/spreadsheets/d/1W5Jj_S0gYw6wSO7QcMI02YgyOBDKYgmm0NSUk-AQEac/edit?usp=sharing"",""ประจวบคีรีขันธ์!I722"")"),0)</f>
        <v>0</v>
      </c>
      <c r="AZ62" s="57">
        <f ca="1">IFERROR(__xludf.DUMMYFUNCTION("IMPORTRANGE(""https://docs.google.com/spreadsheets/d/1W5Jj_S0gYw6wSO7QcMI02YgyOBDKYgmm0NSUk-AQEac/edit?usp=sharing"",""ประจวบคีรีขันธ์!J721"")"),0)</f>
        <v>0</v>
      </c>
      <c r="BA62" s="63">
        <f t="shared" ca="1" si="16"/>
        <v>0</v>
      </c>
      <c r="BB62" s="57">
        <f ca="1">IFERROR(__xludf.DUMMYFUNCTION("IMPORTRANGE(""https://docs.google.com/spreadsheets/d/1W5Jj_S0gYw6wSO7QcMI02YgyOBDKYgmm0NSUk-AQEac/edit?usp=sharing"",""ประจวบคีรีขันธ์!J722"")"),0)</f>
        <v>0</v>
      </c>
      <c r="BC62" s="63">
        <f t="shared" ca="1" si="17"/>
        <v>0</v>
      </c>
      <c r="BD62" s="57">
        <f ca="1">IFERROR(__xludf.DUMMYFUNCTION("IMPORTRANGE(""https://docs.google.com/spreadsheets/d/1W5Jj_S0gYw6wSO7QcMI02YgyOBDKYgmm0NSUk-AQEac/edit?usp=sharing"",""ประจวบคีรีขันธ์!I723"")"),0)</f>
        <v>0</v>
      </c>
      <c r="BE62" s="57">
        <f ca="1">IFERROR(__xludf.DUMMYFUNCTION("IMPORTRANGE(""https://docs.google.com/spreadsheets/d/1W5Jj_S0gYw6wSO7QcMI02YgyOBDKYgmm0NSUk-AQEac/edit?usp=sharing"",""ประจวบคีรีขันธ์!I725"")"),0)</f>
        <v>0</v>
      </c>
      <c r="BF62" s="57">
        <f ca="1">IFERROR(__xludf.DUMMYFUNCTION("IMPORTRANGE(""https://docs.google.com/spreadsheets/d/1W5Jj_S0gYw6wSO7QcMI02YgyOBDKYgmm0NSUk-AQEac/edit?usp=sharing"",""ประจวบคีรีขันธ์!J723"")"),0)</f>
        <v>0</v>
      </c>
      <c r="BG62" s="57">
        <f ca="1">IFERROR(__xludf.DUMMYFUNCTION("IMPORTRANGE(""https://docs.google.com/spreadsheets/d/1W5Jj_S0gYw6wSO7QcMI02YgyOBDKYgmm0NSUk-AQEac/edit?usp=sharing"",""ประจวบคีรีขันธ์!J724"")"),0)</f>
        <v>0</v>
      </c>
      <c r="BH62" s="57">
        <f ca="1">IFERROR(__xludf.DUMMYFUNCTION("IMPORTRANGE(""https://docs.google.com/spreadsheets/d/1W5Jj_S0gYw6wSO7QcMI02YgyOBDKYgmm0NSUk-AQEac/edit?usp=sharing"",""ประจวบคีรีขันธ์!J725"")"),0)</f>
        <v>0</v>
      </c>
      <c r="BI62" s="57">
        <f ca="1">IFERROR(__xludf.DUMMYFUNCTION("IMPORTRANGE(""https://docs.google.com/spreadsheets/d/1W5Jj_S0gYw6wSO7QcMI02YgyOBDKYgmm0NSUk-AQEac/edit?usp=sharing"",""ประจวบคีรีขันธ์!I726"")"),0)</f>
        <v>0</v>
      </c>
      <c r="BJ62" s="57">
        <f ca="1">IFERROR(__xludf.DUMMYFUNCTION("IMPORTRANGE(""https://docs.google.com/spreadsheets/d/1W5Jj_S0gYw6wSO7QcMI02YgyOBDKYgmm0NSUk-AQEac/edit?usp=sharing"",""ประจวบคีรีขันธ์!I728"")"),0)</f>
        <v>0</v>
      </c>
      <c r="BK62" s="57">
        <f ca="1">IFERROR(__xludf.DUMMYFUNCTION("IMPORTRANGE(""https://docs.google.com/spreadsheets/d/1W5Jj_S0gYw6wSO7QcMI02YgyOBDKYgmm0NSUk-AQEac/edit?usp=sharing"",""ประจวบคีรีขันธ์!J726"")"),0)</f>
        <v>0</v>
      </c>
      <c r="BL62" s="57">
        <f ca="1">IFERROR(__xludf.DUMMYFUNCTION("IMPORTRANGE(""https://docs.google.com/spreadsheets/d/1W5Jj_S0gYw6wSO7QcMI02YgyOBDKYgmm0NSUk-AQEac/edit?usp=sharing"",""ประจวบคีรีขันธ์!J727"")"),0)</f>
        <v>0</v>
      </c>
      <c r="BM62" s="57">
        <f ca="1">IFERROR(__xludf.DUMMYFUNCTION("IMPORTRANGE(""https://docs.google.com/spreadsheets/d/1W5Jj_S0gYw6wSO7QcMI02YgyOBDKYgmm0NSUk-AQEac/edit?usp=sharing"",""ประจวบคีรีขันธ์!J728"")"),0)</f>
        <v>0</v>
      </c>
      <c r="BN62" s="57">
        <f ca="1">IFERROR(__xludf.DUMMYFUNCTION("IMPORTRANGE(""https://docs.google.com/spreadsheets/d/1W5Jj_S0gYw6wSO7QcMI02YgyOBDKYgmm0NSUk-AQEac/edit?usp=sharing"",""ประจวบคีรีขันธ์!I729"")"),0)</f>
        <v>0</v>
      </c>
      <c r="BO62" s="57">
        <f ca="1">IFERROR(__xludf.DUMMYFUNCTION("IMPORTRANGE(""https://docs.google.com/spreadsheets/d/1W5Jj_S0gYw6wSO7QcMI02YgyOBDKYgmm0NSUk-AQEac/edit?usp=sharing"",""ประจวบคีรีขันธ์!J729"")"),0)</f>
        <v>0</v>
      </c>
      <c r="BP62" s="63">
        <f t="shared" ca="1" si="19"/>
        <v>0</v>
      </c>
      <c r="BQ62" s="57">
        <f ca="1">IFERROR(__xludf.DUMMYFUNCTION("IMPORTRANGE(""https://docs.google.com/spreadsheets/d/1W5Jj_S0gYw6wSO7QcMI02YgyOBDKYgmm0NSUk-AQEac/edit?usp=sharing"",""ประจวบคีรีขันธ์!J730"")"),0)</f>
        <v>0</v>
      </c>
      <c r="BR62" s="57">
        <f ca="1">IFERROR(__xludf.DUMMYFUNCTION("IMPORTRANGE(""https://docs.google.com/spreadsheets/d/1W5Jj_S0gYw6wSO7QcMI02YgyOBDKYgmm0NSUk-AQEac/edit?usp=sharing"",""ประจวบคีรีขันธ์!J731"")"),0)</f>
        <v>0</v>
      </c>
      <c r="BS62" s="57">
        <f ca="1">IFERROR(__xludf.DUMMYFUNCTION("IMPORTRANGE(""https://docs.google.com/spreadsheets/d/1W5Jj_S0gYw6wSO7QcMI02YgyOBDKYgmm0NSUk-AQEac/edit?usp=sharing"",""ประจวบคีรีขันธ์!J732"")"),0)</f>
        <v>0</v>
      </c>
      <c r="BT62" s="57">
        <f ca="1">IFERROR(__xludf.DUMMYFUNCTION("IMPORTRANGE(""https://docs.google.com/spreadsheets/d/1W5Jj_S0gYw6wSO7QcMI02YgyOBDKYgmm0NSUk-AQEac/edit?usp=sharing"",""ประจวบคีรีขันธ์!J733"")"),0)</f>
        <v>0</v>
      </c>
      <c r="BU62" s="57">
        <f ca="1">IFERROR(__xludf.DUMMYFUNCTION("IMPORTRANGE(""https://docs.google.com/spreadsheets/d/1W5Jj_S0gYw6wSO7QcMI02YgyOBDKYgmm0NSUk-AQEac/edit?usp=sharing"",""ประจวบคีรีขันธ์!J734"")"),0)</f>
        <v>0</v>
      </c>
      <c r="BV62" s="57">
        <f ca="1">IFERROR(__xludf.DUMMYFUNCTION("IMPORTRANGE(""https://docs.google.com/spreadsheets/d/1W5Jj_S0gYw6wSO7QcMI02YgyOBDKYgmm0NSUk-AQEac/edit?usp=sharing"",""ประจวบคีรีขันธ์!J735"")"),0)</f>
        <v>0</v>
      </c>
    </row>
    <row r="63" spans="1:74" ht="21" customHeight="1" x14ac:dyDescent="0.3">
      <c r="A63" s="54">
        <v>11</v>
      </c>
      <c r="B63" s="55" t="s">
        <v>84</v>
      </c>
      <c r="C63" s="56">
        <f t="shared" ca="1" si="75"/>
        <v>6280</v>
      </c>
      <c r="D63" s="57">
        <f ca="1">IFERROR(__xludf.DUMMYFUNCTION("IMPORTRANGE(""https://docs.google.com/spreadsheets/d/1nYxRXgnCfTXtqUY1otYuTlnrzE0Tn-Y0YRsW5pkRVqo/edit?usp=sharing"",""ปราจีนบุรี!L690"")"),6280)</f>
        <v>6280</v>
      </c>
      <c r="E63" s="64">
        <f ca="1">IFERROR(__xludf.DUMMYFUNCTION("IMPORTRANGE(""https://docs.google.com/spreadsheets/d/1nYxRXgnCfTXtqUY1otYuTlnrzE0Tn-Y0YRsW5pkRVqo/edit?usp=sharing"",""ปราจีนบุรี!L697"")"),0)</f>
        <v>0</v>
      </c>
      <c r="F63" s="64">
        <f ca="1">IFERROR(__xludf.DUMMYFUNCTION("IMPORTRANGE(""https://docs.google.com/spreadsheets/d/1nYxRXgnCfTXtqUY1otYuTlnrzE0Tn-Y0YRsW5pkRVqo/edit?usp=sharing"",""ปราจีนบุรี!M690"")"),6280)</f>
        <v>6280</v>
      </c>
      <c r="G63" s="64">
        <f ca="1">IFERROR(__xludf.DUMMYFUNCTION("IMPORTRANGE(""https://docs.google.com/spreadsheets/d/1nYxRXgnCfTXtqUY1otYuTlnrzE0Tn-Y0YRsW5pkRVqo/edit?usp=sharing"",""ปราจีนบุรี!M697"")"),0)</f>
        <v>0</v>
      </c>
      <c r="H63" s="58">
        <f t="shared" ca="1" si="33"/>
        <v>0</v>
      </c>
      <c r="I63" s="59">
        <f t="shared" ca="1" si="1"/>
        <v>0</v>
      </c>
      <c r="J63" s="60">
        <f t="shared" ca="1" si="76"/>
        <v>0</v>
      </c>
      <c r="K63" s="61">
        <f t="shared" ca="1" si="39"/>
        <v>0</v>
      </c>
      <c r="L63" s="61">
        <f t="shared" ca="1" si="40"/>
        <v>0</v>
      </c>
      <c r="M63" s="64">
        <f ca="1">IFERROR(__xludf.DUMMYFUNCTION("IMPORTRANGE(""https://docs.google.com/spreadsheets/d/1nYxRXgnCfTXtqUY1otYuTlnrzE0Tn-Y0YRsW5pkRVqo/edit?usp=sharing"",""ปราจีนบุรี!N691"")"),0)</f>
        <v>0</v>
      </c>
      <c r="N63" s="64">
        <f ca="1">IFERROR(__xludf.DUMMYFUNCTION("IMPORTRANGE(""https://docs.google.com/spreadsheets/d/1nYxRXgnCfTXtqUY1otYuTlnrzE0Tn-Y0YRsW5pkRVqo/edit?usp=sharing"",""ปราจีนบุรี!N692"")"),0)</f>
        <v>0</v>
      </c>
      <c r="O63" s="64">
        <f ca="1">IFERROR(__xludf.DUMMYFUNCTION("IMPORTRANGE(""https://docs.google.com/spreadsheets/d/1nYxRXgnCfTXtqUY1otYuTlnrzE0Tn-Y0YRsW5pkRVqo/edit?usp=sharing"",""ปราจีนบุรี!N693"")"),0)</f>
        <v>0</v>
      </c>
      <c r="P63" s="64">
        <f ca="1">IFERROR(__xludf.DUMMYFUNCTION("IMPORTRANGE(""https://docs.google.com/spreadsheets/d/1nYxRXgnCfTXtqUY1otYuTlnrzE0Tn-Y0YRsW5pkRVqo/edit?usp=sharing"",""ปราจีนบุรี!N694"")"),0)</f>
        <v>0</v>
      </c>
      <c r="Q63" s="62">
        <f ca="1">IFERROR(__xludf.DUMMYFUNCTION("IMPORTRANGE(""https://docs.google.com/spreadsheets/d/1nYxRXgnCfTXtqUY1otYuTlnrzE0Tn-Y0YRsW5pkRVqo/edit?usp=sharing"",""ปราจีนบุรี!N697"")"),0)</f>
        <v>0</v>
      </c>
      <c r="R63" s="62">
        <f t="shared" ca="1" si="42"/>
        <v>0</v>
      </c>
      <c r="S63" s="57">
        <f ca="1">IFERROR(__xludf.DUMMYFUNCTION("IMPORTRANGE(""https://docs.google.com/spreadsheets/d/1nYxRXgnCfTXtqUY1otYuTlnrzE0Tn-Y0YRsW5pkRVqo/edit?usp=sharing"",""ปราจีนบุรี!I699"")"),0)</f>
        <v>0</v>
      </c>
      <c r="T63" s="57">
        <f ca="1">IFERROR(__xludf.DUMMYFUNCTION("IMPORTRANGE(""https://docs.google.com/spreadsheets/d/1nYxRXgnCfTXtqUY1otYuTlnrzE0Tn-Y0YRsW5pkRVqo/edit?usp=sharing"",""ปราจีนบุรี!J699"")"),0)</f>
        <v>0</v>
      </c>
      <c r="U63" s="63">
        <f t="shared" ca="1" si="34"/>
        <v>0</v>
      </c>
      <c r="V63" s="57">
        <f ca="1">IFERROR(__xludf.DUMMYFUNCTION("IMPORTRANGE(""https://docs.google.com/spreadsheets/d/1nYxRXgnCfTXtqUY1otYuTlnrzE0Tn-Y0YRsW5pkRVqo/edit?usp=sharing"",""ปราจีนบุรี!I700"")"),31)</f>
        <v>31</v>
      </c>
      <c r="W63" s="57">
        <f ca="1">IFERROR(__xludf.DUMMYFUNCTION("IMPORTRANGE(""https://docs.google.com/spreadsheets/d/1nYxRXgnCfTXtqUY1otYuTlnrzE0Tn-Y0YRsW5pkRVqo/edit?usp=sharing"",""ปราจีนบุรี!J700"")"),0)</f>
        <v>0</v>
      </c>
      <c r="X63" s="63">
        <f t="shared" ca="1" si="35"/>
        <v>0</v>
      </c>
      <c r="Y63" s="57">
        <f ca="1">IFERROR(__xludf.DUMMYFUNCTION("IMPORTRANGE(""https://docs.google.com/spreadsheets/d/1nYxRXgnCfTXtqUY1otYuTlnrzE0Tn-Y0YRsW5pkRVqo/edit?usp=sharing"",""ปราจีนบุรี!I701"")"),0)</f>
        <v>0</v>
      </c>
      <c r="Z63" s="57">
        <f ca="1">IFERROR(__xludf.DUMMYFUNCTION("IMPORTRANGE(""https://docs.google.com/spreadsheets/d/1nYxRXgnCfTXtqUY1otYuTlnrzE0Tn-Y0YRsW5pkRVqo/edit?usp=sharing"",""ปราจีนบุรี!J701"")"),0)</f>
        <v>0</v>
      </c>
      <c r="AA63" s="63">
        <f t="shared" ca="1" si="36"/>
        <v>0</v>
      </c>
      <c r="AB63" s="63">
        <f ca="1">IFERROR(__xludf.DUMMYFUNCTION("IMPORTRANGE(""https://docs.google.com/spreadsheets/d/1nYxRXgnCfTXtqUY1otYuTlnrzE0Tn-Y0YRsW5pkRVqo/edit?usp=sharing"",""ปราจีนบุรี!J702"")"),0)</f>
        <v>0</v>
      </c>
      <c r="AC63" s="63">
        <f ca="1">IFERROR(__xludf.DUMMYFUNCTION("IMPORTRANGE(""https://docs.google.com/spreadsheets/d/1nYxRXgnCfTXtqUY1otYuTlnrzE0Tn-Y0YRsW5pkRVqo/edit?usp=sharing"",""ปราจีนบุรี!J703"")"),0)</f>
        <v>0</v>
      </c>
      <c r="AD63" s="63">
        <f ca="1">IFERROR(__xludf.DUMMYFUNCTION("IMPORTRANGE(""https://docs.google.com/spreadsheets/d/1nYxRXgnCfTXtqUY1otYuTlnrzE0Tn-Y0YRsW5pkRVqo/edit?usp=sharing"",""ปราจีนบุรี!J704"")"),0)</f>
        <v>0</v>
      </c>
      <c r="AE63" s="63">
        <f ca="1">IFERROR(__xludf.DUMMYFUNCTION("IMPORTRANGE(""https://docs.google.com/spreadsheets/d/1nYxRXgnCfTXtqUY1otYuTlnrzE0Tn-Y0YRsW5pkRVqo/edit?usp=sharing"",""ปราจีนบุรี!J705"")"),0)</f>
        <v>0</v>
      </c>
      <c r="AF63" s="63">
        <f ca="1">IFERROR(__xludf.DUMMYFUNCTION("IMPORTRANGE(""https://docs.google.com/spreadsheets/d/1nYxRXgnCfTXtqUY1otYuTlnrzE0Tn-Y0YRsW5pkRVqo/edit?usp=sharing"",""ปราจีนบุรี!J706"")"),0)</f>
        <v>0</v>
      </c>
      <c r="AG63" s="63">
        <f ca="1">IFERROR(__xludf.DUMMYFUNCTION("IMPORTRANGE(""https://docs.google.com/spreadsheets/d/1nYxRXgnCfTXtqUY1otYuTlnrzE0Tn-Y0YRsW5pkRVqo/edit?usp=sharing"",""ปราจีนบุรี!J707"")"),0)</f>
        <v>0</v>
      </c>
      <c r="AH63" s="57">
        <f ca="1">IFERROR(__xludf.DUMMYFUNCTION("IMPORTRANGE(""https://docs.google.com/spreadsheets/d/1nYxRXgnCfTXtqUY1otYuTlnrzE0Tn-Y0YRsW5pkRVqo/edit?usp=sharing"",""ปราจีนบุรี!I708"")"),0)</f>
        <v>0</v>
      </c>
      <c r="AI63" s="57">
        <f ca="1">IFERROR(__xludf.DUMMYFUNCTION("IMPORTRANGE(""https://docs.google.com/spreadsheets/d/1nYxRXgnCfTXtqUY1otYuTlnrzE0Tn-Y0YRsW5pkRVqo/edit?usp=sharing"",""ปราจีนบุรี!J708"")"),0)</f>
        <v>0</v>
      </c>
      <c r="AJ63" s="63">
        <f t="shared" ca="1" si="37"/>
        <v>0</v>
      </c>
      <c r="AK63" s="57">
        <f ca="1">IFERROR(__xludf.DUMMYFUNCTION("IMPORTRANGE(""https://docs.google.com/spreadsheets/d/1nYxRXgnCfTXtqUY1otYuTlnrzE0Tn-Y0YRsW5pkRVqo/edit?usp=sharing"",""ปราจีนบุรี!J709"")"),0)</f>
        <v>0</v>
      </c>
      <c r="AL63" s="57">
        <f ca="1">IFERROR(__xludf.DUMMYFUNCTION("IMPORTRANGE(""https://docs.google.com/spreadsheets/d/1nYxRXgnCfTXtqUY1otYuTlnrzE0Tn-Y0YRsW5pkRVqo/edit?usp=sharing"",""ปราจีนบุรี!J710"")"),0)</f>
        <v>0</v>
      </c>
      <c r="AM63" s="57">
        <f ca="1">IFERROR(__xludf.DUMMYFUNCTION("IMPORTRANGE(""https://docs.google.com/spreadsheets/d/1nYxRXgnCfTXtqUY1otYuTlnrzE0Tn-Y0YRsW5pkRVqo/edit?usp=sharing"",""ปราจีนบุรี!J712"")"),0)</f>
        <v>0</v>
      </c>
      <c r="AN63" s="57">
        <f ca="1">IFERROR(__xludf.DUMMYFUNCTION("IMPORTRANGE(""https://docs.google.com/spreadsheets/d/1nYxRXgnCfTXtqUY1otYuTlnrzE0Tn-Y0YRsW5pkRVqo/edit?usp=sharing"",""ปราจีนบุรี!J713"")"),0)</f>
        <v>0</v>
      </c>
      <c r="AO63" s="57">
        <f ca="1">IFERROR(__xludf.DUMMYFUNCTION("IMPORTRANGE(""https://docs.google.com/spreadsheets/d/1nYxRXgnCfTXtqUY1otYuTlnrzE0Tn-Y0YRsW5pkRVqo/edit?usp=sharing"",""ปราจีนบุรี!J714"")"),0)</f>
        <v>0</v>
      </c>
      <c r="AP63" s="57">
        <f ca="1">IFERROR(__xludf.DUMMYFUNCTION("IMPORTRANGE(""https://docs.google.com/spreadsheets/d/1nYxRXgnCfTXtqUY1otYuTlnrzE0Tn-Y0YRsW5pkRVqo/edit?usp=sharing"",""ปราจีนบุรี!J715"")"),0)</f>
        <v>0</v>
      </c>
      <c r="AQ63" s="57">
        <f ca="1">IFERROR(__xludf.DUMMYFUNCTION("IMPORTRANGE(""https://docs.google.com/spreadsheets/d/1nYxRXgnCfTXtqUY1otYuTlnrzE0Tn-Y0YRsW5pkRVqo/edit?usp=sharing"",""ปราจีนบุรี!J716"")"),0)</f>
        <v>0</v>
      </c>
      <c r="AR63" s="57">
        <f ca="1">IFERROR(__xludf.DUMMYFUNCTION("IMPORTRANGE(""https://docs.google.com/spreadsheets/d/1nYxRXgnCfTXtqUY1otYuTlnrzE0Tn-Y0YRsW5pkRVqo/edit?usp=sharing"",""ปราจีนบุรี!J717"")"),0)</f>
        <v>0</v>
      </c>
      <c r="AS63" s="57">
        <f ca="1">IFERROR(__xludf.DUMMYFUNCTION("IMPORTRANGE(""https://docs.google.com/spreadsheets/d/1nYxRXgnCfTXtqUY1otYuTlnrzE0Tn-Y0YRsW5pkRVqo/edit?usp=sharing"",""ปราจีนบุรี!I720"")"),0)</f>
        <v>0</v>
      </c>
      <c r="AT63" s="57">
        <f ca="1">IFERROR(__xludf.DUMMYFUNCTION("IMPORTRANGE(""https://docs.google.com/spreadsheets/d/1nYxRXgnCfTXtqUY1otYuTlnrzE0Tn-Y0YRsW5pkRVqo/edit?usp=sharing"",""ปราจีนบุรี!J718"")"),0)</f>
        <v>0</v>
      </c>
      <c r="AU63" s="57">
        <f ca="1">IFERROR(__xludf.DUMMYFUNCTION("IMPORTRANGE(""https://docs.google.com/spreadsheets/d/1nYxRXgnCfTXtqUY1otYuTlnrzE0Tn-Y0YRsW5pkRVqo/edit?usp=sharing"",""ปราจีนบุรี!J719"")"),0)</f>
        <v>0</v>
      </c>
      <c r="AV63" s="57">
        <f ca="1">IFERROR(__xludf.DUMMYFUNCTION("IMPORTRANGE(""https://docs.google.com/spreadsheets/d/1nYxRXgnCfTXtqUY1otYuTlnrzE0Tn-Y0YRsW5pkRVqo/edit?usp=sharing"",""ปราจีนบุรี!J720"")"),0)</f>
        <v>0</v>
      </c>
      <c r="AW63" s="63">
        <f t="shared" ca="1" si="14"/>
        <v>0</v>
      </c>
      <c r="AX63" s="57">
        <f ca="1">IFERROR(__xludf.DUMMYFUNCTION("IMPORTRANGE(""https://docs.google.com/spreadsheets/d/1nYxRXgnCfTXtqUY1otYuTlnrzE0Tn-Y0YRsW5pkRVqo/edit?usp=sharing"",""ปราจีนบุรี!I721"")"),8)</f>
        <v>8</v>
      </c>
      <c r="AY63" s="57">
        <f ca="1">IFERROR(__xludf.DUMMYFUNCTION("IMPORTRANGE(""https://docs.google.com/spreadsheets/d/1nYxRXgnCfTXtqUY1otYuTlnrzE0Tn-Y0YRsW5pkRVqo/edit?usp=sharing"",""ปราจีนบุรี!I722"")"),16)</f>
        <v>16</v>
      </c>
      <c r="AZ63" s="57">
        <f ca="1">IFERROR(__xludf.DUMMYFUNCTION("IMPORTRANGE(""https://docs.google.com/spreadsheets/d/1nYxRXgnCfTXtqUY1otYuTlnrzE0Tn-Y0YRsW5pkRVqo/edit?usp=sharing"",""ปราจีนบุรี!J721"")"),0)</f>
        <v>0</v>
      </c>
      <c r="BA63" s="63">
        <f t="shared" ca="1" si="16"/>
        <v>0</v>
      </c>
      <c r="BB63" s="57">
        <f ca="1">IFERROR(__xludf.DUMMYFUNCTION("IMPORTRANGE(""https://docs.google.com/spreadsheets/d/1nYxRXgnCfTXtqUY1otYuTlnrzE0Tn-Y0YRsW5pkRVqo/edit?usp=sharing"",""ปราจีนบุรี!J722"")"),0)</f>
        <v>0</v>
      </c>
      <c r="BC63" s="63">
        <f t="shared" ca="1" si="17"/>
        <v>0</v>
      </c>
      <c r="BD63" s="57">
        <f ca="1">IFERROR(__xludf.DUMMYFUNCTION("IMPORTRANGE(""https://docs.google.com/spreadsheets/d/1nYxRXgnCfTXtqUY1otYuTlnrzE0Tn-Y0YRsW5pkRVqo/edit?usp=sharing"",""ปราจีนบุรี!I723"")"),5)</f>
        <v>5</v>
      </c>
      <c r="BE63" s="57">
        <f ca="1">IFERROR(__xludf.DUMMYFUNCTION("IMPORTRANGE(""https://docs.google.com/spreadsheets/d/1nYxRXgnCfTXtqUY1otYuTlnrzE0Tn-Y0YRsW5pkRVqo/edit?usp=sharing"",""ปราจีนบุรี!I725"")"),10)</f>
        <v>10</v>
      </c>
      <c r="BF63" s="57">
        <f ca="1">IFERROR(__xludf.DUMMYFUNCTION("IMPORTRANGE(""https://docs.google.com/spreadsheets/d/1nYxRXgnCfTXtqUY1otYuTlnrzE0Tn-Y0YRsW5pkRVqo/edit?usp=sharing"",""ปราจีนบุรี!J723"")"),0)</f>
        <v>0</v>
      </c>
      <c r="BG63" s="57">
        <f ca="1">IFERROR(__xludf.DUMMYFUNCTION("IMPORTRANGE(""https://docs.google.com/spreadsheets/d/1nYxRXgnCfTXtqUY1otYuTlnrzE0Tn-Y0YRsW5pkRVqo/edit?usp=sharing"",""ปราจีนบุรี!J724"")"),0)</f>
        <v>0</v>
      </c>
      <c r="BH63" s="57">
        <f ca="1">IFERROR(__xludf.DUMMYFUNCTION("IMPORTRANGE(""https://docs.google.com/spreadsheets/d/1nYxRXgnCfTXtqUY1otYuTlnrzE0Tn-Y0YRsW5pkRVqo/edit?usp=sharing"",""ปราจีนบุรี!J725"")"),0)</f>
        <v>0</v>
      </c>
      <c r="BI63" s="57">
        <f ca="1">IFERROR(__xludf.DUMMYFUNCTION("IMPORTRANGE(""https://docs.google.com/spreadsheets/d/1nYxRXgnCfTXtqUY1otYuTlnrzE0Tn-Y0YRsW5pkRVqo/edit?usp=sharing"",""ปราจีนบุรี!I726"")"),3)</f>
        <v>3</v>
      </c>
      <c r="BJ63" s="57">
        <f ca="1">IFERROR(__xludf.DUMMYFUNCTION("IMPORTRANGE(""https://docs.google.com/spreadsheets/d/1nYxRXgnCfTXtqUY1otYuTlnrzE0Tn-Y0YRsW5pkRVqo/edit?usp=sharing"",""ปราจีนบุรี!I728"")"),6)</f>
        <v>6</v>
      </c>
      <c r="BK63" s="57">
        <f ca="1">IFERROR(__xludf.DUMMYFUNCTION("IMPORTRANGE(""https://docs.google.com/spreadsheets/d/1nYxRXgnCfTXtqUY1otYuTlnrzE0Tn-Y0YRsW5pkRVqo/edit?usp=sharing"",""ปราจีนบุรี!J726"")"),0)</f>
        <v>0</v>
      </c>
      <c r="BL63" s="57">
        <f ca="1">IFERROR(__xludf.DUMMYFUNCTION("IMPORTRANGE(""https://docs.google.com/spreadsheets/d/1nYxRXgnCfTXtqUY1otYuTlnrzE0Tn-Y0YRsW5pkRVqo/edit?usp=sharing"",""ปราจีนบุรี!J727"")"),0)</f>
        <v>0</v>
      </c>
      <c r="BM63" s="57">
        <f ca="1">IFERROR(__xludf.DUMMYFUNCTION("IMPORTRANGE(""https://docs.google.com/spreadsheets/d/1nYxRXgnCfTXtqUY1otYuTlnrzE0Tn-Y0YRsW5pkRVqo/edit?usp=sharing"",""ปราจีนบุรี!J728"")"),0)</f>
        <v>0</v>
      </c>
      <c r="BN63" s="57">
        <f ca="1">IFERROR(__xludf.DUMMYFUNCTION("IMPORTRANGE(""https://docs.google.com/spreadsheets/d/1nYxRXgnCfTXtqUY1otYuTlnrzE0Tn-Y0YRsW5pkRVqo/edit?usp=sharing"",""ปราจีนบุรี!I729"")"),0)</f>
        <v>0</v>
      </c>
      <c r="BO63" s="57">
        <f ca="1">IFERROR(__xludf.DUMMYFUNCTION("IMPORTRANGE(""https://docs.google.com/spreadsheets/d/1nYxRXgnCfTXtqUY1otYuTlnrzE0Tn-Y0YRsW5pkRVqo/edit?usp=sharing"",""ปราจีนบุรี!J729"")"),0)</f>
        <v>0</v>
      </c>
      <c r="BP63" s="63">
        <f t="shared" ca="1" si="19"/>
        <v>0</v>
      </c>
      <c r="BQ63" s="57">
        <f ca="1">IFERROR(__xludf.DUMMYFUNCTION("IMPORTRANGE(""https://docs.google.com/spreadsheets/d/1nYxRXgnCfTXtqUY1otYuTlnrzE0Tn-Y0YRsW5pkRVqo/edit?usp=sharing"",""ปราจีนบุรี!J730"")"),0)</f>
        <v>0</v>
      </c>
      <c r="BR63" s="57">
        <f ca="1">IFERROR(__xludf.DUMMYFUNCTION("IMPORTRANGE(""https://docs.google.com/spreadsheets/d/1nYxRXgnCfTXtqUY1otYuTlnrzE0Tn-Y0YRsW5pkRVqo/edit?usp=sharing"",""ปราจีนบุรี!J731"")"),0)</f>
        <v>0</v>
      </c>
      <c r="BS63" s="57">
        <f ca="1">IFERROR(__xludf.DUMMYFUNCTION("IMPORTRANGE(""https://docs.google.com/spreadsheets/d/1nYxRXgnCfTXtqUY1otYuTlnrzE0Tn-Y0YRsW5pkRVqo/edit?usp=sharing"",""ปราจีนบุรี!J732"")"),0)</f>
        <v>0</v>
      </c>
      <c r="BT63" s="57">
        <f ca="1">IFERROR(__xludf.DUMMYFUNCTION("IMPORTRANGE(""https://docs.google.com/spreadsheets/d/1nYxRXgnCfTXtqUY1otYuTlnrzE0Tn-Y0YRsW5pkRVqo/edit?usp=sharing"",""ปราจีนบุรี!J733"")"),0)</f>
        <v>0</v>
      </c>
      <c r="BU63" s="57">
        <f ca="1">IFERROR(__xludf.DUMMYFUNCTION("IMPORTRANGE(""https://docs.google.com/spreadsheets/d/1nYxRXgnCfTXtqUY1otYuTlnrzE0Tn-Y0YRsW5pkRVqo/edit?usp=sharing"",""ปราจีนบุรี!J734"")"),0)</f>
        <v>0</v>
      </c>
      <c r="BV63" s="57">
        <f ca="1">IFERROR(__xludf.DUMMYFUNCTION("IMPORTRANGE(""https://docs.google.com/spreadsheets/d/1nYxRXgnCfTXtqUY1otYuTlnrzE0Tn-Y0YRsW5pkRVqo/edit?usp=sharing"",""ปราจีนบุรี!J735"")"),0)</f>
        <v>0</v>
      </c>
    </row>
    <row r="64" spans="1:74" ht="21" customHeight="1" x14ac:dyDescent="0.3">
      <c r="A64" s="54">
        <v>12</v>
      </c>
      <c r="B64" s="55" t="s">
        <v>85</v>
      </c>
      <c r="C64" s="56">
        <f t="shared" ca="1" si="75"/>
        <v>41600</v>
      </c>
      <c r="D64" s="57">
        <f ca="1">IFERROR(__xludf.DUMMYFUNCTION("IMPORTRANGE(""https://docs.google.com/spreadsheets/d/1nNHCLO8ZAXOMfQvxux7cf_hrzPAh8FAvaHq_ClKbZNo/edit?usp=sharing"",""พระนครศรีอยุธยา!L690"")"),41600)</f>
        <v>41600</v>
      </c>
      <c r="E64" s="64">
        <f ca="1">IFERROR(__xludf.DUMMYFUNCTION("IMPORTRANGE(""https://docs.google.com/spreadsheets/d/1nNHCLO8ZAXOMfQvxux7cf_hrzPAh8FAvaHq_ClKbZNo/edit?usp=sharing"",""พระนครศรีอยุธยา!L697"")"),0)</f>
        <v>0</v>
      </c>
      <c r="F64" s="64">
        <f ca="1">IFERROR(__xludf.DUMMYFUNCTION("IMPORTRANGE(""https://docs.google.com/spreadsheets/d/1nNHCLO8ZAXOMfQvxux7cf_hrzPAh8FAvaHq_ClKbZNo/edit?usp=sharing"",""พระนครศรีอยุธยา!M690"")"),41600)</f>
        <v>41600</v>
      </c>
      <c r="G64" s="64">
        <f ca="1">IFERROR(__xludf.DUMMYFUNCTION("IMPORTRANGE(""https://docs.google.com/spreadsheets/d/1nNHCLO8ZAXOMfQvxux7cf_hrzPAh8FAvaHq_ClKbZNo/edit?usp=sharing"",""พระนครศรีอยุธยา!M697"")"),0)</f>
        <v>0</v>
      </c>
      <c r="H64" s="58">
        <f t="shared" ca="1" si="33"/>
        <v>0</v>
      </c>
      <c r="I64" s="59">
        <f t="shared" ca="1" si="1"/>
        <v>0</v>
      </c>
      <c r="J64" s="60">
        <f t="shared" ca="1" si="76"/>
        <v>0</v>
      </c>
      <c r="K64" s="61">
        <f t="shared" ca="1" si="39"/>
        <v>0</v>
      </c>
      <c r="L64" s="61">
        <f t="shared" ca="1" si="40"/>
        <v>0</v>
      </c>
      <c r="M64" s="64">
        <f ca="1">IFERROR(__xludf.DUMMYFUNCTION("IMPORTRANGE(""https://docs.google.com/spreadsheets/d/1nNHCLO8ZAXOMfQvxux7cf_hrzPAh8FAvaHq_ClKbZNo/edit?usp=sharing"",""พระนครศรีอยุธยา!N691"")"),0)</f>
        <v>0</v>
      </c>
      <c r="N64" s="64">
        <f ca="1">IFERROR(__xludf.DUMMYFUNCTION("IMPORTRANGE(""https://docs.google.com/spreadsheets/d/1nNHCLO8ZAXOMfQvxux7cf_hrzPAh8FAvaHq_ClKbZNo/edit?usp=sharing"",""พระนครศรีอยุธยา!N692"")"),0)</f>
        <v>0</v>
      </c>
      <c r="O64" s="64">
        <f ca="1">IFERROR(__xludf.DUMMYFUNCTION("IMPORTRANGE(""https://docs.google.com/spreadsheets/d/1nNHCLO8ZAXOMfQvxux7cf_hrzPAh8FAvaHq_ClKbZNo/edit?usp=sharing"",""พระนครศรีอยุธยา!N693"")"),0)</f>
        <v>0</v>
      </c>
      <c r="P64" s="64">
        <f ca="1">IFERROR(__xludf.DUMMYFUNCTION("IMPORTRANGE(""https://docs.google.com/spreadsheets/d/1nNHCLO8ZAXOMfQvxux7cf_hrzPAh8FAvaHq_ClKbZNo/edit?usp=sharing"",""พระนครศรีอยุธยา!N694"")"),0)</f>
        <v>0</v>
      </c>
      <c r="Q64" s="62">
        <f ca="1">IFERROR(__xludf.DUMMYFUNCTION("IMPORTRANGE(""https://docs.google.com/spreadsheets/d/1nNHCLO8ZAXOMfQvxux7cf_hrzPAh8FAvaHq_ClKbZNo/edit?usp=sharing"",""พระนครศรีอยุธยา!N697"")"),0)</f>
        <v>0</v>
      </c>
      <c r="R64" s="62">
        <f t="shared" ca="1" si="42"/>
        <v>0</v>
      </c>
      <c r="S64" s="57">
        <f ca="1">IFERROR(__xludf.DUMMYFUNCTION("IMPORTRANGE(""https://docs.google.com/spreadsheets/d/1nNHCLO8ZAXOMfQvxux7cf_hrzPAh8FAvaHq_ClKbZNo/edit?usp=sharing"",""พระนครศรีอยุธยา!I699"")"),0)</f>
        <v>0</v>
      </c>
      <c r="T64" s="57">
        <f ca="1">IFERROR(__xludf.DUMMYFUNCTION("IMPORTRANGE(""https://docs.google.com/spreadsheets/d/1nNHCLO8ZAXOMfQvxux7cf_hrzPAh8FAvaHq_ClKbZNo/edit?usp=sharing"",""พระนครศรีอยุธยา!J699"")"),0)</f>
        <v>0</v>
      </c>
      <c r="U64" s="63">
        <f t="shared" ca="1" si="34"/>
        <v>0</v>
      </c>
      <c r="V64" s="57">
        <f ca="1">IFERROR(__xludf.DUMMYFUNCTION("IMPORTRANGE(""https://docs.google.com/spreadsheets/d/1nNHCLO8ZAXOMfQvxux7cf_hrzPAh8FAvaHq_ClKbZNo/edit?usp=sharing"",""พระนครศรีอยุธยา!I700"")"),45)</f>
        <v>45</v>
      </c>
      <c r="W64" s="57">
        <f ca="1">IFERROR(__xludf.DUMMYFUNCTION("IMPORTRANGE(""https://docs.google.com/spreadsheets/d/1nNHCLO8ZAXOMfQvxux7cf_hrzPAh8FAvaHq_ClKbZNo/edit?usp=sharing"",""พระนครศรีอยุธยา!J700"")"),0)</f>
        <v>0</v>
      </c>
      <c r="X64" s="63">
        <f t="shared" ca="1" si="35"/>
        <v>0</v>
      </c>
      <c r="Y64" s="57">
        <f ca="1">IFERROR(__xludf.DUMMYFUNCTION("IMPORTRANGE(""https://docs.google.com/spreadsheets/d/1nNHCLO8ZAXOMfQvxux7cf_hrzPAh8FAvaHq_ClKbZNo/edit?usp=sharing"",""พระนครศรีอยุธยา!I701"")"),0)</f>
        <v>0</v>
      </c>
      <c r="Z64" s="57">
        <f ca="1">IFERROR(__xludf.DUMMYFUNCTION("IMPORTRANGE(""https://docs.google.com/spreadsheets/d/1nNHCLO8ZAXOMfQvxux7cf_hrzPAh8FAvaHq_ClKbZNo/edit?usp=sharing"",""พระนครศรีอยุธยา!J701"")"),0)</f>
        <v>0</v>
      </c>
      <c r="AA64" s="63">
        <f t="shared" ca="1" si="36"/>
        <v>0</v>
      </c>
      <c r="AB64" s="63">
        <f ca="1">IFERROR(__xludf.DUMMYFUNCTION("IMPORTRANGE(""https://docs.google.com/spreadsheets/d/1nNHCLO8ZAXOMfQvxux7cf_hrzPAh8FAvaHq_ClKbZNo/edit?usp=sharing"",""พระนครศรีอยุธยา!J702"")"),0)</f>
        <v>0</v>
      </c>
      <c r="AC64" s="63">
        <f ca="1">IFERROR(__xludf.DUMMYFUNCTION("IMPORTRANGE(""https://docs.google.com/spreadsheets/d/1nNHCLO8ZAXOMfQvxux7cf_hrzPAh8FAvaHq_ClKbZNo/edit?usp=sharing"",""พระนครศรีอยุธยา!J703"")"),0)</f>
        <v>0</v>
      </c>
      <c r="AD64" s="63">
        <f ca="1">IFERROR(__xludf.DUMMYFUNCTION("IMPORTRANGE(""https://docs.google.com/spreadsheets/d/1nNHCLO8ZAXOMfQvxux7cf_hrzPAh8FAvaHq_ClKbZNo/edit?usp=sharing"",""พระนครศรีอยุธยา!J704"")"),0)</f>
        <v>0</v>
      </c>
      <c r="AE64" s="63">
        <f ca="1">IFERROR(__xludf.DUMMYFUNCTION("IMPORTRANGE(""https://docs.google.com/spreadsheets/d/1nNHCLO8ZAXOMfQvxux7cf_hrzPAh8FAvaHq_ClKbZNo/edit?usp=sharing"",""พระนครศรีอยุธยา!J705"")"),0)</f>
        <v>0</v>
      </c>
      <c r="AF64" s="63">
        <f ca="1">IFERROR(__xludf.DUMMYFUNCTION("IMPORTRANGE(""https://docs.google.com/spreadsheets/d/1nNHCLO8ZAXOMfQvxux7cf_hrzPAh8FAvaHq_ClKbZNo/edit?usp=sharing"",""พระนครศรีอยุธยา!J706"")"),0)</f>
        <v>0</v>
      </c>
      <c r="AG64" s="63">
        <f ca="1">IFERROR(__xludf.DUMMYFUNCTION("IMPORTRANGE(""https://docs.google.com/spreadsheets/d/1nNHCLO8ZAXOMfQvxux7cf_hrzPAh8FAvaHq_ClKbZNo/edit?usp=sharing"",""พระนครศรีอยุธยา!J707"")"),0)</f>
        <v>0</v>
      </c>
      <c r="AH64" s="57">
        <f ca="1">IFERROR(__xludf.DUMMYFUNCTION("IMPORTRANGE(""https://docs.google.com/spreadsheets/d/1nNHCLO8ZAXOMfQvxux7cf_hrzPAh8FAvaHq_ClKbZNo/edit?usp=sharing"",""พระนครศรีอยุธยา!I708"")"),25)</f>
        <v>25</v>
      </c>
      <c r="AI64" s="57">
        <f ca="1">IFERROR(__xludf.DUMMYFUNCTION("IMPORTRANGE(""https://docs.google.com/spreadsheets/d/1nNHCLO8ZAXOMfQvxux7cf_hrzPAh8FAvaHq_ClKbZNo/edit?usp=sharing"",""พระนครศรีอยุธยา!J708"")"),0)</f>
        <v>0</v>
      </c>
      <c r="AJ64" s="63">
        <f t="shared" ca="1" si="37"/>
        <v>0</v>
      </c>
      <c r="AK64" s="57">
        <f ca="1">IFERROR(__xludf.DUMMYFUNCTION("IMPORTRANGE(""https://docs.google.com/spreadsheets/d/1nNHCLO8ZAXOMfQvxux7cf_hrzPAh8FAvaHq_ClKbZNo/edit?usp=sharing"",""พระนครศรีอยุธยา!J709"")"),0)</f>
        <v>0</v>
      </c>
      <c r="AL64" s="57">
        <f ca="1">IFERROR(__xludf.DUMMYFUNCTION("IMPORTRANGE(""https://docs.google.com/spreadsheets/d/1nNHCLO8ZAXOMfQvxux7cf_hrzPAh8FAvaHq_ClKbZNo/edit?usp=sharing"",""พระนครศรีอยุธยา!J710"")"),0)</f>
        <v>0</v>
      </c>
      <c r="AM64" s="57">
        <f ca="1">IFERROR(__xludf.DUMMYFUNCTION("IMPORTRANGE(""https://docs.google.com/spreadsheets/d/1nNHCLO8ZAXOMfQvxux7cf_hrzPAh8FAvaHq_ClKbZNo/edit?usp=sharing"",""พระนครศรีอยุธยา!J712"")"),0)</f>
        <v>0</v>
      </c>
      <c r="AN64" s="57">
        <f ca="1">IFERROR(__xludf.DUMMYFUNCTION("IMPORTRANGE(""https://docs.google.com/spreadsheets/d/1nNHCLO8ZAXOMfQvxux7cf_hrzPAh8FAvaHq_ClKbZNo/edit?usp=sharing"",""พระนครศรีอยุธยา!J713"")"),0)</f>
        <v>0</v>
      </c>
      <c r="AO64" s="57">
        <f ca="1">IFERROR(__xludf.DUMMYFUNCTION("IMPORTRANGE(""https://docs.google.com/spreadsheets/d/1nNHCLO8ZAXOMfQvxux7cf_hrzPAh8FAvaHq_ClKbZNo/edit?usp=sharing"",""พระนครศรีอยุธยา!J714"")"),0)</f>
        <v>0</v>
      </c>
      <c r="AP64" s="57">
        <f ca="1">IFERROR(__xludf.DUMMYFUNCTION("IMPORTRANGE(""https://docs.google.com/spreadsheets/d/1nNHCLO8ZAXOMfQvxux7cf_hrzPAh8FAvaHq_ClKbZNo/edit?usp=sharing"",""พระนครศรีอยุธยา!J715"")"),0)</f>
        <v>0</v>
      </c>
      <c r="AQ64" s="57">
        <f ca="1">IFERROR(__xludf.DUMMYFUNCTION("IMPORTRANGE(""https://docs.google.com/spreadsheets/d/1nNHCLO8ZAXOMfQvxux7cf_hrzPAh8FAvaHq_ClKbZNo/edit?usp=sharing"",""พระนครศรีอยุธยา!J716"")"),0)</f>
        <v>0</v>
      </c>
      <c r="AR64" s="57">
        <f ca="1">IFERROR(__xludf.DUMMYFUNCTION("IMPORTRANGE(""https://docs.google.com/spreadsheets/d/1nNHCLO8ZAXOMfQvxux7cf_hrzPAh8FAvaHq_ClKbZNo/edit?usp=sharing"",""พระนครศรีอยุธยา!J717"")"),0)</f>
        <v>0</v>
      </c>
      <c r="AS64" s="57">
        <f ca="1">IFERROR(__xludf.DUMMYFUNCTION("IMPORTRANGE(""https://docs.google.com/spreadsheets/d/1nNHCLO8ZAXOMfQvxux7cf_hrzPAh8FAvaHq_ClKbZNo/edit?usp=sharing"",""พระนครศรีอยุธยา!I720"")"),400)</f>
        <v>400</v>
      </c>
      <c r="AT64" s="57">
        <f ca="1">IFERROR(__xludf.DUMMYFUNCTION("IMPORTRANGE(""https://docs.google.com/spreadsheets/d/1nNHCLO8ZAXOMfQvxux7cf_hrzPAh8FAvaHq_ClKbZNo/edit?usp=sharing"",""พระนครศรีอยุธยา!J718"")"),0)</f>
        <v>0</v>
      </c>
      <c r="AU64" s="57">
        <f ca="1">IFERROR(__xludf.DUMMYFUNCTION("IMPORTRANGE(""https://docs.google.com/spreadsheets/d/1nNHCLO8ZAXOMfQvxux7cf_hrzPAh8FAvaHq_ClKbZNo/edit?usp=sharing"",""พระนครศรีอยุธยา!J719"")"),0)</f>
        <v>0</v>
      </c>
      <c r="AV64" s="57">
        <f ca="1">IFERROR(__xludf.DUMMYFUNCTION("IMPORTRANGE(""https://docs.google.com/spreadsheets/d/1nNHCLO8ZAXOMfQvxux7cf_hrzPAh8FAvaHq_ClKbZNo/edit?usp=sharing"",""พระนครศรีอยุธยา!J720"")"),0)</f>
        <v>0</v>
      </c>
      <c r="AW64" s="63">
        <f t="shared" ca="1" si="14"/>
        <v>0</v>
      </c>
      <c r="AX64" s="57">
        <f ca="1">IFERROR(__xludf.DUMMYFUNCTION("IMPORTRANGE(""https://docs.google.com/spreadsheets/d/1nNHCLO8ZAXOMfQvxux7cf_hrzPAh8FAvaHq_ClKbZNo/edit?usp=sharing"",""พระนครศรีอยุธยา!I721"")"),35)</f>
        <v>35</v>
      </c>
      <c r="AY64" s="57">
        <f ca="1">IFERROR(__xludf.DUMMYFUNCTION("IMPORTRANGE(""https://docs.google.com/spreadsheets/d/1nNHCLO8ZAXOMfQvxux7cf_hrzPAh8FAvaHq_ClKbZNo/edit?usp=sharing"",""พระนครศรีอยุธยา!I722"")"),386)</f>
        <v>386</v>
      </c>
      <c r="AZ64" s="57">
        <f ca="1">IFERROR(__xludf.DUMMYFUNCTION("IMPORTRANGE(""https://docs.google.com/spreadsheets/d/1nNHCLO8ZAXOMfQvxux7cf_hrzPAh8FAvaHq_ClKbZNo/edit?usp=sharing"",""พระนครศรีอยุธยา!J721"")"),9)</f>
        <v>9</v>
      </c>
      <c r="BA64" s="63">
        <f t="shared" ca="1" si="16"/>
        <v>25.714285714285715</v>
      </c>
      <c r="BB64" s="57">
        <f ca="1">IFERROR(__xludf.DUMMYFUNCTION("IMPORTRANGE(""https://docs.google.com/spreadsheets/d/1nNHCLO8ZAXOMfQvxux7cf_hrzPAh8FAvaHq_ClKbZNo/edit?usp=sharing"",""พระนครศรีอยุธยา!J722"")"),68.56)</f>
        <v>68.56</v>
      </c>
      <c r="BC64" s="63">
        <f t="shared" ca="1" si="17"/>
        <v>17.761658031088082</v>
      </c>
      <c r="BD64" s="57">
        <f ca="1">IFERROR(__xludf.DUMMYFUNCTION("IMPORTRANGE(""https://docs.google.com/spreadsheets/d/1nNHCLO8ZAXOMfQvxux7cf_hrzPAh8FAvaHq_ClKbZNo/edit?usp=sharing"",""พระนครศรีอยุธยา!I723"")"),35)</f>
        <v>35</v>
      </c>
      <c r="BE64" s="57">
        <f ca="1">IFERROR(__xludf.DUMMYFUNCTION("IMPORTRANGE(""https://docs.google.com/spreadsheets/d/1nNHCLO8ZAXOMfQvxux7cf_hrzPAh8FAvaHq_ClKbZNo/edit?usp=sharing"",""พระนครศรีอยุธยา!I725"")"),386)</f>
        <v>386</v>
      </c>
      <c r="BF64" s="57">
        <f ca="1">IFERROR(__xludf.DUMMYFUNCTION("IMPORTRANGE(""https://docs.google.com/spreadsheets/d/1nNHCLO8ZAXOMfQvxux7cf_hrzPAh8FAvaHq_ClKbZNo/edit?usp=sharing"",""พระนครศรีอยุธยา!J723"")"),9)</f>
        <v>9</v>
      </c>
      <c r="BG64" s="57">
        <f ca="1">IFERROR(__xludf.DUMMYFUNCTION("IMPORTRANGE(""https://docs.google.com/spreadsheets/d/1nNHCLO8ZAXOMfQvxux7cf_hrzPAh8FAvaHq_ClKbZNo/edit?usp=sharing"",""พระนครศรีอยุธยา!J724"")"),9)</f>
        <v>9</v>
      </c>
      <c r="BH64" s="57">
        <f ca="1">IFERROR(__xludf.DUMMYFUNCTION("IMPORTRANGE(""https://docs.google.com/spreadsheets/d/1nNHCLO8ZAXOMfQvxux7cf_hrzPAh8FAvaHq_ClKbZNo/edit?usp=sharing"",""พระนครศรีอยุธยา!J725"")"),68.56)</f>
        <v>68.56</v>
      </c>
      <c r="BI64" s="57">
        <f ca="1">IFERROR(__xludf.DUMMYFUNCTION("IMPORTRANGE(""https://docs.google.com/spreadsheets/d/1nNHCLO8ZAXOMfQvxux7cf_hrzPAh8FAvaHq_ClKbZNo/edit?usp=sharing"",""พระนครศรีอยุธยา!I726"")"),0)</f>
        <v>0</v>
      </c>
      <c r="BJ64" s="57">
        <f ca="1">IFERROR(__xludf.DUMMYFUNCTION("IMPORTRANGE(""https://docs.google.com/spreadsheets/d/1nNHCLO8ZAXOMfQvxux7cf_hrzPAh8FAvaHq_ClKbZNo/edit?usp=sharing"",""พระนครศรีอยุธยา!I728"")"),0)</f>
        <v>0</v>
      </c>
      <c r="BK64" s="57">
        <f ca="1">IFERROR(__xludf.DUMMYFUNCTION("IMPORTRANGE(""https://docs.google.com/spreadsheets/d/1nNHCLO8ZAXOMfQvxux7cf_hrzPAh8FAvaHq_ClKbZNo/edit?usp=sharing"",""พระนครศรีอยุธยา!J726"")"),0)</f>
        <v>0</v>
      </c>
      <c r="BL64" s="57">
        <f ca="1">IFERROR(__xludf.DUMMYFUNCTION("IMPORTRANGE(""https://docs.google.com/spreadsheets/d/1nNHCLO8ZAXOMfQvxux7cf_hrzPAh8FAvaHq_ClKbZNo/edit?usp=sharing"",""พระนครศรีอยุธยา!J727"")"),0)</f>
        <v>0</v>
      </c>
      <c r="BM64" s="57">
        <f ca="1">IFERROR(__xludf.DUMMYFUNCTION("IMPORTRANGE(""https://docs.google.com/spreadsheets/d/1nNHCLO8ZAXOMfQvxux7cf_hrzPAh8FAvaHq_ClKbZNo/edit?usp=sharing"",""พระนครศรีอยุธยา!J728"")"),0)</f>
        <v>0</v>
      </c>
      <c r="BN64" s="57">
        <f ca="1">IFERROR(__xludf.DUMMYFUNCTION("IMPORTRANGE(""https://docs.google.com/spreadsheets/d/1nNHCLO8ZAXOMfQvxux7cf_hrzPAh8FAvaHq_ClKbZNo/edit?usp=sharing"",""พระนครศรีอยุธยา!I729"")"),185)</f>
        <v>185</v>
      </c>
      <c r="BO64" s="57">
        <f ca="1">IFERROR(__xludf.DUMMYFUNCTION("IMPORTRANGE(""https://docs.google.com/spreadsheets/d/1nNHCLO8ZAXOMfQvxux7cf_hrzPAh8FAvaHq_ClKbZNo/edit?usp=sharing"",""พระนครศรีอยุธยา!J729"")"),144)</f>
        <v>144</v>
      </c>
      <c r="BP64" s="63">
        <f t="shared" ca="1" si="19"/>
        <v>77.837837837837839</v>
      </c>
      <c r="BQ64" s="57">
        <f ca="1">IFERROR(__xludf.DUMMYFUNCTION("IMPORTRANGE(""https://docs.google.com/spreadsheets/d/1nNHCLO8ZAXOMfQvxux7cf_hrzPAh8FAvaHq_ClKbZNo/edit?usp=sharing"",""พระนครศรีอยุธยา!J730"")"),4)</f>
        <v>4</v>
      </c>
      <c r="BR64" s="57">
        <f ca="1">IFERROR(__xludf.DUMMYFUNCTION("IMPORTRANGE(""https://docs.google.com/spreadsheets/d/1nNHCLO8ZAXOMfQvxux7cf_hrzPAh8FAvaHq_ClKbZNo/edit?usp=sharing"",""พระนครศรีอยุธยา!J731"")"),3)</f>
        <v>3</v>
      </c>
      <c r="BS64" s="57">
        <f ca="1">IFERROR(__xludf.DUMMYFUNCTION("IMPORTRANGE(""https://docs.google.com/spreadsheets/d/1nNHCLO8ZAXOMfQvxux7cf_hrzPAh8FAvaHq_ClKbZNo/edit?usp=sharing"",""พระนครศรีอยุธยา!J732"")"),51)</f>
        <v>51</v>
      </c>
      <c r="BT64" s="57">
        <f ca="1">IFERROR(__xludf.DUMMYFUNCTION("IMPORTRANGE(""https://docs.google.com/spreadsheets/d/1nNHCLO8ZAXOMfQvxux7cf_hrzPAh8FAvaHq_ClKbZNo/edit?usp=sharing"",""พระนครศรีอยุธยา!J733"")"),9)</f>
        <v>9</v>
      </c>
      <c r="BU64" s="57">
        <f ca="1">IFERROR(__xludf.DUMMYFUNCTION("IMPORTRANGE(""https://docs.google.com/spreadsheets/d/1nNHCLO8ZAXOMfQvxux7cf_hrzPAh8FAvaHq_ClKbZNo/edit?usp=sharing"",""พระนครศรีอยุธยา!J734"")"),11)</f>
        <v>11</v>
      </c>
      <c r="BV64" s="57">
        <f ca="1">IFERROR(__xludf.DUMMYFUNCTION("IMPORTRANGE(""https://docs.google.com/spreadsheets/d/1nNHCLO8ZAXOMfQvxux7cf_hrzPAh8FAvaHq_ClKbZNo/edit?usp=sharing"",""พระนครศรีอยุธยา!J735"")"),93)</f>
        <v>93</v>
      </c>
    </row>
    <row r="65" spans="1:74" ht="21" customHeight="1" x14ac:dyDescent="0.3">
      <c r="A65" s="54">
        <v>13</v>
      </c>
      <c r="B65" s="55" t="s">
        <v>86</v>
      </c>
      <c r="C65" s="56">
        <f t="shared" ca="1" si="75"/>
        <v>12720</v>
      </c>
      <c r="D65" s="57">
        <f ca="1">IFERROR(__xludf.DUMMYFUNCTION("IMPORTRANGE(""https://docs.google.com/spreadsheets/d/1CdNicvf3i6yt4tJlCePe3V1Va76wYqW0QzMzTsaGRrA/edit?usp=sharing"",""เพชรบุรี!L690"")"),12720)</f>
        <v>12720</v>
      </c>
      <c r="E65" s="64">
        <f ca="1">IFERROR(__xludf.DUMMYFUNCTION("IMPORTRANGE(""https://docs.google.com/spreadsheets/d/1CdNicvf3i6yt4tJlCePe3V1Va76wYqW0QzMzTsaGRrA/edit?usp=sharing"",""เพชรบุรี!L697"")"),0)</f>
        <v>0</v>
      </c>
      <c r="F65" s="64">
        <f ca="1">IFERROR(__xludf.DUMMYFUNCTION("IMPORTRANGE(""https://docs.google.com/spreadsheets/d/1CdNicvf3i6yt4tJlCePe3V1Va76wYqW0QzMzTsaGRrA/edit?usp=sharing"",""เพชรบุรี!M690"")"),12720)</f>
        <v>12720</v>
      </c>
      <c r="G65" s="64">
        <f ca="1">IFERROR(__xludf.DUMMYFUNCTION("IMPORTRANGE(""https://docs.google.com/spreadsheets/d/1CdNicvf3i6yt4tJlCePe3V1Va76wYqW0QzMzTsaGRrA/edit?usp=sharing"",""เพชรบุรี!M697"")"),0)</f>
        <v>0</v>
      </c>
      <c r="H65" s="58">
        <f t="shared" ca="1" si="33"/>
        <v>0</v>
      </c>
      <c r="I65" s="59">
        <f t="shared" ca="1" si="1"/>
        <v>0</v>
      </c>
      <c r="J65" s="60">
        <f t="shared" ca="1" si="76"/>
        <v>0</v>
      </c>
      <c r="K65" s="61">
        <f t="shared" ca="1" si="39"/>
        <v>0</v>
      </c>
      <c r="L65" s="61">
        <f t="shared" ca="1" si="40"/>
        <v>0</v>
      </c>
      <c r="M65" s="64">
        <f ca="1">IFERROR(__xludf.DUMMYFUNCTION("IMPORTRANGE(""https://docs.google.com/spreadsheets/d/1CdNicvf3i6yt4tJlCePe3V1Va76wYqW0QzMzTsaGRrA/edit?usp=sharing"",""เพชรบุรี!N691"")"),0)</f>
        <v>0</v>
      </c>
      <c r="N65" s="64">
        <f ca="1">IFERROR(__xludf.DUMMYFUNCTION("IMPORTRANGE(""https://docs.google.com/spreadsheets/d/1CdNicvf3i6yt4tJlCePe3V1Va76wYqW0QzMzTsaGRrA/edit?usp=sharing"",""เพชรบุรี!N692"")"),0)</f>
        <v>0</v>
      </c>
      <c r="O65" s="64">
        <f ca="1">IFERROR(__xludf.DUMMYFUNCTION("IMPORTRANGE(""https://docs.google.com/spreadsheets/d/1CdNicvf3i6yt4tJlCePe3V1Va76wYqW0QzMzTsaGRrA/edit?usp=sharing"",""เพชรบุรี!N693"")"),0)</f>
        <v>0</v>
      </c>
      <c r="P65" s="64">
        <f ca="1">IFERROR(__xludf.DUMMYFUNCTION("IMPORTRANGE(""https://docs.google.com/spreadsheets/d/1CdNicvf3i6yt4tJlCePe3V1Va76wYqW0QzMzTsaGRrA/edit?usp=sharing"",""เพชรบุรี!N694"")"),0)</f>
        <v>0</v>
      </c>
      <c r="Q65" s="62">
        <f ca="1">IFERROR(__xludf.DUMMYFUNCTION("IMPORTRANGE(""https://docs.google.com/spreadsheets/d/1CdNicvf3i6yt4tJlCePe3V1Va76wYqW0QzMzTsaGRrA/edit?usp=sharing"",""เพชรบุรี!N697"")"),0)</f>
        <v>0</v>
      </c>
      <c r="R65" s="62">
        <f t="shared" ca="1" si="42"/>
        <v>0</v>
      </c>
      <c r="S65" s="57">
        <f ca="1">IFERROR(__xludf.DUMMYFUNCTION("IMPORTRANGE(""https://docs.google.com/spreadsheets/d/1CdNicvf3i6yt4tJlCePe3V1Va76wYqW0QzMzTsaGRrA/edit?usp=sharing"",""เพชรบุรี!I699"")"),0)</f>
        <v>0</v>
      </c>
      <c r="T65" s="57">
        <f ca="1">IFERROR(__xludf.DUMMYFUNCTION("IMPORTRANGE(""https://docs.google.com/spreadsheets/d/1CdNicvf3i6yt4tJlCePe3V1Va76wYqW0QzMzTsaGRrA/edit?usp=sharing"",""เพชรบุรี!J699"")"),0)</f>
        <v>0</v>
      </c>
      <c r="U65" s="63">
        <f t="shared" ca="1" si="34"/>
        <v>0</v>
      </c>
      <c r="V65" s="57">
        <f ca="1">IFERROR(__xludf.DUMMYFUNCTION("IMPORTRANGE(""https://docs.google.com/spreadsheets/d/1CdNicvf3i6yt4tJlCePe3V1Va76wYqW0QzMzTsaGRrA/edit?usp=sharing"",""เพชรบุรี!I700"")"),35)</f>
        <v>35</v>
      </c>
      <c r="W65" s="57">
        <f ca="1">IFERROR(__xludf.DUMMYFUNCTION("IMPORTRANGE(""https://docs.google.com/spreadsheets/d/1CdNicvf3i6yt4tJlCePe3V1Va76wYqW0QzMzTsaGRrA/edit?usp=sharing"",""เพชรบุรี!J700"")"),2)</f>
        <v>2</v>
      </c>
      <c r="X65" s="63">
        <f t="shared" ca="1" si="35"/>
        <v>5.7142857142857144</v>
      </c>
      <c r="Y65" s="57">
        <f ca="1">IFERROR(__xludf.DUMMYFUNCTION("IMPORTRANGE(""https://docs.google.com/spreadsheets/d/1CdNicvf3i6yt4tJlCePe3V1Va76wYqW0QzMzTsaGRrA/edit?usp=sharing"",""เพชรบุรี!I701"")"),0)</f>
        <v>0</v>
      </c>
      <c r="Z65" s="57">
        <f ca="1">IFERROR(__xludf.DUMMYFUNCTION("IMPORTRANGE(""https://docs.google.com/spreadsheets/d/1CdNicvf3i6yt4tJlCePe3V1Va76wYqW0QzMzTsaGRrA/edit?usp=sharing"",""เพชรบุรี!J701"")"),0)</f>
        <v>0</v>
      </c>
      <c r="AA65" s="63">
        <f t="shared" ca="1" si="36"/>
        <v>0</v>
      </c>
      <c r="AB65" s="63">
        <f ca="1">IFERROR(__xludf.DUMMYFUNCTION("IMPORTRANGE(""https://docs.google.com/spreadsheets/d/1CdNicvf3i6yt4tJlCePe3V1Va76wYqW0QzMzTsaGRrA/edit?usp=sharing"",""เพชรบุรี!J702"")"),0)</f>
        <v>0</v>
      </c>
      <c r="AC65" s="63">
        <f ca="1">IFERROR(__xludf.DUMMYFUNCTION("IMPORTRANGE(""https://docs.google.com/spreadsheets/d/1CdNicvf3i6yt4tJlCePe3V1Va76wYqW0QzMzTsaGRrA/edit?usp=sharing"",""เพชรบุรี!J703"")"),0)</f>
        <v>0</v>
      </c>
      <c r="AD65" s="63">
        <f ca="1">IFERROR(__xludf.DUMMYFUNCTION("IMPORTRANGE(""https://docs.google.com/spreadsheets/d/1CdNicvf3i6yt4tJlCePe3V1Va76wYqW0QzMzTsaGRrA/edit?usp=sharing"",""เพชรบุรี!J704"")"),0)</f>
        <v>0</v>
      </c>
      <c r="AE65" s="63">
        <f ca="1">IFERROR(__xludf.DUMMYFUNCTION("IMPORTRANGE(""https://docs.google.com/spreadsheets/d/1CdNicvf3i6yt4tJlCePe3V1Va76wYqW0QzMzTsaGRrA/edit?usp=sharing"",""เพชรบุรี!J705"")"),0)</f>
        <v>0</v>
      </c>
      <c r="AF65" s="63">
        <f ca="1">IFERROR(__xludf.DUMMYFUNCTION("IMPORTRANGE(""https://docs.google.com/spreadsheets/d/1CdNicvf3i6yt4tJlCePe3V1Va76wYqW0QzMzTsaGRrA/edit?usp=sharing"",""เพชรบุรี!J706"")"),0)</f>
        <v>0</v>
      </c>
      <c r="AG65" s="172" t="str">
        <f ca="1">IFERROR(__xludf.DUMMYFUNCTION("IMPORTRANGE(""https://docs.google.com/spreadsheets/d/1CdNicvf3i6yt4tJlCePe3V1Va76wYqW0QzMzTsaGRrA/edit?usp=sharing"",""เพชรบุรี!J707"")"),"")</f>
        <v/>
      </c>
      <c r="AH65" s="57">
        <f ca="1">IFERROR(__xludf.DUMMYFUNCTION("IMPORTRANGE(""https://docs.google.com/spreadsheets/d/1CdNicvf3i6yt4tJlCePe3V1Va76wYqW0QzMzTsaGRrA/edit?usp=sharing"",""เพชรบุรี!I708"")"),0)</f>
        <v>0</v>
      </c>
      <c r="AI65" s="57">
        <f ca="1">IFERROR(__xludf.DUMMYFUNCTION("IMPORTRANGE(""https://docs.google.com/spreadsheets/d/1CdNicvf3i6yt4tJlCePe3V1Va76wYqW0QzMzTsaGRrA/edit?usp=sharing"",""เพชรบุรี!J708"")"),0)</f>
        <v>0</v>
      </c>
      <c r="AJ65" s="63">
        <f t="shared" ca="1" si="37"/>
        <v>0</v>
      </c>
      <c r="AK65" s="57">
        <f ca="1">IFERROR(__xludf.DUMMYFUNCTION("IMPORTRANGE(""https://docs.google.com/spreadsheets/d/1CdNicvf3i6yt4tJlCePe3V1Va76wYqW0QzMzTsaGRrA/edit?usp=sharing"",""เพชรบุรี!J709"")"),0)</f>
        <v>0</v>
      </c>
      <c r="AL65" s="57">
        <f ca="1">IFERROR(__xludf.DUMMYFUNCTION("IMPORTRANGE(""https://docs.google.com/spreadsheets/d/1CdNicvf3i6yt4tJlCePe3V1Va76wYqW0QzMzTsaGRrA/edit?usp=sharing"",""เพชรบุรี!J710"")"),0)</f>
        <v>0</v>
      </c>
      <c r="AM65" s="57">
        <f ca="1">IFERROR(__xludf.DUMMYFUNCTION("IMPORTRANGE(""https://docs.google.com/spreadsheets/d/1CdNicvf3i6yt4tJlCePe3V1Va76wYqW0QzMzTsaGRrA/edit?usp=sharing"",""เพชรบุรี!J712"")"),0)</f>
        <v>0</v>
      </c>
      <c r="AN65" s="57">
        <f ca="1">IFERROR(__xludf.DUMMYFUNCTION("IMPORTRANGE(""https://docs.google.com/spreadsheets/d/1CdNicvf3i6yt4tJlCePe3V1Va76wYqW0QzMzTsaGRrA/edit?usp=sharing"",""เพชรบุรี!J713"")"),0)</f>
        <v>0</v>
      </c>
      <c r="AO65" s="57">
        <f ca="1">IFERROR(__xludf.DUMMYFUNCTION("IMPORTRANGE(""https://docs.google.com/spreadsheets/d/1CdNicvf3i6yt4tJlCePe3V1Va76wYqW0QzMzTsaGRrA/edit?usp=sharing"",""เพชรบุรี!J714"")"),0)</f>
        <v>0</v>
      </c>
      <c r="AP65" s="57">
        <f ca="1">IFERROR(__xludf.DUMMYFUNCTION("IMPORTRANGE(""https://docs.google.com/spreadsheets/d/1CdNicvf3i6yt4tJlCePe3V1Va76wYqW0QzMzTsaGRrA/edit?usp=sharing"",""เพชรบุรี!J715"")"),0)</f>
        <v>0</v>
      </c>
      <c r="AQ65" s="57">
        <f ca="1">IFERROR(__xludf.DUMMYFUNCTION("IMPORTRANGE(""https://docs.google.com/spreadsheets/d/1CdNicvf3i6yt4tJlCePe3V1Va76wYqW0QzMzTsaGRrA/edit?usp=sharing"",""เพชรบุรี!J716"")"),0)</f>
        <v>0</v>
      </c>
      <c r="AR65" s="57">
        <f ca="1">IFERROR(__xludf.DUMMYFUNCTION("IMPORTRANGE(""https://docs.google.com/spreadsheets/d/1CdNicvf3i6yt4tJlCePe3V1Va76wYqW0QzMzTsaGRrA/edit?usp=sharing"",""เพชรบุรี!J717"")"),0)</f>
        <v>0</v>
      </c>
      <c r="AS65" s="57">
        <f ca="1">IFERROR(__xludf.DUMMYFUNCTION("IMPORTRANGE(""https://docs.google.com/spreadsheets/d/1CdNicvf3i6yt4tJlCePe3V1Va76wYqW0QzMzTsaGRrA/edit?usp=sharing"",""เพชรบุรี!I720"")"),0)</f>
        <v>0</v>
      </c>
      <c r="AT65" s="57">
        <f ca="1">IFERROR(__xludf.DUMMYFUNCTION("IMPORTRANGE(""https://docs.google.com/spreadsheets/d/1CdNicvf3i6yt4tJlCePe3V1Va76wYqW0QzMzTsaGRrA/edit?usp=sharing"",""เพชรบุรี!J718"")"),0)</f>
        <v>0</v>
      </c>
      <c r="AU65" s="57">
        <f ca="1">IFERROR(__xludf.DUMMYFUNCTION("IMPORTRANGE(""https://docs.google.com/spreadsheets/d/1CdNicvf3i6yt4tJlCePe3V1Va76wYqW0QzMzTsaGRrA/edit?usp=sharing"",""เพชรบุรี!J719"")"),0)</f>
        <v>0</v>
      </c>
      <c r="AV65" s="57">
        <f ca="1">IFERROR(__xludf.DUMMYFUNCTION("IMPORTRANGE(""https://docs.google.com/spreadsheets/d/1CdNicvf3i6yt4tJlCePe3V1Va76wYqW0QzMzTsaGRrA/edit?usp=sharing"",""เพชรบุรี!J720"")"),0)</f>
        <v>0</v>
      </c>
      <c r="AW65" s="63">
        <f t="shared" ca="1" si="14"/>
        <v>0</v>
      </c>
      <c r="AX65" s="57">
        <f ca="1">IFERROR(__xludf.DUMMYFUNCTION("IMPORTRANGE(""https://docs.google.com/spreadsheets/d/1CdNicvf3i6yt4tJlCePe3V1Va76wYqW0QzMzTsaGRrA/edit?usp=sharing"",""เพชรบุรี!I721"")"),16)</f>
        <v>16</v>
      </c>
      <c r="AY65" s="57">
        <f ca="1">IFERROR(__xludf.DUMMYFUNCTION("IMPORTRANGE(""https://docs.google.com/spreadsheets/d/1CdNicvf3i6yt4tJlCePe3V1Va76wYqW0QzMzTsaGRrA/edit?usp=sharing"",""เพชรบุรี!I722"")"),224)</f>
        <v>224</v>
      </c>
      <c r="AZ65" s="57">
        <f ca="1">IFERROR(__xludf.DUMMYFUNCTION("IMPORTRANGE(""https://docs.google.com/spreadsheets/d/1CdNicvf3i6yt4tJlCePe3V1Va76wYqW0QzMzTsaGRrA/edit?usp=sharing"",""เพชรบุรี!J721"")"),0)</f>
        <v>0</v>
      </c>
      <c r="BA65" s="63">
        <f t="shared" ca="1" si="16"/>
        <v>0</v>
      </c>
      <c r="BB65" s="57">
        <f ca="1">IFERROR(__xludf.DUMMYFUNCTION("IMPORTRANGE(""https://docs.google.com/spreadsheets/d/1CdNicvf3i6yt4tJlCePe3V1Va76wYqW0QzMzTsaGRrA/edit?usp=sharing"",""เพชรบุรี!J722"")"),0)</f>
        <v>0</v>
      </c>
      <c r="BC65" s="63">
        <f t="shared" ca="1" si="17"/>
        <v>0</v>
      </c>
      <c r="BD65" s="57">
        <f ca="1">IFERROR(__xludf.DUMMYFUNCTION("IMPORTRANGE(""https://docs.google.com/spreadsheets/d/1CdNicvf3i6yt4tJlCePe3V1Va76wYqW0QzMzTsaGRrA/edit?usp=sharing"",""เพชรบุรี!I723"")"),12)</f>
        <v>12</v>
      </c>
      <c r="BE65" s="57">
        <f ca="1">IFERROR(__xludf.DUMMYFUNCTION("IMPORTRANGE(""https://docs.google.com/spreadsheets/d/1CdNicvf3i6yt4tJlCePe3V1Va76wYqW0QzMzTsaGRrA/edit?usp=sharing"",""เพชรบุรี!I725"")"),168)</f>
        <v>168</v>
      </c>
      <c r="BF65" s="57">
        <f ca="1">IFERROR(__xludf.DUMMYFUNCTION("IMPORTRANGE(""https://docs.google.com/spreadsheets/d/1CdNicvf3i6yt4tJlCePe3V1Va76wYqW0QzMzTsaGRrA/edit?usp=sharing"",""เพชรบุรี!J723"")"),0)</f>
        <v>0</v>
      </c>
      <c r="BG65" s="57">
        <f ca="1">IFERROR(__xludf.DUMMYFUNCTION("IMPORTRANGE(""https://docs.google.com/spreadsheets/d/1CdNicvf3i6yt4tJlCePe3V1Va76wYqW0QzMzTsaGRrA/edit?usp=sharing"",""เพชรบุรี!J724"")"),0)</f>
        <v>0</v>
      </c>
      <c r="BH65" s="57">
        <f ca="1">IFERROR(__xludf.DUMMYFUNCTION("IMPORTRANGE(""https://docs.google.com/spreadsheets/d/1CdNicvf3i6yt4tJlCePe3V1Va76wYqW0QzMzTsaGRrA/edit?usp=sharing"",""เพชรบุรี!J725"")"),0)</f>
        <v>0</v>
      </c>
      <c r="BI65" s="57">
        <f ca="1">IFERROR(__xludf.DUMMYFUNCTION("IMPORTRANGE(""https://docs.google.com/spreadsheets/d/1CdNicvf3i6yt4tJlCePe3V1Va76wYqW0QzMzTsaGRrA/edit?usp=sharing"",""เพชรบุรี!I726"")"),4)</f>
        <v>4</v>
      </c>
      <c r="BJ65" s="57">
        <f ca="1">IFERROR(__xludf.DUMMYFUNCTION("IMPORTRANGE(""https://docs.google.com/spreadsheets/d/1CdNicvf3i6yt4tJlCePe3V1Va76wYqW0QzMzTsaGRrA/edit?usp=sharing"",""เพชรบุรี!I728"")"),56)</f>
        <v>56</v>
      </c>
      <c r="BK65" s="57">
        <f ca="1">IFERROR(__xludf.DUMMYFUNCTION("IMPORTRANGE(""https://docs.google.com/spreadsheets/d/1CdNicvf3i6yt4tJlCePe3V1Va76wYqW0QzMzTsaGRrA/edit?usp=sharing"",""เพชรบุรี!J726"")"),0)</f>
        <v>0</v>
      </c>
      <c r="BL65" s="57">
        <f ca="1">IFERROR(__xludf.DUMMYFUNCTION("IMPORTRANGE(""https://docs.google.com/spreadsheets/d/1CdNicvf3i6yt4tJlCePe3V1Va76wYqW0QzMzTsaGRrA/edit?usp=sharing"",""เพชรบุรี!J727"")"),0)</f>
        <v>0</v>
      </c>
      <c r="BM65" s="57">
        <f ca="1">IFERROR(__xludf.DUMMYFUNCTION("IMPORTRANGE(""https://docs.google.com/spreadsheets/d/1CdNicvf3i6yt4tJlCePe3V1Va76wYqW0QzMzTsaGRrA/edit?usp=sharing"",""เพชรบุรี!J728"")"),0)</f>
        <v>0</v>
      </c>
      <c r="BN65" s="57">
        <f ca="1">IFERROR(__xludf.DUMMYFUNCTION("IMPORTRANGE(""https://docs.google.com/spreadsheets/d/1CdNicvf3i6yt4tJlCePe3V1Va76wYqW0QzMzTsaGRrA/edit?usp=sharing"",""เพชรบุรี!I729"")"),0)</f>
        <v>0</v>
      </c>
      <c r="BO65" s="57">
        <f ca="1">IFERROR(__xludf.DUMMYFUNCTION("IMPORTRANGE(""https://docs.google.com/spreadsheets/d/1CdNicvf3i6yt4tJlCePe3V1Va76wYqW0QzMzTsaGRrA/edit?usp=sharing"",""เพชรบุรี!J729"")"),0)</f>
        <v>0</v>
      </c>
      <c r="BP65" s="63">
        <f t="shared" ca="1" si="19"/>
        <v>0</v>
      </c>
      <c r="BQ65" s="57">
        <f ca="1">IFERROR(__xludf.DUMMYFUNCTION("IMPORTRANGE(""https://docs.google.com/spreadsheets/d/1CdNicvf3i6yt4tJlCePe3V1Va76wYqW0QzMzTsaGRrA/edit?usp=sharing"",""เพชรบุรี!J730"")"),0)</f>
        <v>0</v>
      </c>
      <c r="BR65" s="57">
        <f ca="1">IFERROR(__xludf.DUMMYFUNCTION("IMPORTRANGE(""https://docs.google.com/spreadsheets/d/1CdNicvf3i6yt4tJlCePe3V1Va76wYqW0QzMzTsaGRrA/edit?usp=sharing"",""เพชรบุรี!J731"")"),0)</f>
        <v>0</v>
      </c>
      <c r="BS65" s="57">
        <f ca="1">IFERROR(__xludf.DUMMYFUNCTION("IMPORTRANGE(""https://docs.google.com/spreadsheets/d/1CdNicvf3i6yt4tJlCePe3V1Va76wYqW0QzMzTsaGRrA/edit?usp=sharing"",""เพชรบุรี!J732"")"),0)</f>
        <v>0</v>
      </c>
      <c r="BT65" s="57">
        <f ca="1">IFERROR(__xludf.DUMMYFUNCTION("IMPORTRANGE(""https://docs.google.com/spreadsheets/d/1CdNicvf3i6yt4tJlCePe3V1Va76wYqW0QzMzTsaGRrA/edit?usp=sharing"",""เพชรบุรี!J733"")"),0)</f>
        <v>0</v>
      </c>
      <c r="BU65" s="57">
        <f ca="1">IFERROR(__xludf.DUMMYFUNCTION("IMPORTRANGE(""https://docs.google.com/spreadsheets/d/1CdNicvf3i6yt4tJlCePe3V1Va76wYqW0QzMzTsaGRrA/edit?usp=sharing"",""เพชรบุรี!J734"")"),0)</f>
        <v>0</v>
      </c>
      <c r="BV65" s="57">
        <f ca="1">IFERROR(__xludf.DUMMYFUNCTION("IMPORTRANGE(""https://docs.google.com/spreadsheets/d/1CdNicvf3i6yt4tJlCePe3V1Va76wYqW0QzMzTsaGRrA/edit?usp=sharing"",""เพชรบุรี!J735"")"),0)</f>
        <v>0</v>
      </c>
    </row>
    <row r="66" spans="1:74" ht="21" customHeight="1" x14ac:dyDescent="0.3">
      <c r="A66" s="54">
        <v>14</v>
      </c>
      <c r="B66" s="55" t="s">
        <v>87</v>
      </c>
      <c r="C66" s="56">
        <f t="shared" ca="1" si="75"/>
        <v>0</v>
      </c>
      <c r="D66" s="57">
        <f ca="1">IFERROR(__xludf.DUMMYFUNCTION("IMPORTRANGE(""https://docs.google.com/spreadsheets/d/1XiF77UIVHV0Kjc6xbXuOuJ10WgJYxd4p_22ngKVV5oM/edit?usp=sharing"",""ระยอง!L690"")"),0)</f>
        <v>0</v>
      </c>
      <c r="E66" s="64">
        <f ca="1">IFERROR(__xludf.DUMMYFUNCTION("IMPORTRANGE(""https://docs.google.com/spreadsheets/d/1XiF77UIVHV0Kjc6xbXuOuJ10WgJYxd4p_22ngKVV5oM/edit?usp=sharing"",""ระยอง!L697"")"),0)</f>
        <v>0</v>
      </c>
      <c r="F66" s="64">
        <f ca="1">IFERROR(__xludf.DUMMYFUNCTION("IMPORTRANGE(""https://docs.google.com/spreadsheets/d/1XiF77UIVHV0Kjc6xbXuOuJ10WgJYxd4p_22ngKVV5oM/edit?usp=sharing"",""ระยอง!M690"")"),0)</f>
        <v>0</v>
      </c>
      <c r="G66" s="64">
        <f ca="1">IFERROR(__xludf.DUMMYFUNCTION("IMPORTRANGE(""https://docs.google.com/spreadsheets/d/1XiF77UIVHV0Kjc6xbXuOuJ10WgJYxd4p_22ngKVV5oM/edit?usp=sharing"",""ระยอง!M697"")"),0)</f>
        <v>0</v>
      </c>
      <c r="H66" s="58">
        <f t="shared" ca="1" si="33"/>
        <v>0</v>
      </c>
      <c r="I66" s="59">
        <f t="shared" ca="1" si="1"/>
        <v>0</v>
      </c>
      <c r="J66" s="60">
        <f t="shared" ca="1" si="76"/>
        <v>0</v>
      </c>
      <c r="K66" s="61">
        <f t="shared" ca="1" si="39"/>
        <v>0</v>
      </c>
      <c r="L66" s="61">
        <f t="shared" ca="1" si="40"/>
        <v>0</v>
      </c>
      <c r="M66" s="64">
        <f ca="1">IFERROR(__xludf.DUMMYFUNCTION("IMPORTRANGE(""https://docs.google.com/spreadsheets/d/1XiF77UIVHV0Kjc6xbXuOuJ10WgJYxd4p_22ngKVV5oM/edit?usp=sharing"",""ระยอง!N691"")"),0)</f>
        <v>0</v>
      </c>
      <c r="N66" s="64">
        <f ca="1">IFERROR(__xludf.DUMMYFUNCTION("IMPORTRANGE(""https://docs.google.com/spreadsheets/d/1XiF77UIVHV0Kjc6xbXuOuJ10WgJYxd4p_22ngKVV5oM/edit?usp=sharing"",""ระยอง!N692"")"),0)</f>
        <v>0</v>
      </c>
      <c r="O66" s="64">
        <f ca="1">IFERROR(__xludf.DUMMYFUNCTION("IMPORTRANGE(""https://docs.google.com/spreadsheets/d/1XiF77UIVHV0Kjc6xbXuOuJ10WgJYxd4p_22ngKVV5oM/edit?usp=sharing"",""ระยอง!N693"")"),0)</f>
        <v>0</v>
      </c>
      <c r="P66" s="64">
        <f ca="1">IFERROR(__xludf.DUMMYFUNCTION("IMPORTRANGE(""https://docs.google.com/spreadsheets/d/1XiF77UIVHV0Kjc6xbXuOuJ10WgJYxd4p_22ngKVV5oM/edit?usp=sharing"",""ระยอง!N694"")"),0)</f>
        <v>0</v>
      </c>
      <c r="Q66" s="62">
        <f ca="1">IFERROR(__xludf.DUMMYFUNCTION("IMPORTRANGE(""https://docs.google.com/spreadsheets/d/1XiF77UIVHV0Kjc6xbXuOuJ10WgJYxd4p_22ngKVV5oM/edit?usp=sharing"",""ระยอง!N697"")"),0)</f>
        <v>0</v>
      </c>
      <c r="R66" s="62">
        <f t="shared" ca="1" si="42"/>
        <v>0</v>
      </c>
      <c r="S66" s="57">
        <f ca="1">IFERROR(__xludf.DUMMYFUNCTION("IMPORTRANGE(""https://docs.google.com/spreadsheets/d/1XiF77UIVHV0Kjc6xbXuOuJ10WgJYxd4p_22ngKVV5oM/edit?usp=sharing"",""ระยอง!I699"")"),0)</f>
        <v>0</v>
      </c>
      <c r="T66" s="57">
        <f ca="1">IFERROR(__xludf.DUMMYFUNCTION("IMPORTRANGE(""https://docs.google.com/spreadsheets/d/1XiF77UIVHV0Kjc6xbXuOuJ10WgJYxd4p_22ngKVV5oM/edit?usp=sharing"",""ระยอง!J699"")"),0)</f>
        <v>0</v>
      </c>
      <c r="U66" s="63">
        <f t="shared" ca="1" si="34"/>
        <v>0</v>
      </c>
      <c r="V66" s="57">
        <f ca="1">IFERROR(__xludf.DUMMYFUNCTION("IMPORTRANGE(""https://docs.google.com/spreadsheets/d/1XiF77UIVHV0Kjc6xbXuOuJ10WgJYxd4p_22ngKVV5oM/edit?usp=sharing"",""ระยอง!I700"")"),0)</f>
        <v>0</v>
      </c>
      <c r="W66" s="57">
        <f ca="1">IFERROR(__xludf.DUMMYFUNCTION("IMPORTRANGE(""https://docs.google.com/spreadsheets/d/1XiF77UIVHV0Kjc6xbXuOuJ10WgJYxd4p_22ngKVV5oM/edit?usp=sharing"",""ระยอง!J700"")"),0)</f>
        <v>0</v>
      </c>
      <c r="X66" s="63">
        <f t="shared" ca="1" si="35"/>
        <v>0</v>
      </c>
      <c r="Y66" s="57">
        <f ca="1">IFERROR(__xludf.DUMMYFUNCTION("IMPORTRANGE(""https://docs.google.com/spreadsheets/d/1XiF77UIVHV0Kjc6xbXuOuJ10WgJYxd4p_22ngKVV5oM/edit?usp=sharing"",""ระยอง!I701"")"),0)</f>
        <v>0</v>
      </c>
      <c r="Z66" s="57">
        <f ca="1">IFERROR(__xludf.DUMMYFUNCTION("IMPORTRANGE(""https://docs.google.com/spreadsheets/d/1XiF77UIVHV0Kjc6xbXuOuJ10WgJYxd4p_22ngKVV5oM/edit?usp=sharing"",""ระยอง!J701"")"),0)</f>
        <v>0</v>
      </c>
      <c r="AA66" s="63">
        <f t="shared" ca="1" si="36"/>
        <v>0</v>
      </c>
      <c r="AB66" s="63">
        <f ca="1">IFERROR(__xludf.DUMMYFUNCTION("IMPORTRANGE(""https://docs.google.com/spreadsheets/d/1XiF77UIVHV0Kjc6xbXuOuJ10WgJYxd4p_22ngKVV5oM/edit?usp=sharing"",""ระยอง!J702"")"),0)</f>
        <v>0</v>
      </c>
      <c r="AC66" s="63">
        <f ca="1">IFERROR(__xludf.DUMMYFUNCTION("IMPORTRANGE(""https://docs.google.com/spreadsheets/d/1XiF77UIVHV0Kjc6xbXuOuJ10WgJYxd4p_22ngKVV5oM/edit?usp=sharing"",""ระยอง!J703"")"),0)</f>
        <v>0</v>
      </c>
      <c r="AD66" s="63">
        <f ca="1">IFERROR(__xludf.DUMMYFUNCTION("IMPORTRANGE(""https://docs.google.com/spreadsheets/d/1XiF77UIVHV0Kjc6xbXuOuJ10WgJYxd4p_22ngKVV5oM/edit?usp=sharing"",""ระยอง!J704"")"),0)</f>
        <v>0</v>
      </c>
      <c r="AE66" s="63">
        <f ca="1">IFERROR(__xludf.DUMMYFUNCTION("IMPORTRANGE(""https://docs.google.com/spreadsheets/d/1XiF77UIVHV0Kjc6xbXuOuJ10WgJYxd4p_22ngKVV5oM/edit?usp=sharing"",""ระยอง!J705"")"),0)</f>
        <v>0</v>
      </c>
      <c r="AF66" s="63">
        <f ca="1">IFERROR(__xludf.DUMMYFUNCTION("IMPORTRANGE(""https://docs.google.com/spreadsheets/d/1XiF77UIVHV0Kjc6xbXuOuJ10WgJYxd4p_22ngKVV5oM/edit?usp=sharing"",""ระยอง!J706"")"),0)</f>
        <v>0</v>
      </c>
      <c r="AG66" s="63">
        <f ca="1">IFERROR(__xludf.DUMMYFUNCTION("IMPORTRANGE(""https://docs.google.com/spreadsheets/d/1XiF77UIVHV0Kjc6xbXuOuJ10WgJYxd4p_22ngKVV5oM/edit?usp=sharing"",""ระยอง!J707"")"),0)</f>
        <v>0</v>
      </c>
      <c r="AH66" s="57">
        <f ca="1">IFERROR(__xludf.DUMMYFUNCTION("IMPORTRANGE(""https://docs.google.com/spreadsheets/d/1XiF77UIVHV0Kjc6xbXuOuJ10WgJYxd4p_22ngKVV5oM/edit?usp=sharing"",""ระยอง!I708"")"),0)</f>
        <v>0</v>
      </c>
      <c r="AI66" s="57">
        <f ca="1">IFERROR(__xludf.DUMMYFUNCTION("IMPORTRANGE(""https://docs.google.com/spreadsheets/d/1XiF77UIVHV0Kjc6xbXuOuJ10WgJYxd4p_22ngKVV5oM/edit?usp=sharing"",""ระยอง!J708"")"),0)</f>
        <v>0</v>
      </c>
      <c r="AJ66" s="63">
        <f t="shared" ca="1" si="37"/>
        <v>0</v>
      </c>
      <c r="AK66" s="57">
        <f ca="1">IFERROR(__xludf.DUMMYFUNCTION("IMPORTRANGE(""https://docs.google.com/spreadsheets/d/1XiF77UIVHV0Kjc6xbXuOuJ10WgJYxd4p_22ngKVV5oM/edit?usp=sharing"",""ระยอง!J709"")"),0)</f>
        <v>0</v>
      </c>
      <c r="AL66" s="57">
        <f ca="1">IFERROR(__xludf.DUMMYFUNCTION("IMPORTRANGE(""https://docs.google.com/spreadsheets/d/1XiF77UIVHV0Kjc6xbXuOuJ10WgJYxd4p_22ngKVV5oM/edit?usp=sharing"",""ระยอง!J710"")"),0)</f>
        <v>0</v>
      </c>
      <c r="AM66" s="57">
        <f ca="1">IFERROR(__xludf.DUMMYFUNCTION("IMPORTRANGE(""https://docs.google.com/spreadsheets/d/1XiF77UIVHV0Kjc6xbXuOuJ10WgJYxd4p_22ngKVV5oM/edit?usp=sharing"",""ระยอง!J712"")"),0)</f>
        <v>0</v>
      </c>
      <c r="AN66" s="57">
        <f ca="1">IFERROR(__xludf.DUMMYFUNCTION("IMPORTRANGE(""https://docs.google.com/spreadsheets/d/1XiF77UIVHV0Kjc6xbXuOuJ10WgJYxd4p_22ngKVV5oM/edit?usp=sharing"",""ระยอง!J713"")"),0)</f>
        <v>0</v>
      </c>
      <c r="AO66" s="57">
        <f ca="1">IFERROR(__xludf.DUMMYFUNCTION("IMPORTRANGE(""https://docs.google.com/spreadsheets/d/1XiF77UIVHV0Kjc6xbXuOuJ10WgJYxd4p_22ngKVV5oM/edit?usp=sharing"",""ระยอง!J714"")"),0)</f>
        <v>0</v>
      </c>
      <c r="AP66" s="57">
        <f ca="1">IFERROR(__xludf.DUMMYFUNCTION("IMPORTRANGE(""https://docs.google.com/spreadsheets/d/1XiF77UIVHV0Kjc6xbXuOuJ10WgJYxd4p_22ngKVV5oM/edit?usp=sharing"",""ระยอง!J715"")"),0)</f>
        <v>0</v>
      </c>
      <c r="AQ66" s="57">
        <f ca="1">IFERROR(__xludf.DUMMYFUNCTION("IMPORTRANGE(""https://docs.google.com/spreadsheets/d/1XiF77UIVHV0Kjc6xbXuOuJ10WgJYxd4p_22ngKVV5oM/edit?usp=sharing"",""ระยอง!J716"")"),0)</f>
        <v>0</v>
      </c>
      <c r="AR66" s="57">
        <f ca="1">IFERROR(__xludf.DUMMYFUNCTION("IMPORTRANGE(""https://docs.google.com/spreadsheets/d/1XiF77UIVHV0Kjc6xbXuOuJ10WgJYxd4p_22ngKVV5oM/edit?usp=sharing"",""ระยอง!J717"")"),0)</f>
        <v>0</v>
      </c>
      <c r="AS66" s="57">
        <f ca="1">IFERROR(__xludf.DUMMYFUNCTION("IMPORTRANGE(""https://docs.google.com/spreadsheets/d/1XiF77UIVHV0Kjc6xbXuOuJ10WgJYxd4p_22ngKVV5oM/edit?usp=sharing"",""ระยอง!I720"")"),0)</f>
        <v>0</v>
      </c>
      <c r="AT66" s="57">
        <f ca="1">IFERROR(__xludf.DUMMYFUNCTION("IMPORTRANGE(""https://docs.google.com/spreadsheets/d/1XiF77UIVHV0Kjc6xbXuOuJ10WgJYxd4p_22ngKVV5oM/edit?usp=sharing"",""ระยอง!J718"")"),0)</f>
        <v>0</v>
      </c>
      <c r="AU66" s="57">
        <f ca="1">IFERROR(__xludf.DUMMYFUNCTION("IMPORTRANGE(""https://docs.google.com/spreadsheets/d/1XiF77UIVHV0Kjc6xbXuOuJ10WgJYxd4p_22ngKVV5oM/edit?usp=sharing"",""ระยอง!J719"")"),0)</f>
        <v>0</v>
      </c>
      <c r="AV66" s="57">
        <f ca="1">IFERROR(__xludf.DUMMYFUNCTION("IMPORTRANGE(""https://docs.google.com/spreadsheets/d/1XiF77UIVHV0Kjc6xbXuOuJ10WgJYxd4p_22ngKVV5oM/edit?usp=sharing"",""ระยอง!J720"")"),0)</f>
        <v>0</v>
      </c>
      <c r="AW66" s="63">
        <f t="shared" ca="1" si="14"/>
        <v>0</v>
      </c>
      <c r="AX66" s="57">
        <f ca="1">IFERROR(__xludf.DUMMYFUNCTION("IMPORTRANGE(""https://docs.google.com/spreadsheets/d/1XiF77UIVHV0Kjc6xbXuOuJ10WgJYxd4p_22ngKVV5oM/edit?usp=sharing"",""ระยอง!I721"")"),0)</f>
        <v>0</v>
      </c>
      <c r="AY66" s="57">
        <f ca="1">IFERROR(__xludf.DUMMYFUNCTION("IMPORTRANGE(""https://docs.google.com/spreadsheets/d/1XiF77UIVHV0Kjc6xbXuOuJ10WgJYxd4p_22ngKVV5oM/edit?usp=sharing"",""ระยอง!I722"")"),0)</f>
        <v>0</v>
      </c>
      <c r="AZ66" s="57">
        <f ca="1">IFERROR(__xludf.DUMMYFUNCTION("IMPORTRANGE(""https://docs.google.com/spreadsheets/d/1XiF77UIVHV0Kjc6xbXuOuJ10WgJYxd4p_22ngKVV5oM/edit?usp=sharing"",""ระยอง!J721"")"),0)</f>
        <v>0</v>
      </c>
      <c r="BA66" s="63">
        <f t="shared" ca="1" si="16"/>
        <v>0</v>
      </c>
      <c r="BB66" s="57">
        <f ca="1">IFERROR(__xludf.DUMMYFUNCTION("IMPORTRANGE(""https://docs.google.com/spreadsheets/d/1XiF77UIVHV0Kjc6xbXuOuJ10WgJYxd4p_22ngKVV5oM/edit?usp=sharing"",""ระยอง!J722"")"),0)</f>
        <v>0</v>
      </c>
      <c r="BC66" s="63">
        <f t="shared" ca="1" si="17"/>
        <v>0</v>
      </c>
      <c r="BD66" s="57">
        <f ca="1">IFERROR(__xludf.DUMMYFUNCTION("IMPORTRANGE(""https://docs.google.com/spreadsheets/d/1XiF77UIVHV0Kjc6xbXuOuJ10WgJYxd4p_22ngKVV5oM/edit?usp=sharing"",""ระยอง!I723"")"),0)</f>
        <v>0</v>
      </c>
      <c r="BE66" s="57">
        <f ca="1">IFERROR(__xludf.DUMMYFUNCTION("IMPORTRANGE(""https://docs.google.com/spreadsheets/d/1XiF77UIVHV0Kjc6xbXuOuJ10WgJYxd4p_22ngKVV5oM/edit?usp=sharing"",""ระยอง!I725"")"),0)</f>
        <v>0</v>
      </c>
      <c r="BF66" s="57">
        <f ca="1">IFERROR(__xludf.DUMMYFUNCTION("IMPORTRANGE(""https://docs.google.com/spreadsheets/d/1XiF77UIVHV0Kjc6xbXuOuJ10WgJYxd4p_22ngKVV5oM/edit?usp=sharing"",""ระยอง!J723"")"),0)</f>
        <v>0</v>
      </c>
      <c r="BG66" s="57">
        <f ca="1">IFERROR(__xludf.DUMMYFUNCTION("IMPORTRANGE(""https://docs.google.com/spreadsheets/d/1XiF77UIVHV0Kjc6xbXuOuJ10WgJYxd4p_22ngKVV5oM/edit?usp=sharing"",""ระยอง!J724"")"),0)</f>
        <v>0</v>
      </c>
      <c r="BH66" s="57">
        <f ca="1">IFERROR(__xludf.DUMMYFUNCTION("IMPORTRANGE(""https://docs.google.com/spreadsheets/d/1XiF77UIVHV0Kjc6xbXuOuJ10WgJYxd4p_22ngKVV5oM/edit?usp=sharing"",""ระยอง!J725"")"),0)</f>
        <v>0</v>
      </c>
      <c r="BI66" s="57">
        <f ca="1">IFERROR(__xludf.DUMMYFUNCTION("IMPORTRANGE(""https://docs.google.com/spreadsheets/d/1XiF77UIVHV0Kjc6xbXuOuJ10WgJYxd4p_22ngKVV5oM/edit?usp=sharing"",""ระยอง!I726"")"),0)</f>
        <v>0</v>
      </c>
      <c r="BJ66" s="57">
        <f ca="1">IFERROR(__xludf.DUMMYFUNCTION("IMPORTRANGE(""https://docs.google.com/spreadsheets/d/1XiF77UIVHV0Kjc6xbXuOuJ10WgJYxd4p_22ngKVV5oM/edit?usp=sharing"",""ระยอง!I728"")"),0)</f>
        <v>0</v>
      </c>
      <c r="BK66" s="57">
        <f ca="1">IFERROR(__xludf.DUMMYFUNCTION("IMPORTRANGE(""https://docs.google.com/spreadsheets/d/1XiF77UIVHV0Kjc6xbXuOuJ10WgJYxd4p_22ngKVV5oM/edit?usp=sharing"",""ระยอง!J726"")"),0)</f>
        <v>0</v>
      </c>
      <c r="BL66" s="57">
        <f ca="1">IFERROR(__xludf.DUMMYFUNCTION("IMPORTRANGE(""https://docs.google.com/spreadsheets/d/1XiF77UIVHV0Kjc6xbXuOuJ10WgJYxd4p_22ngKVV5oM/edit?usp=sharing"",""ระยอง!J727"")"),0)</f>
        <v>0</v>
      </c>
      <c r="BM66" s="57">
        <f ca="1">IFERROR(__xludf.DUMMYFUNCTION("IMPORTRANGE(""https://docs.google.com/spreadsheets/d/1XiF77UIVHV0Kjc6xbXuOuJ10WgJYxd4p_22ngKVV5oM/edit?usp=sharing"",""ระยอง!J728"")"),0)</f>
        <v>0</v>
      </c>
      <c r="BN66" s="57">
        <f ca="1">IFERROR(__xludf.DUMMYFUNCTION("IMPORTRANGE(""https://docs.google.com/spreadsheets/d/1XiF77UIVHV0Kjc6xbXuOuJ10WgJYxd4p_22ngKVV5oM/edit?usp=sharing"",""ระยอง!I729"")"),0)</f>
        <v>0</v>
      </c>
      <c r="BO66" s="57">
        <f ca="1">IFERROR(__xludf.DUMMYFUNCTION("IMPORTRANGE(""https://docs.google.com/spreadsheets/d/1XiF77UIVHV0Kjc6xbXuOuJ10WgJYxd4p_22ngKVV5oM/edit?usp=sharing"",""ระยอง!J729"")"),0)</f>
        <v>0</v>
      </c>
      <c r="BP66" s="63">
        <f t="shared" ca="1" si="19"/>
        <v>0</v>
      </c>
      <c r="BQ66" s="57">
        <f ca="1">IFERROR(__xludf.DUMMYFUNCTION("IMPORTRANGE(""https://docs.google.com/spreadsheets/d/1XiF77UIVHV0Kjc6xbXuOuJ10WgJYxd4p_22ngKVV5oM/edit?usp=sharing"",""ระยอง!J730"")"),0)</f>
        <v>0</v>
      </c>
      <c r="BR66" s="57">
        <f ca="1">IFERROR(__xludf.DUMMYFUNCTION("IMPORTRANGE(""https://docs.google.com/spreadsheets/d/1XiF77UIVHV0Kjc6xbXuOuJ10WgJYxd4p_22ngKVV5oM/edit?usp=sharing"",""ระยอง!J731"")"),0)</f>
        <v>0</v>
      </c>
      <c r="BS66" s="57">
        <f ca="1">IFERROR(__xludf.DUMMYFUNCTION("IMPORTRANGE(""https://docs.google.com/spreadsheets/d/1XiF77UIVHV0Kjc6xbXuOuJ10WgJYxd4p_22ngKVV5oM/edit?usp=sharing"",""ระยอง!J732"")"),0)</f>
        <v>0</v>
      </c>
      <c r="BT66" s="57">
        <f ca="1">IFERROR(__xludf.DUMMYFUNCTION("IMPORTRANGE(""https://docs.google.com/spreadsheets/d/1XiF77UIVHV0Kjc6xbXuOuJ10WgJYxd4p_22ngKVV5oM/edit?usp=sharing"",""ระยอง!J733"")"),0)</f>
        <v>0</v>
      </c>
      <c r="BU66" s="57">
        <f ca="1">IFERROR(__xludf.DUMMYFUNCTION("IMPORTRANGE(""https://docs.google.com/spreadsheets/d/1XiF77UIVHV0Kjc6xbXuOuJ10WgJYxd4p_22ngKVV5oM/edit?usp=sharing"",""ระยอง!J734"")"),0)</f>
        <v>0</v>
      </c>
      <c r="BV66" s="57">
        <f ca="1">IFERROR(__xludf.DUMMYFUNCTION("IMPORTRANGE(""https://docs.google.com/spreadsheets/d/1XiF77UIVHV0Kjc6xbXuOuJ10WgJYxd4p_22ngKVV5oM/edit?usp=sharing"",""ระยอง!J735"")"),0)</f>
        <v>0</v>
      </c>
    </row>
    <row r="67" spans="1:74" ht="21" customHeight="1" x14ac:dyDescent="0.3">
      <c r="A67" s="54">
        <v>15</v>
      </c>
      <c r="B67" s="55" t="s">
        <v>88</v>
      </c>
      <c r="C67" s="56">
        <f t="shared" ca="1" si="75"/>
        <v>7500</v>
      </c>
      <c r="D67" s="57">
        <f ca="1">IFERROR(__xludf.DUMMYFUNCTION("IMPORTRANGE(""https://docs.google.com/spreadsheets/d/1qU-W_9MCQD1pgIVXGEOjCFo9QqlmJywuebyGgaN92r8/edit?usp=sharing"",""ราชบุรี!L690"")"),7500)</f>
        <v>7500</v>
      </c>
      <c r="E67" s="64">
        <f ca="1">IFERROR(__xludf.DUMMYFUNCTION("IMPORTRANGE(""https://docs.google.com/spreadsheets/d/1qU-W_9MCQD1pgIVXGEOjCFo9QqlmJywuebyGgaN92r8/edit?usp=sharing"",""ราชบุรี!L697"")"),0)</f>
        <v>0</v>
      </c>
      <c r="F67" s="64">
        <f ca="1">IFERROR(__xludf.DUMMYFUNCTION("IMPORTRANGE(""https://docs.google.com/spreadsheets/d/1qU-W_9MCQD1pgIVXGEOjCFo9QqlmJywuebyGgaN92r8/edit?usp=sharing"",""ราชบุรี!M690"")"),7500)</f>
        <v>7500</v>
      </c>
      <c r="G67" s="64">
        <f ca="1">IFERROR(__xludf.DUMMYFUNCTION("IMPORTRANGE(""https://docs.google.com/spreadsheets/d/1qU-W_9MCQD1pgIVXGEOjCFo9QqlmJywuebyGgaN92r8/edit?usp=sharing"",""ราชบุรี!M697"")"),0)</f>
        <v>0</v>
      </c>
      <c r="H67" s="58">
        <f t="shared" ca="1" si="33"/>
        <v>3471.12</v>
      </c>
      <c r="I67" s="59">
        <f t="shared" ca="1" si="1"/>
        <v>46.281599999999997</v>
      </c>
      <c r="J67" s="60">
        <f t="shared" ca="1" si="76"/>
        <v>3471.12</v>
      </c>
      <c r="K67" s="61">
        <f t="shared" ca="1" si="39"/>
        <v>46.281599999999997</v>
      </c>
      <c r="L67" s="61">
        <f t="shared" ca="1" si="40"/>
        <v>46.281599999999997</v>
      </c>
      <c r="M67" s="64">
        <f ca="1">IFERROR(__xludf.DUMMYFUNCTION("IMPORTRANGE(""https://docs.google.com/spreadsheets/d/1qU-W_9MCQD1pgIVXGEOjCFo9QqlmJywuebyGgaN92r8/edit?usp=sharing"",""ราชบุรี!N691"")"),0)</f>
        <v>0</v>
      </c>
      <c r="N67" s="64">
        <f ca="1">IFERROR(__xludf.DUMMYFUNCTION("IMPORTRANGE(""https://docs.google.com/spreadsheets/d/1qU-W_9MCQD1pgIVXGEOjCFo9QqlmJywuebyGgaN92r8/edit?usp=sharing"",""ราชบุรี!N692"")"),0)</f>
        <v>0</v>
      </c>
      <c r="O67" s="64">
        <f ca="1">IFERROR(__xludf.DUMMYFUNCTION("IMPORTRANGE(""https://docs.google.com/spreadsheets/d/1qU-W_9MCQD1pgIVXGEOjCFo9QqlmJywuebyGgaN92r8/edit?usp=sharing"",""ราชบุรี!N693"")"),0)</f>
        <v>0</v>
      </c>
      <c r="P67" s="64">
        <f ca="1">IFERROR(__xludf.DUMMYFUNCTION("IMPORTRANGE(""https://docs.google.com/spreadsheets/d/1qU-W_9MCQD1pgIVXGEOjCFo9QqlmJywuebyGgaN92r8/edit?usp=sharing"",""ราชบุรี!N694"")"),3471.12)</f>
        <v>3471.12</v>
      </c>
      <c r="Q67" s="62">
        <f ca="1">IFERROR(__xludf.DUMMYFUNCTION("IMPORTRANGE(""https://docs.google.com/spreadsheets/d/1qU-W_9MCQD1pgIVXGEOjCFo9QqlmJywuebyGgaN92r8/edit?usp=sharing"",""ราชบุรี!N697"")"),0)</f>
        <v>0</v>
      </c>
      <c r="R67" s="62">
        <f t="shared" ca="1" si="42"/>
        <v>0</v>
      </c>
      <c r="S67" s="57">
        <f ca="1">IFERROR(__xludf.DUMMYFUNCTION("IMPORTRANGE(""https://docs.google.com/spreadsheets/d/1qU-W_9MCQD1pgIVXGEOjCFo9QqlmJywuebyGgaN92r8/edit?usp=sharing"",""ราชบุรี!I699"")"),50)</f>
        <v>50</v>
      </c>
      <c r="T67" s="57">
        <f ca="1">IFERROR(__xludf.DUMMYFUNCTION("IMPORTRANGE(""https://docs.google.com/spreadsheets/d/1qU-W_9MCQD1pgIVXGEOjCFo9QqlmJywuebyGgaN92r8/edit?usp=sharing"",""ราชบุรี!J699"")"),0)</f>
        <v>0</v>
      </c>
      <c r="U67" s="63">
        <f t="shared" ca="1" si="34"/>
        <v>0</v>
      </c>
      <c r="V67" s="57">
        <f ca="1">IFERROR(__xludf.DUMMYFUNCTION("IMPORTRANGE(""https://docs.google.com/spreadsheets/d/1qU-W_9MCQD1pgIVXGEOjCFo9QqlmJywuebyGgaN92r8/edit?usp=sharing"",""ราชบุรี!I700"")"),2)</f>
        <v>2</v>
      </c>
      <c r="W67" s="57">
        <f ca="1">IFERROR(__xludf.DUMMYFUNCTION("IMPORTRANGE(""https://docs.google.com/spreadsheets/d/1qU-W_9MCQD1pgIVXGEOjCFo9QqlmJywuebyGgaN92r8/edit?usp=sharing"",""ราชบุรี!J700"")"),0)</f>
        <v>0</v>
      </c>
      <c r="X67" s="63">
        <f t="shared" ca="1" si="35"/>
        <v>0</v>
      </c>
      <c r="Y67" s="57">
        <f ca="1">IFERROR(__xludf.DUMMYFUNCTION("IMPORTRANGE(""https://docs.google.com/spreadsheets/d/1qU-W_9MCQD1pgIVXGEOjCFo9QqlmJywuebyGgaN92r8/edit?usp=sharing"",""ราชบุรี!I701"")"),12)</f>
        <v>12</v>
      </c>
      <c r="Z67" s="57">
        <f ca="1">IFERROR(__xludf.DUMMYFUNCTION("IMPORTRANGE(""https://docs.google.com/spreadsheets/d/1qU-W_9MCQD1pgIVXGEOjCFo9QqlmJywuebyGgaN92r8/edit?usp=sharing"",""ราชบุรี!J701"")"),0)</f>
        <v>0</v>
      </c>
      <c r="AA67" s="63">
        <f t="shared" ca="1" si="36"/>
        <v>0</v>
      </c>
      <c r="AB67" s="63">
        <f ca="1">IFERROR(__xludf.DUMMYFUNCTION("IMPORTRANGE(""https://docs.google.com/spreadsheets/d/1qU-W_9MCQD1pgIVXGEOjCFo9QqlmJywuebyGgaN92r8/edit?usp=sharing"",""ราชบุรี!J702"")"),0)</f>
        <v>0</v>
      </c>
      <c r="AC67" s="63">
        <f ca="1">IFERROR(__xludf.DUMMYFUNCTION("IMPORTRANGE(""https://docs.google.com/spreadsheets/d/1qU-W_9MCQD1pgIVXGEOjCFo9QqlmJywuebyGgaN92r8/edit?usp=sharing"",""ราชบุรี!J703"")"),0)</f>
        <v>0</v>
      </c>
      <c r="AD67" s="63">
        <f ca="1">IFERROR(__xludf.DUMMYFUNCTION("IMPORTRANGE(""https://docs.google.com/spreadsheets/d/1qU-W_9MCQD1pgIVXGEOjCFo9QqlmJywuebyGgaN92r8/edit?usp=sharing"",""ราชบุรี!J704"")"),0)</f>
        <v>0</v>
      </c>
      <c r="AE67" s="63">
        <f ca="1">IFERROR(__xludf.DUMMYFUNCTION("IMPORTRANGE(""https://docs.google.com/spreadsheets/d/1qU-W_9MCQD1pgIVXGEOjCFo9QqlmJywuebyGgaN92r8/edit?usp=sharing"",""ราชบุรี!J705"")"),0)</f>
        <v>0</v>
      </c>
      <c r="AF67" s="63">
        <f ca="1">IFERROR(__xludf.DUMMYFUNCTION("IMPORTRANGE(""https://docs.google.com/spreadsheets/d/1qU-W_9MCQD1pgIVXGEOjCFo9QqlmJywuebyGgaN92r8/edit?usp=sharing"",""ราชบุรี!J706"")"),0)</f>
        <v>0</v>
      </c>
      <c r="AG67" s="63">
        <f ca="1">IFERROR(__xludf.DUMMYFUNCTION("IMPORTRANGE(""https://docs.google.com/spreadsheets/d/1qU-W_9MCQD1pgIVXGEOjCFo9QqlmJywuebyGgaN92r8/edit?usp=sharing"",""ราชบุรี!J707"")"),0)</f>
        <v>0</v>
      </c>
      <c r="AH67" s="57">
        <f ca="1">IFERROR(__xludf.DUMMYFUNCTION("IMPORTRANGE(""https://docs.google.com/spreadsheets/d/1qU-W_9MCQD1pgIVXGEOjCFo9QqlmJywuebyGgaN92r8/edit?usp=sharing"",""ราชบุรี!I708"")"),0)</f>
        <v>0</v>
      </c>
      <c r="AI67" s="57">
        <f ca="1">IFERROR(__xludf.DUMMYFUNCTION("IMPORTRANGE(""https://docs.google.com/spreadsheets/d/1qU-W_9MCQD1pgIVXGEOjCFo9QqlmJywuebyGgaN92r8/edit?usp=sharing"",""ราชบุรี!J708"")"),0)</f>
        <v>0</v>
      </c>
      <c r="AJ67" s="63">
        <f t="shared" ca="1" si="37"/>
        <v>0</v>
      </c>
      <c r="AK67" s="57">
        <f ca="1">IFERROR(__xludf.DUMMYFUNCTION("IMPORTRANGE(""https://docs.google.com/spreadsheets/d/1qU-W_9MCQD1pgIVXGEOjCFo9QqlmJywuebyGgaN92r8/edit?usp=sharing"",""ราชบุรี!J709"")"),0)</f>
        <v>0</v>
      </c>
      <c r="AL67" s="57">
        <f ca="1">IFERROR(__xludf.DUMMYFUNCTION("IMPORTRANGE(""https://docs.google.com/spreadsheets/d/1qU-W_9MCQD1pgIVXGEOjCFo9QqlmJywuebyGgaN92r8/edit?usp=sharing"",""ราชบุรี!J710"")"),0)</f>
        <v>0</v>
      </c>
      <c r="AM67" s="57">
        <f ca="1">IFERROR(__xludf.DUMMYFUNCTION("IMPORTRANGE(""https://docs.google.com/spreadsheets/d/1qU-W_9MCQD1pgIVXGEOjCFo9QqlmJywuebyGgaN92r8/edit?usp=sharing"",""ราชบุรี!J712"")"),0)</f>
        <v>0</v>
      </c>
      <c r="AN67" s="57">
        <f ca="1">IFERROR(__xludf.DUMMYFUNCTION("IMPORTRANGE(""https://docs.google.com/spreadsheets/d/1qU-W_9MCQD1pgIVXGEOjCFo9QqlmJywuebyGgaN92r8/edit?usp=sharing"",""ราชบุรี!J713"")"),0)</f>
        <v>0</v>
      </c>
      <c r="AO67" s="57">
        <f ca="1">IFERROR(__xludf.DUMMYFUNCTION("IMPORTRANGE(""https://docs.google.com/spreadsheets/d/1qU-W_9MCQD1pgIVXGEOjCFo9QqlmJywuebyGgaN92r8/edit?usp=sharing"",""ราชบุรี!J714"")"),0)</f>
        <v>0</v>
      </c>
      <c r="AP67" s="57">
        <f ca="1">IFERROR(__xludf.DUMMYFUNCTION("IMPORTRANGE(""https://docs.google.com/spreadsheets/d/1qU-W_9MCQD1pgIVXGEOjCFo9QqlmJywuebyGgaN92r8/edit?usp=sharing"",""ราชบุรี!J715"")"),0)</f>
        <v>0</v>
      </c>
      <c r="AQ67" s="57">
        <f ca="1">IFERROR(__xludf.DUMMYFUNCTION("IMPORTRANGE(""https://docs.google.com/spreadsheets/d/1qU-W_9MCQD1pgIVXGEOjCFo9QqlmJywuebyGgaN92r8/edit?usp=sharing"",""ราชบุรี!J716"")"),0)</f>
        <v>0</v>
      </c>
      <c r="AR67" s="57">
        <f ca="1">IFERROR(__xludf.DUMMYFUNCTION("IMPORTRANGE(""https://docs.google.com/spreadsheets/d/1qU-W_9MCQD1pgIVXGEOjCFo9QqlmJywuebyGgaN92r8/edit?usp=sharing"",""ราชบุรี!J717"")"),0)</f>
        <v>0</v>
      </c>
      <c r="AS67" s="57">
        <f ca="1">IFERROR(__xludf.DUMMYFUNCTION("IMPORTRANGE(""https://docs.google.com/spreadsheets/d/1qU-W_9MCQD1pgIVXGEOjCFo9QqlmJywuebyGgaN92r8/edit?usp=sharing"",""ราชบุรี!I720"")"),30)</f>
        <v>30</v>
      </c>
      <c r="AT67" s="57">
        <f ca="1">IFERROR(__xludf.DUMMYFUNCTION("IMPORTRANGE(""https://docs.google.com/spreadsheets/d/1qU-W_9MCQD1pgIVXGEOjCFo9QqlmJywuebyGgaN92r8/edit?usp=sharing"",""ราชบุรี!J718"")"),0)</f>
        <v>0</v>
      </c>
      <c r="AU67" s="57">
        <f ca="1">IFERROR(__xludf.DUMMYFUNCTION("IMPORTRANGE(""https://docs.google.com/spreadsheets/d/1qU-W_9MCQD1pgIVXGEOjCFo9QqlmJywuebyGgaN92r8/edit?usp=sharing"",""ราชบุรี!J719"")"),0)</f>
        <v>0</v>
      </c>
      <c r="AV67" s="57">
        <f ca="1">IFERROR(__xludf.DUMMYFUNCTION("IMPORTRANGE(""https://docs.google.com/spreadsheets/d/1qU-W_9MCQD1pgIVXGEOjCFo9QqlmJywuebyGgaN92r8/edit?usp=sharing"",""ราชบุรี!J720"")"),0)</f>
        <v>0</v>
      </c>
      <c r="AW67" s="63">
        <f t="shared" ca="1" si="14"/>
        <v>0</v>
      </c>
      <c r="AX67" s="57">
        <f ca="1">IFERROR(__xludf.DUMMYFUNCTION("IMPORTRANGE(""https://docs.google.com/spreadsheets/d/1qU-W_9MCQD1pgIVXGEOjCFo9QqlmJywuebyGgaN92r8/edit?usp=sharing"",""ราชบุรี!I721"")"),1)</f>
        <v>1</v>
      </c>
      <c r="AY67" s="57">
        <f ca="1">IFERROR(__xludf.DUMMYFUNCTION("IMPORTRANGE(""https://docs.google.com/spreadsheets/d/1qU-W_9MCQD1pgIVXGEOjCFo9QqlmJywuebyGgaN92r8/edit?usp=sharing"",""ราชบุรี!I722"")"),10)</f>
        <v>10</v>
      </c>
      <c r="AZ67" s="57">
        <f ca="1">IFERROR(__xludf.DUMMYFUNCTION("IMPORTRANGE(""https://docs.google.com/spreadsheets/d/1qU-W_9MCQD1pgIVXGEOjCFo9QqlmJywuebyGgaN92r8/edit?usp=sharing"",""ราชบุรี!J721"")"),0)</f>
        <v>0</v>
      </c>
      <c r="BA67" s="63">
        <f t="shared" ca="1" si="16"/>
        <v>0</v>
      </c>
      <c r="BB67" s="57">
        <f ca="1">IFERROR(__xludf.DUMMYFUNCTION("IMPORTRANGE(""https://docs.google.com/spreadsheets/d/1qU-W_9MCQD1pgIVXGEOjCFo9QqlmJywuebyGgaN92r8/edit?usp=sharing"",""ราชบุรี!J722"")"),0)</f>
        <v>0</v>
      </c>
      <c r="BC67" s="63">
        <f t="shared" ca="1" si="17"/>
        <v>0</v>
      </c>
      <c r="BD67" s="57">
        <f ca="1">IFERROR(__xludf.DUMMYFUNCTION("IMPORTRANGE(""https://docs.google.com/spreadsheets/d/1qU-W_9MCQD1pgIVXGEOjCFo9QqlmJywuebyGgaN92r8/edit?usp=sharing"",""ราชบุรี!I723"")"),1)</f>
        <v>1</v>
      </c>
      <c r="BE67" s="57">
        <f ca="1">IFERROR(__xludf.DUMMYFUNCTION("IMPORTRANGE(""https://docs.google.com/spreadsheets/d/1qU-W_9MCQD1pgIVXGEOjCFo9QqlmJywuebyGgaN92r8/edit?usp=sharing"",""ราชบุรี!I725"")"),10)</f>
        <v>10</v>
      </c>
      <c r="BF67" s="57">
        <f ca="1">IFERROR(__xludf.DUMMYFUNCTION("IMPORTRANGE(""https://docs.google.com/spreadsheets/d/1qU-W_9MCQD1pgIVXGEOjCFo9QqlmJywuebyGgaN92r8/edit?usp=sharing"",""ราชบุรี!J723"")"),0)</f>
        <v>0</v>
      </c>
      <c r="BG67" s="57">
        <f ca="1">IFERROR(__xludf.DUMMYFUNCTION("IMPORTRANGE(""https://docs.google.com/spreadsheets/d/1qU-W_9MCQD1pgIVXGEOjCFo9QqlmJywuebyGgaN92r8/edit?usp=sharing"",""ราชบุรี!J724"")"),0)</f>
        <v>0</v>
      </c>
      <c r="BH67" s="57">
        <f ca="1">IFERROR(__xludf.DUMMYFUNCTION("IMPORTRANGE(""https://docs.google.com/spreadsheets/d/1qU-W_9MCQD1pgIVXGEOjCFo9QqlmJywuebyGgaN92r8/edit?usp=sharing"",""ราชบุรี!J725"")"),0)</f>
        <v>0</v>
      </c>
      <c r="BI67" s="57">
        <f ca="1">IFERROR(__xludf.DUMMYFUNCTION("IMPORTRANGE(""https://docs.google.com/spreadsheets/d/1qU-W_9MCQD1pgIVXGEOjCFo9QqlmJywuebyGgaN92r8/edit?usp=sharing"",""ราชบุรี!I726"")"),0)</f>
        <v>0</v>
      </c>
      <c r="BJ67" s="57">
        <f ca="1">IFERROR(__xludf.DUMMYFUNCTION("IMPORTRANGE(""https://docs.google.com/spreadsheets/d/1qU-W_9MCQD1pgIVXGEOjCFo9QqlmJywuebyGgaN92r8/edit?usp=sharing"",""ราชบุรี!I728"")"),0)</f>
        <v>0</v>
      </c>
      <c r="BK67" s="57">
        <f ca="1">IFERROR(__xludf.DUMMYFUNCTION("IMPORTRANGE(""https://docs.google.com/spreadsheets/d/1qU-W_9MCQD1pgIVXGEOjCFo9QqlmJywuebyGgaN92r8/edit?usp=sharing"",""ราชบุรี!J726"")"),0)</f>
        <v>0</v>
      </c>
      <c r="BL67" s="57">
        <f ca="1">IFERROR(__xludf.DUMMYFUNCTION("IMPORTRANGE(""https://docs.google.com/spreadsheets/d/1qU-W_9MCQD1pgIVXGEOjCFo9QqlmJywuebyGgaN92r8/edit?usp=sharing"",""ราชบุรี!J727"")"),0)</f>
        <v>0</v>
      </c>
      <c r="BM67" s="57">
        <f ca="1">IFERROR(__xludf.DUMMYFUNCTION("IMPORTRANGE(""https://docs.google.com/spreadsheets/d/1qU-W_9MCQD1pgIVXGEOjCFo9QqlmJywuebyGgaN92r8/edit?usp=sharing"",""ราชบุรี!J728"")"),0)</f>
        <v>0</v>
      </c>
      <c r="BN67" s="57">
        <f ca="1">IFERROR(__xludf.DUMMYFUNCTION("IMPORTRANGE(""https://docs.google.com/spreadsheets/d/1qU-W_9MCQD1pgIVXGEOjCFo9QqlmJywuebyGgaN92r8/edit?usp=sharing"",""ราชบุรี!I729"")"),0)</f>
        <v>0</v>
      </c>
      <c r="BO67" s="57">
        <f ca="1">IFERROR(__xludf.DUMMYFUNCTION("IMPORTRANGE(""https://docs.google.com/spreadsheets/d/1qU-W_9MCQD1pgIVXGEOjCFo9QqlmJywuebyGgaN92r8/edit?usp=sharing"",""ราชบุรี!J729"")"),0)</f>
        <v>0</v>
      </c>
      <c r="BP67" s="63">
        <f t="shared" ca="1" si="19"/>
        <v>0</v>
      </c>
      <c r="BQ67" s="57">
        <f ca="1">IFERROR(__xludf.DUMMYFUNCTION("IMPORTRANGE(""https://docs.google.com/spreadsheets/d/1qU-W_9MCQD1pgIVXGEOjCFo9QqlmJywuebyGgaN92r8/edit?usp=sharing"",""ราชบุรี!J730"")"),0)</f>
        <v>0</v>
      </c>
      <c r="BR67" s="57">
        <f ca="1">IFERROR(__xludf.DUMMYFUNCTION("IMPORTRANGE(""https://docs.google.com/spreadsheets/d/1qU-W_9MCQD1pgIVXGEOjCFo9QqlmJywuebyGgaN92r8/edit?usp=sharing"",""ราชบุรี!J731"")"),0)</f>
        <v>0</v>
      </c>
      <c r="BS67" s="57">
        <f ca="1">IFERROR(__xludf.DUMMYFUNCTION("IMPORTRANGE(""https://docs.google.com/spreadsheets/d/1qU-W_9MCQD1pgIVXGEOjCFo9QqlmJywuebyGgaN92r8/edit?usp=sharing"",""ราชบุรี!J732"")"),0)</f>
        <v>0</v>
      </c>
      <c r="BT67" s="57">
        <f ca="1">IFERROR(__xludf.DUMMYFUNCTION("IMPORTRANGE(""https://docs.google.com/spreadsheets/d/1qU-W_9MCQD1pgIVXGEOjCFo9QqlmJywuebyGgaN92r8/edit?usp=sharing"",""ราชบุรี!J733"")"),0)</f>
        <v>0</v>
      </c>
      <c r="BU67" s="57">
        <f ca="1">IFERROR(__xludf.DUMMYFUNCTION("IMPORTRANGE(""https://docs.google.com/spreadsheets/d/1qU-W_9MCQD1pgIVXGEOjCFo9QqlmJywuebyGgaN92r8/edit?usp=sharing"",""ราชบุรี!J734"")"),0)</f>
        <v>0</v>
      </c>
      <c r="BV67" s="57">
        <f ca="1">IFERROR(__xludf.DUMMYFUNCTION("IMPORTRANGE(""https://docs.google.com/spreadsheets/d/1qU-W_9MCQD1pgIVXGEOjCFo9QqlmJywuebyGgaN92r8/edit?usp=sharing"",""ราชบุรี!J735"")"),0)</f>
        <v>0</v>
      </c>
    </row>
    <row r="68" spans="1:74" ht="24" customHeight="1" x14ac:dyDescent="0.3">
      <c r="A68" s="54">
        <v>16</v>
      </c>
      <c r="B68" s="55" t="s">
        <v>89</v>
      </c>
      <c r="C68" s="56">
        <f t="shared" ca="1" si="75"/>
        <v>21820</v>
      </c>
      <c r="D68" s="57">
        <f ca="1">IFERROR(__xludf.DUMMYFUNCTION("IMPORTRANGE(""https://docs.google.com/spreadsheets/d/1xYFIxIM_CspAP5Q-5Zx_V0T_Ut3cjryrjd2hss28vGk/edit?usp=sharing"",""ลพบุรี!L690"")"),21820)</f>
        <v>21820</v>
      </c>
      <c r="E68" s="64">
        <f ca="1">IFERROR(__xludf.DUMMYFUNCTION("IMPORTRANGE(""https://docs.google.com/spreadsheets/d/1xYFIxIM_CspAP5Q-5Zx_V0T_Ut3cjryrjd2hss28vGk/edit?usp=sharing"",""ลพบุรี!L697"")"),0)</f>
        <v>0</v>
      </c>
      <c r="F68" s="64">
        <f ca="1">IFERROR(__xludf.DUMMYFUNCTION("IMPORTRANGE(""https://docs.google.com/spreadsheets/d/1xYFIxIM_CspAP5Q-5Zx_V0T_Ut3cjryrjd2hss28vGk/edit?usp=sharing"",""ลพบุรี!M690"")"),21820)</f>
        <v>21820</v>
      </c>
      <c r="G68" s="64">
        <f ca="1">IFERROR(__xludf.DUMMYFUNCTION("IMPORTRANGE(""https://docs.google.com/spreadsheets/d/1xYFIxIM_CspAP5Q-5Zx_V0T_Ut3cjryrjd2hss28vGk/edit?usp=sharing"",""ลพบุรี!M697"")"),0)</f>
        <v>0</v>
      </c>
      <c r="H68" s="58">
        <f t="shared" ca="1" si="33"/>
        <v>2692</v>
      </c>
      <c r="I68" s="59">
        <f t="shared" ca="1" si="1"/>
        <v>12.33730522456462</v>
      </c>
      <c r="J68" s="60">
        <f t="shared" ca="1" si="76"/>
        <v>2692</v>
      </c>
      <c r="K68" s="61">
        <f t="shared" ca="1" si="39"/>
        <v>12.33730522456462</v>
      </c>
      <c r="L68" s="61">
        <f t="shared" ca="1" si="40"/>
        <v>12.33730522456462</v>
      </c>
      <c r="M68" s="64">
        <f ca="1">IFERROR(__xludf.DUMMYFUNCTION("IMPORTRANGE(""https://docs.google.com/spreadsheets/d/1xYFIxIM_CspAP5Q-5Zx_V0T_Ut3cjryrjd2hss28vGk/edit?usp=sharing"",""ลพบุรี!N691"")"),0)</f>
        <v>0</v>
      </c>
      <c r="N68" s="64">
        <f ca="1">IFERROR(__xludf.DUMMYFUNCTION("IMPORTRANGE(""https://docs.google.com/spreadsheets/d/1xYFIxIM_CspAP5Q-5Zx_V0T_Ut3cjryrjd2hss28vGk/edit?usp=sharing"",""ลพบุรี!N692"")"),0)</f>
        <v>0</v>
      </c>
      <c r="O68" s="64">
        <f ca="1">IFERROR(__xludf.DUMMYFUNCTION("IMPORTRANGE(""https://docs.google.com/spreadsheets/d/1xYFIxIM_CspAP5Q-5Zx_V0T_Ut3cjryrjd2hss28vGk/edit?usp=sharing"",""ลพบุรี!N693"")"),0)</f>
        <v>0</v>
      </c>
      <c r="P68" s="64">
        <f ca="1">IFERROR(__xludf.DUMMYFUNCTION("IMPORTRANGE(""https://docs.google.com/spreadsheets/d/1xYFIxIM_CspAP5Q-5Zx_V0T_Ut3cjryrjd2hss28vGk/edit?usp=sharing"",""ลพบุรี!N694"")"),2692)</f>
        <v>2692</v>
      </c>
      <c r="Q68" s="62">
        <f ca="1">IFERROR(__xludf.DUMMYFUNCTION("IMPORTRANGE(""https://docs.google.com/spreadsheets/d/1xYFIxIM_CspAP5Q-5Zx_V0T_Ut3cjryrjd2hss28vGk/edit?usp=sharing"",""ลพบุรี!N697"")"),0)</f>
        <v>0</v>
      </c>
      <c r="R68" s="62">
        <f t="shared" ca="1" si="42"/>
        <v>0</v>
      </c>
      <c r="S68" s="57">
        <f ca="1">IFERROR(__xludf.DUMMYFUNCTION("IMPORTRANGE(""https://docs.google.com/spreadsheets/d/1xYFIxIM_CspAP5Q-5Zx_V0T_Ut3cjryrjd2hss28vGk/edit?usp=sharing"",""ลพบุรี!I699"")"),10)</f>
        <v>10</v>
      </c>
      <c r="T68" s="57">
        <f ca="1">IFERROR(__xludf.DUMMYFUNCTION("IMPORTRANGE(""https://docs.google.com/spreadsheets/d/1xYFIxIM_CspAP5Q-5Zx_V0T_Ut3cjryrjd2hss28vGk/edit?usp=sharing"",""ลพบุรี!J699"")"),0)</f>
        <v>0</v>
      </c>
      <c r="U68" s="63">
        <f t="shared" ca="1" si="34"/>
        <v>0</v>
      </c>
      <c r="V68" s="57">
        <f ca="1">IFERROR(__xludf.DUMMYFUNCTION("IMPORTRANGE(""https://docs.google.com/spreadsheets/d/1xYFIxIM_CspAP5Q-5Zx_V0T_Ut3cjryrjd2hss28vGk/edit?usp=sharing"",""ลพบุรี!I700"")"),1)</f>
        <v>1</v>
      </c>
      <c r="W68" s="57">
        <f ca="1">IFERROR(__xludf.DUMMYFUNCTION("IMPORTRANGE(""https://docs.google.com/spreadsheets/d/1xYFIxIM_CspAP5Q-5Zx_V0T_Ut3cjryrjd2hss28vGk/edit?usp=sharing"",""ลพบุรี!J700"")"),10)</f>
        <v>10</v>
      </c>
      <c r="X68" s="63">
        <f t="shared" ca="1" si="35"/>
        <v>1000</v>
      </c>
      <c r="Y68" s="57">
        <f ca="1">IFERROR(__xludf.DUMMYFUNCTION("IMPORTRANGE(""https://docs.google.com/spreadsheets/d/1xYFIxIM_CspAP5Q-5Zx_V0T_Ut3cjryrjd2hss28vGk/edit?usp=sharing"",""ลพบุรี!I701"")"),550)</f>
        <v>550</v>
      </c>
      <c r="Z68" s="57">
        <f ca="1">IFERROR(__xludf.DUMMYFUNCTION("IMPORTRANGE(""https://docs.google.com/spreadsheets/d/1xYFIxIM_CspAP5Q-5Zx_V0T_Ut3cjryrjd2hss28vGk/edit?usp=sharing"",""ลพบุรี!J701"")"),105)</f>
        <v>105</v>
      </c>
      <c r="AA68" s="63">
        <f t="shared" ca="1" si="36"/>
        <v>19.09090909090909</v>
      </c>
      <c r="AB68" s="63">
        <f ca="1">IFERROR(__xludf.DUMMYFUNCTION("IMPORTRANGE(""https://docs.google.com/spreadsheets/d/1xYFIxIM_CspAP5Q-5Zx_V0T_Ut3cjryrjd2hss28vGk/edit?usp=sharing"",""ลพบุรี!J702"")"),11)</f>
        <v>11</v>
      </c>
      <c r="AC68" s="63">
        <f ca="1">IFERROR(__xludf.DUMMYFUNCTION("IMPORTRANGE(""https://docs.google.com/spreadsheets/d/1xYFIxIM_CspAP5Q-5Zx_V0T_Ut3cjryrjd2hss28vGk/edit?usp=sharing"",""ลพบุรี!J703"")"),12)</f>
        <v>12</v>
      </c>
      <c r="AD68" s="63">
        <f ca="1">IFERROR(__xludf.DUMMYFUNCTION("IMPORTRANGE(""https://docs.google.com/spreadsheets/d/1xYFIxIM_CspAP5Q-5Zx_V0T_Ut3cjryrjd2hss28vGk/edit?usp=sharing"",""ลพบุรี!J704"")"),105)</f>
        <v>105</v>
      </c>
      <c r="AE68" s="63">
        <f ca="1">IFERROR(__xludf.DUMMYFUNCTION("IMPORTRANGE(""https://docs.google.com/spreadsheets/d/1xYFIxIM_CspAP5Q-5Zx_V0T_Ut3cjryrjd2hss28vGk/edit?usp=sharing"",""ลพบุรี!J705"")"),0)</f>
        <v>0</v>
      </c>
      <c r="AF68" s="63">
        <f ca="1">IFERROR(__xludf.DUMMYFUNCTION("IMPORTRANGE(""https://docs.google.com/spreadsheets/d/1xYFIxIM_CspAP5Q-5Zx_V0T_Ut3cjryrjd2hss28vGk/edit?usp=sharing"",""ลพบุรี!J706"")"),0)</f>
        <v>0</v>
      </c>
      <c r="AG68" s="63">
        <f ca="1">IFERROR(__xludf.DUMMYFUNCTION("IMPORTRANGE(""https://docs.google.com/spreadsheets/d/1xYFIxIM_CspAP5Q-5Zx_V0T_Ut3cjryrjd2hss28vGk/edit?usp=sharing"",""ลพบุรี!J707"")"),0)</f>
        <v>0</v>
      </c>
      <c r="AH68" s="57">
        <f ca="1">IFERROR(__xludf.DUMMYFUNCTION("IMPORTRANGE(""https://docs.google.com/spreadsheets/d/1xYFIxIM_CspAP5Q-5Zx_V0T_Ut3cjryrjd2hss28vGk/edit?usp=sharing"",""ลพบุรี!I708"")"),100)</f>
        <v>100</v>
      </c>
      <c r="AI68" s="57">
        <f ca="1">IFERROR(__xludf.DUMMYFUNCTION("IMPORTRANGE(""https://docs.google.com/spreadsheets/d/1xYFIxIM_CspAP5Q-5Zx_V0T_Ut3cjryrjd2hss28vGk/edit?usp=sharing"",""ลพบุรี!J708"")"),0)</f>
        <v>0</v>
      </c>
      <c r="AJ68" s="63">
        <f t="shared" ca="1" si="37"/>
        <v>0</v>
      </c>
      <c r="AK68" s="57">
        <f ca="1">IFERROR(__xludf.DUMMYFUNCTION("IMPORTRANGE(""https://docs.google.com/spreadsheets/d/1xYFIxIM_CspAP5Q-5Zx_V0T_Ut3cjryrjd2hss28vGk/edit?usp=sharing"",""ลพบุรี!J709"")"),1)</f>
        <v>1</v>
      </c>
      <c r="AL68" s="57">
        <f ca="1">IFERROR(__xludf.DUMMYFUNCTION("IMPORTRANGE(""https://docs.google.com/spreadsheets/d/1xYFIxIM_CspAP5Q-5Zx_V0T_Ut3cjryrjd2hss28vGk/edit?usp=sharing"",""ลพบุรี!J710"")"),85)</f>
        <v>85</v>
      </c>
      <c r="AM68" s="57">
        <f ca="1">IFERROR(__xludf.DUMMYFUNCTION("IMPORTRANGE(""https://docs.google.com/spreadsheets/d/1xYFIxIM_CspAP5Q-5Zx_V0T_Ut3cjryrjd2hss28vGk/edit?usp=sharing"",""ลพบุรี!J712"")"),0)</f>
        <v>0</v>
      </c>
      <c r="AN68" s="57">
        <f ca="1">IFERROR(__xludf.DUMMYFUNCTION("IMPORTRANGE(""https://docs.google.com/spreadsheets/d/1xYFIxIM_CspAP5Q-5Zx_V0T_Ut3cjryrjd2hss28vGk/edit?usp=sharing"",""ลพบุรี!J713"")"),0)</f>
        <v>0</v>
      </c>
      <c r="AO68" s="57">
        <f ca="1">IFERROR(__xludf.DUMMYFUNCTION("IMPORTRANGE(""https://docs.google.com/spreadsheets/d/1xYFIxIM_CspAP5Q-5Zx_V0T_Ut3cjryrjd2hss28vGk/edit?usp=sharing"",""ลพบุรี!J714"")"),0)</f>
        <v>0</v>
      </c>
      <c r="AP68" s="57">
        <f ca="1">IFERROR(__xludf.DUMMYFUNCTION("IMPORTRANGE(""https://docs.google.com/spreadsheets/d/1xYFIxIM_CspAP5Q-5Zx_V0T_Ut3cjryrjd2hss28vGk/edit?usp=sharing"",""ลพบุรี!J715"")"),0)</f>
        <v>0</v>
      </c>
      <c r="AQ68" s="57">
        <f ca="1">IFERROR(__xludf.DUMMYFUNCTION("IMPORTRANGE(""https://docs.google.com/spreadsheets/d/1xYFIxIM_CspAP5Q-5Zx_V0T_Ut3cjryrjd2hss28vGk/edit?usp=sharing"",""ลพบุรี!J716"")"),0)</f>
        <v>0</v>
      </c>
      <c r="AR68" s="57">
        <f ca="1">IFERROR(__xludf.DUMMYFUNCTION("IMPORTRANGE(""https://docs.google.com/spreadsheets/d/1xYFIxIM_CspAP5Q-5Zx_V0T_Ut3cjryrjd2hss28vGk/edit?usp=sharing"",""ลพบุรี!J717"")"),0)</f>
        <v>0</v>
      </c>
      <c r="AS68" s="57">
        <f ca="1">IFERROR(__xludf.DUMMYFUNCTION("IMPORTRANGE(""https://docs.google.com/spreadsheets/d/1xYFIxIM_CspAP5Q-5Zx_V0T_Ut3cjryrjd2hss28vGk/edit?usp=sharing"",""ลพบุรี!I720"")"),150)</f>
        <v>150</v>
      </c>
      <c r="AT68" s="57">
        <f ca="1">IFERROR(__xludf.DUMMYFUNCTION("IMPORTRANGE(""https://docs.google.com/spreadsheets/d/1xYFIxIM_CspAP5Q-5Zx_V0T_Ut3cjryrjd2hss28vGk/edit?usp=sharing"",""ลพบุรี!J718"")"),0)</f>
        <v>0</v>
      </c>
      <c r="AU68" s="57">
        <f ca="1">IFERROR(__xludf.DUMMYFUNCTION("IMPORTRANGE(""https://docs.google.com/spreadsheets/d/1xYFIxIM_CspAP5Q-5Zx_V0T_Ut3cjryrjd2hss28vGk/edit?usp=sharing"",""ลพบุรี!J719"")"),0)</f>
        <v>0</v>
      </c>
      <c r="AV68" s="57">
        <f ca="1">IFERROR(__xludf.DUMMYFUNCTION("IMPORTRANGE(""https://docs.google.com/spreadsheets/d/1xYFIxIM_CspAP5Q-5Zx_V0T_Ut3cjryrjd2hss28vGk/edit?usp=sharing"",""ลพบุรี!J720"")"),0)</f>
        <v>0</v>
      </c>
      <c r="AW68" s="63">
        <f t="shared" ca="1" si="14"/>
        <v>0</v>
      </c>
      <c r="AX68" s="57">
        <f ca="1">IFERROR(__xludf.DUMMYFUNCTION("IMPORTRANGE(""https://docs.google.com/spreadsheets/d/1xYFIxIM_CspAP5Q-5Zx_V0T_Ut3cjryrjd2hss28vGk/edit?usp=sharing"",""ลพบุรี!I721"")"),10)</f>
        <v>10</v>
      </c>
      <c r="AY68" s="57">
        <f ca="1">IFERROR(__xludf.DUMMYFUNCTION("IMPORTRANGE(""https://docs.google.com/spreadsheets/d/1xYFIxIM_CspAP5Q-5Zx_V0T_Ut3cjryrjd2hss28vGk/edit?usp=sharing"",""ลพบุรี!I722"")"),50)</f>
        <v>50</v>
      </c>
      <c r="AZ68" s="57">
        <f ca="1">IFERROR(__xludf.DUMMYFUNCTION("IMPORTRANGE(""https://docs.google.com/spreadsheets/d/1xYFIxIM_CspAP5Q-5Zx_V0T_Ut3cjryrjd2hss28vGk/edit?usp=sharing"",""ลพบุรี!J721"")"),3)</f>
        <v>3</v>
      </c>
      <c r="BA68" s="63">
        <f t="shared" ca="1" si="16"/>
        <v>30</v>
      </c>
      <c r="BB68" s="57">
        <f ca="1">IFERROR(__xludf.DUMMYFUNCTION("IMPORTRANGE(""https://docs.google.com/spreadsheets/d/1xYFIxIM_CspAP5Q-5Zx_V0T_Ut3cjryrjd2hss28vGk/edit?usp=sharing"",""ลพบุรี!J722"")"),53.24)</f>
        <v>53.24</v>
      </c>
      <c r="BC68" s="63">
        <f t="shared" ca="1" si="17"/>
        <v>106.48</v>
      </c>
      <c r="BD68" s="57">
        <f ca="1">IFERROR(__xludf.DUMMYFUNCTION("IMPORTRANGE(""https://docs.google.com/spreadsheets/d/1xYFIxIM_CspAP5Q-5Zx_V0T_Ut3cjryrjd2hss28vGk/edit?usp=sharing"",""ลพบุรี!I723"")"),10)</f>
        <v>10</v>
      </c>
      <c r="BE68" s="57">
        <f ca="1">IFERROR(__xludf.DUMMYFUNCTION("IMPORTRANGE(""https://docs.google.com/spreadsheets/d/1xYFIxIM_CspAP5Q-5Zx_V0T_Ut3cjryrjd2hss28vGk/edit?usp=sharing"",""ลพบุรี!I725"")"),50)</f>
        <v>50</v>
      </c>
      <c r="BF68" s="57">
        <f ca="1">IFERROR(__xludf.DUMMYFUNCTION("IMPORTRANGE(""https://docs.google.com/spreadsheets/d/1xYFIxIM_CspAP5Q-5Zx_V0T_Ut3cjryrjd2hss28vGk/edit?usp=sharing"",""ลพบุรี!J723"")"),3)</f>
        <v>3</v>
      </c>
      <c r="BG68" s="57">
        <f ca="1">IFERROR(__xludf.DUMMYFUNCTION("IMPORTRANGE(""https://docs.google.com/spreadsheets/d/1xYFIxIM_CspAP5Q-5Zx_V0T_Ut3cjryrjd2hss28vGk/edit?usp=sharing"",""ลพบุรี!J724"")"),3)</f>
        <v>3</v>
      </c>
      <c r="BH68" s="57">
        <f ca="1">IFERROR(__xludf.DUMMYFUNCTION("IMPORTRANGE(""https://docs.google.com/spreadsheets/d/1xYFIxIM_CspAP5Q-5Zx_V0T_Ut3cjryrjd2hss28vGk/edit?usp=sharing"",""ลพบุรี!J725"")"),53.24)</f>
        <v>53.24</v>
      </c>
      <c r="BI68" s="57">
        <f ca="1">IFERROR(__xludf.DUMMYFUNCTION("IMPORTRANGE(""https://docs.google.com/spreadsheets/d/1xYFIxIM_CspAP5Q-5Zx_V0T_Ut3cjryrjd2hss28vGk/edit?usp=sharing"",""ลพบุรี!I726"")"),0)</f>
        <v>0</v>
      </c>
      <c r="BJ68" s="57">
        <f ca="1">IFERROR(__xludf.DUMMYFUNCTION("IMPORTRANGE(""https://docs.google.com/spreadsheets/d/1xYFIxIM_CspAP5Q-5Zx_V0T_Ut3cjryrjd2hss28vGk/edit?usp=sharing"",""ลพบุรี!I728"")"),0)</f>
        <v>0</v>
      </c>
      <c r="BK68" s="57">
        <f ca="1">IFERROR(__xludf.DUMMYFUNCTION("IMPORTRANGE(""https://docs.google.com/spreadsheets/d/1xYFIxIM_CspAP5Q-5Zx_V0T_Ut3cjryrjd2hss28vGk/edit?usp=sharing"",""ลพบุรี!J726"")"),0)</f>
        <v>0</v>
      </c>
      <c r="BL68" s="57">
        <f ca="1">IFERROR(__xludf.DUMMYFUNCTION("IMPORTRANGE(""https://docs.google.com/spreadsheets/d/1xYFIxIM_CspAP5Q-5Zx_V0T_Ut3cjryrjd2hss28vGk/edit?usp=sharing"",""ลพบุรี!J727"")"),0)</f>
        <v>0</v>
      </c>
      <c r="BM68" s="57">
        <f ca="1">IFERROR(__xludf.DUMMYFUNCTION("IMPORTRANGE(""https://docs.google.com/spreadsheets/d/1xYFIxIM_CspAP5Q-5Zx_V0T_Ut3cjryrjd2hss28vGk/edit?usp=sharing"",""ลพบุรี!J728"")"),0)</f>
        <v>0</v>
      </c>
      <c r="BN68" s="57">
        <f ca="1">IFERROR(__xludf.DUMMYFUNCTION("IMPORTRANGE(""https://docs.google.com/spreadsheets/d/1xYFIxIM_CspAP5Q-5Zx_V0T_Ut3cjryrjd2hss28vGk/edit?usp=sharing"",""ลพบุรี!I729"")"),10)</f>
        <v>10</v>
      </c>
      <c r="BO68" s="57">
        <f ca="1">IFERROR(__xludf.DUMMYFUNCTION("IMPORTRANGE(""https://docs.google.com/spreadsheets/d/1xYFIxIM_CspAP5Q-5Zx_V0T_Ut3cjryrjd2hss28vGk/edit?usp=sharing"",""ลพบุรี!J729"")"),30)</f>
        <v>30</v>
      </c>
      <c r="BP68" s="63">
        <f t="shared" ca="1" si="19"/>
        <v>300</v>
      </c>
      <c r="BQ68" s="57">
        <f ca="1">IFERROR(__xludf.DUMMYFUNCTION("IMPORTRANGE(""https://docs.google.com/spreadsheets/d/1xYFIxIM_CspAP5Q-5Zx_V0T_Ut3cjryrjd2hss28vGk/edit?usp=sharing"",""ลพบุรี!J730"")"),0)</f>
        <v>0</v>
      </c>
      <c r="BR68" s="57">
        <f ca="1">IFERROR(__xludf.DUMMYFUNCTION("IMPORTRANGE(""https://docs.google.com/spreadsheets/d/1xYFIxIM_CspAP5Q-5Zx_V0T_Ut3cjryrjd2hss28vGk/edit?usp=sharing"",""ลพบุรี!J731"")"),0)</f>
        <v>0</v>
      </c>
      <c r="BS68" s="57">
        <f ca="1">IFERROR(__xludf.DUMMYFUNCTION("IMPORTRANGE(""https://docs.google.com/spreadsheets/d/1xYFIxIM_CspAP5Q-5Zx_V0T_Ut3cjryrjd2hss28vGk/edit?usp=sharing"",""ลพบุรี!J732"")"),0)</f>
        <v>0</v>
      </c>
      <c r="BT68" s="57">
        <f ca="1">IFERROR(__xludf.DUMMYFUNCTION("IMPORTRANGE(""https://docs.google.com/spreadsheets/d/1xYFIxIM_CspAP5Q-5Zx_V0T_Ut3cjryrjd2hss28vGk/edit?usp=sharing"",""ลพบุรี!J733"")"),5)</f>
        <v>5</v>
      </c>
      <c r="BU68" s="57">
        <f ca="1">IFERROR(__xludf.DUMMYFUNCTION("IMPORTRANGE(""https://docs.google.com/spreadsheets/d/1xYFIxIM_CspAP5Q-5Zx_V0T_Ut3cjryrjd2hss28vGk/edit?usp=sharing"",""ลพบุรี!J734"")"),3)</f>
        <v>3</v>
      </c>
      <c r="BV68" s="57">
        <f ca="1">IFERROR(__xludf.DUMMYFUNCTION("IMPORTRANGE(""https://docs.google.com/spreadsheets/d/1xYFIxIM_CspAP5Q-5Zx_V0T_Ut3cjryrjd2hss28vGk/edit?usp=sharing"",""ลพบุรี!J735"")"),30)</f>
        <v>30</v>
      </c>
    </row>
    <row r="69" spans="1:74" ht="21" customHeight="1" x14ac:dyDescent="0.3">
      <c r="A69" s="54">
        <v>17</v>
      </c>
      <c r="B69" s="55" t="s">
        <v>90</v>
      </c>
      <c r="C69" s="56">
        <f t="shared" ca="1" si="75"/>
        <v>0</v>
      </c>
      <c r="D69" s="57">
        <f ca="1">IFERROR(__xludf.DUMMYFUNCTION("IMPORTRANGE(""https://docs.google.com/spreadsheets/d/11s9m3tKsCBdPWq6syhZm27eBGbKneDLZc75co106bio/edit?usp=sharing"",""สระแก้ว!L690"")"),0)</f>
        <v>0</v>
      </c>
      <c r="E69" s="64">
        <f ca="1">IFERROR(__xludf.DUMMYFUNCTION("IMPORTRANGE(""https://docs.google.com/spreadsheets/d/11s9m3tKsCBdPWq6syhZm27eBGbKneDLZc75co106bio/edit?usp=sharing"",""สระแก้ว!L697"")"),0)</f>
        <v>0</v>
      </c>
      <c r="F69" s="64">
        <f ca="1">IFERROR(__xludf.DUMMYFUNCTION("IMPORTRANGE(""https://docs.google.com/spreadsheets/d/11s9m3tKsCBdPWq6syhZm27eBGbKneDLZc75co106bio/edit?usp=sharing"",""สระแก้ว!M690"")"),0)</f>
        <v>0</v>
      </c>
      <c r="G69" s="64">
        <f ca="1">IFERROR(__xludf.DUMMYFUNCTION("IMPORTRANGE(""https://docs.google.com/spreadsheets/d/11s9m3tKsCBdPWq6syhZm27eBGbKneDLZc75co106bio/edit?usp=sharing"",""สระแก้ว!M697"")"),0)</f>
        <v>0</v>
      </c>
      <c r="H69" s="58">
        <f t="shared" ca="1" si="33"/>
        <v>0</v>
      </c>
      <c r="I69" s="59">
        <f t="shared" ca="1" si="1"/>
        <v>0</v>
      </c>
      <c r="J69" s="60">
        <f t="shared" ca="1" si="76"/>
        <v>0</v>
      </c>
      <c r="K69" s="61">
        <f t="shared" ca="1" si="39"/>
        <v>0</v>
      </c>
      <c r="L69" s="61">
        <f t="shared" ca="1" si="40"/>
        <v>0</v>
      </c>
      <c r="M69" s="64">
        <f ca="1">IFERROR(__xludf.DUMMYFUNCTION("IMPORTRANGE(""https://docs.google.com/spreadsheets/d/11s9m3tKsCBdPWq6syhZm27eBGbKneDLZc75co106bio/edit?usp=sharing"",""สระแก้ว!N691"")"),0)</f>
        <v>0</v>
      </c>
      <c r="N69" s="64">
        <f ca="1">IFERROR(__xludf.DUMMYFUNCTION("IMPORTRANGE(""https://docs.google.com/spreadsheets/d/11s9m3tKsCBdPWq6syhZm27eBGbKneDLZc75co106bio/edit?usp=sharing"",""สระแก้ว!N692"")"),0)</f>
        <v>0</v>
      </c>
      <c r="O69" s="64">
        <f ca="1">IFERROR(__xludf.DUMMYFUNCTION("IMPORTRANGE(""https://docs.google.com/spreadsheets/d/11s9m3tKsCBdPWq6syhZm27eBGbKneDLZc75co106bio/edit?usp=sharing"",""สระแก้ว!N693"")"),0)</f>
        <v>0</v>
      </c>
      <c r="P69" s="64">
        <f ca="1">IFERROR(__xludf.DUMMYFUNCTION("IMPORTRANGE(""https://docs.google.com/spreadsheets/d/11s9m3tKsCBdPWq6syhZm27eBGbKneDLZc75co106bio/edit?usp=sharing"",""สระแก้ว!N694"")"),0)</f>
        <v>0</v>
      </c>
      <c r="Q69" s="62">
        <f ca="1">IFERROR(__xludf.DUMMYFUNCTION("IMPORTRANGE(""https://docs.google.com/spreadsheets/d/11s9m3tKsCBdPWq6syhZm27eBGbKneDLZc75co106bio/edit?usp=sharing"",""สระแก้ว!N697"")"),0)</f>
        <v>0</v>
      </c>
      <c r="R69" s="62">
        <f t="shared" ca="1" si="42"/>
        <v>0</v>
      </c>
      <c r="S69" s="57">
        <f ca="1">IFERROR(__xludf.DUMMYFUNCTION("IMPORTRANGE(""https://docs.google.com/spreadsheets/d/11s9m3tKsCBdPWq6syhZm27eBGbKneDLZc75co106bio/edit?usp=sharing"",""สระแก้ว!I699"")"),0)</f>
        <v>0</v>
      </c>
      <c r="T69" s="57">
        <f ca="1">IFERROR(__xludf.DUMMYFUNCTION("IMPORTRANGE(""https://docs.google.com/spreadsheets/d/11s9m3tKsCBdPWq6syhZm27eBGbKneDLZc75co106bio/edit?usp=sharing"",""สระแก้ว!J699"")"),0)</f>
        <v>0</v>
      </c>
      <c r="U69" s="63">
        <f t="shared" ca="1" si="34"/>
        <v>0</v>
      </c>
      <c r="V69" s="57">
        <f ca="1">IFERROR(__xludf.DUMMYFUNCTION("IMPORTRANGE(""https://docs.google.com/spreadsheets/d/11s9m3tKsCBdPWq6syhZm27eBGbKneDLZc75co106bio/edit?usp=sharing"",""สระแก้ว!I700"")"),0)</f>
        <v>0</v>
      </c>
      <c r="W69" s="57">
        <f ca="1">IFERROR(__xludf.DUMMYFUNCTION("IMPORTRANGE(""https://docs.google.com/spreadsheets/d/11s9m3tKsCBdPWq6syhZm27eBGbKneDLZc75co106bio/edit?usp=sharing"",""สระแก้ว!J700"")"),0)</f>
        <v>0</v>
      </c>
      <c r="X69" s="63">
        <f t="shared" ca="1" si="35"/>
        <v>0</v>
      </c>
      <c r="Y69" s="57">
        <f ca="1">IFERROR(__xludf.DUMMYFUNCTION("IMPORTRANGE(""https://docs.google.com/spreadsheets/d/11s9m3tKsCBdPWq6syhZm27eBGbKneDLZc75co106bio/edit?usp=sharing"",""สระแก้ว!I701"")"),0)</f>
        <v>0</v>
      </c>
      <c r="Z69" s="57">
        <f ca="1">IFERROR(__xludf.DUMMYFUNCTION("IMPORTRANGE(""https://docs.google.com/spreadsheets/d/11s9m3tKsCBdPWq6syhZm27eBGbKneDLZc75co106bio/edit?usp=sharing"",""สระแก้ว!J701"")"),0)</f>
        <v>0</v>
      </c>
      <c r="AA69" s="63">
        <f t="shared" ca="1" si="36"/>
        <v>0</v>
      </c>
      <c r="AB69" s="63">
        <f ca="1">IFERROR(__xludf.DUMMYFUNCTION("IMPORTRANGE(""https://docs.google.com/spreadsheets/d/11s9m3tKsCBdPWq6syhZm27eBGbKneDLZc75co106bio/edit?usp=sharing"",""สระแก้ว!J702"")"),0)</f>
        <v>0</v>
      </c>
      <c r="AC69" s="63">
        <f ca="1">IFERROR(__xludf.DUMMYFUNCTION("IMPORTRANGE(""https://docs.google.com/spreadsheets/d/11s9m3tKsCBdPWq6syhZm27eBGbKneDLZc75co106bio/edit?usp=sharing"",""สระแก้ว!J703"")"),0)</f>
        <v>0</v>
      </c>
      <c r="AD69" s="63">
        <f ca="1">IFERROR(__xludf.DUMMYFUNCTION("IMPORTRANGE(""https://docs.google.com/spreadsheets/d/11s9m3tKsCBdPWq6syhZm27eBGbKneDLZc75co106bio/edit?usp=sharing"",""สระแก้ว!J704"")"),0)</f>
        <v>0</v>
      </c>
      <c r="AE69" s="63">
        <f ca="1">IFERROR(__xludf.DUMMYFUNCTION("IMPORTRANGE(""https://docs.google.com/spreadsheets/d/11s9m3tKsCBdPWq6syhZm27eBGbKneDLZc75co106bio/edit?usp=sharing"",""สระแก้ว!J705"")"),0)</f>
        <v>0</v>
      </c>
      <c r="AF69" s="63">
        <f ca="1">IFERROR(__xludf.DUMMYFUNCTION("IMPORTRANGE(""https://docs.google.com/spreadsheets/d/11s9m3tKsCBdPWq6syhZm27eBGbKneDLZc75co106bio/edit?usp=sharing"",""สระแก้ว!J706"")"),0)</f>
        <v>0</v>
      </c>
      <c r="AG69" s="63">
        <f ca="1">IFERROR(__xludf.DUMMYFUNCTION("IMPORTRANGE(""https://docs.google.com/spreadsheets/d/11s9m3tKsCBdPWq6syhZm27eBGbKneDLZc75co106bio/edit?usp=sharing"",""สระแก้ว!J707"")"),0)</f>
        <v>0</v>
      </c>
      <c r="AH69" s="57">
        <f ca="1">IFERROR(__xludf.DUMMYFUNCTION("IMPORTRANGE(""https://docs.google.com/spreadsheets/d/11s9m3tKsCBdPWq6syhZm27eBGbKneDLZc75co106bio/edit?usp=sharing"",""สระแก้ว!I708"")"),0)</f>
        <v>0</v>
      </c>
      <c r="AI69" s="57">
        <f ca="1">IFERROR(__xludf.DUMMYFUNCTION("IMPORTRANGE(""https://docs.google.com/spreadsheets/d/11s9m3tKsCBdPWq6syhZm27eBGbKneDLZc75co106bio/edit?usp=sharing"",""สระแก้ว!J708"")"),0)</f>
        <v>0</v>
      </c>
      <c r="AJ69" s="63">
        <f t="shared" ca="1" si="37"/>
        <v>0</v>
      </c>
      <c r="AK69" s="57">
        <f ca="1">IFERROR(__xludf.DUMMYFUNCTION("IMPORTRANGE(""https://docs.google.com/spreadsheets/d/11s9m3tKsCBdPWq6syhZm27eBGbKneDLZc75co106bio/edit?usp=sharing"",""สระแก้ว!J709"")"),0)</f>
        <v>0</v>
      </c>
      <c r="AL69" s="57">
        <f ca="1">IFERROR(__xludf.DUMMYFUNCTION("IMPORTRANGE(""https://docs.google.com/spreadsheets/d/11s9m3tKsCBdPWq6syhZm27eBGbKneDLZc75co106bio/edit?usp=sharing"",""สระแก้ว!J710"")"),0)</f>
        <v>0</v>
      </c>
      <c r="AM69" s="57">
        <f ca="1">IFERROR(__xludf.DUMMYFUNCTION("IMPORTRANGE(""https://docs.google.com/spreadsheets/d/11s9m3tKsCBdPWq6syhZm27eBGbKneDLZc75co106bio/edit?usp=sharing"",""สระแก้ว!J712"")"),0)</f>
        <v>0</v>
      </c>
      <c r="AN69" s="57">
        <f ca="1">IFERROR(__xludf.DUMMYFUNCTION("IMPORTRANGE(""https://docs.google.com/spreadsheets/d/11s9m3tKsCBdPWq6syhZm27eBGbKneDLZc75co106bio/edit?usp=sharing"",""สระแก้ว!J713"")"),0)</f>
        <v>0</v>
      </c>
      <c r="AO69" s="57">
        <f ca="1">IFERROR(__xludf.DUMMYFUNCTION("IMPORTRANGE(""https://docs.google.com/spreadsheets/d/11s9m3tKsCBdPWq6syhZm27eBGbKneDLZc75co106bio/edit?usp=sharing"",""สระแก้ว!J714"")"),0)</f>
        <v>0</v>
      </c>
      <c r="AP69" s="57">
        <f ca="1">IFERROR(__xludf.DUMMYFUNCTION("IMPORTRANGE(""https://docs.google.com/spreadsheets/d/11s9m3tKsCBdPWq6syhZm27eBGbKneDLZc75co106bio/edit?usp=sharing"",""สระแก้ว!J715"")"),0)</f>
        <v>0</v>
      </c>
      <c r="AQ69" s="57">
        <f ca="1">IFERROR(__xludf.DUMMYFUNCTION("IMPORTRANGE(""https://docs.google.com/spreadsheets/d/11s9m3tKsCBdPWq6syhZm27eBGbKneDLZc75co106bio/edit?usp=sharing"",""สระแก้ว!J716"")"),0)</f>
        <v>0</v>
      </c>
      <c r="AR69" s="57">
        <f ca="1">IFERROR(__xludf.DUMMYFUNCTION("IMPORTRANGE(""https://docs.google.com/spreadsheets/d/11s9m3tKsCBdPWq6syhZm27eBGbKneDLZc75co106bio/edit?usp=sharing"",""สระแก้ว!J717"")"),0)</f>
        <v>0</v>
      </c>
      <c r="AS69" s="57">
        <f ca="1">IFERROR(__xludf.DUMMYFUNCTION("IMPORTRANGE(""https://docs.google.com/spreadsheets/d/11s9m3tKsCBdPWq6syhZm27eBGbKneDLZc75co106bio/edit?usp=sharing"",""สระแก้ว!I720"")"),0)</f>
        <v>0</v>
      </c>
      <c r="AT69" s="57">
        <f ca="1">IFERROR(__xludf.DUMMYFUNCTION("IMPORTRANGE(""https://docs.google.com/spreadsheets/d/11s9m3tKsCBdPWq6syhZm27eBGbKneDLZc75co106bio/edit?usp=sharing"",""สระแก้ว!J718"")"),0)</f>
        <v>0</v>
      </c>
      <c r="AU69" s="57">
        <f ca="1">IFERROR(__xludf.DUMMYFUNCTION("IMPORTRANGE(""https://docs.google.com/spreadsheets/d/11s9m3tKsCBdPWq6syhZm27eBGbKneDLZc75co106bio/edit?usp=sharing"",""สระแก้ว!J719"")"),0)</f>
        <v>0</v>
      </c>
      <c r="AV69" s="57">
        <f ca="1">IFERROR(__xludf.DUMMYFUNCTION("IMPORTRANGE(""https://docs.google.com/spreadsheets/d/11s9m3tKsCBdPWq6syhZm27eBGbKneDLZc75co106bio/edit?usp=sharing"",""สระแก้ว!J720"")"),0)</f>
        <v>0</v>
      </c>
      <c r="AW69" s="63">
        <f t="shared" ca="1" si="14"/>
        <v>0</v>
      </c>
      <c r="AX69" s="57">
        <f ca="1">IFERROR(__xludf.DUMMYFUNCTION("IMPORTRANGE(""https://docs.google.com/spreadsheets/d/11s9m3tKsCBdPWq6syhZm27eBGbKneDLZc75co106bio/edit?usp=sharing"",""สระแก้ว!I721"")"),0)</f>
        <v>0</v>
      </c>
      <c r="AY69" s="57">
        <f ca="1">IFERROR(__xludf.DUMMYFUNCTION("IMPORTRANGE(""https://docs.google.com/spreadsheets/d/11s9m3tKsCBdPWq6syhZm27eBGbKneDLZc75co106bio/edit?usp=sharing"",""สระแก้ว!I722"")"),0)</f>
        <v>0</v>
      </c>
      <c r="AZ69" s="57">
        <f ca="1">IFERROR(__xludf.DUMMYFUNCTION("IMPORTRANGE(""https://docs.google.com/spreadsheets/d/11s9m3tKsCBdPWq6syhZm27eBGbKneDLZc75co106bio/edit?usp=sharing"",""สระแก้ว!J721"")"),0)</f>
        <v>0</v>
      </c>
      <c r="BA69" s="63">
        <f t="shared" ca="1" si="16"/>
        <v>0</v>
      </c>
      <c r="BB69" s="57">
        <f ca="1">IFERROR(__xludf.DUMMYFUNCTION("IMPORTRANGE(""https://docs.google.com/spreadsheets/d/11s9m3tKsCBdPWq6syhZm27eBGbKneDLZc75co106bio/edit?usp=sharing"",""สระแก้ว!J722"")"),0)</f>
        <v>0</v>
      </c>
      <c r="BC69" s="63">
        <f t="shared" ca="1" si="17"/>
        <v>0</v>
      </c>
      <c r="BD69" s="57">
        <f ca="1">IFERROR(__xludf.DUMMYFUNCTION("IMPORTRANGE(""https://docs.google.com/spreadsheets/d/11s9m3tKsCBdPWq6syhZm27eBGbKneDLZc75co106bio/edit?usp=sharing"",""สระแก้ว!I723"")"),0)</f>
        <v>0</v>
      </c>
      <c r="BE69" s="57">
        <f ca="1">IFERROR(__xludf.DUMMYFUNCTION("IMPORTRANGE(""https://docs.google.com/spreadsheets/d/11s9m3tKsCBdPWq6syhZm27eBGbKneDLZc75co106bio/edit?usp=sharing"",""สระแก้ว!I725"")"),0)</f>
        <v>0</v>
      </c>
      <c r="BF69" s="57">
        <f ca="1">IFERROR(__xludf.DUMMYFUNCTION("IMPORTRANGE(""https://docs.google.com/spreadsheets/d/11s9m3tKsCBdPWq6syhZm27eBGbKneDLZc75co106bio/edit?usp=sharing"",""สระแก้ว!J723"")"),0)</f>
        <v>0</v>
      </c>
      <c r="BG69" s="57">
        <f ca="1">IFERROR(__xludf.DUMMYFUNCTION("IMPORTRANGE(""https://docs.google.com/spreadsheets/d/11s9m3tKsCBdPWq6syhZm27eBGbKneDLZc75co106bio/edit?usp=sharing"",""สระแก้ว!J724"")"),0)</f>
        <v>0</v>
      </c>
      <c r="BH69" s="57">
        <f ca="1">IFERROR(__xludf.DUMMYFUNCTION("IMPORTRANGE(""https://docs.google.com/spreadsheets/d/11s9m3tKsCBdPWq6syhZm27eBGbKneDLZc75co106bio/edit?usp=sharing"",""สระแก้ว!J725"")"),0)</f>
        <v>0</v>
      </c>
      <c r="BI69" s="57">
        <f ca="1">IFERROR(__xludf.DUMMYFUNCTION("IMPORTRANGE(""https://docs.google.com/spreadsheets/d/11s9m3tKsCBdPWq6syhZm27eBGbKneDLZc75co106bio/edit?usp=sharing"",""สระแก้ว!I726"")"),0)</f>
        <v>0</v>
      </c>
      <c r="BJ69" s="57">
        <f ca="1">IFERROR(__xludf.DUMMYFUNCTION("IMPORTRANGE(""https://docs.google.com/spreadsheets/d/11s9m3tKsCBdPWq6syhZm27eBGbKneDLZc75co106bio/edit?usp=sharing"",""สระแก้ว!I728"")"),0)</f>
        <v>0</v>
      </c>
      <c r="BK69" s="57">
        <f ca="1">IFERROR(__xludf.DUMMYFUNCTION("IMPORTRANGE(""https://docs.google.com/spreadsheets/d/11s9m3tKsCBdPWq6syhZm27eBGbKneDLZc75co106bio/edit?usp=sharing"",""สระแก้ว!J726"")"),0)</f>
        <v>0</v>
      </c>
      <c r="BL69" s="57">
        <f ca="1">IFERROR(__xludf.DUMMYFUNCTION("IMPORTRANGE(""https://docs.google.com/spreadsheets/d/11s9m3tKsCBdPWq6syhZm27eBGbKneDLZc75co106bio/edit?usp=sharing"",""สระแก้ว!J727"")"),0)</f>
        <v>0</v>
      </c>
      <c r="BM69" s="57">
        <f ca="1">IFERROR(__xludf.DUMMYFUNCTION("IMPORTRANGE(""https://docs.google.com/spreadsheets/d/11s9m3tKsCBdPWq6syhZm27eBGbKneDLZc75co106bio/edit?usp=sharing"",""สระแก้ว!J728"")"),0)</f>
        <v>0</v>
      </c>
      <c r="BN69" s="57">
        <f ca="1">IFERROR(__xludf.DUMMYFUNCTION("IMPORTRANGE(""https://docs.google.com/spreadsheets/d/11s9m3tKsCBdPWq6syhZm27eBGbKneDLZc75co106bio/edit?usp=sharing"",""สระแก้ว!I729"")"),0)</f>
        <v>0</v>
      </c>
      <c r="BO69" s="57">
        <f ca="1">IFERROR(__xludf.DUMMYFUNCTION("IMPORTRANGE(""https://docs.google.com/spreadsheets/d/11s9m3tKsCBdPWq6syhZm27eBGbKneDLZc75co106bio/edit?usp=sharing"",""สระแก้ว!J729"")"),0)</f>
        <v>0</v>
      </c>
      <c r="BP69" s="63">
        <f t="shared" ca="1" si="19"/>
        <v>0</v>
      </c>
      <c r="BQ69" s="57">
        <f ca="1">IFERROR(__xludf.DUMMYFUNCTION("IMPORTRANGE(""https://docs.google.com/spreadsheets/d/11s9m3tKsCBdPWq6syhZm27eBGbKneDLZc75co106bio/edit?usp=sharing"",""สระแก้ว!J730"")"),0)</f>
        <v>0</v>
      </c>
      <c r="BR69" s="57">
        <f ca="1">IFERROR(__xludf.DUMMYFUNCTION("IMPORTRANGE(""https://docs.google.com/spreadsheets/d/11s9m3tKsCBdPWq6syhZm27eBGbKneDLZc75co106bio/edit?usp=sharing"",""สระแก้ว!J731"")"),0)</f>
        <v>0</v>
      </c>
      <c r="BS69" s="57">
        <f ca="1">IFERROR(__xludf.DUMMYFUNCTION("IMPORTRANGE(""https://docs.google.com/spreadsheets/d/11s9m3tKsCBdPWq6syhZm27eBGbKneDLZc75co106bio/edit?usp=sharing"",""สระแก้ว!J732"")"),0)</f>
        <v>0</v>
      </c>
      <c r="BT69" s="57">
        <f ca="1">IFERROR(__xludf.DUMMYFUNCTION("IMPORTRANGE(""https://docs.google.com/spreadsheets/d/11s9m3tKsCBdPWq6syhZm27eBGbKneDLZc75co106bio/edit?usp=sharing"",""สระแก้ว!J733"")"),0)</f>
        <v>0</v>
      </c>
      <c r="BU69" s="57">
        <f ca="1">IFERROR(__xludf.DUMMYFUNCTION("IMPORTRANGE(""https://docs.google.com/spreadsheets/d/11s9m3tKsCBdPWq6syhZm27eBGbKneDLZc75co106bio/edit?usp=sharing"",""สระแก้ว!J734"")"),0)</f>
        <v>0</v>
      </c>
      <c r="BV69" s="57">
        <f ca="1">IFERROR(__xludf.DUMMYFUNCTION("IMPORTRANGE(""https://docs.google.com/spreadsheets/d/11s9m3tKsCBdPWq6syhZm27eBGbKneDLZc75co106bio/edit?usp=sharing"",""สระแก้ว!J735"")"),0)</f>
        <v>0</v>
      </c>
    </row>
    <row r="70" spans="1:74" ht="21" customHeight="1" x14ac:dyDescent="0.3">
      <c r="A70" s="54">
        <v>18</v>
      </c>
      <c r="B70" s="55" t="s">
        <v>91</v>
      </c>
      <c r="C70" s="56">
        <f t="shared" ca="1" si="75"/>
        <v>9260</v>
      </c>
      <c r="D70" s="57">
        <f ca="1">IFERROR(__xludf.DUMMYFUNCTION("IMPORTRANGE(""https://docs.google.com/spreadsheets/d/1Nn1EvsFPtXldgpgVb3Rcng2K2cls68LFQsBh2FyW0Bg/edit?usp=sharing"",""สระบุรี!L690"")"),9260)</f>
        <v>9260</v>
      </c>
      <c r="E70" s="64">
        <f ca="1">IFERROR(__xludf.DUMMYFUNCTION("IMPORTRANGE(""https://docs.google.com/spreadsheets/d/1Nn1EvsFPtXldgpgVb3Rcng2K2cls68LFQsBh2FyW0Bg/edit?usp=sharing"",""สระบุรี!L697"")"),0)</f>
        <v>0</v>
      </c>
      <c r="F70" s="64">
        <f ca="1">IFERROR(__xludf.DUMMYFUNCTION("IMPORTRANGE(""https://docs.google.com/spreadsheets/d/1Nn1EvsFPtXldgpgVb3Rcng2K2cls68LFQsBh2FyW0Bg/edit?usp=sharing"",""สระบุรี!M690"")"),9260)</f>
        <v>9260</v>
      </c>
      <c r="G70" s="64">
        <f ca="1">IFERROR(__xludf.DUMMYFUNCTION("IMPORTRANGE(""https://docs.google.com/spreadsheets/d/1Nn1EvsFPtXldgpgVb3Rcng2K2cls68LFQsBh2FyW0Bg/edit?usp=sharing"",""สระบุรี!M697"")"),0)</f>
        <v>0</v>
      </c>
      <c r="H70" s="58">
        <f t="shared" ca="1" si="33"/>
        <v>6870</v>
      </c>
      <c r="I70" s="59">
        <f t="shared" ca="1" si="1"/>
        <v>74.190064794816408</v>
      </c>
      <c r="J70" s="60">
        <f t="shared" ca="1" si="76"/>
        <v>6870</v>
      </c>
      <c r="K70" s="61">
        <f t="shared" ca="1" si="39"/>
        <v>74.190064794816408</v>
      </c>
      <c r="L70" s="61">
        <f t="shared" ca="1" si="40"/>
        <v>74.190064794816408</v>
      </c>
      <c r="M70" s="64">
        <f ca="1">IFERROR(__xludf.DUMMYFUNCTION("IMPORTRANGE(""https://docs.google.com/spreadsheets/d/1Nn1EvsFPtXldgpgVb3Rcng2K2cls68LFQsBh2FyW0Bg/edit?usp=sharing"",""สระบุรี!N691"")"),0)</f>
        <v>0</v>
      </c>
      <c r="N70" s="64">
        <f ca="1">IFERROR(__xludf.DUMMYFUNCTION("IMPORTRANGE(""https://docs.google.com/spreadsheets/d/1Nn1EvsFPtXldgpgVb3Rcng2K2cls68LFQsBh2FyW0Bg/edit?usp=sharing"",""สระบุรี!N692"")"),0)</f>
        <v>0</v>
      </c>
      <c r="O70" s="64">
        <f ca="1">IFERROR(__xludf.DUMMYFUNCTION("IMPORTRANGE(""https://docs.google.com/spreadsheets/d/1Nn1EvsFPtXldgpgVb3Rcng2K2cls68LFQsBh2FyW0Bg/edit?usp=sharing"",""สระบุรี!N693"")"),0)</f>
        <v>0</v>
      </c>
      <c r="P70" s="64">
        <f ca="1">IFERROR(__xludf.DUMMYFUNCTION("IMPORTRANGE(""https://docs.google.com/spreadsheets/d/1Nn1EvsFPtXldgpgVb3Rcng2K2cls68LFQsBh2FyW0Bg/edit?usp=sharing"",""สระบุรี!N694"")"),6870)</f>
        <v>6870</v>
      </c>
      <c r="Q70" s="62">
        <f ca="1">IFERROR(__xludf.DUMMYFUNCTION("IMPORTRANGE(""https://docs.google.com/spreadsheets/d/1Nn1EvsFPtXldgpgVb3Rcng2K2cls68LFQsBh2FyW0Bg/edit?usp=sharing"",""สระบุรี!N697"")"),0)</f>
        <v>0</v>
      </c>
      <c r="R70" s="62">
        <f t="shared" ca="1" si="42"/>
        <v>0</v>
      </c>
      <c r="S70" s="57">
        <f ca="1">IFERROR(__xludf.DUMMYFUNCTION("IMPORTRANGE(""https://docs.google.com/spreadsheets/d/1Nn1EvsFPtXldgpgVb3Rcng2K2cls68LFQsBh2FyW0Bg/edit?usp=sharing"",""สระบุรี!I699"")"),0)</f>
        <v>0</v>
      </c>
      <c r="T70" s="57">
        <f ca="1">IFERROR(__xludf.DUMMYFUNCTION("IMPORTRANGE(""https://docs.google.com/spreadsheets/d/1Nn1EvsFPtXldgpgVb3Rcng2K2cls68LFQsBh2FyW0Bg/edit?usp=sharing"",""สระบุรี!J699"")"),0)</f>
        <v>0</v>
      </c>
      <c r="U70" s="63">
        <f t="shared" ca="1" si="34"/>
        <v>0</v>
      </c>
      <c r="V70" s="57">
        <f ca="1">IFERROR(__xludf.DUMMYFUNCTION("IMPORTRANGE(""https://docs.google.com/spreadsheets/d/1Nn1EvsFPtXldgpgVb3Rcng2K2cls68LFQsBh2FyW0Bg/edit?usp=sharing"",""สระบุรี!I700"")"),0)</f>
        <v>0</v>
      </c>
      <c r="W70" s="57">
        <f ca="1">IFERROR(__xludf.DUMMYFUNCTION("IMPORTRANGE(""https://docs.google.com/spreadsheets/d/1Nn1EvsFPtXldgpgVb3Rcng2K2cls68LFQsBh2FyW0Bg/edit?usp=sharing"",""สระบุรี!J700"")"),0)</f>
        <v>0</v>
      </c>
      <c r="X70" s="63">
        <f t="shared" ca="1" si="35"/>
        <v>0</v>
      </c>
      <c r="Y70" s="57">
        <f ca="1">IFERROR(__xludf.DUMMYFUNCTION("IMPORTRANGE(""https://docs.google.com/spreadsheets/d/1Nn1EvsFPtXldgpgVb3Rcng2K2cls68LFQsBh2FyW0Bg/edit?usp=sharing"",""สระบุรี!I701"")"),23)</f>
        <v>23</v>
      </c>
      <c r="Z70" s="57">
        <f ca="1">IFERROR(__xludf.DUMMYFUNCTION("IMPORTRANGE(""https://docs.google.com/spreadsheets/d/1Nn1EvsFPtXldgpgVb3Rcng2K2cls68LFQsBh2FyW0Bg/edit?usp=sharing"",""สระบุรี!J701"")"),0)</f>
        <v>0</v>
      </c>
      <c r="AA70" s="63">
        <f t="shared" ca="1" si="36"/>
        <v>0</v>
      </c>
      <c r="AB70" s="63">
        <f ca="1">IFERROR(__xludf.DUMMYFUNCTION("IMPORTRANGE(""https://docs.google.com/spreadsheets/d/1Nn1EvsFPtXldgpgVb3Rcng2K2cls68LFQsBh2FyW0Bg/edit?usp=sharing"",""สระบุรี!J702"")"),0)</f>
        <v>0</v>
      </c>
      <c r="AC70" s="63">
        <f ca="1">IFERROR(__xludf.DUMMYFUNCTION("IMPORTRANGE(""https://docs.google.com/spreadsheets/d/1Nn1EvsFPtXldgpgVb3Rcng2K2cls68LFQsBh2FyW0Bg/edit?usp=sharing"",""สระบุรี!J703"")"),0)</f>
        <v>0</v>
      </c>
      <c r="AD70" s="63">
        <f ca="1">IFERROR(__xludf.DUMMYFUNCTION("IMPORTRANGE(""https://docs.google.com/spreadsheets/d/1Nn1EvsFPtXldgpgVb3Rcng2K2cls68LFQsBh2FyW0Bg/edit?usp=sharing"",""สระบุรี!J704"")"),0)</f>
        <v>0</v>
      </c>
      <c r="AE70" s="63">
        <f ca="1">IFERROR(__xludf.DUMMYFUNCTION("IMPORTRANGE(""https://docs.google.com/spreadsheets/d/1Nn1EvsFPtXldgpgVb3Rcng2K2cls68LFQsBh2FyW0Bg/edit?usp=sharing"",""สระบุรี!J705"")"),0)</f>
        <v>0</v>
      </c>
      <c r="AF70" s="63">
        <f ca="1">IFERROR(__xludf.DUMMYFUNCTION("IMPORTRANGE(""https://docs.google.com/spreadsheets/d/1Nn1EvsFPtXldgpgVb3Rcng2K2cls68LFQsBh2FyW0Bg/edit?usp=sharing"",""สระบุรี!J706"")"),0)</f>
        <v>0</v>
      </c>
      <c r="AG70" s="63">
        <f ca="1">IFERROR(__xludf.DUMMYFUNCTION("IMPORTRANGE(""https://docs.google.com/spreadsheets/d/1Nn1EvsFPtXldgpgVb3Rcng2K2cls68LFQsBh2FyW0Bg/edit?usp=sharing"",""สระบุรี!J707"")"),0)</f>
        <v>0</v>
      </c>
      <c r="AH70" s="57">
        <f ca="1">IFERROR(__xludf.DUMMYFUNCTION("IMPORTRANGE(""https://docs.google.com/spreadsheets/d/1Nn1EvsFPtXldgpgVb3Rcng2K2cls68LFQsBh2FyW0Bg/edit?usp=sharing"",""สระบุรี!I708"")"),0)</f>
        <v>0</v>
      </c>
      <c r="AI70" s="57">
        <f ca="1">IFERROR(__xludf.DUMMYFUNCTION("IMPORTRANGE(""https://docs.google.com/spreadsheets/d/1Nn1EvsFPtXldgpgVb3Rcng2K2cls68LFQsBh2FyW0Bg/edit?usp=sharing"",""สระบุรี!J708"")"),0)</f>
        <v>0</v>
      </c>
      <c r="AJ70" s="63">
        <f t="shared" ca="1" si="37"/>
        <v>0</v>
      </c>
      <c r="AK70" s="57">
        <f ca="1">IFERROR(__xludf.DUMMYFUNCTION("IMPORTRANGE(""https://docs.google.com/spreadsheets/d/1Nn1EvsFPtXldgpgVb3Rcng2K2cls68LFQsBh2FyW0Bg/edit?usp=sharing"",""สระบุรี!J709"")"),0)</f>
        <v>0</v>
      </c>
      <c r="AL70" s="57">
        <f ca="1">IFERROR(__xludf.DUMMYFUNCTION("IMPORTRANGE(""https://docs.google.com/spreadsheets/d/1Nn1EvsFPtXldgpgVb3Rcng2K2cls68LFQsBh2FyW0Bg/edit?usp=sharing"",""สระบุรี!J710"")"),0)</f>
        <v>0</v>
      </c>
      <c r="AM70" s="57">
        <f ca="1">IFERROR(__xludf.DUMMYFUNCTION("IMPORTRANGE(""https://docs.google.com/spreadsheets/d/1Nn1EvsFPtXldgpgVb3Rcng2K2cls68LFQsBh2FyW0Bg/edit?usp=sharing"",""สระบุรี!J712"")"),0)</f>
        <v>0</v>
      </c>
      <c r="AN70" s="57">
        <f ca="1">IFERROR(__xludf.DUMMYFUNCTION("IMPORTRANGE(""https://docs.google.com/spreadsheets/d/1Nn1EvsFPtXldgpgVb3Rcng2K2cls68LFQsBh2FyW0Bg/edit?usp=sharing"",""สระบุรี!J713"")"),0)</f>
        <v>0</v>
      </c>
      <c r="AO70" s="57">
        <f ca="1">IFERROR(__xludf.DUMMYFUNCTION("IMPORTRANGE(""https://docs.google.com/spreadsheets/d/1Nn1EvsFPtXldgpgVb3Rcng2K2cls68LFQsBh2FyW0Bg/edit?usp=sharing"",""สระบุรี!J714"")"),0)</f>
        <v>0</v>
      </c>
      <c r="AP70" s="57">
        <f ca="1">IFERROR(__xludf.DUMMYFUNCTION("IMPORTRANGE(""https://docs.google.com/spreadsheets/d/1Nn1EvsFPtXldgpgVb3Rcng2K2cls68LFQsBh2FyW0Bg/edit?usp=sharing"",""สระบุรี!J715"")"),0)</f>
        <v>0</v>
      </c>
      <c r="AQ70" s="57">
        <f ca="1">IFERROR(__xludf.DUMMYFUNCTION("IMPORTRANGE(""https://docs.google.com/spreadsheets/d/1Nn1EvsFPtXldgpgVb3Rcng2K2cls68LFQsBh2FyW0Bg/edit?usp=sharing"",""สระบุรี!J716"")"),0)</f>
        <v>0</v>
      </c>
      <c r="AR70" s="57">
        <f ca="1">IFERROR(__xludf.DUMMYFUNCTION("IMPORTRANGE(""https://docs.google.com/spreadsheets/d/1Nn1EvsFPtXldgpgVb3Rcng2K2cls68LFQsBh2FyW0Bg/edit?usp=sharing"",""สระบุรี!J717"")"),0)</f>
        <v>0</v>
      </c>
      <c r="AS70" s="57">
        <f ca="1">IFERROR(__xludf.DUMMYFUNCTION("IMPORTRANGE(""https://docs.google.com/spreadsheets/d/1Nn1EvsFPtXldgpgVb3Rcng2K2cls68LFQsBh2FyW0Bg/edit?usp=sharing"",""สระบุรี!I720"")"),200)</f>
        <v>200</v>
      </c>
      <c r="AT70" s="57">
        <f ca="1">IFERROR(__xludf.DUMMYFUNCTION("IMPORTRANGE(""https://docs.google.com/spreadsheets/d/1Nn1EvsFPtXldgpgVb3Rcng2K2cls68LFQsBh2FyW0Bg/edit?usp=sharing"",""สระบุรี!J718"")"),0)</f>
        <v>0</v>
      </c>
      <c r="AU70" s="57">
        <f ca="1">IFERROR(__xludf.DUMMYFUNCTION("IMPORTRANGE(""https://docs.google.com/spreadsheets/d/1Nn1EvsFPtXldgpgVb3Rcng2K2cls68LFQsBh2FyW0Bg/edit?usp=sharing"",""สระบุรี!J719"")"),0)</f>
        <v>0</v>
      </c>
      <c r="AV70" s="57">
        <f ca="1">IFERROR(__xludf.DUMMYFUNCTION("IMPORTRANGE(""https://docs.google.com/spreadsheets/d/1Nn1EvsFPtXldgpgVb3Rcng2K2cls68LFQsBh2FyW0Bg/edit?usp=sharing"",""สระบุรี!J720"")"),0)</f>
        <v>0</v>
      </c>
      <c r="AW70" s="63">
        <f t="shared" ca="1" si="14"/>
        <v>0</v>
      </c>
      <c r="AX70" s="57">
        <f ca="1">IFERROR(__xludf.DUMMYFUNCTION("IMPORTRANGE(""https://docs.google.com/spreadsheets/d/1Nn1EvsFPtXldgpgVb3Rcng2K2cls68LFQsBh2FyW0Bg/edit?usp=sharing"",""สระบุรี!I721"")"),15)</f>
        <v>15</v>
      </c>
      <c r="AY70" s="57">
        <f ca="1">IFERROR(__xludf.DUMMYFUNCTION("IMPORTRANGE(""https://docs.google.com/spreadsheets/d/1Nn1EvsFPtXldgpgVb3Rcng2K2cls68LFQsBh2FyW0Bg/edit?usp=sharing"",""สระบุรี!I722"")"),150)</f>
        <v>150</v>
      </c>
      <c r="AZ70" s="57">
        <f ca="1">IFERROR(__xludf.DUMMYFUNCTION("IMPORTRANGE(""https://docs.google.com/spreadsheets/d/1Nn1EvsFPtXldgpgVb3Rcng2K2cls68LFQsBh2FyW0Bg/edit?usp=sharing"",""สระบุรี!J721"")"),0)</f>
        <v>0</v>
      </c>
      <c r="BA70" s="63">
        <f t="shared" ca="1" si="16"/>
        <v>0</v>
      </c>
      <c r="BB70" s="57">
        <f ca="1">IFERROR(__xludf.DUMMYFUNCTION("IMPORTRANGE(""https://docs.google.com/spreadsheets/d/1Nn1EvsFPtXldgpgVb3Rcng2K2cls68LFQsBh2FyW0Bg/edit?usp=sharing"",""สระบุรี!J722"")"),0)</f>
        <v>0</v>
      </c>
      <c r="BC70" s="63">
        <f t="shared" ca="1" si="17"/>
        <v>0</v>
      </c>
      <c r="BD70" s="57">
        <f ca="1">IFERROR(__xludf.DUMMYFUNCTION("IMPORTRANGE(""https://docs.google.com/spreadsheets/d/1Nn1EvsFPtXldgpgVb3Rcng2K2cls68LFQsBh2FyW0Bg/edit?usp=sharing"",""สระบุรี!I723"")"),15)</f>
        <v>15</v>
      </c>
      <c r="BE70" s="57">
        <f ca="1">IFERROR(__xludf.DUMMYFUNCTION("IMPORTRANGE(""https://docs.google.com/spreadsheets/d/1Nn1EvsFPtXldgpgVb3Rcng2K2cls68LFQsBh2FyW0Bg/edit?usp=sharing"",""สระบุรี!I725"")"),150)</f>
        <v>150</v>
      </c>
      <c r="BF70" s="57">
        <f ca="1">IFERROR(__xludf.DUMMYFUNCTION("IMPORTRANGE(""https://docs.google.com/spreadsheets/d/1Nn1EvsFPtXldgpgVb3Rcng2K2cls68LFQsBh2FyW0Bg/edit?usp=sharing"",""สระบุรี!J723"")"),0)</f>
        <v>0</v>
      </c>
      <c r="BG70" s="57">
        <f ca="1">IFERROR(__xludf.DUMMYFUNCTION("IMPORTRANGE(""https://docs.google.com/spreadsheets/d/1Nn1EvsFPtXldgpgVb3Rcng2K2cls68LFQsBh2FyW0Bg/edit?usp=sharing"",""สระบุรี!J724"")"),0)</f>
        <v>0</v>
      </c>
      <c r="BH70" s="57">
        <f ca="1">IFERROR(__xludf.DUMMYFUNCTION("IMPORTRANGE(""https://docs.google.com/spreadsheets/d/1Nn1EvsFPtXldgpgVb3Rcng2K2cls68LFQsBh2FyW0Bg/edit?usp=sharing"",""สระบุรี!J725"")"),0)</f>
        <v>0</v>
      </c>
      <c r="BI70" s="57">
        <f ca="1">IFERROR(__xludf.DUMMYFUNCTION("IMPORTRANGE(""https://docs.google.com/spreadsheets/d/1Nn1EvsFPtXldgpgVb3Rcng2K2cls68LFQsBh2FyW0Bg/edit?usp=sharing"",""สระบุรี!I726"")"),0)</f>
        <v>0</v>
      </c>
      <c r="BJ70" s="57">
        <f ca="1">IFERROR(__xludf.DUMMYFUNCTION("IMPORTRANGE(""https://docs.google.com/spreadsheets/d/1Nn1EvsFPtXldgpgVb3Rcng2K2cls68LFQsBh2FyW0Bg/edit?usp=sharing"",""สระบุรี!I728"")"),0)</f>
        <v>0</v>
      </c>
      <c r="BK70" s="57">
        <f ca="1">IFERROR(__xludf.DUMMYFUNCTION("IMPORTRANGE(""https://docs.google.com/spreadsheets/d/1Nn1EvsFPtXldgpgVb3Rcng2K2cls68LFQsBh2FyW0Bg/edit?usp=sharing"",""สระบุรี!J726"")"),0)</f>
        <v>0</v>
      </c>
      <c r="BL70" s="57">
        <f ca="1">IFERROR(__xludf.DUMMYFUNCTION("IMPORTRANGE(""https://docs.google.com/spreadsheets/d/1Nn1EvsFPtXldgpgVb3Rcng2K2cls68LFQsBh2FyW0Bg/edit?usp=sharing"",""สระบุรี!J727"")"),0)</f>
        <v>0</v>
      </c>
      <c r="BM70" s="57">
        <f ca="1">IFERROR(__xludf.DUMMYFUNCTION("IMPORTRANGE(""https://docs.google.com/spreadsheets/d/1Nn1EvsFPtXldgpgVb3Rcng2K2cls68LFQsBh2FyW0Bg/edit?usp=sharing"",""สระบุรี!J728"")"),0)</f>
        <v>0</v>
      </c>
      <c r="BN70" s="57">
        <f ca="1">IFERROR(__xludf.DUMMYFUNCTION("IMPORTRANGE(""https://docs.google.com/spreadsheets/d/1Nn1EvsFPtXldgpgVb3Rcng2K2cls68LFQsBh2FyW0Bg/edit?usp=sharing"",""สระบุรี!I729"")"),0)</f>
        <v>0</v>
      </c>
      <c r="BO70" s="57">
        <f ca="1">IFERROR(__xludf.DUMMYFUNCTION("IMPORTRANGE(""https://docs.google.com/spreadsheets/d/1Nn1EvsFPtXldgpgVb3Rcng2K2cls68LFQsBh2FyW0Bg/edit?usp=sharing"",""สระบุรี!J729"")"),0)</f>
        <v>0</v>
      </c>
      <c r="BP70" s="63">
        <f t="shared" ca="1" si="19"/>
        <v>0</v>
      </c>
      <c r="BQ70" s="57">
        <f ca="1">IFERROR(__xludf.DUMMYFUNCTION("IMPORTRANGE(""https://docs.google.com/spreadsheets/d/1Nn1EvsFPtXldgpgVb3Rcng2K2cls68LFQsBh2FyW0Bg/edit?usp=sharing"",""สระบุรี!J730"")"),0)</f>
        <v>0</v>
      </c>
      <c r="BR70" s="57">
        <f ca="1">IFERROR(__xludf.DUMMYFUNCTION("IMPORTRANGE(""https://docs.google.com/spreadsheets/d/1Nn1EvsFPtXldgpgVb3Rcng2K2cls68LFQsBh2FyW0Bg/edit?usp=sharing"",""สระบุรี!J731"")"),0)</f>
        <v>0</v>
      </c>
      <c r="BS70" s="57">
        <f ca="1">IFERROR(__xludf.DUMMYFUNCTION("IMPORTRANGE(""https://docs.google.com/spreadsheets/d/1Nn1EvsFPtXldgpgVb3Rcng2K2cls68LFQsBh2FyW0Bg/edit?usp=sharing"",""สระบุรี!J732"")"),0)</f>
        <v>0</v>
      </c>
      <c r="BT70" s="57">
        <f ca="1">IFERROR(__xludf.DUMMYFUNCTION("IMPORTRANGE(""https://docs.google.com/spreadsheets/d/1Nn1EvsFPtXldgpgVb3Rcng2K2cls68LFQsBh2FyW0Bg/edit?usp=sharing"",""สระบุรี!J733"")"),0)</f>
        <v>0</v>
      </c>
      <c r="BU70" s="57">
        <f ca="1">IFERROR(__xludf.DUMMYFUNCTION("IMPORTRANGE(""https://docs.google.com/spreadsheets/d/1Nn1EvsFPtXldgpgVb3Rcng2K2cls68LFQsBh2FyW0Bg/edit?usp=sharing"",""สระบุรี!J734"")"),0)</f>
        <v>0</v>
      </c>
      <c r="BV70" s="57">
        <f ca="1">IFERROR(__xludf.DUMMYFUNCTION("IMPORTRANGE(""https://docs.google.com/spreadsheets/d/1Nn1EvsFPtXldgpgVb3Rcng2K2cls68LFQsBh2FyW0Bg/edit?usp=sharing"",""สระบุรี!J735"")"),0)</f>
        <v>0</v>
      </c>
    </row>
    <row r="71" spans="1:74" ht="21" customHeight="1" x14ac:dyDescent="0.3">
      <c r="A71" s="54">
        <v>19</v>
      </c>
      <c r="B71" s="55" t="s">
        <v>92</v>
      </c>
      <c r="C71" s="56">
        <f t="shared" ca="1" si="75"/>
        <v>1240</v>
      </c>
      <c r="D71" s="57">
        <f ca="1">IFERROR(__xludf.DUMMYFUNCTION("IMPORTRANGE(""https://docs.google.com/spreadsheets/d/149xufxukrnEciK3WPbNpHwUK8BKEJxp3UcBG3Al6dA4/edit?usp=sharing"",""สิงห์บุรี!L690"")"),1240)</f>
        <v>1240</v>
      </c>
      <c r="E71" s="64">
        <f ca="1">IFERROR(__xludf.DUMMYFUNCTION("IMPORTRANGE(""https://docs.google.com/spreadsheets/d/149xufxukrnEciK3WPbNpHwUK8BKEJxp3UcBG3Al6dA4/edit?usp=sharing"",""สิงห์บุรี!L697"")"),0)</f>
        <v>0</v>
      </c>
      <c r="F71" s="64">
        <f ca="1">IFERROR(__xludf.DUMMYFUNCTION("IMPORTRANGE(""https://docs.google.com/spreadsheets/d/149xufxukrnEciK3WPbNpHwUK8BKEJxp3UcBG3Al6dA4/edit?usp=sharing"",""สิงห์บุรี!M690"")"),1240)</f>
        <v>1240</v>
      </c>
      <c r="G71" s="64">
        <f ca="1">IFERROR(__xludf.DUMMYFUNCTION("IMPORTRANGE(""https://docs.google.com/spreadsheets/d/149xufxukrnEciK3WPbNpHwUK8BKEJxp3UcBG3Al6dA4/edit?usp=sharing"",""สิงห์บุรี!M697"")"),0)</f>
        <v>0</v>
      </c>
      <c r="H71" s="58">
        <f t="shared" ca="1" si="33"/>
        <v>0</v>
      </c>
      <c r="I71" s="59">
        <f t="shared" ca="1" si="1"/>
        <v>0</v>
      </c>
      <c r="J71" s="60">
        <f t="shared" ca="1" si="76"/>
        <v>0</v>
      </c>
      <c r="K71" s="61">
        <f t="shared" ca="1" si="39"/>
        <v>0</v>
      </c>
      <c r="L71" s="61">
        <f t="shared" ca="1" si="40"/>
        <v>0</v>
      </c>
      <c r="M71" s="64">
        <f ca="1">IFERROR(__xludf.DUMMYFUNCTION("IMPORTRANGE(""https://docs.google.com/spreadsheets/d/149xufxukrnEciK3WPbNpHwUK8BKEJxp3UcBG3Al6dA4/edit?usp=sharing"",""สิงห์บุรี!N691"")"),0)</f>
        <v>0</v>
      </c>
      <c r="N71" s="64">
        <f ca="1">IFERROR(__xludf.DUMMYFUNCTION("IMPORTRANGE(""https://docs.google.com/spreadsheets/d/149xufxukrnEciK3WPbNpHwUK8BKEJxp3UcBG3Al6dA4/edit?usp=sharing"",""สิงห์บุรี!N692"")"),0)</f>
        <v>0</v>
      </c>
      <c r="O71" s="64">
        <f ca="1">IFERROR(__xludf.DUMMYFUNCTION("IMPORTRANGE(""https://docs.google.com/spreadsheets/d/149xufxukrnEciK3WPbNpHwUK8BKEJxp3UcBG3Al6dA4/edit?usp=sharing"",""สิงห์บุรี!N693"")"),0)</f>
        <v>0</v>
      </c>
      <c r="P71" s="64">
        <f ca="1">IFERROR(__xludf.DUMMYFUNCTION("IMPORTRANGE(""https://docs.google.com/spreadsheets/d/149xufxukrnEciK3WPbNpHwUK8BKEJxp3UcBG3Al6dA4/edit?usp=sharing"",""สิงห์บุรี!N694"")"),0)</f>
        <v>0</v>
      </c>
      <c r="Q71" s="62">
        <f ca="1">IFERROR(__xludf.DUMMYFUNCTION("IMPORTRANGE(""https://docs.google.com/spreadsheets/d/149xufxukrnEciK3WPbNpHwUK8BKEJxp3UcBG3Al6dA4/edit?usp=sharing"",""สิงห์บุรี!N697"")"),0)</f>
        <v>0</v>
      </c>
      <c r="R71" s="62">
        <f t="shared" ca="1" si="42"/>
        <v>0</v>
      </c>
      <c r="S71" s="57">
        <f ca="1">IFERROR(__xludf.DUMMYFUNCTION("IMPORTRANGE(""https://docs.google.com/spreadsheets/d/149xufxukrnEciK3WPbNpHwUK8BKEJxp3UcBG3Al6dA4/edit?usp=sharing"",""สิงห์บุรี!I699"")"),0)</f>
        <v>0</v>
      </c>
      <c r="T71" s="57">
        <f ca="1">IFERROR(__xludf.DUMMYFUNCTION("IMPORTRANGE(""https://docs.google.com/spreadsheets/d/149xufxukrnEciK3WPbNpHwUK8BKEJxp3UcBG3Al6dA4/edit?usp=sharing"",""สิงห์บุรี!J699"")"),0)</f>
        <v>0</v>
      </c>
      <c r="U71" s="63">
        <f t="shared" ca="1" si="34"/>
        <v>0</v>
      </c>
      <c r="V71" s="57">
        <f ca="1">IFERROR(__xludf.DUMMYFUNCTION("IMPORTRANGE(""https://docs.google.com/spreadsheets/d/149xufxukrnEciK3WPbNpHwUK8BKEJxp3UcBG3Al6dA4/edit?usp=sharing"",""สิงห์บุรี!I700"")"),1)</f>
        <v>1</v>
      </c>
      <c r="W71" s="57">
        <f ca="1">IFERROR(__xludf.DUMMYFUNCTION("IMPORTRANGE(""https://docs.google.com/spreadsheets/d/149xufxukrnEciK3WPbNpHwUK8BKEJxp3UcBG3Al6dA4/edit?usp=sharing"",""สิงห์บุรี!J700"")"),0)</f>
        <v>0</v>
      </c>
      <c r="X71" s="63">
        <f t="shared" ca="1" si="35"/>
        <v>0</v>
      </c>
      <c r="Y71" s="57">
        <f ca="1">IFERROR(__xludf.DUMMYFUNCTION("IMPORTRANGE(""https://docs.google.com/spreadsheets/d/149xufxukrnEciK3WPbNpHwUK8BKEJxp3UcBG3Al6dA4/edit?usp=sharing"",""สิงห์บุรี!I701"")"),0)</f>
        <v>0</v>
      </c>
      <c r="Z71" s="57">
        <f ca="1">IFERROR(__xludf.DUMMYFUNCTION("IMPORTRANGE(""https://docs.google.com/spreadsheets/d/149xufxukrnEciK3WPbNpHwUK8BKEJxp3UcBG3Al6dA4/edit?usp=sharing"",""สิงห์บุรี!J701"")"),0)</f>
        <v>0</v>
      </c>
      <c r="AA71" s="63">
        <f t="shared" ca="1" si="36"/>
        <v>0</v>
      </c>
      <c r="AB71" s="63">
        <f ca="1">IFERROR(__xludf.DUMMYFUNCTION("IMPORTRANGE(""https://docs.google.com/spreadsheets/d/149xufxukrnEciK3WPbNpHwUK8BKEJxp3UcBG3Al6dA4/edit?usp=sharing"",""สิงห์บุรี!J702"")"),0)</f>
        <v>0</v>
      </c>
      <c r="AC71" s="63">
        <f ca="1">IFERROR(__xludf.DUMMYFUNCTION("IMPORTRANGE(""https://docs.google.com/spreadsheets/d/149xufxukrnEciK3WPbNpHwUK8BKEJxp3UcBG3Al6dA4/edit?usp=sharing"",""สิงห์บุรี!J703"")"),0)</f>
        <v>0</v>
      </c>
      <c r="AD71" s="63">
        <f ca="1">IFERROR(__xludf.DUMMYFUNCTION("IMPORTRANGE(""https://docs.google.com/spreadsheets/d/149xufxukrnEciK3WPbNpHwUK8BKEJxp3UcBG3Al6dA4/edit?usp=sharing"",""สิงห์บุรี!J704"")"),0)</f>
        <v>0</v>
      </c>
      <c r="AE71" s="63">
        <f ca="1">IFERROR(__xludf.DUMMYFUNCTION("IMPORTRANGE(""https://docs.google.com/spreadsheets/d/149xufxukrnEciK3WPbNpHwUK8BKEJxp3UcBG3Al6dA4/edit?usp=sharing"",""สิงห์บุรี!J705"")"),0)</f>
        <v>0</v>
      </c>
      <c r="AF71" s="63">
        <f ca="1">IFERROR(__xludf.DUMMYFUNCTION("IMPORTRANGE(""https://docs.google.com/spreadsheets/d/149xufxukrnEciK3WPbNpHwUK8BKEJxp3UcBG3Al6dA4/edit?usp=sharing"",""สิงห์บุรี!J706"")"),0)</f>
        <v>0</v>
      </c>
      <c r="AG71" s="63">
        <f ca="1">IFERROR(__xludf.DUMMYFUNCTION("IMPORTRANGE(""https://docs.google.com/spreadsheets/d/149xufxukrnEciK3WPbNpHwUK8BKEJxp3UcBG3Al6dA4/edit?usp=sharing"",""สิงห์บุรี!J707"")"),0)</f>
        <v>0</v>
      </c>
      <c r="AH71" s="57">
        <f ca="1">IFERROR(__xludf.DUMMYFUNCTION("IMPORTRANGE(""https://docs.google.com/spreadsheets/d/149xufxukrnEciK3WPbNpHwUK8BKEJxp3UcBG3Al6dA4/edit?usp=sharing"",""สิงห์บุรี!I708"")"),0)</f>
        <v>0</v>
      </c>
      <c r="AI71" s="57">
        <f ca="1">IFERROR(__xludf.DUMMYFUNCTION("IMPORTRANGE(""https://docs.google.com/spreadsheets/d/149xufxukrnEciK3WPbNpHwUK8BKEJxp3UcBG3Al6dA4/edit?usp=sharing"",""สิงห์บุรี!J708"")"),0)</f>
        <v>0</v>
      </c>
      <c r="AJ71" s="63">
        <f t="shared" ca="1" si="37"/>
        <v>0</v>
      </c>
      <c r="AK71" s="57">
        <f ca="1">IFERROR(__xludf.DUMMYFUNCTION("IMPORTRANGE(""https://docs.google.com/spreadsheets/d/149xufxukrnEciK3WPbNpHwUK8BKEJxp3UcBG3Al6dA4/edit?usp=sharing"",""สิงห์บุรี!J709"")"),0)</f>
        <v>0</v>
      </c>
      <c r="AL71" s="57">
        <f ca="1">IFERROR(__xludf.DUMMYFUNCTION("IMPORTRANGE(""https://docs.google.com/spreadsheets/d/149xufxukrnEciK3WPbNpHwUK8BKEJxp3UcBG3Al6dA4/edit?usp=sharing"",""สิงห์บุรี!J710"")"),0)</f>
        <v>0</v>
      </c>
      <c r="AM71" s="57">
        <f ca="1">IFERROR(__xludf.DUMMYFUNCTION("IMPORTRANGE(""https://docs.google.com/spreadsheets/d/149xufxukrnEciK3WPbNpHwUK8BKEJxp3UcBG3Al6dA4/edit?usp=sharing"",""สิงห์บุรี!J712"")"),0)</f>
        <v>0</v>
      </c>
      <c r="AN71" s="57">
        <f ca="1">IFERROR(__xludf.DUMMYFUNCTION("IMPORTRANGE(""https://docs.google.com/spreadsheets/d/149xufxukrnEciK3WPbNpHwUK8BKEJxp3UcBG3Al6dA4/edit?usp=sharing"",""สิงห์บุรี!J713"")"),0)</f>
        <v>0</v>
      </c>
      <c r="AO71" s="57">
        <f ca="1">IFERROR(__xludf.DUMMYFUNCTION("IMPORTRANGE(""https://docs.google.com/spreadsheets/d/149xufxukrnEciK3WPbNpHwUK8BKEJxp3UcBG3Al6dA4/edit?usp=sharing"",""สิงห์บุรี!J714"")"),0)</f>
        <v>0</v>
      </c>
      <c r="AP71" s="57">
        <f ca="1">IFERROR(__xludf.DUMMYFUNCTION("IMPORTRANGE(""https://docs.google.com/spreadsheets/d/149xufxukrnEciK3WPbNpHwUK8BKEJxp3UcBG3Al6dA4/edit?usp=sharing"",""สิงห์บุรี!J715"")"),0)</f>
        <v>0</v>
      </c>
      <c r="AQ71" s="57">
        <f ca="1">IFERROR(__xludf.DUMMYFUNCTION("IMPORTRANGE(""https://docs.google.com/spreadsheets/d/149xufxukrnEciK3WPbNpHwUK8BKEJxp3UcBG3Al6dA4/edit?usp=sharing"",""สิงห์บุรี!J716"")"),0)</f>
        <v>0</v>
      </c>
      <c r="AR71" s="57">
        <f ca="1">IFERROR(__xludf.DUMMYFUNCTION("IMPORTRANGE(""https://docs.google.com/spreadsheets/d/149xufxukrnEciK3WPbNpHwUK8BKEJxp3UcBG3Al6dA4/edit?usp=sharing"",""สิงห์บุรี!J717"")"),0)</f>
        <v>0</v>
      </c>
      <c r="AS71" s="57">
        <f ca="1">IFERROR(__xludf.DUMMYFUNCTION("IMPORTRANGE(""https://docs.google.com/spreadsheets/d/149xufxukrnEciK3WPbNpHwUK8BKEJxp3UcBG3Al6dA4/edit?usp=sharing"",""สิงห์บุรี!I720"")"),0)</f>
        <v>0</v>
      </c>
      <c r="AT71" s="57">
        <f ca="1">IFERROR(__xludf.DUMMYFUNCTION("IMPORTRANGE(""https://docs.google.com/spreadsheets/d/149xufxukrnEciK3WPbNpHwUK8BKEJxp3UcBG3Al6dA4/edit?usp=sharing"",""สิงห์บุรี!J718"")"),0)</f>
        <v>0</v>
      </c>
      <c r="AU71" s="57">
        <f ca="1">IFERROR(__xludf.DUMMYFUNCTION("IMPORTRANGE(""https://docs.google.com/spreadsheets/d/149xufxukrnEciK3WPbNpHwUK8BKEJxp3UcBG3Al6dA4/edit?usp=sharing"",""สิงห์บุรี!J719"")"),0)</f>
        <v>0</v>
      </c>
      <c r="AV71" s="57">
        <f ca="1">IFERROR(__xludf.DUMMYFUNCTION("IMPORTRANGE(""https://docs.google.com/spreadsheets/d/149xufxukrnEciK3WPbNpHwUK8BKEJxp3UcBG3Al6dA4/edit?usp=sharing"",""สิงห์บุรี!J720"")"),0)</f>
        <v>0</v>
      </c>
      <c r="AW71" s="63">
        <f t="shared" ca="1" si="14"/>
        <v>0</v>
      </c>
      <c r="AX71" s="57">
        <f ca="1">IFERROR(__xludf.DUMMYFUNCTION("IMPORTRANGE(""https://docs.google.com/spreadsheets/d/149xufxukrnEciK3WPbNpHwUK8BKEJxp3UcBG3Al6dA4/edit?usp=sharing"",""สิงห์บุรี!I721"")"),1)</f>
        <v>1</v>
      </c>
      <c r="AY71" s="57">
        <f ca="1">IFERROR(__xludf.DUMMYFUNCTION("IMPORTRANGE(""https://docs.google.com/spreadsheets/d/149xufxukrnEciK3WPbNpHwUK8BKEJxp3UcBG3Al6dA4/edit?usp=sharing"",""สิงห์บุรี!I722"")"),15)</f>
        <v>15</v>
      </c>
      <c r="AZ71" s="57">
        <f ca="1">IFERROR(__xludf.DUMMYFUNCTION("IMPORTRANGE(""https://docs.google.com/spreadsheets/d/149xufxukrnEciK3WPbNpHwUK8BKEJxp3UcBG3Al6dA4/edit?usp=sharing"",""สิงห์บุรี!J721"")"),0)</f>
        <v>0</v>
      </c>
      <c r="BA71" s="63">
        <f t="shared" ca="1" si="16"/>
        <v>0</v>
      </c>
      <c r="BB71" s="57">
        <f ca="1">IFERROR(__xludf.DUMMYFUNCTION("IMPORTRANGE(""https://docs.google.com/spreadsheets/d/149xufxukrnEciK3WPbNpHwUK8BKEJxp3UcBG3Al6dA4/edit?usp=sharing"",""สิงห์บุรี!J722"")"),0)</f>
        <v>0</v>
      </c>
      <c r="BC71" s="63">
        <f t="shared" ca="1" si="17"/>
        <v>0</v>
      </c>
      <c r="BD71" s="57">
        <f ca="1">IFERROR(__xludf.DUMMYFUNCTION("IMPORTRANGE(""https://docs.google.com/spreadsheets/d/149xufxukrnEciK3WPbNpHwUK8BKEJxp3UcBG3Al6dA4/edit?usp=sharing"",""สิงห์บุรี!I723"")"),1)</f>
        <v>1</v>
      </c>
      <c r="BE71" s="57">
        <f ca="1">IFERROR(__xludf.DUMMYFUNCTION("IMPORTRANGE(""https://docs.google.com/spreadsheets/d/149xufxukrnEciK3WPbNpHwUK8BKEJxp3UcBG3Al6dA4/edit?usp=sharing"",""สิงห์บุรี!I725"")"),15)</f>
        <v>15</v>
      </c>
      <c r="BF71" s="57">
        <f ca="1">IFERROR(__xludf.DUMMYFUNCTION("IMPORTRANGE(""https://docs.google.com/spreadsheets/d/149xufxukrnEciK3WPbNpHwUK8BKEJxp3UcBG3Al6dA4/edit?usp=sharing"",""สิงห์บุรี!J723"")"),0)</f>
        <v>0</v>
      </c>
      <c r="BG71" s="57">
        <f ca="1">IFERROR(__xludf.DUMMYFUNCTION("IMPORTRANGE(""https://docs.google.com/spreadsheets/d/149xufxukrnEciK3WPbNpHwUK8BKEJxp3UcBG3Al6dA4/edit?usp=sharing"",""สิงห์บุรี!J724"")"),0)</f>
        <v>0</v>
      </c>
      <c r="BH71" s="57">
        <f ca="1">IFERROR(__xludf.DUMMYFUNCTION("IMPORTRANGE(""https://docs.google.com/spreadsheets/d/149xufxukrnEciK3WPbNpHwUK8BKEJxp3UcBG3Al6dA4/edit?usp=sharing"",""สิงห์บุรี!J725"")"),0)</f>
        <v>0</v>
      </c>
      <c r="BI71" s="57">
        <f ca="1">IFERROR(__xludf.DUMMYFUNCTION("IMPORTRANGE(""https://docs.google.com/spreadsheets/d/149xufxukrnEciK3WPbNpHwUK8BKEJxp3UcBG3Al6dA4/edit?usp=sharing"",""สิงห์บุรี!I726"")"),0)</f>
        <v>0</v>
      </c>
      <c r="BJ71" s="57">
        <f ca="1">IFERROR(__xludf.DUMMYFUNCTION("IMPORTRANGE(""https://docs.google.com/spreadsheets/d/149xufxukrnEciK3WPbNpHwUK8BKEJxp3UcBG3Al6dA4/edit?usp=sharing"",""สิงห์บุรี!I728"")"),0)</f>
        <v>0</v>
      </c>
      <c r="BK71" s="57">
        <f ca="1">IFERROR(__xludf.DUMMYFUNCTION("IMPORTRANGE(""https://docs.google.com/spreadsheets/d/149xufxukrnEciK3WPbNpHwUK8BKEJxp3UcBG3Al6dA4/edit?usp=sharing"",""สิงห์บุรี!J726"")"),0)</f>
        <v>0</v>
      </c>
      <c r="BL71" s="57">
        <f ca="1">IFERROR(__xludf.DUMMYFUNCTION("IMPORTRANGE(""https://docs.google.com/spreadsheets/d/149xufxukrnEciK3WPbNpHwUK8BKEJxp3UcBG3Al6dA4/edit?usp=sharing"",""สิงห์บุรี!J727"")"),0)</f>
        <v>0</v>
      </c>
      <c r="BM71" s="57">
        <f ca="1">IFERROR(__xludf.DUMMYFUNCTION("IMPORTRANGE(""https://docs.google.com/spreadsheets/d/149xufxukrnEciK3WPbNpHwUK8BKEJxp3UcBG3Al6dA4/edit?usp=sharing"",""สิงห์บุรี!J728"")"),0)</f>
        <v>0</v>
      </c>
      <c r="BN71" s="57">
        <f ca="1">IFERROR(__xludf.DUMMYFUNCTION("IMPORTRANGE(""https://docs.google.com/spreadsheets/d/149xufxukrnEciK3WPbNpHwUK8BKEJxp3UcBG3Al6dA4/edit?usp=sharing"",""สิงห์บุรี!I729"")"),0)</f>
        <v>0</v>
      </c>
      <c r="BO71" s="57">
        <f ca="1">IFERROR(__xludf.DUMMYFUNCTION("IMPORTRANGE(""https://docs.google.com/spreadsheets/d/149xufxukrnEciK3WPbNpHwUK8BKEJxp3UcBG3Al6dA4/edit?usp=sharing"",""สิงห์บุรี!J729"")"),0)</f>
        <v>0</v>
      </c>
      <c r="BP71" s="63">
        <f t="shared" ca="1" si="19"/>
        <v>0</v>
      </c>
      <c r="BQ71" s="57">
        <f ca="1">IFERROR(__xludf.DUMMYFUNCTION("IMPORTRANGE(""https://docs.google.com/spreadsheets/d/149xufxukrnEciK3WPbNpHwUK8BKEJxp3UcBG3Al6dA4/edit?usp=sharing"",""สิงห์บุรี!J730"")"),0)</f>
        <v>0</v>
      </c>
      <c r="BR71" s="57">
        <f ca="1">IFERROR(__xludf.DUMMYFUNCTION("IMPORTRANGE(""https://docs.google.com/spreadsheets/d/149xufxukrnEciK3WPbNpHwUK8BKEJxp3UcBG3Al6dA4/edit?usp=sharing"",""สิงห์บุรี!J731"")"),0)</f>
        <v>0</v>
      </c>
      <c r="BS71" s="57">
        <f ca="1">IFERROR(__xludf.DUMMYFUNCTION("IMPORTRANGE(""https://docs.google.com/spreadsheets/d/149xufxukrnEciK3WPbNpHwUK8BKEJxp3UcBG3Al6dA4/edit?usp=sharing"",""สิงห์บุรี!J732"")"),0)</f>
        <v>0</v>
      </c>
      <c r="BT71" s="57">
        <f ca="1">IFERROR(__xludf.DUMMYFUNCTION("IMPORTRANGE(""https://docs.google.com/spreadsheets/d/149xufxukrnEciK3WPbNpHwUK8BKEJxp3UcBG3Al6dA4/edit?usp=sharing"",""สิงห์บุรี!J733"")"),0)</f>
        <v>0</v>
      </c>
      <c r="BU71" s="57">
        <f ca="1">IFERROR(__xludf.DUMMYFUNCTION("IMPORTRANGE(""https://docs.google.com/spreadsheets/d/149xufxukrnEciK3WPbNpHwUK8BKEJxp3UcBG3Al6dA4/edit?usp=sharing"",""สิงห์บุรี!J734"")"),0)</f>
        <v>0</v>
      </c>
      <c r="BV71" s="57">
        <f ca="1">IFERROR(__xludf.DUMMYFUNCTION("IMPORTRANGE(""https://docs.google.com/spreadsheets/d/149xufxukrnEciK3WPbNpHwUK8BKEJxp3UcBG3Al6dA4/edit?usp=sharing"",""สิงห์บุรี!J735"")"),0)</f>
        <v>0</v>
      </c>
    </row>
    <row r="72" spans="1:74" ht="21" customHeight="1" x14ac:dyDescent="0.3">
      <c r="A72" s="54">
        <v>20</v>
      </c>
      <c r="B72" s="55" t="s">
        <v>93</v>
      </c>
      <c r="C72" s="56">
        <f t="shared" ca="1" si="75"/>
        <v>24580</v>
      </c>
      <c r="D72" s="57">
        <f ca="1">IFERROR(__xludf.DUMMYFUNCTION("IMPORTRANGE(""https://docs.google.com/spreadsheets/d/132g-zJpz2uMKimp17uOIx8A7o3w1Z25zwJyXnwsB56c/edit?usp=sharing"",""สุพรรณบุรี!L690"")"),24580)</f>
        <v>24580</v>
      </c>
      <c r="E72" s="64">
        <f ca="1">IFERROR(__xludf.DUMMYFUNCTION("IMPORTRANGE(""https://docs.google.com/spreadsheets/d/132g-zJpz2uMKimp17uOIx8A7o3w1Z25zwJyXnwsB56c/edit?usp=sharing"",""สุพรรณบุรี!L697"")"),0)</f>
        <v>0</v>
      </c>
      <c r="F72" s="64">
        <f ca="1">IFERROR(__xludf.DUMMYFUNCTION("IMPORTRANGE(""https://docs.google.com/spreadsheets/d/132g-zJpz2uMKimp17uOIx8A7o3w1Z25zwJyXnwsB56c/edit?usp=sharing"",""สุพรรณบุรี!M690"")"),24580)</f>
        <v>24580</v>
      </c>
      <c r="G72" s="64">
        <f ca="1">IFERROR(__xludf.DUMMYFUNCTION("IMPORTRANGE(""https://docs.google.com/spreadsheets/d/132g-zJpz2uMKimp17uOIx8A7o3w1Z25zwJyXnwsB56c/edit?usp=sharing"",""สุพรรณบุรี!M697"")"),0)</f>
        <v>0</v>
      </c>
      <c r="H72" s="58">
        <f t="shared" ca="1" si="33"/>
        <v>0</v>
      </c>
      <c r="I72" s="59">
        <f t="shared" ca="1" si="1"/>
        <v>0</v>
      </c>
      <c r="J72" s="60">
        <f t="shared" ca="1" si="76"/>
        <v>0</v>
      </c>
      <c r="K72" s="61">
        <f t="shared" ca="1" si="39"/>
        <v>0</v>
      </c>
      <c r="L72" s="61">
        <f t="shared" ca="1" si="40"/>
        <v>0</v>
      </c>
      <c r="M72" s="64">
        <f ca="1">IFERROR(__xludf.DUMMYFUNCTION("IMPORTRANGE(""https://docs.google.com/spreadsheets/d/132g-zJpz2uMKimp17uOIx8A7o3w1Z25zwJyXnwsB56c/edit?usp=sharing"",""สุพรรณบุรี!N691"")"),0)</f>
        <v>0</v>
      </c>
      <c r="N72" s="64">
        <f ca="1">IFERROR(__xludf.DUMMYFUNCTION("IMPORTRANGE(""https://docs.google.com/spreadsheets/d/132g-zJpz2uMKimp17uOIx8A7o3w1Z25zwJyXnwsB56c/edit?usp=sharing"",""สุพรรณบุรี!N692"")"),0)</f>
        <v>0</v>
      </c>
      <c r="O72" s="64">
        <f ca="1">IFERROR(__xludf.DUMMYFUNCTION("IMPORTRANGE(""https://docs.google.com/spreadsheets/d/132g-zJpz2uMKimp17uOIx8A7o3w1Z25zwJyXnwsB56c/edit?usp=sharing"",""สุพรรณบุรี!N693"")"),0)</f>
        <v>0</v>
      </c>
      <c r="P72" s="64">
        <f ca="1">IFERROR(__xludf.DUMMYFUNCTION("IMPORTRANGE(""https://docs.google.com/spreadsheets/d/132g-zJpz2uMKimp17uOIx8A7o3w1Z25zwJyXnwsB56c/edit?usp=sharing"",""สุพรรณบุรี!N694"")"),0)</f>
        <v>0</v>
      </c>
      <c r="Q72" s="62">
        <f ca="1">IFERROR(__xludf.DUMMYFUNCTION("IMPORTRANGE(""https://docs.google.com/spreadsheets/d/132g-zJpz2uMKimp17uOIx8A7o3w1Z25zwJyXnwsB56c/edit?usp=sharing"",""สุพรรณบุรี!N697"")"),0)</f>
        <v>0</v>
      </c>
      <c r="R72" s="62">
        <f t="shared" ca="1" si="42"/>
        <v>0</v>
      </c>
      <c r="S72" s="57">
        <f ca="1">IFERROR(__xludf.DUMMYFUNCTION("IMPORTRANGE(""https://docs.google.com/spreadsheets/d/132g-zJpz2uMKimp17uOIx8A7o3w1Z25zwJyXnwsB56c/edit?usp=sharing"",""สุพรรณบุรี!I699"")"),0)</f>
        <v>0</v>
      </c>
      <c r="T72" s="57">
        <f ca="1">IFERROR(__xludf.DUMMYFUNCTION("IMPORTRANGE(""https://docs.google.com/spreadsheets/d/132g-zJpz2uMKimp17uOIx8A7o3w1Z25zwJyXnwsB56c/edit?usp=sharing"",""สุพรรณบุรี!J699"")"),0)</f>
        <v>0</v>
      </c>
      <c r="U72" s="63">
        <f t="shared" ca="1" si="34"/>
        <v>0</v>
      </c>
      <c r="V72" s="57">
        <f ca="1">IFERROR(__xludf.DUMMYFUNCTION("IMPORTRANGE(""https://docs.google.com/spreadsheets/d/132g-zJpz2uMKimp17uOIx8A7o3w1Z25zwJyXnwsB56c/edit?usp=sharing"",""สุพรรณบุรี!I700"")"),0)</f>
        <v>0</v>
      </c>
      <c r="W72" s="57">
        <f ca="1">IFERROR(__xludf.DUMMYFUNCTION("IMPORTRANGE(""https://docs.google.com/spreadsheets/d/132g-zJpz2uMKimp17uOIx8A7o3w1Z25zwJyXnwsB56c/edit?usp=sharing"",""สุพรรณบุรี!J700"")"),0)</f>
        <v>0</v>
      </c>
      <c r="X72" s="63">
        <f t="shared" ca="1" si="35"/>
        <v>0</v>
      </c>
      <c r="Y72" s="57">
        <f ca="1">IFERROR(__xludf.DUMMYFUNCTION("IMPORTRANGE(""https://docs.google.com/spreadsheets/d/132g-zJpz2uMKimp17uOIx8A7o3w1Z25zwJyXnwsB56c/edit?usp=sharing"",""สุพรรณบุรี!I701"")"),30)</f>
        <v>30</v>
      </c>
      <c r="Z72" s="57">
        <f ca="1">IFERROR(__xludf.DUMMYFUNCTION("IMPORTRANGE(""https://docs.google.com/spreadsheets/d/132g-zJpz2uMKimp17uOIx8A7o3w1Z25zwJyXnwsB56c/edit?usp=sharing"",""สุพรรณบุรี!J701"")"),50)</f>
        <v>50</v>
      </c>
      <c r="AA72" s="63">
        <f t="shared" ca="1" si="36"/>
        <v>166.66666666666666</v>
      </c>
      <c r="AB72" s="63">
        <f ca="1">IFERROR(__xludf.DUMMYFUNCTION("IMPORTRANGE(""https://docs.google.com/spreadsheets/d/132g-zJpz2uMKimp17uOIx8A7o3w1Z25zwJyXnwsB56c/edit?usp=sharing"",""สุพรรณบุรี!J702"")"),8)</f>
        <v>8</v>
      </c>
      <c r="AC72" s="63">
        <f ca="1">IFERROR(__xludf.DUMMYFUNCTION("IMPORTRANGE(""https://docs.google.com/spreadsheets/d/132g-zJpz2uMKimp17uOIx8A7o3w1Z25zwJyXnwsB56c/edit?usp=sharing"",""สุพรรณบุรี!J703"")"),8)</f>
        <v>8</v>
      </c>
      <c r="AD72" s="63">
        <f ca="1">IFERROR(__xludf.DUMMYFUNCTION("IMPORTRANGE(""https://docs.google.com/spreadsheets/d/132g-zJpz2uMKimp17uOIx8A7o3w1Z25zwJyXnwsB56c/edit?usp=sharing"",""สุพรรณบุรี!J704"")"),50)</f>
        <v>50</v>
      </c>
      <c r="AE72" s="63">
        <f ca="1">IFERROR(__xludf.DUMMYFUNCTION("IMPORTRANGE(""https://docs.google.com/spreadsheets/d/132g-zJpz2uMKimp17uOIx8A7o3w1Z25zwJyXnwsB56c/edit?usp=sharing"",""สุพรรณบุรี!J705"")"),0)</f>
        <v>0</v>
      </c>
      <c r="AF72" s="63">
        <f ca="1">IFERROR(__xludf.DUMMYFUNCTION("IMPORTRANGE(""https://docs.google.com/spreadsheets/d/132g-zJpz2uMKimp17uOIx8A7o3w1Z25zwJyXnwsB56c/edit?usp=sharing"",""สุพรรณบุรี!J706"")"),0)</f>
        <v>0</v>
      </c>
      <c r="AG72" s="63">
        <f ca="1">IFERROR(__xludf.DUMMYFUNCTION("IMPORTRANGE(""https://docs.google.com/spreadsheets/d/132g-zJpz2uMKimp17uOIx8A7o3w1Z25zwJyXnwsB56c/edit?usp=sharing"",""สุพรรณบุรี!J707"")"),0)</f>
        <v>0</v>
      </c>
      <c r="AH72" s="57">
        <f ca="1">IFERROR(__xludf.DUMMYFUNCTION("IMPORTRANGE(""https://docs.google.com/spreadsheets/d/132g-zJpz2uMKimp17uOIx8A7o3w1Z25zwJyXnwsB56c/edit?usp=sharing"",""สุพรรณบุรี!I708"")"),120)</f>
        <v>120</v>
      </c>
      <c r="AI72" s="57">
        <f ca="1">IFERROR(__xludf.DUMMYFUNCTION("IMPORTRANGE(""https://docs.google.com/spreadsheets/d/132g-zJpz2uMKimp17uOIx8A7o3w1Z25zwJyXnwsB56c/edit?usp=sharing"",""สุพรรณบุรี!J708"")"),0)</f>
        <v>0</v>
      </c>
      <c r="AJ72" s="63">
        <f t="shared" ca="1" si="37"/>
        <v>0</v>
      </c>
      <c r="AK72" s="57">
        <f ca="1">IFERROR(__xludf.DUMMYFUNCTION("IMPORTRANGE(""https://docs.google.com/spreadsheets/d/132g-zJpz2uMKimp17uOIx8A7o3w1Z25zwJyXnwsB56c/edit?usp=sharing"",""สุพรรณบุรี!J709"")"),0)</f>
        <v>0</v>
      </c>
      <c r="AL72" s="57">
        <f ca="1">IFERROR(__xludf.DUMMYFUNCTION("IMPORTRANGE(""https://docs.google.com/spreadsheets/d/132g-zJpz2uMKimp17uOIx8A7o3w1Z25zwJyXnwsB56c/edit?usp=sharing"",""สุพรรณบุรี!J710"")"),0)</f>
        <v>0</v>
      </c>
      <c r="AM72" s="57">
        <f ca="1">IFERROR(__xludf.DUMMYFUNCTION("IMPORTRANGE(""https://docs.google.com/spreadsheets/d/132g-zJpz2uMKimp17uOIx8A7o3w1Z25zwJyXnwsB56c/edit?usp=sharing"",""สุพรรณบุรี!J712"")"),0)</f>
        <v>0</v>
      </c>
      <c r="AN72" s="57">
        <f ca="1">IFERROR(__xludf.DUMMYFUNCTION("IMPORTRANGE(""https://docs.google.com/spreadsheets/d/132g-zJpz2uMKimp17uOIx8A7o3w1Z25zwJyXnwsB56c/edit?usp=sharing"",""สุพรรณบุรี!J713"")"),0)</f>
        <v>0</v>
      </c>
      <c r="AO72" s="57">
        <f ca="1">IFERROR(__xludf.DUMMYFUNCTION("IMPORTRANGE(""https://docs.google.com/spreadsheets/d/132g-zJpz2uMKimp17uOIx8A7o3w1Z25zwJyXnwsB56c/edit?usp=sharing"",""สุพรรณบุรี!J714"")"),0)</f>
        <v>0</v>
      </c>
      <c r="AP72" s="57">
        <f ca="1">IFERROR(__xludf.DUMMYFUNCTION("IMPORTRANGE(""https://docs.google.com/spreadsheets/d/132g-zJpz2uMKimp17uOIx8A7o3w1Z25zwJyXnwsB56c/edit?usp=sharing"",""สุพรรณบุรี!J715"")"),0)</f>
        <v>0</v>
      </c>
      <c r="AQ72" s="57">
        <f ca="1">IFERROR(__xludf.DUMMYFUNCTION("IMPORTRANGE(""https://docs.google.com/spreadsheets/d/132g-zJpz2uMKimp17uOIx8A7o3w1Z25zwJyXnwsB56c/edit?usp=sharing"",""สุพรรณบุรี!J716"")"),0)</f>
        <v>0</v>
      </c>
      <c r="AR72" s="57">
        <f ca="1">IFERROR(__xludf.DUMMYFUNCTION("IMPORTRANGE(""https://docs.google.com/spreadsheets/d/132g-zJpz2uMKimp17uOIx8A7o3w1Z25zwJyXnwsB56c/edit?usp=sharing"",""สุพรรณบุรี!J717"")"),0)</f>
        <v>0</v>
      </c>
      <c r="AS72" s="57">
        <f ca="1">IFERROR(__xludf.DUMMYFUNCTION("IMPORTRANGE(""https://docs.google.com/spreadsheets/d/132g-zJpz2uMKimp17uOIx8A7o3w1Z25zwJyXnwsB56c/edit?usp=sharing"",""สุพรรณบุรี!I720"")"),170)</f>
        <v>170</v>
      </c>
      <c r="AT72" s="57">
        <f ca="1">IFERROR(__xludf.DUMMYFUNCTION("IMPORTRANGE(""https://docs.google.com/spreadsheets/d/132g-zJpz2uMKimp17uOIx8A7o3w1Z25zwJyXnwsB56c/edit?usp=sharing"",""สุพรรณบุรี!J718"")"),0)</f>
        <v>0</v>
      </c>
      <c r="AU72" s="57">
        <f ca="1">IFERROR(__xludf.DUMMYFUNCTION("IMPORTRANGE(""https://docs.google.com/spreadsheets/d/132g-zJpz2uMKimp17uOIx8A7o3w1Z25zwJyXnwsB56c/edit?usp=sharing"",""สุพรรณบุรี!J719"")"),0)</f>
        <v>0</v>
      </c>
      <c r="AV72" s="57">
        <f ca="1">IFERROR(__xludf.DUMMYFUNCTION("IMPORTRANGE(""https://docs.google.com/spreadsheets/d/132g-zJpz2uMKimp17uOIx8A7o3w1Z25zwJyXnwsB56c/edit?usp=sharing"",""สุพรรณบุรี!J720"")"),0)</f>
        <v>0</v>
      </c>
      <c r="AW72" s="63">
        <f t="shared" ca="1" si="14"/>
        <v>0</v>
      </c>
      <c r="AX72" s="57">
        <f ca="1">IFERROR(__xludf.DUMMYFUNCTION("IMPORTRANGE(""https://docs.google.com/spreadsheets/d/132g-zJpz2uMKimp17uOIx8A7o3w1Z25zwJyXnwsB56c/edit?usp=sharing"",""สุพรรณบุรี!I721"")"),29)</f>
        <v>29</v>
      </c>
      <c r="AY72" s="57">
        <f ca="1">IFERROR(__xludf.DUMMYFUNCTION("IMPORTRANGE(""https://docs.google.com/spreadsheets/d/132g-zJpz2uMKimp17uOIx8A7o3w1Z25zwJyXnwsB56c/edit?usp=sharing"",""สุพรรณบุรี!I722"")"),300)</f>
        <v>300</v>
      </c>
      <c r="AZ72" s="57">
        <f ca="1">IFERROR(__xludf.DUMMYFUNCTION("IMPORTRANGE(""https://docs.google.com/spreadsheets/d/132g-zJpz2uMKimp17uOIx8A7o3w1Z25zwJyXnwsB56c/edit?usp=sharing"",""สุพรรณบุรี!J721"")"),1)</f>
        <v>1</v>
      </c>
      <c r="BA72" s="63">
        <f t="shared" ca="1" si="16"/>
        <v>3.4482758620689653</v>
      </c>
      <c r="BB72" s="57">
        <f ca="1">IFERROR(__xludf.DUMMYFUNCTION("IMPORTRANGE(""https://docs.google.com/spreadsheets/d/132g-zJpz2uMKimp17uOIx8A7o3w1Z25zwJyXnwsB56c/edit?usp=sharing"",""สุพรรณบุรี!J722"")"),11)</f>
        <v>11</v>
      </c>
      <c r="BC72" s="63">
        <f t="shared" ca="1" si="17"/>
        <v>3.6666666666666665</v>
      </c>
      <c r="BD72" s="57">
        <f ca="1">IFERROR(__xludf.DUMMYFUNCTION("IMPORTRANGE(""https://docs.google.com/spreadsheets/d/132g-zJpz2uMKimp17uOIx8A7o3w1Z25zwJyXnwsB56c/edit?usp=sharing"",""สุพรรณบุรี!I723"")"),20)</f>
        <v>20</v>
      </c>
      <c r="BE72" s="57">
        <f ca="1">IFERROR(__xludf.DUMMYFUNCTION("IMPORTRANGE(""https://docs.google.com/spreadsheets/d/132g-zJpz2uMKimp17uOIx8A7o3w1Z25zwJyXnwsB56c/edit?usp=sharing"",""สุพรรณบุรี!I725"")"),200)</f>
        <v>200</v>
      </c>
      <c r="BF72" s="57">
        <f ca="1">IFERROR(__xludf.DUMMYFUNCTION("IMPORTRANGE(""https://docs.google.com/spreadsheets/d/132g-zJpz2uMKimp17uOIx8A7o3w1Z25zwJyXnwsB56c/edit?usp=sharing"",""สุพรรณบุรี!J723"")"),1)</f>
        <v>1</v>
      </c>
      <c r="BG72" s="57">
        <f ca="1">IFERROR(__xludf.DUMMYFUNCTION("IMPORTRANGE(""https://docs.google.com/spreadsheets/d/132g-zJpz2uMKimp17uOIx8A7o3w1Z25zwJyXnwsB56c/edit?usp=sharing"",""สุพรรณบุรี!J724"")"),1)</f>
        <v>1</v>
      </c>
      <c r="BH72" s="57">
        <f ca="1">IFERROR(__xludf.DUMMYFUNCTION("IMPORTRANGE(""https://docs.google.com/spreadsheets/d/132g-zJpz2uMKimp17uOIx8A7o3w1Z25zwJyXnwsB56c/edit?usp=sharing"",""สุพรรณบุรี!J725"")"),11)</f>
        <v>11</v>
      </c>
      <c r="BI72" s="57">
        <f ca="1">IFERROR(__xludf.DUMMYFUNCTION("IMPORTRANGE(""https://docs.google.com/spreadsheets/d/132g-zJpz2uMKimp17uOIx8A7o3w1Z25zwJyXnwsB56c/edit?usp=sharing"",""สุพรรณบุรี!I726"")"),9)</f>
        <v>9</v>
      </c>
      <c r="BJ72" s="57">
        <f ca="1">IFERROR(__xludf.DUMMYFUNCTION("IMPORTRANGE(""https://docs.google.com/spreadsheets/d/132g-zJpz2uMKimp17uOIx8A7o3w1Z25zwJyXnwsB56c/edit?usp=sharing"",""สุพรรณบุรี!I728"")"),100)</f>
        <v>100</v>
      </c>
      <c r="BK72" s="57">
        <f ca="1">IFERROR(__xludf.DUMMYFUNCTION("IMPORTRANGE(""https://docs.google.com/spreadsheets/d/132g-zJpz2uMKimp17uOIx8A7o3w1Z25zwJyXnwsB56c/edit?usp=sharing"",""สุพรรณบุรี!J726"")"),0)</f>
        <v>0</v>
      </c>
      <c r="BL72" s="57">
        <f ca="1">IFERROR(__xludf.DUMMYFUNCTION("IMPORTRANGE(""https://docs.google.com/spreadsheets/d/132g-zJpz2uMKimp17uOIx8A7o3w1Z25zwJyXnwsB56c/edit?usp=sharing"",""สุพรรณบุรี!J727"")"),0)</f>
        <v>0</v>
      </c>
      <c r="BM72" s="57">
        <f ca="1">IFERROR(__xludf.DUMMYFUNCTION("IMPORTRANGE(""https://docs.google.com/spreadsheets/d/132g-zJpz2uMKimp17uOIx8A7o3w1Z25zwJyXnwsB56c/edit?usp=sharing"",""สุพรรณบุรี!J728"")"),0)</f>
        <v>0</v>
      </c>
      <c r="BN72" s="57">
        <f ca="1">IFERROR(__xludf.DUMMYFUNCTION("IMPORTRANGE(""https://docs.google.com/spreadsheets/d/132g-zJpz2uMKimp17uOIx8A7o3w1Z25zwJyXnwsB56c/edit?usp=sharing"",""สุพรรณบุรี!I729"")"),20)</f>
        <v>20</v>
      </c>
      <c r="BO72" s="57">
        <f ca="1">IFERROR(__xludf.DUMMYFUNCTION("IMPORTRANGE(""https://docs.google.com/spreadsheets/d/132g-zJpz2uMKimp17uOIx8A7o3w1Z25zwJyXnwsB56c/edit?usp=sharing"",""สุพรรณบุรี!J729"")"),50.24)</f>
        <v>50.24</v>
      </c>
      <c r="BP72" s="63">
        <f t="shared" ca="1" si="19"/>
        <v>251.2</v>
      </c>
      <c r="BQ72" s="117" t="str">
        <f ca="1">IFERROR(__xludf.DUMMYFUNCTION("IMPORTRANGE(""https://docs.google.com/spreadsheets/d/132g-zJpz2uMKimp17uOIx8A7o3w1Z25zwJyXnwsB56c/edit?usp=sharing"",""สุพรรณบุรี!J730"")"),"")</f>
        <v/>
      </c>
      <c r="BR72" s="117" t="str">
        <f ca="1">IFERROR(__xludf.DUMMYFUNCTION("IMPORTRANGE(""https://docs.google.com/spreadsheets/d/132g-zJpz2uMKimp17uOIx8A7o3w1Z25zwJyXnwsB56c/edit?usp=sharing"",""สุพรรณบุรี!J731"")"),"")</f>
        <v/>
      </c>
      <c r="BS72" s="117" t="str">
        <f ca="1">IFERROR(__xludf.DUMMYFUNCTION("IMPORTRANGE(""https://docs.google.com/spreadsheets/d/132g-zJpz2uMKimp17uOIx8A7o3w1Z25zwJyXnwsB56c/edit?usp=sharing"",""สุพรรณบุรี!J732"")"),"")</f>
        <v/>
      </c>
      <c r="BT72" s="57">
        <f ca="1">IFERROR(__xludf.DUMMYFUNCTION("IMPORTRANGE(""https://docs.google.com/spreadsheets/d/132g-zJpz2uMKimp17uOIx8A7o3w1Z25zwJyXnwsB56c/edit?usp=sharing"",""สุพรรณบุรี!J733"")"),2)</f>
        <v>2</v>
      </c>
      <c r="BU72" s="57">
        <f ca="1">IFERROR(__xludf.DUMMYFUNCTION("IMPORTRANGE(""https://docs.google.com/spreadsheets/d/132g-zJpz2uMKimp17uOIx8A7o3w1Z25zwJyXnwsB56c/edit?usp=sharing"",""สุพรรณบุรี!J734"")"),2)</f>
        <v>2</v>
      </c>
      <c r="BV72" s="57">
        <f ca="1">IFERROR(__xludf.DUMMYFUNCTION("IMPORTRANGE(""https://docs.google.com/spreadsheets/d/132g-zJpz2uMKimp17uOIx8A7o3w1Z25zwJyXnwsB56c/edit?usp=sharing"",""สุพรรณบุรี!J735"")"),50.24)</f>
        <v>50.24</v>
      </c>
    </row>
    <row r="73" spans="1:74" ht="21" customHeight="1" x14ac:dyDescent="0.3">
      <c r="A73" s="65">
        <v>21</v>
      </c>
      <c r="B73" s="66" t="s">
        <v>94</v>
      </c>
      <c r="C73" s="67">
        <f t="shared" ca="1" si="75"/>
        <v>13060</v>
      </c>
      <c r="D73" s="68">
        <f ca="1">IFERROR(__xludf.DUMMYFUNCTION("IMPORTRANGE(""https://docs.google.com/spreadsheets/d/12Q_U0nVnFdxDFwa0pej9xvx8ZvLC9Dpi_vRro_aiG5g/edit?usp=sharing"",""อ่างทอง!L690"")"),13060)</f>
        <v>13060</v>
      </c>
      <c r="E73" s="69">
        <f ca="1">IFERROR(__xludf.DUMMYFUNCTION("IMPORTRANGE(""https://docs.google.com/spreadsheets/d/12Q_U0nVnFdxDFwa0pej9xvx8ZvLC9Dpi_vRro_aiG5g/edit?usp=sharing"",""อ่างทอง!L697"")"),0)</f>
        <v>0</v>
      </c>
      <c r="F73" s="69">
        <f ca="1">IFERROR(__xludf.DUMMYFUNCTION("IMPORTRANGE(""https://docs.google.com/spreadsheets/d/12Q_U0nVnFdxDFwa0pej9xvx8ZvLC9Dpi_vRro_aiG5g/edit?usp=sharing"",""อ่างทอง!M690"")"),13060)</f>
        <v>13060</v>
      </c>
      <c r="G73" s="69">
        <f ca="1">IFERROR(__xludf.DUMMYFUNCTION("IMPORTRANGE(""https://docs.google.com/spreadsheets/d/12Q_U0nVnFdxDFwa0pej9xvx8ZvLC9Dpi_vRro_aiG5g/edit?usp=sharing"",""อ่างทอง!M697"")"),0)</f>
        <v>0</v>
      </c>
      <c r="H73" s="70">
        <f t="shared" ca="1" si="33"/>
        <v>0</v>
      </c>
      <c r="I73" s="71">
        <f t="shared" ca="1" si="1"/>
        <v>0</v>
      </c>
      <c r="J73" s="72">
        <f t="shared" ca="1" si="76"/>
        <v>0</v>
      </c>
      <c r="K73" s="73">
        <f t="shared" ca="1" si="39"/>
        <v>0</v>
      </c>
      <c r="L73" s="73">
        <f t="shared" ca="1" si="40"/>
        <v>0</v>
      </c>
      <c r="M73" s="69">
        <f ca="1">IFERROR(__xludf.DUMMYFUNCTION("IMPORTRANGE(""https://docs.google.com/spreadsheets/d/12Q_U0nVnFdxDFwa0pej9xvx8ZvLC9Dpi_vRro_aiG5g/edit?usp=sharing"",""อ่างทอง!N691"")"),0)</f>
        <v>0</v>
      </c>
      <c r="N73" s="69">
        <f ca="1">IFERROR(__xludf.DUMMYFUNCTION("IMPORTRANGE(""https://docs.google.com/spreadsheets/d/12Q_U0nVnFdxDFwa0pej9xvx8ZvLC9Dpi_vRro_aiG5g/edit?usp=sharing"",""อ่างทอง!N692"")"),0)</f>
        <v>0</v>
      </c>
      <c r="O73" s="69">
        <f ca="1">IFERROR(__xludf.DUMMYFUNCTION("IMPORTRANGE(""https://docs.google.com/spreadsheets/d/12Q_U0nVnFdxDFwa0pej9xvx8ZvLC9Dpi_vRro_aiG5g/edit?usp=sharing"",""อ่างทอง!N693"")"),0)</f>
        <v>0</v>
      </c>
      <c r="P73" s="69">
        <f ca="1">IFERROR(__xludf.DUMMYFUNCTION("IMPORTRANGE(""https://docs.google.com/spreadsheets/d/12Q_U0nVnFdxDFwa0pej9xvx8ZvLC9Dpi_vRro_aiG5g/edit?usp=sharing"",""อ่างทอง!N694"")"),0)</f>
        <v>0</v>
      </c>
      <c r="Q73" s="74">
        <f ca="1">IFERROR(__xludf.DUMMYFUNCTION("IMPORTRANGE(""https://docs.google.com/spreadsheets/d/12Q_U0nVnFdxDFwa0pej9xvx8ZvLC9Dpi_vRro_aiG5g/edit?usp=sharing"",""อ่างทอง!N697"")"),0)</f>
        <v>0</v>
      </c>
      <c r="R73" s="74">
        <f t="shared" ca="1" si="42"/>
        <v>0</v>
      </c>
      <c r="S73" s="68">
        <f ca="1">IFERROR(__xludf.DUMMYFUNCTION("IMPORTRANGE(""https://docs.google.com/spreadsheets/d/12Q_U0nVnFdxDFwa0pej9xvx8ZvLC9Dpi_vRro_aiG5g/edit?usp=sharing"",""อ่างทอง!I699"")"),80)</f>
        <v>80</v>
      </c>
      <c r="T73" s="68">
        <f ca="1">IFERROR(__xludf.DUMMYFUNCTION("IMPORTRANGE(""https://docs.google.com/spreadsheets/d/12Q_U0nVnFdxDFwa0pej9xvx8ZvLC9Dpi_vRro_aiG5g/edit?usp=sharing"",""อ่างทอง!J699"")"),0)</f>
        <v>0</v>
      </c>
      <c r="U73" s="75">
        <f t="shared" ca="1" si="34"/>
        <v>0</v>
      </c>
      <c r="V73" s="68">
        <f ca="1">IFERROR(__xludf.DUMMYFUNCTION("IMPORTRANGE(""https://docs.google.com/spreadsheets/d/12Q_U0nVnFdxDFwa0pej9xvx8ZvLC9Dpi_vRro_aiG5g/edit?usp=sharing"",""อ่างทอง!I700"")"),16)</f>
        <v>16</v>
      </c>
      <c r="W73" s="68">
        <f ca="1">IFERROR(__xludf.DUMMYFUNCTION("IMPORTRANGE(""https://docs.google.com/spreadsheets/d/12Q_U0nVnFdxDFwa0pej9xvx8ZvLC9Dpi_vRro_aiG5g/edit?usp=sharing"",""อ่างทอง!J700"")"),0)</f>
        <v>0</v>
      </c>
      <c r="X73" s="75">
        <f t="shared" ca="1" si="35"/>
        <v>0</v>
      </c>
      <c r="Y73" s="68">
        <f ca="1">IFERROR(__xludf.DUMMYFUNCTION("IMPORTRANGE(""https://docs.google.com/spreadsheets/d/12Q_U0nVnFdxDFwa0pej9xvx8ZvLC9Dpi_vRro_aiG5g/edit?usp=sharing"",""อ่างทอง!I701"")"),15)</f>
        <v>15</v>
      </c>
      <c r="Z73" s="68">
        <f ca="1">IFERROR(__xludf.DUMMYFUNCTION("IMPORTRANGE(""https://docs.google.com/spreadsheets/d/12Q_U0nVnFdxDFwa0pej9xvx8ZvLC9Dpi_vRro_aiG5g/edit?usp=sharing"",""อ่างทอง!J701"")"),0)</f>
        <v>0</v>
      </c>
      <c r="AA73" s="75">
        <f t="shared" ca="1" si="36"/>
        <v>0</v>
      </c>
      <c r="AB73" s="75">
        <f ca="1">IFERROR(__xludf.DUMMYFUNCTION("IMPORTRANGE(""https://docs.google.com/spreadsheets/d/12Q_U0nVnFdxDFwa0pej9xvx8ZvLC9Dpi_vRro_aiG5g/edit?usp=sharing"",""อ่างทอง!J702"")"),0)</f>
        <v>0</v>
      </c>
      <c r="AC73" s="75">
        <f ca="1">IFERROR(__xludf.DUMMYFUNCTION("IMPORTRANGE(""https://docs.google.com/spreadsheets/d/12Q_U0nVnFdxDFwa0pej9xvx8ZvLC9Dpi_vRro_aiG5g/edit?usp=sharing"",""อ่างทอง!J703"")"),0)</f>
        <v>0</v>
      </c>
      <c r="AD73" s="75">
        <f ca="1">IFERROR(__xludf.DUMMYFUNCTION("IMPORTRANGE(""https://docs.google.com/spreadsheets/d/12Q_U0nVnFdxDFwa0pej9xvx8ZvLC9Dpi_vRro_aiG5g/edit?usp=sharing"",""อ่างทอง!J704"")"),0)</f>
        <v>0</v>
      </c>
      <c r="AE73" s="75">
        <f ca="1">IFERROR(__xludf.DUMMYFUNCTION("IMPORTRANGE(""https://docs.google.com/spreadsheets/d/12Q_U0nVnFdxDFwa0pej9xvx8ZvLC9Dpi_vRro_aiG5g/edit?usp=sharing"",""อ่างทอง!J705"")"),0)</f>
        <v>0</v>
      </c>
      <c r="AF73" s="75">
        <f ca="1">IFERROR(__xludf.DUMMYFUNCTION("IMPORTRANGE(""https://docs.google.com/spreadsheets/d/12Q_U0nVnFdxDFwa0pej9xvx8ZvLC9Dpi_vRro_aiG5g/edit?usp=sharing"",""อ่างทอง!J706"")"),0)</f>
        <v>0</v>
      </c>
      <c r="AG73" s="75">
        <f ca="1">IFERROR(__xludf.DUMMYFUNCTION("IMPORTRANGE(""https://docs.google.com/spreadsheets/d/12Q_U0nVnFdxDFwa0pej9xvx8ZvLC9Dpi_vRro_aiG5g/edit?usp=sharing"",""อ่างทอง!J707"")"),0)</f>
        <v>0</v>
      </c>
      <c r="AH73" s="68">
        <f ca="1">IFERROR(__xludf.DUMMYFUNCTION("IMPORTRANGE(""https://docs.google.com/spreadsheets/d/12Q_U0nVnFdxDFwa0pej9xvx8ZvLC9Dpi_vRro_aiG5g/edit?usp=sharing"",""อ่างทอง!I708"")"),80)</f>
        <v>80</v>
      </c>
      <c r="AI73" s="68">
        <f ca="1">IFERROR(__xludf.DUMMYFUNCTION("IMPORTRANGE(""https://docs.google.com/spreadsheets/d/12Q_U0nVnFdxDFwa0pej9xvx8ZvLC9Dpi_vRro_aiG5g/edit?usp=sharing"",""อ่างทอง!J708"")"),0)</f>
        <v>0</v>
      </c>
      <c r="AJ73" s="75">
        <f t="shared" ca="1" si="37"/>
        <v>0</v>
      </c>
      <c r="AK73" s="68">
        <f ca="1">IFERROR(__xludf.DUMMYFUNCTION("IMPORTRANGE(""https://docs.google.com/spreadsheets/d/12Q_U0nVnFdxDFwa0pej9xvx8ZvLC9Dpi_vRro_aiG5g/edit?usp=sharing"",""อ่างทอง!J709"")"),0)</f>
        <v>0</v>
      </c>
      <c r="AL73" s="68">
        <f ca="1">IFERROR(__xludf.DUMMYFUNCTION("IMPORTRANGE(""https://docs.google.com/spreadsheets/d/12Q_U0nVnFdxDFwa0pej9xvx8ZvLC9Dpi_vRro_aiG5g/edit?usp=sharing"",""อ่างทอง!J710"")"),0)</f>
        <v>0</v>
      </c>
      <c r="AM73" s="68">
        <f ca="1">IFERROR(__xludf.DUMMYFUNCTION("IMPORTRANGE(""https://docs.google.com/spreadsheets/d/12Q_U0nVnFdxDFwa0pej9xvx8ZvLC9Dpi_vRro_aiG5g/edit?usp=sharing"",""อ่างทอง!J712"")"),0)</f>
        <v>0</v>
      </c>
      <c r="AN73" s="68">
        <f ca="1">IFERROR(__xludf.DUMMYFUNCTION("IMPORTRANGE(""https://docs.google.com/spreadsheets/d/12Q_U0nVnFdxDFwa0pej9xvx8ZvLC9Dpi_vRro_aiG5g/edit?usp=sharing"",""อ่างทอง!J713"")"),0)</f>
        <v>0</v>
      </c>
      <c r="AO73" s="68">
        <f ca="1">IFERROR(__xludf.DUMMYFUNCTION("IMPORTRANGE(""https://docs.google.com/spreadsheets/d/12Q_U0nVnFdxDFwa0pej9xvx8ZvLC9Dpi_vRro_aiG5g/edit?usp=sharing"",""อ่างทอง!J714"")"),0)</f>
        <v>0</v>
      </c>
      <c r="AP73" s="68">
        <f ca="1">IFERROR(__xludf.DUMMYFUNCTION("IMPORTRANGE(""https://docs.google.com/spreadsheets/d/12Q_U0nVnFdxDFwa0pej9xvx8ZvLC9Dpi_vRro_aiG5g/edit?usp=sharing"",""อ่างทอง!J715"")"),0)</f>
        <v>0</v>
      </c>
      <c r="AQ73" s="68">
        <f ca="1">IFERROR(__xludf.DUMMYFUNCTION("IMPORTRANGE(""https://docs.google.com/spreadsheets/d/12Q_U0nVnFdxDFwa0pej9xvx8ZvLC9Dpi_vRro_aiG5g/edit?usp=sharing"",""อ่างทอง!J716"")"),0)</f>
        <v>0</v>
      </c>
      <c r="AR73" s="68">
        <f ca="1">IFERROR(__xludf.DUMMYFUNCTION("IMPORTRANGE(""https://docs.google.com/spreadsheets/d/12Q_U0nVnFdxDFwa0pej9xvx8ZvLC9Dpi_vRro_aiG5g/edit?usp=sharing"",""อ่างทอง!J717"")"),0)</f>
        <v>0</v>
      </c>
      <c r="AS73" s="68">
        <f ca="1">IFERROR(__xludf.DUMMYFUNCTION("IMPORTRANGE(""https://docs.google.com/spreadsheets/d/12Q_U0nVnFdxDFwa0pej9xvx8ZvLC9Dpi_vRro_aiG5g/edit?usp=sharing"",""อ่างทอง!I720"")"),0)</f>
        <v>0</v>
      </c>
      <c r="AT73" s="68">
        <f ca="1">IFERROR(__xludf.DUMMYFUNCTION("IMPORTRANGE(""https://docs.google.com/spreadsheets/d/12Q_U0nVnFdxDFwa0pej9xvx8ZvLC9Dpi_vRro_aiG5g/edit?usp=sharing"",""อ่างทอง!J718"")"),0)</f>
        <v>0</v>
      </c>
      <c r="AU73" s="68">
        <f ca="1">IFERROR(__xludf.DUMMYFUNCTION("IMPORTRANGE(""https://docs.google.com/spreadsheets/d/12Q_U0nVnFdxDFwa0pej9xvx8ZvLC9Dpi_vRro_aiG5g/edit?usp=sharing"",""อ่างทอง!J719"")"),0)</f>
        <v>0</v>
      </c>
      <c r="AV73" s="68">
        <f ca="1">IFERROR(__xludf.DUMMYFUNCTION("IMPORTRANGE(""https://docs.google.com/spreadsheets/d/12Q_U0nVnFdxDFwa0pej9xvx8ZvLC9Dpi_vRro_aiG5g/edit?usp=sharing"",""อ่างทอง!J720"")"),0)</f>
        <v>0</v>
      </c>
      <c r="AW73" s="75">
        <f t="shared" ca="1" si="14"/>
        <v>0</v>
      </c>
      <c r="AX73" s="68">
        <f ca="1">IFERROR(__xludf.DUMMYFUNCTION("IMPORTRANGE(""https://docs.google.com/spreadsheets/d/12Q_U0nVnFdxDFwa0pej9xvx8ZvLC9Dpi_vRro_aiG5g/edit?usp=sharing"",""อ่างทอง!I721"")"),2)</f>
        <v>2</v>
      </c>
      <c r="AY73" s="68">
        <f ca="1">IFERROR(__xludf.DUMMYFUNCTION("IMPORTRANGE(""https://docs.google.com/spreadsheets/d/12Q_U0nVnFdxDFwa0pej9xvx8ZvLC9Dpi_vRro_aiG5g/edit?usp=sharing"",""อ่างทอง!I722"")"),10)</f>
        <v>10</v>
      </c>
      <c r="AZ73" s="68">
        <f ca="1">IFERROR(__xludf.DUMMYFUNCTION("IMPORTRANGE(""https://docs.google.com/spreadsheets/d/12Q_U0nVnFdxDFwa0pej9xvx8ZvLC9Dpi_vRro_aiG5g/edit?usp=sharing"",""อ่างทอง!J721"")"),0)</f>
        <v>0</v>
      </c>
      <c r="BA73" s="75">
        <f t="shared" ca="1" si="16"/>
        <v>0</v>
      </c>
      <c r="BB73" s="68">
        <f ca="1">IFERROR(__xludf.DUMMYFUNCTION("IMPORTRANGE(""https://docs.google.com/spreadsheets/d/12Q_U0nVnFdxDFwa0pej9xvx8ZvLC9Dpi_vRro_aiG5g/edit?usp=sharing"",""อ่างทอง!J722"")"),0)</f>
        <v>0</v>
      </c>
      <c r="BC73" s="75">
        <f t="shared" ca="1" si="17"/>
        <v>0</v>
      </c>
      <c r="BD73" s="68">
        <f ca="1">IFERROR(__xludf.DUMMYFUNCTION("IMPORTRANGE(""https://docs.google.com/spreadsheets/d/12Q_U0nVnFdxDFwa0pej9xvx8ZvLC9Dpi_vRro_aiG5g/edit?usp=sharing"",""อ่างทอง!I723"")"),2)</f>
        <v>2</v>
      </c>
      <c r="BE73" s="68">
        <f ca="1">IFERROR(__xludf.DUMMYFUNCTION("IMPORTRANGE(""https://docs.google.com/spreadsheets/d/12Q_U0nVnFdxDFwa0pej9xvx8ZvLC9Dpi_vRro_aiG5g/edit?usp=sharing"",""อ่างทอง!I725"")"),10)</f>
        <v>10</v>
      </c>
      <c r="BF73" s="68">
        <f ca="1">IFERROR(__xludf.DUMMYFUNCTION("IMPORTRANGE(""https://docs.google.com/spreadsheets/d/12Q_U0nVnFdxDFwa0pej9xvx8ZvLC9Dpi_vRro_aiG5g/edit?usp=sharing"",""อ่างทอง!J723"")"),0)</f>
        <v>0</v>
      </c>
      <c r="BG73" s="68">
        <f ca="1">IFERROR(__xludf.DUMMYFUNCTION("IMPORTRANGE(""https://docs.google.com/spreadsheets/d/12Q_U0nVnFdxDFwa0pej9xvx8ZvLC9Dpi_vRro_aiG5g/edit?usp=sharing"",""อ่างทอง!J724"")"),0)</f>
        <v>0</v>
      </c>
      <c r="BH73" s="68">
        <f ca="1">IFERROR(__xludf.DUMMYFUNCTION("IMPORTRANGE(""https://docs.google.com/spreadsheets/d/12Q_U0nVnFdxDFwa0pej9xvx8ZvLC9Dpi_vRro_aiG5g/edit?usp=sharing"",""อ่างทอง!J725"")"),0)</f>
        <v>0</v>
      </c>
      <c r="BI73" s="68">
        <f ca="1">IFERROR(__xludf.DUMMYFUNCTION("IMPORTRANGE(""https://docs.google.com/spreadsheets/d/12Q_U0nVnFdxDFwa0pej9xvx8ZvLC9Dpi_vRro_aiG5g/edit?usp=sharing"",""อ่างทอง!I726"")"),0)</f>
        <v>0</v>
      </c>
      <c r="BJ73" s="68">
        <f ca="1">IFERROR(__xludf.DUMMYFUNCTION("IMPORTRANGE(""https://docs.google.com/spreadsheets/d/12Q_U0nVnFdxDFwa0pej9xvx8ZvLC9Dpi_vRro_aiG5g/edit?usp=sharing"",""อ่างทอง!I728"")"),0)</f>
        <v>0</v>
      </c>
      <c r="BK73" s="68">
        <f ca="1">IFERROR(__xludf.DUMMYFUNCTION("IMPORTRANGE(""https://docs.google.com/spreadsheets/d/12Q_U0nVnFdxDFwa0pej9xvx8ZvLC9Dpi_vRro_aiG5g/edit?usp=sharing"",""อ่างทอง!J726"")"),0)</f>
        <v>0</v>
      </c>
      <c r="BL73" s="68">
        <f ca="1">IFERROR(__xludf.DUMMYFUNCTION("IMPORTRANGE(""https://docs.google.com/spreadsheets/d/12Q_U0nVnFdxDFwa0pej9xvx8ZvLC9Dpi_vRro_aiG5g/edit?usp=sharing"",""อ่างทอง!J727"")"),0)</f>
        <v>0</v>
      </c>
      <c r="BM73" s="68">
        <f ca="1">IFERROR(__xludf.DUMMYFUNCTION("IMPORTRANGE(""https://docs.google.com/spreadsheets/d/12Q_U0nVnFdxDFwa0pej9xvx8ZvLC9Dpi_vRro_aiG5g/edit?usp=sharing"",""อ่างทอง!J728"")"),0)</f>
        <v>0</v>
      </c>
      <c r="BN73" s="68">
        <f ca="1">IFERROR(__xludf.DUMMYFUNCTION("IMPORTRANGE(""https://docs.google.com/spreadsheets/d/12Q_U0nVnFdxDFwa0pej9xvx8ZvLC9Dpi_vRro_aiG5g/edit?usp=sharing"",""อ่างทอง!I729"")"),0)</f>
        <v>0</v>
      </c>
      <c r="BO73" s="68">
        <f ca="1">IFERROR(__xludf.DUMMYFUNCTION("IMPORTRANGE(""https://docs.google.com/spreadsheets/d/12Q_U0nVnFdxDFwa0pej9xvx8ZvLC9Dpi_vRro_aiG5g/edit?usp=sharing"",""อ่างทอง!J729"")"),0)</f>
        <v>0</v>
      </c>
      <c r="BP73" s="75">
        <f t="shared" ca="1" si="19"/>
        <v>0</v>
      </c>
      <c r="BQ73" s="68">
        <f ca="1">IFERROR(__xludf.DUMMYFUNCTION("IMPORTRANGE(""https://docs.google.com/spreadsheets/d/12Q_U0nVnFdxDFwa0pej9xvx8ZvLC9Dpi_vRro_aiG5g/edit?usp=sharing"",""อ่างทอง!J730"")"),0)</f>
        <v>0</v>
      </c>
      <c r="BR73" s="68">
        <f ca="1">IFERROR(__xludf.DUMMYFUNCTION("IMPORTRANGE(""https://docs.google.com/spreadsheets/d/12Q_U0nVnFdxDFwa0pej9xvx8ZvLC9Dpi_vRro_aiG5g/edit?usp=sharing"",""อ่างทอง!J731"")"),0)</f>
        <v>0</v>
      </c>
      <c r="BS73" s="68">
        <f ca="1">IFERROR(__xludf.DUMMYFUNCTION("IMPORTRANGE(""https://docs.google.com/spreadsheets/d/12Q_U0nVnFdxDFwa0pej9xvx8ZvLC9Dpi_vRro_aiG5g/edit?usp=sharing"",""อ่างทอง!J732"")"),0)</f>
        <v>0</v>
      </c>
      <c r="BT73" s="68">
        <f ca="1">IFERROR(__xludf.DUMMYFUNCTION("IMPORTRANGE(""https://docs.google.com/spreadsheets/d/12Q_U0nVnFdxDFwa0pej9xvx8ZvLC9Dpi_vRro_aiG5g/edit?usp=sharing"",""อ่างทอง!J733"")"),0)</f>
        <v>0</v>
      </c>
      <c r="BU73" s="68">
        <f ca="1">IFERROR(__xludf.DUMMYFUNCTION("IMPORTRANGE(""https://docs.google.com/spreadsheets/d/12Q_U0nVnFdxDFwa0pej9xvx8ZvLC9Dpi_vRro_aiG5g/edit?usp=sharing"",""อ่างทอง!J734"")"),0)</f>
        <v>0</v>
      </c>
      <c r="BV73" s="68">
        <f ca="1">IFERROR(__xludf.DUMMYFUNCTION("IMPORTRANGE(""https://docs.google.com/spreadsheets/d/12Q_U0nVnFdxDFwa0pej9xvx8ZvLC9Dpi_vRro_aiG5g/edit?usp=sharing"",""อ่างทอง!J735"")"),0)</f>
        <v>0</v>
      </c>
    </row>
    <row r="74" spans="1:74" ht="21" customHeight="1" x14ac:dyDescent="0.3">
      <c r="A74" s="177" t="s">
        <v>95</v>
      </c>
      <c r="B74" s="178"/>
      <c r="C74" s="76">
        <f t="shared" ref="C74:G74" ca="1" si="77">SUM(C75:C88)</f>
        <v>63040</v>
      </c>
      <c r="D74" s="34">
        <f t="shared" ca="1" si="77"/>
        <v>63040</v>
      </c>
      <c r="E74" s="34">
        <f t="shared" ca="1" si="77"/>
        <v>0</v>
      </c>
      <c r="F74" s="34">
        <f t="shared" ca="1" si="77"/>
        <v>63040</v>
      </c>
      <c r="G74" s="34">
        <f t="shared" ca="1" si="77"/>
        <v>0</v>
      </c>
      <c r="H74" s="34">
        <f t="shared" ca="1" si="33"/>
        <v>2000</v>
      </c>
      <c r="I74" s="35">
        <f t="shared" ca="1" si="1"/>
        <v>3.1725888324873095</v>
      </c>
      <c r="J74" s="34">
        <f ca="1">SUM(J75:J88)</f>
        <v>2000</v>
      </c>
      <c r="K74" s="35">
        <f t="shared" ca="1" si="39"/>
        <v>3.1725888324873095</v>
      </c>
      <c r="L74" s="35">
        <f t="shared" ca="1" si="40"/>
        <v>3.1725888324873095</v>
      </c>
      <c r="M74" s="34">
        <f t="shared" ref="M74:Q74" ca="1" si="78">SUM(M75:M88)</f>
        <v>0</v>
      </c>
      <c r="N74" s="34">
        <f t="shared" ca="1" si="78"/>
        <v>0</v>
      </c>
      <c r="O74" s="34">
        <f t="shared" ca="1" si="78"/>
        <v>0</v>
      </c>
      <c r="P74" s="34">
        <f t="shared" ca="1" si="78"/>
        <v>2000</v>
      </c>
      <c r="Q74" s="36">
        <f t="shared" ca="1" si="78"/>
        <v>0</v>
      </c>
      <c r="R74" s="36">
        <f t="shared" ca="1" si="42"/>
        <v>0</v>
      </c>
      <c r="S74" s="34">
        <f t="shared" ref="S74:T74" ca="1" si="79">SUM(S75:S88)</f>
        <v>248</v>
      </c>
      <c r="T74" s="34">
        <f t="shared" ca="1" si="79"/>
        <v>0</v>
      </c>
      <c r="U74" s="37">
        <f t="shared" ca="1" si="34"/>
        <v>0</v>
      </c>
      <c r="V74" s="34">
        <f t="shared" ref="V74:W74" ca="1" si="80">SUM(V75:V88)</f>
        <v>57</v>
      </c>
      <c r="W74" s="34">
        <f t="shared" ca="1" si="80"/>
        <v>0</v>
      </c>
      <c r="X74" s="37">
        <f t="shared" ca="1" si="35"/>
        <v>0</v>
      </c>
      <c r="Y74" s="34">
        <f t="shared" ref="Y74:Z74" ca="1" si="81">SUM(Y75:Y88)</f>
        <v>50</v>
      </c>
      <c r="Z74" s="34">
        <f t="shared" ca="1" si="81"/>
        <v>0</v>
      </c>
      <c r="AA74" s="37">
        <f t="shared" ca="1" si="36"/>
        <v>0</v>
      </c>
      <c r="AB74" s="37">
        <f t="shared" ref="AB74:AI74" ca="1" si="82">SUM(AB75:AB88)</f>
        <v>0</v>
      </c>
      <c r="AC74" s="37">
        <f t="shared" ca="1" si="82"/>
        <v>0</v>
      </c>
      <c r="AD74" s="37">
        <f t="shared" ca="1" si="82"/>
        <v>0</v>
      </c>
      <c r="AE74" s="37">
        <f t="shared" ca="1" si="82"/>
        <v>0</v>
      </c>
      <c r="AF74" s="37">
        <f t="shared" ca="1" si="82"/>
        <v>0</v>
      </c>
      <c r="AG74" s="37">
        <f t="shared" ca="1" si="82"/>
        <v>0</v>
      </c>
      <c r="AH74" s="34">
        <f t="shared" ca="1" si="82"/>
        <v>0</v>
      </c>
      <c r="AI74" s="34">
        <f t="shared" ca="1" si="82"/>
        <v>0</v>
      </c>
      <c r="AJ74" s="37">
        <f t="shared" ca="1" si="37"/>
        <v>0</v>
      </c>
      <c r="AK74" s="34">
        <f t="shared" ref="AK74:AV74" ca="1" si="83">SUM(AK75:AK88)</f>
        <v>0</v>
      </c>
      <c r="AL74" s="34">
        <f t="shared" ca="1" si="83"/>
        <v>0</v>
      </c>
      <c r="AM74" s="34">
        <f t="shared" ca="1" si="83"/>
        <v>0</v>
      </c>
      <c r="AN74" s="34">
        <f t="shared" ca="1" si="83"/>
        <v>0</v>
      </c>
      <c r="AO74" s="34">
        <f t="shared" ca="1" si="83"/>
        <v>0</v>
      </c>
      <c r="AP74" s="34">
        <f t="shared" ca="1" si="83"/>
        <v>0</v>
      </c>
      <c r="AQ74" s="34">
        <f t="shared" ca="1" si="83"/>
        <v>0</v>
      </c>
      <c r="AR74" s="34">
        <f t="shared" ca="1" si="83"/>
        <v>0</v>
      </c>
      <c r="AS74" s="34">
        <f t="shared" ca="1" si="83"/>
        <v>0</v>
      </c>
      <c r="AT74" s="34">
        <f t="shared" ca="1" si="83"/>
        <v>0</v>
      </c>
      <c r="AU74" s="34">
        <f t="shared" ca="1" si="83"/>
        <v>0</v>
      </c>
      <c r="AV74" s="34">
        <f t="shared" ca="1" si="83"/>
        <v>0</v>
      </c>
      <c r="AW74" s="37">
        <f t="shared" ca="1" si="14"/>
        <v>0</v>
      </c>
      <c r="AX74" s="34">
        <f t="shared" ref="AX74:AZ74" ca="1" si="84">SUM(AX75:AX88)</f>
        <v>87</v>
      </c>
      <c r="AY74" s="34">
        <f t="shared" ca="1" si="84"/>
        <v>332</v>
      </c>
      <c r="AZ74" s="34">
        <f t="shared" ca="1" si="84"/>
        <v>0</v>
      </c>
      <c r="BA74" s="37">
        <f t="shared" ca="1" si="16"/>
        <v>0</v>
      </c>
      <c r="BB74" s="34">
        <f ca="1">SUM(BB75:BB88)</f>
        <v>0</v>
      </c>
      <c r="BC74" s="37">
        <f t="shared" ca="1" si="17"/>
        <v>0</v>
      </c>
      <c r="BD74" s="34">
        <f t="shared" ref="BD74:BO74" ca="1" si="85">SUM(BD75:BD88)</f>
        <v>50</v>
      </c>
      <c r="BE74" s="34">
        <f t="shared" ca="1" si="85"/>
        <v>212</v>
      </c>
      <c r="BF74" s="34">
        <f t="shared" ca="1" si="85"/>
        <v>0</v>
      </c>
      <c r="BG74" s="34">
        <f t="shared" ca="1" si="85"/>
        <v>0</v>
      </c>
      <c r="BH74" s="34">
        <f t="shared" ca="1" si="85"/>
        <v>0</v>
      </c>
      <c r="BI74" s="34">
        <f t="shared" ca="1" si="85"/>
        <v>37</v>
      </c>
      <c r="BJ74" s="34">
        <f t="shared" ca="1" si="85"/>
        <v>120</v>
      </c>
      <c r="BK74" s="34">
        <f t="shared" ca="1" si="85"/>
        <v>0</v>
      </c>
      <c r="BL74" s="34">
        <f t="shared" ca="1" si="85"/>
        <v>0</v>
      </c>
      <c r="BM74" s="34">
        <f t="shared" ca="1" si="85"/>
        <v>0</v>
      </c>
      <c r="BN74" s="34">
        <f t="shared" ca="1" si="85"/>
        <v>0</v>
      </c>
      <c r="BO74" s="34">
        <f t="shared" ca="1" si="85"/>
        <v>0</v>
      </c>
      <c r="BP74" s="37">
        <f t="shared" ca="1" si="19"/>
        <v>0</v>
      </c>
      <c r="BQ74" s="34">
        <f t="shared" ref="BQ74:BV74" ca="1" si="86">SUM(BQ75:BQ88)</f>
        <v>0</v>
      </c>
      <c r="BR74" s="34">
        <f t="shared" ca="1" si="86"/>
        <v>0</v>
      </c>
      <c r="BS74" s="34">
        <f t="shared" ca="1" si="86"/>
        <v>0</v>
      </c>
      <c r="BT74" s="34">
        <f t="shared" ca="1" si="86"/>
        <v>0</v>
      </c>
      <c r="BU74" s="34">
        <f t="shared" ca="1" si="86"/>
        <v>0</v>
      </c>
      <c r="BV74" s="34">
        <f t="shared" ca="1" si="86"/>
        <v>0</v>
      </c>
    </row>
    <row r="75" spans="1:74" ht="21" customHeight="1" x14ac:dyDescent="0.3">
      <c r="A75" s="54">
        <v>1</v>
      </c>
      <c r="B75" s="55" t="s">
        <v>96</v>
      </c>
      <c r="C75" s="56">
        <f t="shared" ref="C75:C88" ca="1" si="87">D75+E75</f>
        <v>0</v>
      </c>
      <c r="D75" s="57">
        <f ca="1">IFERROR(__xludf.DUMMYFUNCTION("IMPORTRANGE(""https://docs.google.com/spreadsheets/d/1kC41EOXpGBFOW658Fs3oD8beYlym0-zO54WY-2Qnp9I/edit?usp=sharing"",""กระบี่!L690"")"),0)</f>
        <v>0</v>
      </c>
      <c r="E75" s="64">
        <f ca="1">IFERROR(__xludf.DUMMYFUNCTION("IMPORTRANGE(""https://docs.google.com/spreadsheets/d/1kC41EOXpGBFOW658Fs3oD8beYlym0-zO54WY-2Qnp9I/edit?usp=sharing"",""กระบี่!L697"")"),0)</f>
        <v>0</v>
      </c>
      <c r="F75" s="64">
        <f ca="1">IFERROR(__xludf.DUMMYFUNCTION("IMPORTRANGE(""https://docs.google.com/spreadsheets/d/1kC41EOXpGBFOW658Fs3oD8beYlym0-zO54WY-2Qnp9I/edit?usp=sharing"",""กระบี่!M690"")"),0)</f>
        <v>0</v>
      </c>
      <c r="G75" s="64">
        <f ca="1">IFERROR(__xludf.DUMMYFUNCTION("IMPORTRANGE(""https://docs.google.com/spreadsheets/d/1kC41EOXpGBFOW658Fs3oD8beYlym0-zO54WY-2Qnp9I/edit?usp=sharing"",""กระบี่!M697"")"),0)</f>
        <v>0</v>
      </c>
      <c r="H75" s="58">
        <f t="shared" ca="1" si="33"/>
        <v>0</v>
      </c>
      <c r="I75" s="59">
        <f t="shared" ca="1" si="1"/>
        <v>0</v>
      </c>
      <c r="J75" s="60">
        <f t="shared" ref="J75:J88" ca="1" si="88">M75+N75+O75+P75</f>
        <v>0</v>
      </c>
      <c r="K75" s="61">
        <f t="shared" ca="1" si="39"/>
        <v>0</v>
      </c>
      <c r="L75" s="61">
        <f t="shared" ca="1" si="40"/>
        <v>0</v>
      </c>
      <c r="M75" s="64">
        <f ca="1">IFERROR(__xludf.DUMMYFUNCTION("IMPORTRANGE(""https://docs.google.com/spreadsheets/d/1kC41EOXpGBFOW658Fs3oD8beYlym0-zO54WY-2Qnp9I/edit?usp=sharing"",""กระบี่!N691"")"),0)</f>
        <v>0</v>
      </c>
      <c r="N75" s="64">
        <f ca="1">IFERROR(__xludf.DUMMYFUNCTION("IMPORTRANGE(""https://docs.google.com/spreadsheets/d/1kC41EOXpGBFOW658Fs3oD8beYlym0-zO54WY-2Qnp9I/edit?usp=sharing"",""กระบี่!N692"")"),0)</f>
        <v>0</v>
      </c>
      <c r="O75" s="64">
        <f ca="1">IFERROR(__xludf.DUMMYFUNCTION("IMPORTRANGE(""https://docs.google.com/spreadsheets/d/1kC41EOXpGBFOW658Fs3oD8beYlym0-zO54WY-2Qnp9I/edit?usp=sharing"",""กระบี่!N693"")"),0)</f>
        <v>0</v>
      </c>
      <c r="P75" s="64">
        <f ca="1">IFERROR(__xludf.DUMMYFUNCTION("IMPORTRANGE(""https://docs.google.com/spreadsheets/d/1kC41EOXpGBFOW658Fs3oD8beYlym0-zO54WY-2Qnp9I/edit?usp=sharing"",""กระบี่!N694"")"),0)</f>
        <v>0</v>
      </c>
      <c r="Q75" s="62">
        <f ca="1">IFERROR(__xludf.DUMMYFUNCTION("IMPORTRANGE(""https://docs.google.com/spreadsheets/d/1kC41EOXpGBFOW658Fs3oD8beYlym0-zO54WY-2Qnp9I/edit?usp=sharing"",""กระบี่!N697"")"),0)</f>
        <v>0</v>
      </c>
      <c r="R75" s="62">
        <f t="shared" ca="1" si="42"/>
        <v>0</v>
      </c>
      <c r="S75" s="57">
        <f ca="1">IFERROR(__xludf.DUMMYFUNCTION("IMPORTRANGE(""https://docs.google.com/spreadsheets/d/1kC41EOXpGBFOW658Fs3oD8beYlym0-zO54WY-2Qnp9I/edit?usp=sharing"",""กระบี่!I699"")"),0)</f>
        <v>0</v>
      </c>
      <c r="T75" s="57">
        <f ca="1">IFERROR(__xludf.DUMMYFUNCTION("IMPORTRANGE(""https://docs.google.com/spreadsheets/d/1kC41EOXpGBFOW658Fs3oD8beYlym0-zO54WY-2Qnp9I/edit?usp=sharing"",""กระบี่!J699"")"),0)</f>
        <v>0</v>
      </c>
      <c r="U75" s="63">
        <f t="shared" ca="1" si="34"/>
        <v>0</v>
      </c>
      <c r="V75" s="57">
        <f ca="1">IFERROR(__xludf.DUMMYFUNCTION("IMPORTRANGE(""https://docs.google.com/spreadsheets/d/1kC41EOXpGBFOW658Fs3oD8beYlym0-zO54WY-2Qnp9I/edit?usp=sharing"",""กระบี่!I700"")"),0)</f>
        <v>0</v>
      </c>
      <c r="W75" s="57">
        <f ca="1">IFERROR(__xludf.DUMMYFUNCTION("IMPORTRANGE(""https://docs.google.com/spreadsheets/d/1kC41EOXpGBFOW658Fs3oD8beYlym0-zO54WY-2Qnp9I/edit?usp=sharing"",""กระบี่!J700"")"),0)</f>
        <v>0</v>
      </c>
      <c r="X75" s="63">
        <f t="shared" ca="1" si="35"/>
        <v>0</v>
      </c>
      <c r="Y75" s="57">
        <f ca="1">IFERROR(__xludf.DUMMYFUNCTION("IMPORTRANGE(""https://docs.google.com/spreadsheets/d/1kC41EOXpGBFOW658Fs3oD8beYlym0-zO54WY-2Qnp9I/edit?usp=sharing"",""กระบี่!I701"")"),0)</f>
        <v>0</v>
      </c>
      <c r="Z75" s="57">
        <f ca="1">IFERROR(__xludf.DUMMYFUNCTION("IMPORTRANGE(""https://docs.google.com/spreadsheets/d/1kC41EOXpGBFOW658Fs3oD8beYlym0-zO54WY-2Qnp9I/edit?usp=sharing"",""กระบี่!J701"")"),0)</f>
        <v>0</v>
      </c>
      <c r="AA75" s="63">
        <f t="shared" ca="1" si="36"/>
        <v>0</v>
      </c>
      <c r="AB75" s="63">
        <f ca="1">IFERROR(__xludf.DUMMYFUNCTION("IMPORTRANGE(""https://docs.google.com/spreadsheets/d/1kC41EOXpGBFOW658Fs3oD8beYlym0-zO54WY-2Qnp9I/edit?usp=sharing"",""กระบี่!J702"")"),0)</f>
        <v>0</v>
      </c>
      <c r="AC75" s="63">
        <f ca="1">IFERROR(__xludf.DUMMYFUNCTION("IMPORTRANGE(""https://docs.google.com/spreadsheets/d/1kC41EOXpGBFOW658Fs3oD8beYlym0-zO54WY-2Qnp9I/edit?usp=sharing"",""กระบี่!J703"")"),0)</f>
        <v>0</v>
      </c>
      <c r="AD75" s="63">
        <f ca="1">IFERROR(__xludf.DUMMYFUNCTION("IMPORTRANGE(""https://docs.google.com/spreadsheets/d/1kC41EOXpGBFOW658Fs3oD8beYlym0-zO54WY-2Qnp9I/edit?usp=sharing"",""กระบี่!J704"")"),0)</f>
        <v>0</v>
      </c>
      <c r="AE75" s="63">
        <f ca="1">IFERROR(__xludf.DUMMYFUNCTION("IMPORTRANGE(""https://docs.google.com/spreadsheets/d/1kC41EOXpGBFOW658Fs3oD8beYlym0-zO54WY-2Qnp9I/edit?usp=sharing"",""กระบี่!J705"")"),0)</f>
        <v>0</v>
      </c>
      <c r="AF75" s="63">
        <f ca="1">IFERROR(__xludf.DUMMYFUNCTION("IMPORTRANGE(""https://docs.google.com/spreadsheets/d/1kC41EOXpGBFOW658Fs3oD8beYlym0-zO54WY-2Qnp9I/edit?usp=sharing"",""กระบี่!J706"")"),0)</f>
        <v>0</v>
      </c>
      <c r="AG75" s="63">
        <f ca="1">IFERROR(__xludf.DUMMYFUNCTION("IMPORTRANGE(""https://docs.google.com/spreadsheets/d/1kC41EOXpGBFOW658Fs3oD8beYlym0-zO54WY-2Qnp9I/edit?usp=sharing"",""กระบี่!J707"")"),0)</f>
        <v>0</v>
      </c>
      <c r="AH75" s="57">
        <f ca="1">IFERROR(__xludf.DUMMYFUNCTION("IMPORTRANGE(""https://docs.google.com/spreadsheets/d/1kC41EOXpGBFOW658Fs3oD8beYlym0-zO54WY-2Qnp9I/edit?usp=sharing"",""กระบี่!I708"")"),0)</f>
        <v>0</v>
      </c>
      <c r="AI75" s="57">
        <f ca="1">IFERROR(__xludf.DUMMYFUNCTION("IMPORTRANGE(""https://docs.google.com/spreadsheets/d/1kC41EOXpGBFOW658Fs3oD8beYlym0-zO54WY-2Qnp9I/edit?usp=sharing"",""กระบี่!J708"")"),0)</f>
        <v>0</v>
      </c>
      <c r="AJ75" s="63">
        <f t="shared" ca="1" si="37"/>
        <v>0</v>
      </c>
      <c r="AK75" s="57">
        <f ca="1">IFERROR(__xludf.DUMMYFUNCTION("IMPORTRANGE(""https://docs.google.com/spreadsheets/d/1kC41EOXpGBFOW658Fs3oD8beYlym0-zO54WY-2Qnp9I/edit?usp=sharing"",""กระบี่!J709"")"),0)</f>
        <v>0</v>
      </c>
      <c r="AL75" s="57">
        <f ca="1">IFERROR(__xludf.DUMMYFUNCTION("IMPORTRANGE(""https://docs.google.com/spreadsheets/d/1kC41EOXpGBFOW658Fs3oD8beYlym0-zO54WY-2Qnp9I/edit?usp=sharing"",""กระบี่!J710"")"),0)</f>
        <v>0</v>
      </c>
      <c r="AM75" s="57">
        <f ca="1">IFERROR(__xludf.DUMMYFUNCTION("IMPORTRANGE(""https://docs.google.com/spreadsheets/d/1kC41EOXpGBFOW658Fs3oD8beYlym0-zO54WY-2Qnp9I/edit?usp=sharing"",""กระบี่!J712"")"),0)</f>
        <v>0</v>
      </c>
      <c r="AN75" s="57">
        <f ca="1">IFERROR(__xludf.DUMMYFUNCTION("IMPORTRANGE(""https://docs.google.com/spreadsheets/d/1kC41EOXpGBFOW658Fs3oD8beYlym0-zO54WY-2Qnp9I/edit?usp=sharing"",""กระบี่!J713"")"),0)</f>
        <v>0</v>
      </c>
      <c r="AO75" s="57">
        <f ca="1">IFERROR(__xludf.DUMMYFUNCTION("IMPORTRANGE(""https://docs.google.com/spreadsheets/d/1kC41EOXpGBFOW658Fs3oD8beYlym0-zO54WY-2Qnp9I/edit?usp=sharing"",""กระบี่!J714"")"),0)</f>
        <v>0</v>
      </c>
      <c r="AP75" s="57">
        <f ca="1">IFERROR(__xludf.DUMMYFUNCTION("IMPORTRANGE(""https://docs.google.com/spreadsheets/d/1kC41EOXpGBFOW658Fs3oD8beYlym0-zO54WY-2Qnp9I/edit?usp=sharing"",""กระบี่!J715"")"),0)</f>
        <v>0</v>
      </c>
      <c r="AQ75" s="57">
        <f ca="1">IFERROR(__xludf.DUMMYFUNCTION("IMPORTRANGE(""https://docs.google.com/spreadsheets/d/1kC41EOXpGBFOW658Fs3oD8beYlym0-zO54WY-2Qnp9I/edit?usp=sharing"",""กระบี่!J716"")"),0)</f>
        <v>0</v>
      </c>
      <c r="AR75" s="57">
        <f ca="1">IFERROR(__xludf.DUMMYFUNCTION("IMPORTRANGE(""https://docs.google.com/spreadsheets/d/1kC41EOXpGBFOW658Fs3oD8beYlym0-zO54WY-2Qnp9I/edit?usp=sharing"",""กระบี่!J717"")"),0)</f>
        <v>0</v>
      </c>
      <c r="AS75" s="57">
        <f ca="1">IFERROR(__xludf.DUMMYFUNCTION("IMPORTRANGE(""https://docs.google.com/spreadsheets/d/1kC41EOXpGBFOW658Fs3oD8beYlym0-zO54WY-2Qnp9I/edit?usp=sharing"",""กระบี่!I720"")"),0)</f>
        <v>0</v>
      </c>
      <c r="AT75" s="57">
        <f ca="1">IFERROR(__xludf.DUMMYFUNCTION("IMPORTRANGE(""https://docs.google.com/spreadsheets/d/1kC41EOXpGBFOW658Fs3oD8beYlym0-zO54WY-2Qnp9I/edit?usp=sharing"",""กระบี่!J718"")"),0)</f>
        <v>0</v>
      </c>
      <c r="AU75" s="57">
        <f ca="1">IFERROR(__xludf.DUMMYFUNCTION("IMPORTRANGE(""https://docs.google.com/spreadsheets/d/1kC41EOXpGBFOW658Fs3oD8beYlym0-zO54WY-2Qnp9I/edit?usp=sharing"",""กระบี่!J719"")"),0)</f>
        <v>0</v>
      </c>
      <c r="AV75" s="57">
        <f ca="1">IFERROR(__xludf.DUMMYFUNCTION("IMPORTRANGE(""https://docs.google.com/spreadsheets/d/1kC41EOXpGBFOW658Fs3oD8beYlym0-zO54WY-2Qnp9I/edit?usp=sharing"",""กระบี่!J720"")"),0)</f>
        <v>0</v>
      </c>
      <c r="AW75" s="63">
        <f t="shared" ca="1" si="14"/>
        <v>0</v>
      </c>
      <c r="AX75" s="57">
        <f ca="1">IFERROR(__xludf.DUMMYFUNCTION("IMPORTRANGE(""https://docs.google.com/spreadsheets/d/1kC41EOXpGBFOW658Fs3oD8beYlym0-zO54WY-2Qnp9I/edit?usp=sharing"",""กระบี่!I721"")"),0)</f>
        <v>0</v>
      </c>
      <c r="AY75" s="57">
        <f ca="1">IFERROR(__xludf.DUMMYFUNCTION("IMPORTRANGE(""https://docs.google.com/spreadsheets/d/1kC41EOXpGBFOW658Fs3oD8beYlym0-zO54WY-2Qnp9I/edit?usp=sharing"",""กระบี่!I722"")"),0)</f>
        <v>0</v>
      </c>
      <c r="AZ75" s="57">
        <f ca="1">IFERROR(__xludf.DUMMYFUNCTION("IMPORTRANGE(""https://docs.google.com/spreadsheets/d/1kC41EOXpGBFOW658Fs3oD8beYlym0-zO54WY-2Qnp9I/edit?usp=sharing"",""กระบี่!J721"")"),0)</f>
        <v>0</v>
      </c>
      <c r="BA75" s="63">
        <f t="shared" ca="1" si="16"/>
        <v>0</v>
      </c>
      <c r="BB75" s="57">
        <f ca="1">IFERROR(__xludf.DUMMYFUNCTION("IMPORTRANGE(""https://docs.google.com/spreadsheets/d/1kC41EOXpGBFOW658Fs3oD8beYlym0-zO54WY-2Qnp9I/edit?usp=sharing"",""กระบี่!J722"")"),0)</f>
        <v>0</v>
      </c>
      <c r="BC75" s="63">
        <f t="shared" ca="1" si="17"/>
        <v>0</v>
      </c>
      <c r="BD75" s="57">
        <f ca="1">IFERROR(__xludf.DUMMYFUNCTION("IMPORTRANGE(""https://docs.google.com/spreadsheets/d/1kC41EOXpGBFOW658Fs3oD8beYlym0-zO54WY-2Qnp9I/edit?usp=sharing"",""กระบี่!I723"")"),0)</f>
        <v>0</v>
      </c>
      <c r="BE75" s="57">
        <f ca="1">IFERROR(__xludf.DUMMYFUNCTION("IMPORTRANGE(""https://docs.google.com/spreadsheets/d/1kC41EOXpGBFOW658Fs3oD8beYlym0-zO54WY-2Qnp9I/edit?usp=sharing"",""กระบี่!I725"")"),0)</f>
        <v>0</v>
      </c>
      <c r="BF75" s="57">
        <f ca="1">IFERROR(__xludf.DUMMYFUNCTION("IMPORTRANGE(""https://docs.google.com/spreadsheets/d/1kC41EOXpGBFOW658Fs3oD8beYlym0-zO54WY-2Qnp9I/edit?usp=sharing"",""กระบี่!J723"")"),0)</f>
        <v>0</v>
      </c>
      <c r="BG75" s="57">
        <f ca="1">IFERROR(__xludf.DUMMYFUNCTION("IMPORTRANGE(""https://docs.google.com/spreadsheets/d/1kC41EOXpGBFOW658Fs3oD8beYlym0-zO54WY-2Qnp9I/edit?usp=sharing"",""กระบี่!J724"")"),0)</f>
        <v>0</v>
      </c>
      <c r="BH75" s="57">
        <f ca="1">IFERROR(__xludf.DUMMYFUNCTION("IMPORTRANGE(""https://docs.google.com/spreadsheets/d/1kC41EOXpGBFOW658Fs3oD8beYlym0-zO54WY-2Qnp9I/edit?usp=sharing"",""กระบี่!J725"")"),0)</f>
        <v>0</v>
      </c>
      <c r="BI75" s="57">
        <f ca="1">IFERROR(__xludf.DUMMYFUNCTION("IMPORTRANGE(""https://docs.google.com/spreadsheets/d/1kC41EOXpGBFOW658Fs3oD8beYlym0-zO54WY-2Qnp9I/edit?usp=sharing"",""กระบี่!I726"")"),0)</f>
        <v>0</v>
      </c>
      <c r="BJ75" s="57">
        <f ca="1">IFERROR(__xludf.DUMMYFUNCTION("IMPORTRANGE(""https://docs.google.com/spreadsheets/d/1kC41EOXpGBFOW658Fs3oD8beYlym0-zO54WY-2Qnp9I/edit?usp=sharing"",""กระบี่!I728"")"),0)</f>
        <v>0</v>
      </c>
      <c r="BK75" s="57">
        <f ca="1">IFERROR(__xludf.DUMMYFUNCTION("IMPORTRANGE(""https://docs.google.com/spreadsheets/d/1kC41EOXpGBFOW658Fs3oD8beYlym0-zO54WY-2Qnp9I/edit?usp=sharing"",""กระบี่!J726"")"),0)</f>
        <v>0</v>
      </c>
      <c r="BL75" s="57">
        <f ca="1">IFERROR(__xludf.DUMMYFUNCTION("IMPORTRANGE(""https://docs.google.com/spreadsheets/d/1kC41EOXpGBFOW658Fs3oD8beYlym0-zO54WY-2Qnp9I/edit?usp=sharing"",""กระบี่!J727"")"),0)</f>
        <v>0</v>
      </c>
      <c r="BM75" s="57">
        <f ca="1">IFERROR(__xludf.DUMMYFUNCTION("IMPORTRANGE(""https://docs.google.com/spreadsheets/d/1kC41EOXpGBFOW658Fs3oD8beYlym0-zO54WY-2Qnp9I/edit?usp=sharing"",""กระบี่!J728"")"),0)</f>
        <v>0</v>
      </c>
      <c r="BN75" s="57">
        <f ca="1">IFERROR(__xludf.DUMMYFUNCTION("IMPORTRANGE(""https://docs.google.com/spreadsheets/d/1kC41EOXpGBFOW658Fs3oD8beYlym0-zO54WY-2Qnp9I/edit?usp=sharing"",""กระบี่!I729"")"),0)</f>
        <v>0</v>
      </c>
      <c r="BO75" s="57">
        <f ca="1">IFERROR(__xludf.DUMMYFUNCTION("IMPORTRANGE(""https://docs.google.com/spreadsheets/d/1kC41EOXpGBFOW658Fs3oD8beYlym0-zO54WY-2Qnp9I/edit?usp=sharing"",""กระบี่!J729"")"),0)</f>
        <v>0</v>
      </c>
      <c r="BP75" s="63">
        <f t="shared" ca="1" si="19"/>
        <v>0</v>
      </c>
      <c r="BQ75" s="57">
        <f ca="1">IFERROR(__xludf.DUMMYFUNCTION("IMPORTRANGE(""https://docs.google.com/spreadsheets/d/1kC41EOXpGBFOW658Fs3oD8beYlym0-zO54WY-2Qnp9I/edit?usp=sharing"",""กระบี่!J730"")"),0)</f>
        <v>0</v>
      </c>
      <c r="BR75" s="57">
        <f ca="1">IFERROR(__xludf.DUMMYFUNCTION("IMPORTRANGE(""https://docs.google.com/spreadsheets/d/1kC41EOXpGBFOW658Fs3oD8beYlym0-zO54WY-2Qnp9I/edit?usp=sharing"",""กระบี่!J731"")"),0)</f>
        <v>0</v>
      </c>
      <c r="BS75" s="57">
        <f ca="1">IFERROR(__xludf.DUMMYFUNCTION("IMPORTRANGE(""https://docs.google.com/spreadsheets/d/1kC41EOXpGBFOW658Fs3oD8beYlym0-zO54WY-2Qnp9I/edit?usp=sharing"",""กระบี่!J732"")"),0)</f>
        <v>0</v>
      </c>
      <c r="BT75" s="57">
        <f ca="1">IFERROR(__xludf.DUMMYFUNCTION("IMPORTRANGE(""https://docs.google.com/spreadsheets/d/1kC41EOXpGBFOW658Fs3oD8beYlym0-zO54WY-2Qnp9I/edit?usp=sharing"",""กระบี่!J733"")"),0)</f>
        <v>0</v>
      </c>
      <c r="BU75" s="57">
        <f ca="1">IFERROR(__xludf.DUMMYFUNCTION("IMPORTRANGE(""https://docs.google.com/spreadsheets/d/1kC41EOXpGBFOW658Fs3oD8beYlym0-zO54WY-2Qnp9I/edit?usp=sharing"",""กระบี่!J734"")"),0)</f>
        <v>0</v>
      </c>
      <c r="BV75" s="57">
        <f ca="1">IFERROR(__xludf.DUMMYFUNCTION("IMPORTRANGE(""https://docs.google.com/spreadsheets/d/1kC41EOXpGBFOW658Fs3oD8beYlym0-zO54WY-2Qnp9I/edit?usp=sharing"",""กระบี่!J735"")"),0)</f>
        <v>0</v>
      </c>
    </row>
    <row r="76" spans="1:74" ht="21" customHeight="1" x14ac:dyDescent="0.3">
      <c r="A76" s="54">
        <v>2</v>
      </c>
      <c r="B76" s="55" t="s">
        <v>97</v>
      </c>
      <c r="C76" s="56">
        <f t="shared" ca="1" si="87"/>
        <v>0</v>
      </c>
      <c r="D76" s="57">
        <f ca="1">IFERROR(__xludf.DUMMYFUNCTION("IMPORTRANGE(""https://docs.google.com/spreadsheets/d/1FbzMZY_f3MDiEuK7RpCQKrilJ_kpX0Wm7QBZ1L7EjIU/edit?usp=sharing"",""ชุมพร!L690"")"),0)</f>
        <v>0</v>
      </c>
      <c r="E76" s="64">
        <f ca="1">IFERROR(__xludf.DUMMYFUNCTION("IMPORTRANGE(""https://docs.google.com/spreadsheets/d/1FbzMZY_f3MDiEuK7RpCQKrilJ_kpX0Wm7QBZ1L7EjIU/edit?usp=sharing"",""ชุมพร!L697"")"),0)</f>
        <v>0</v>
      </c>
      <c r="F76" s="64">
        <f ca="1">IFERROR(__xludf.DUMMYFUNCTION("IMPORTRANGE(""https://docs.google.com/spreadsheets/d/1FbzMZY_f3MDiEuK7RpCQKrilJ_kpX0Wm7QBZ1L7EjIU/edit?usp=sharing"",""ชุมพร!M690"")"),0)</f>
        <v>0</v>
      </c>
      <c r="G76" s="64">
        <f ca="1">IFERROR(__xludf.DUMMYFUNCTION("IMPORTRANGE(""https://docs.google.com/spreadsheets/d/1FbzMZY_f3MDiEuK7RpCQKrilJ_kpX0Wm7QBZ1L7EjIU/edit?usp=sharing"",""ชุมพร!M697"")"),0)</f>
        <v>0</v>
      </c>
      <c r="H76" s="58">
        <f t="shared" ca="1" si="33"/>
        <v>0</v>
      </c>
      <c r="I76" s="59">
        <f t="shared" ca="1" si="1"/>
        <v>0</v>
      </c>
      <c r="J76" s="60">
        <f t="shared" ca="1" si="88"/>
        <v>0</v>
      </c>
      <c r="K76" s="61">
        <f t="shared" ca="1" si="39"/>
        <v>0</v>
      </c>
      <c r="L76" s="61">
        <f t="shared" ca="1" si="40"/>
        <v>0</v>
      </c>
      <c r="M76" s="64">
        <f ca="1">IFERROR(__xludf.DUMMYFUNCTION("IMPORTRANGE(""https://docs.google.com/spreadsheets/d/1FbzMZY_f3MDiEuK7RpCQKrilJ_kpX0Wm7QBZ1L7EjIU/edit?usp=sharing"",""ชุมพร!N691"")"),0)</f>
        <v>0</v>
      </c>
      <c r="N76" s="64">
        <f ca="1">IFERROR(__xludf.DUMMYFUNCTION("IMPORTRANGE(""https://docs.google.com/spreadsheets/d/1FbzMZY_f3MDiEuK7RpCQKrilJ_kpX0Wm7QBZ1L7EjIU/edit?usp=sharing"",""ชุมพร!N692"")"),0)</f>
        <v>0</v>
      </c>
      <c r="O76" s="64">
        <f ca="1">IFERROR(__xludf.DUMMYFUNCTION("IMPORTRANGE(""https://docs.google.com/spreadsheets/d/1FbzMZY_f3MDiEuK7RpCQKrilJ_kpX0Wm7QBZ1L7EjIU/edit?usp=sharing"",""ชุมพร!N693"")"),0)</f>
        <v>0</v>
      </c>
      <c r="P76" s="64">
        <f ca="1">IFERROR(__xludf.DUMMYFUNCTION("IMPORTRANGE(""https://docs.google.com/spreadsheets/d/1FbzMZY_f3MDiEuK7RpCQKrilJ_kpX0Wm7QBZ1L7EjIU/edit?usp=sharing"",""ชุมพร!N694"")"),0)</f>
        <v>0</v>
      </c>
      <c r="Q76" s="62">
        <f ca="1">IFERROR(__xludf.DUMMYFUNCTION("IMPORTRANGE(""https://docs.google.com/spreadsheets/d/1FbzMZY_f3MDiEuK7RpCQKrilJ_kpX0Wm7QBZ1L7EjIU/edit?usp=sharing"",""ชุมพร!N697"")"),0)</f>
        <v>0</v>
      </c>
      <c r="R76" s="62">
        <f t="shared" ca="1" si="42"/>
        <v>0</v>
      </c>
      <c r="S76" s="57">
        <f ca="1">IFERROR(__xludf.DUMMYFUNCTION("IMPORTRANGE(""https://docs.google.com/spreadsheets/d/1FbzMZY_f3MDiEuK7RpCQKrilJ_kpX0Wm7QBZ1L7EjIU/edit?usp=sharing"",""ชุมพร!I699"")"),0)</f>
        <v>0</v>
      </c>
      <c r="T76" s="57">
        <f ca="1">IFERROR(__xludf.DUMMYFUNCTION("IMPORTRANGE(""https://docs.google.com/spreadsheets/d/1FbzMZY_f3MDiEuK7RpCQKrilJ_kpX0Wm7QBZ1L7EjIU/edit?usp=sharing"",""ชุมพร!J699"")"),0)</f>
        <v>0</v>
      </c>
      <c r="U76" s="63">
        <f t="shared" ca="1" si="34"/>
        <v>0</v>
      </c>
      <c r="V76" s="57">
        <f ca="1">IFERROR(__xludf.DUMMYFUNCTION("IMPORTRANGE(""https://docs.google.com/spreadsheets/d/1FbzMZY_f3MDiEuK7RpCQKrilJ_kpX0Wm7QBZ1L7EjIU/edit?usp=sharing"",""ชุมพร!I700"")"),0)</f>
        <v>0</v>
      </c>
      <c r="W76" s="57">
        <f ca="1">IFERROR(__xludf.DUMMYFUNCTION("IMPORTRANGE(""https://docs.google.com/spreadsheets/d/1FbzMZY_f3MDiEuK7RpCQKrilJ_kpX0Wm7QBZ1L7EjIU/edit?usp=sharing"",""ชุมพร!J700"")"),0)</f>
        <v>0</v>
      </c>
      <c r="X76" s="63">
        <f t="shared" ca="1" si="35"/>
        <v>0</v>
      </c>
      <c r="Y76" s="57">
        <f ca="1">IFERROR(__xludf.DUMMYFUNCTION("IMPORTRANGE(""https://docs.google.com/spreadsheets/d/1FbzMZY_f3MDiEuK7RpCQKrilJ_kpX0Wm7QBZ1L7EjIU/edit?usp=sharing"",""ชุมพร!I701"")"),0)</f>
        <v>0</v>
      </c>
      <c r="Z76" s="57">
        <f ca="1">IFERROR(__xludf.DUMMYFUNCTION("IMPORTRANGE(""https://docs.google.com/spreadsheets/d/1FbzMZY_f3MDiEuK7RpCQKrilJ_kpX0Wm7QBZ1L7EjIU/edit?usp=sharing"",""ชุมพร!J701"")"),0)</f>
        <v>0</v>
      </c>
      <c r="AA76" s="63">
        <f t="shared" ca="1" si="36"/>
        <v>0</v>
      </c>
      <c r="AB76" s="63">
        <f ca="1">IFERROR(__xludf.DUMMYFUNCTION("IMPORTRANGE(""https://docs.google.com/spreadsheets/d/1FbzMZY_f3MDiEuK7RpCQKrilJ_kpX0Wm7QBZ1L7EjIU/edit?usp=sharing"",""ชุมพร!J702"")"),0)</f>
        <v>0</v>
      </c>
      <c r="AC76" s="63">
        <f ca="1">IFERROR(__xludf.DUMMYFUNCTION("IMPORTRANGE(""https://docs.google.com/spreadsheets/d/1FbzMZY_f3MDiEuK7RpCQKrilJ_kpX0Wm7QBZ1L7EjIU/edit?usp=sharing"",""ชุมพร!J703"")"),0)</f>
        <v>0</v>
      </c>
      <c r="AD76" s="63">
        <f ca="1">IFERROR(__xludf.DUMMYFUNCTION("IMPORTRANGE(""https://docs.google.com/spreadsheets/d/1FbzMZY_f3MDiEuK7RpCQKrilJ_kpX0Wm7QBZ1L7EjIU/edit?usp=sharing"",""ชุมพร!J704"")"),0)</f>
        <v>0</v>
      </c>
      <c r="AE76" s="63">
        <f ca="1">IFERROR(__xludf.DUMMYFUNCTION("IMPORTRANGE(""https://docs.google.com/spreadsheets/d/1FbzMZY_f3MDiEuK7RpCQKrilJ_kpX0Wm7QBZ1L7EjIU/edit?usp=sharing"",""ชุมพร!J705"")"),0)</f>
        <v>0</v>
      </c>
      <c r="AF76" s="63">
        <f ca="1">IFERROR(__xludf.DUMMYFUNCTION("IMPORTRANGE(""https://docs.google.com/spreadsheets/d/1FbzMZY_f3MDiEuK7RpCQKrilJ_kpX0Wm7QBZ1L7EjIU/edit?usp=sharing"",""ชุมพร!J706"")"),0)</f>
        <v>0</v>
      </c>
      <c r="AG76" s="63">
        <f ca="1">IFERROR(__xludf.DUMMYFUNCTION("IMPORTRANGE(""https://docs.google.com/spreadsheets/d/1FbzMZY_f3MDiEuK7RpCQKrilJ_kpX0Wm7QBZ1L7EjIU/edit?usp=sharing"",""ชุมพร!J707"")"),0)</f>
        <v>0</v>
      </c>
      <c r="AH76" s="57">
        <f ca="1">IFERROR(__xludf.DUMMYFUNCTION("IMPORTRANGE(""https://docs.google.com/spreadsheets/d/1FbzMZY_f3MDiEuK7RpCQKrilJ_kpX0Wm7QBZ1L7EjIU/edit?usp=sharing"",""ชุมพร!I708"")"),0)</f>
        <v>0</v>
      </c>
      <c r="AI76" s="57">
        <f ca="1">IFERROR(__xludf.DUMMYFUNCTION("IMPORTRANGE(""https://docs.google.com/spreadsheets/d/1FbzMZY_f3MDiEuK7RpCQKrilJ_kpX0Wm7QBZ1L7EjIU/edit?usp=sharing"",""ชุมพร!J708"")"),0)</f>
        <v>0</v>
      </c>
      <c r="AJ76" s="63">
        <f t="shared" ca="1" si="37"/>
        <v>0</v>
      </c>
      <c r="AK76" s="57">
        <f ca="1">IFERROR(__xludf.DUMMYFUNCTION("IMPORTRANGE(""https://docs.google.com/spreadsheets/d/1FbzMZY_f3MDiEuK7RpCQKrilJ_kpX0Wm7QBZ1L7EjIU/edit?usp=sharing"",""ชุมพร!J709"")"),0)</f>
        <v>0</v>
      </c>
      <c r="AL76" s="57">
        <f ca="1">IFERROR(__xludf.DUMMYFUNCTION("IMPORTRANGE(""https://docs.google.com/spreadsheets/d/1FbzMZY_f3MDiEuK7RpCQKrilJ_kpX0Wm7QBZ1L7EjIU/edit?usp=sharing"",""ชุมพร!J710"")"),0)</f>
        <v>0</v>
      </c>
      <c r="AM76" s="57">
        <f ca="1">IFERROR(__xludf.DUMMYFUNCTION("IMPORTRANGE(""https://docs.google.com/spreadsheets/d/1FbzMZY_f3MDiEuK7RpCQKrilJ_kpX0Wm7QBZ1L7EjIU/edit?usp=sharing"",""ชุมพร!J712"")"),0)</f>
        <v>0</v>
      </c>
      <c r="AN76" s="57">
        <f ca="1">IFERROR(__xludf.DUMMYFUNCTION("IMPORTRANGE(""https://docs.google.com/spreadsheets/d/1FbzMZY_f3MDiEuK7RpCQKrilJ_kpX0Wm7QBZ1L7EjIU/edit?usp=sharing"",""ชุมพร!J713"")"),0)</f>
        <v>0</v>
      </c>
      <c r="AO76" s="57">
        <f ca="1">IFERROR(__xludf.DUMMYFUNCTION("IMPORTRANGE(""https://docs.google.com/spreadsheets/d/1FbzMZY_f3MDiEuK7RpCQKrilJ_kpX0Wm7QBZ1L7EjIU/edit?usp=sharing"",""ชุมพร!J714"")"),0)</f>
        <v>0</v>
      </c>
      <c r="AP76" s="57">
        <f ca="1">IFERROR(__xludf.DUMMYFUNCTION("IMPORTRANGE(""https://docs.google.com/spreadsheets/d/1FbzMZY_f3MDiEuK7RpCQKrilJ_kpX0Wm7QBZ1L7EjIU/edit?usp=sharing"",""ชุมพร!J715"")"),0)</f>
        <v>0</v>
      </c>
      <c r="AQ76" s="57">
        <f ca="1">IFERROR(__xludf.DUMMYFUNCTION("IMPORTRANGE(""https://docs.google.com/spreadsheets/d/1FbzMZY_f3MDiEuK7RpCQKrilJ_kpX0Wm7QBZ1L7EjIU/edit?usp=sharing"",""ชุมพร!J716"")"),0)</f>
        <v>0</v>
      </c>
      <c r="AR76" s="57">
        <f ca="1">IFERROR(__xludf.DUMMYFUNCTION("IMPORTRANGE(""https://docs.google.com/spreadsheets/d/1FbzMZY_f3MDiEuK7RpCQKrilJ_kpX0Wm7QBZ1L7EjIU/edit?usp=sharing"",""ชุมพร!J717"")"),0)</f>
        <v>0</v>
      </c>
      <c r="AS76" s="57">
        <f ca="1">IFERROR(__xludf.DUMMYFUNCTION("IMPORTRANGE(""https://docs.google.com/spreadsheets/d/1FbzMZY_f3MDiEuK7RpCQKrilJ_kpX0Wm7QBZ1L7EjIU/edit?usp=sharing"",""ชุมพร!I720"")"),0)</f>
        <v>0</v>
      </c>
      <c r="AT76" s="57">
        <f ca="1">IFERROR(__xludf.DUMMYFUNCTION("IMPORTRANGE(""https://docs.google.com/spreadsheets/d/1FbzMZY_f3MDiEuK7RpCQKrilJ_kpX0Wm7QBZ1L7EjIU/edit?usp=sharing"",""ชุมพร!J718"")"),0)</f>
        <v>0</v>
      </c>
      <c r="AU76" s="57">
        <f ca="1">IFERROR(__xludf.DUMMYFUNCTION("IMPORTRANGE(""https://docs.google.com/spreadsheets/d/1FbzMZY_f3MDiEuK7RpCQKrilJ_kpX0Wm7QBZ1L7EjIU/edit?usp=sharing"",""ชุมพร!J719"")"),0)</f>
        <v>0</v>
      </c>
      <c r="AV76" s="57">
        <f ca="1">IFERROR(__xludf.DUMMYFUNCTION("IMPORTRANGE(""https://docs.google.com/spreadsheets/d/1FbzMZY_f3MDiEuK7RpCQKrilJ_kpX0Wm7QBZ1L7EjIU/edit?usp=sharing"",""ชุมพร!J720"")"),0)</f>
        <v>0</v>
      </c>
      <c r="AW76" s="63">
        <f t="shared" ca="1" si="14"/>
        <v>0</v>
      </c>
      <c r="AX76" s="57">
        <f ca="1">IFERROR(__xludf.DUMMYFUNCTION("IMPORTRANGE(""https://docs.google.com/spreadsheets/d/1FbzMZY_f3MDiEuK7RpCQKrilJ_kpX0Wm7QBZ1L7EjIU/edit?usp=sharing"",""ชุมพร!I721"")"),0)</f>
        <v>0</v>
      </c>
      <c r="AY76" s="57">
        <f ca="1">IFERROR(__xludf.DUMMYFUNCTION("IMPORTRANGE(""https://docs.google.com/spreadsheets/d/1FbzMZY_f3MDiEuK7RpCQKrilJ_kpX0Wm7QBZ1L7EjIU/edit?usp=sharing"",""ชุมพร!I722"")"),0)</f>
        <v>0</v>
      </c>
      <c r="AZ76" s="57">
        <f ca="1">IFERROR(__xludf.DUMMYFUNCTION("IMPORTRANGE(""https://docs.google.com/spreadsheets/d/1FbzMZY_f3MDiEuK7RpCQKrilJ_kpX0Wm7QBZ1L7EjIU/edit?usp=sharing"",""ชุมพร!J721"")"),0)</f>
        <v>0</v>
      </c>
      <c r="BA76" s="63">
        <f t="shared" ca="1" si="16"/>
        <v>0</v>
      </c>
      <c r="BB76" s="57">
        <f ca="1">IFERROR(__xludf.DUMMYFUNCTION("IMPORTRANGE(""https://docs.google.com/spreadsheets/d/1FbzMZY_f3MDiEuK7RpCQKrilJ_kpX0Wm7QBZ1L7EjIU/edit?usp=sharing"",""ชุมพร!J722"")"),0)</f>
        <v>0</v>
      </c>
      <c r="BC76" s="63">
        <f t="shared" ca="1" si="17"/>
        <v>0</v>
      </c>
      <c r="BD76" s="57">
        <f ca="1">IFERROR(__xludf.DUMMYFUNCTION("IMPORTRANGE(""https://docs.google.com/spreadsheets/d/1FbzMZY_f3MDiEuK7RpCQKrilJ_kpX0Wm7QBZ1L7EjIU/edit?usp=sharing"",""ชุมพร!I723"")"),0)</f>
        <v>0</v>
      </c>
      <c r="BE76" s="57">
        <f ca="1">IFERROR(__xludf.DUMMYFUNCTION("IMPORTRANGE(""https://docs.google.com/spreadsheets/d/1FbzMZY_f3MDiEuK7RpCQKrilJ_kpX0Wm7QBZ1L7EjIU/edit?usp=sharing"",""ชุมพร!I725"")"),0)</f>
        <v>0</v>
      </c>
      <c r="BF76" s="57">
        <f ca="1">IFERROR(__xludf.DUMMYFUNCTION("IMPORTRANGE(""https://docs.google.com/spreadsheets/d/1FbzMZY_f3MDiEuK7RpCQKrilJ_kpX0Wm7QBZ1L7EjIU/edit?usp=sharing"",""ชุมพร!J723"")"),0)</f>
        <v>0</v>
      </c>
      <c r="BG76" s="57">
        <f ca="1">IFERROR(__xludf.DUMMYFUNCTION("IMPORTRANGE(""https://docs.google.com/spreadsheets/d/1FbzMZY_f3MDiEuK7RpCQKrilJ_kpX0Wm7QBZ1L7EjIU/edit?usp=sharing"",""ชุมพร!J724"")"),0)</f>
        <v>0</v>
      </c>
      <c r="BH76" s="57">
        <f ca="1">IFERROR(__xludf.DUMMYFUNCTION("IMPORTRANGE(""https://docs.google.com/spreadsheets/d/1FbzMZY_f3MDiEuK7RpCQKrilJ_kpX0Wm7QBZ1L7EjIU/edit?usp=sharing"",""ชุมพร!J725"")"),0)</f>
        <v>0</v>
      </c>
      <c r="BI76" s="57">
        <f ca="1">IFERROR(__xludf.DUMMYFUNCTION("IMPORTRANGE(""https://docs.google.com/spreadsheets/d/1FbzMZY_f3MDiEuK7RpCQKrilJ_kpX0Wm7QBZ1L7EjIU/edit?usp=sharing"",""ชุมพร!I726"")"),0)</f>
        <v>0</v>
      </c>
      <c r="BJ76" s="57">
        <f ca="1">IFERROR(__xludf.DUMMYFUNCTION("IMPORTRANGE(""https://docs.google.com/spreadsheets/d/1FbzMZY_f3MDiEuK7RpCQKrilJ_kpX0Wm7QBZ1L7EjIU/edit?usp=sharing"",""ชุมพร!I728"")"),0)</f>
        <v>0</v>
      </c>
      <c r="BK76" s="57">
        <f ca="1">IFERROR(__xludf.DUMMYFUNCTION("IMPORTRANGE(""https://docs.google.com/spreadsheets/d/1FbzMZY_f3MDiEuK7RpCQKrilJ_kpX0Wm7QBZ1L7EjIU/edit?usp=sharing"",""ชุมพร!J726"")"),0)</f>
        <v>0</v>
      </c>
      <c r="BL76" s="57">
        <f ca="1">IFERROR(__xludf.DUMMYFUNCTION("IMPORTRANGE(""https://docs.google.com/spreadsheets/d/1FbzMZY_f3MDiEuK7RpCQKrilJ_kpX0Wm7QBZ1L7EjIU/edit?usp=sharing"",""ชุมพร!J727"")"),0)</f>
        <v>0</v>
      </c>
      <c r="BM76" s="57">
        <f ca="1">IFERROR(__xludf.DUMMYFUNCTION("IMPORTRANGE(""https://docs.google.com/spreadsheets/d/1FbzMZY_f3MDiEuK7RpCQKrilJ_kpX0Wm7QBZ1L7EjIU/edit?usp=sharing"",""ชุมพร!J728"")"),0)</f>
        <v>0</v>
      </c>
      <c r="BN76" s="57">
        <f ca="1">IFERROR(__xludf.DUMMYFUNCTION("IMPORTRANGE(""https://docs.google.com/spreadsheets/d/1FbzMZY_f3MDiEuK7RpCQKrilJ_kpX0Wm7QBZ1L7EjIU/edit?usp=sharing"",""ชุมพร!I729"")"),0)</f>
        <v>0</v>
      </c>
      <c r="BO76" s="57">
        <f ca="1">IFERROR(__xludf.DUMMYFUNCTION("IMPORTRANGE(""https://docs.google.com/spreadsheets/d/1FbzMZY_f3MDiEuK7RpCQKrilJ_kpX0Wm7QBZ1L7EjIU/edit?usp=sharing"",""ชุมพร!J729"")"),0)</f>
        <v>0</v>
      </c>
      <c r="BP76" s="63">
        <f t="shared" ca="1" si="19"/>
        <v>0</v>
      </c>
      <c r="BQ76" s="57">
        <f ca="1">IFERROR(__xludf.DUMMYFUNCTION("IMPORTRANGE(""https://docs.google.com/spreadsheets/d/1FbzMZY_f3MDiEuK7RpCQKrilJ_kpX0Wm7QBZ1L7EjIU/edit?usp=sharing"",""ชุมพร!J730"")"),0)</f>
        <v>0</v>
      </c>
      <c r="BR76" s="57">
        <f ca="1">IFERROR(__xludf.DUMMYFUNCTION("IMPORTRANGE(""https://docs.google.com/spreadsheets/d/1FbzMZY_f3MDiEuK7RpCQKrilJ_kpX0Wm7QBZ1L7EjIU/edit?usp=sharing"",""ชุมพร!J731"")"),0)</f>
        <v>0</v>
      </c>
      <c r="BS76" s="57">
        <f ca="1">IFERROR(__xludf.DUMMYFUNCTION("IMPORTRANGE(""https://docs.google.com/spreadsheets/d/1FbzMZY_f3MDiEuK7RpCQKrilJ_kpX0Wm7QBZ1L7EjIU/edit?usp=sharing"",""ชุมพร!J732"")"),0)</f>
        <v>0</v>
      </c>
      <c r="BT76" s="57">
        <f ca="1">IFERROR(__xludf.DUMMYFUNCTION("IMPORTRANGE(""https://docs.google.com/spreadsheets/d/1FbzMZY_f3MDiEuK7RpCQKrilJ_kpX0Wm7QBZ1L7EjIU/edit?usp=sharing"",""ชุมพร!J733"")"),0)</f>
        <v>0</v>
      </c>
      <c r="BU76" s="57">
        <f ca="1">IFERROR(__xludf.DUMMYFUNCTION("IMPORTRANGE(""https://docs.google.com/spreadsheets/d/1FbzMZY_f3MDiEuK7RpCQKrilJ_kpX0Wm7QBZ1L7EjIU/edit?usp=sharing"",""ชุมพร!J734"")"),0)</f>
        <v>0</v>
      </c>
      <c r="BV76" s="57">
        <f ca="1">IFERROR(__xludf.DUMMYFUNCTION("IMPORTRANGE(""https://docs.google.com/spreadsheets/d/1FbzMZY_f3MDiEuK7RpCQKrilJ_kpX0Wm7QBZ1L7EjIU/edit?usp=sharing"",""ชุมพร!J735"")"),0)</f>
        <v>0</v>
      </c>
    </row>
    <row r="77" spans="1:74" ht="21" customHeight="1" x14ac:dyDescent="0.3">
      <c r="A77" s="54">
        <v>3</v>
      </c>
      <c r="B77" s="55" t="s">
        <v>98</v>
      </c>
      <c r="C77" s="56">
        <f t="shared" ca="1" si="87"/>
        <v>0</v>
      </c>
      <c r="D77" s="57">
        <f ca="1">IFERROR(__xludf.DUMMYFUNCTION("IMPORTRANGE(""https://docs.google.com/spreadsheets/d/1v5sN-00LrXuhBxw4dkh2GrG_z4l5oAqOdJRBCsUyMaM/edit?usp=sharing"",""ตรัง!L690"")"),0)</f>
        <v>0</v>
      </c>
      <c r="E77" s="64">
        <f ca="1">IFERROR(__xludf.DUMMYFUNCTION("IMPORTRANGE(""https://docs.google.com/spreadsheets/d/1v5sN-00LrXuhBxw4dkh2GrG_z4l5oAqOdJRBCsUyMaM/edit?usp=sharing"",""ตรัง!L697"")"),0)</f>
        <v>0</v>
      </c>
      <c r="F77" s="64">
        <f ca="1">IFERROR(__xludf.DUMMYFUNCTION("IMPORTRANGE(""https://docs.google.com/spreadsheets/d/1v5sN-00LrXuhBxw4dkh2GrG_z4l5oAqOdJRBCsUyMaM/edit?usp=sharing"",""ตรัง!M690"")"),0)</f>
        <v>0</v>
      </c>
      <c r="G77" s="64">
        <f ca="1">IFERROR(__xludf.DUMMYFUNCTION("IMPORTRANGE(""https://docs.google.com/spreadsheets/d/1v5sN-00LrXuhBxw4dkh2GrG_z4l5oAqOdJRBCsUyMaM/edit?usp=sharing"",""ตรัง!M697"")"),0)</f>
        <v>0</v>
      </c>
      <c r="H77" s="58">
        <f t="shared" ca="1" si="33"/>
        <v>0</v>
      </c>
      <c r="I77" s="59">
        <f t="shared" ca="1" si="1"/>
        <v>0</v>
      </c>
      <c r="J77" s="60">
        <f t="shared" ca="1" si="88"/>
        <v>0</v>
      </c>
      <c r="K77" s="61">
        <f t="shared" ca="1" si="39"/>
        <v>0</v>
      </c>
      <c r="L77" s="61">
        <f t="shared" ca="1" si="40"/>
        <v>0</v>
      </c>
      <c r="M77" s="64">
        <f ca="1">IFERROR(__xludf.DUMMYFUNCTION("IMPORTRANGE(""https://docs.google.com/spreadsheets/d/1v5sN-00LrXuhBxw4dkh2GrG_z4l5oAqOdJRBCsUyMaM/edit?usp=sharing"",""ตรัง!N691"")"),0)</f>
        <v>0</v>
      </c>
      <c r="N77" s="64">
        <f ca="1">IFERROR(__xludf.DUMMYFUNCTION("IMPORTRANGE(""https://docs.google.com/spreadsheets/d/1v5sN-00LrXuhBxw4dkh2GrG_z4l5oAqOdJRBCsUyMaM/edit?usp=sharing"",""ตรัง!N692"")"),0)</f>
        <v>0</v>
      </c>
      <c r="O77" s="64">
        <f ca="1">IFERROR(__xludf.DUMMYFUNCTION("IMPORTRANGE(""https://docs.google.com/spreadsheets/d/1v5sN-00LrXuhBxw4dkh2GrG_z4l5oAqOdJRBCsUyMaM/edit?usp=sharing"",""ตรัง!N693"")"),0)</f>
        <v>0</v>
      </c>
      <c r="P77" s="64">
        <f ca="1">IFERROR(__xludf.DUMMYFUNCTION("IMPORTRANGE(""https://docs.google.com/spreadsheets/d/1v5sN-00LrXuhBxw4dkh2GrG_z4l5oAqOdJRBCsUyMaM/edit?usp=sharing"",""ตรัง!N694"")"),0)</f>
        <v>0</v>
      </c>
      <c r="Q77" s="62">
        <f ca="1">IFERROR(__xludf.DUMMYFUNCTION("IMPORTRANGE(""https://docs.google.com/spreadsheets/d/1v5sN-00LrXuhBxw4dkh2GrG_z4l5oAqOdJRBCsUyMaM/edit?usp=sharing"",""ตรัง!N697"")"),0)</f>
        <v>0</v>
      </c>
      <c r="R77" s="62">
        <f t="shared" ca="1" si="42"/>
        <v>0</v>
      </c>
      <c r="S77" s="57">
        <f ca="1">IFERROR(__xludf.DUMMYFUNCTION("IMPORTRANGE(""https://docs.google.com/spreadsheets/d/1v5sN-00LrXuhBxw4dkh2GrG_z4l5oAqOdJRBCsUyMaM/edit?usp=sharing"",""ตรัง!I699"")"),0)</f>
        <v>0</v>
      </c>
      <c r="T77" s="57">
        <f ca="1">IFERROR(__xludf.DUMMYFUNCTION("IMPORTRANGE(""https://docs.google.com/spreadsheets/d/1v5sN-00LrXuhBxw4dkh2GrG_z4l5oAqOdJRBCsUyMaM/edit?usp=sharing"",""ตรัง!J699"")"),0)</f>
        <v>0</v>
      </c>
      <c r="U77" s="63">
        <f t="shared" ca="1" si="34"/>
        <v>0</v>
      </c>
      <c r="V77" s="57">
        <f ca="1">IFERROR(__xludf.DUMMYFUNCTION("IMPORTRANGE(""https://docs.google.com/spreadsheets/d/1v5sN-00LrXuhBxw4dkh2GrG_z4l5oAqOdJRBCsUyMaM/edit?usp=sharing"",""ตรัง!I700"")"),0)</f>
        <v>0</v>
      </c>
      <c r="W77" s="57">
        <f ca="1">IFERROR(__xludf.DUMMYFUNCTION("IMPORTRANGE(""https://docs.google.com/spreadsheets/d/1v5sN-00LrXuhBxw4dkh2GrG_z4l5oAqOdJRBCsUyMaM/edit?usp=sharing"",""ตรัง!J700"")"),0)</f>
        <v>0</v>
      </c>
      <c r="X77" s="63">
        <f t="shared" ca="1" si="35"/>
        <v>0</v>
      </c>
      <c r="Y77" s="57">
        <f ca="1">IFERROR(__xludf.DUMMYFUNCTION("IMPORTRANGE(""https://docs.google.com/spreadsheets/d/1v5sN-00LrXuhBxw4dkh2GrG_z4l5oAqOdJRBCsUyMaM/edit?usp=sharing"",""ตรัง!I701"")"),0)</f>
        <v>0</v>
      </c>
      <c r="Z77" s="57">
        <f ca="1">IFERROR(__xludf.DUMMYFUNCTION("IMPORTRANGE(""https://docs.google.com/spreadsheets/d/1v5sN-00LrXuhBxw4dkh2GrG_z4l5oAqOdJRBCsUyMaM/edit?usp=sharing"",""ตรัง!J701"")"),0)</f>
        <v>0</v>
      </c>
      <c r="AA77" s="63">
        <f t="shared" ca="1" si="36"/>
        <v>0</v>
      </c>
      <c r="AB77" s="63">
        <f ca="1">IFERROR(__xludf.DUMMYFUNCTION("IMPORTRANGE(""https://docs.google.com/spreadsheets/d/1v5sN-00LrXuhBxw4dkh2GrG_z4l5oAqOdJRBCsUyMaM/edit?usp=sharing"",""ตรัง!J702"")"),0)</f>
        <v>0</v>
      </c>
      <c r="AC77" s="63">
        <f ca="1">IFERROR(__xludf.DUMMYFUNCTION("IMPORTRANGE(""https://docs.google.com/spreadsheets/d/1v5sN-00LrXuhBxw4dkh2GrG_z4l5oAqOdJRBCsUyMaM/edit?usp=sharing"",""ตรัง!J703"")"),0)</f>
        <v>0</v>
      </c>
      <c r="AD77" s="63">
        <f ca="1">IFERROR(__xludf.DUMMYFUNCTION("IMPORTRANGE(""https://docs.google.com/spreadsheets/d/1v5sN-00LrXuhBxw4dkh2GrG_z4l5oAqOdJRBCsUyMaM/edit?usp=sharing"",""ตรัง!J704"")"),0)</f>
        <v>0</v>
      </c>
      <c r="AE77" s="63">
        <f ca="1">IFERROR(__xludf.DUMMYFUNCTION("IMPORTRANGE(""https://docs.google.com/spreadsheets/d/1v5sN-00LrXuhBxw4dkh2GrG_z4l5oAqOdJRBCsUyMaM/edit?usp=sharing"",""ตรัง!J705"")"),0)</f>
        <v>0</v>
      </c>
      <c r="AF77" s="63">
        <f ca="1">IFERROR(__xludf.DUMMYFUNCTION("IMPORTRANGE(""https://docs.google.com/spreadsheets/d/1v5sN-00LrXuhBxw4dkh2GrG_z4l5oAqOdJRBCsUyMaM/edit?usp=sharing"",""ตรัง!J706"")"),0)</f>
        <v>0</v>
      </c>
      <c r="AG77" s="63">
        <f ca="1">IFERROR(__xludf.DUMMYFUNCTION("IMPORTRANGE(""https://docs.google.com/spreadsheets/d/1v5sN-00LrXuhBxw4dkh2GrG_z4l5oAqOdJRBCsUyMaM/edit?usp=sharing"",""ตรัง!J707"")"),0)</f>
        <v>0</v>
      </c>
      <c r="AH77" s="57">
        <f ca="1">IFERROR(__xludf.DUMMYFUNCTION("IMPORTRANGE(""https://docs.google.com/spreadsheets/d/1v5sN-00LrXuhBxw4dkh2GrG_z4l5oAqOdJRBCsUyMaM/edit?usp=sharing"",""ตรัง!I708"")"),0)</f>
        <v>0</v>
      </c>
      <c r="AI77" s="57">
        <f ca="1">IFERROR(__xludf.DUMMYFUNCTION("IMPORTRANGE(""https://docs.google.com/spreadsheets/d/1v5sN-00LrXuhBxw4dkh2GrG_z4l5oAqOdJRBCsUyMaM/edit?usp=sharing"",""ตรัง!J708"")"),0)</f>
        <v>0</v>
      </c>
      <c r="AJ77" s="63">
        <f t="shared" ca="1" si="37"/>
        <v>0</v>
      </c>
      <c r="AK77" s="57">
        <f ca="1">IFERROR(__xludf.DUMMYFUNCTION("IMPORTRANGE(""https://docs.google.com/spreadsheets/d/1v5sN-00LrXuhBxw4dkh2GrG_z4l5oAqOdJRBCsUyMaM/edit?usp=sharing"",""ตรัง!J709"")"),0)</f>
        <v>0</v>
      </c>
      <c r="AL77" s="57">
        <f ca="1">IFERROR(__xludf.DUMMYFUNCTION("IMPORTRANGE(""https://docs.google.com/spreadsheets/d/1v5sN-00LrXuhBxw4dkh2GrG_z4l5oAqOdJRBCsUyMaM/edit?usp=sharing"",""ตรัง!J710"")"),0)</f>
        <v>0</v>
      </c>
      <c r="AM77" s="57">
        <f ca="1">IFERROR(__xludf.DUMMYFUNCTION("IMPORTRANGE(""https://docs.google.com/spreadsheets/d/1v5sN-00LrXuhBxw4dkh2GrG_z4l5oAqOdJRBCsUyMaM/edit?usp=sharing"",""ตรัง!J712"")"),0)</f>
        <v>0</v>
      </c>
      <c r="AN77" s="57">
        <f ca="1">IFERROR(__xludf.DUMMYFUNCTION("IMPORTRANGE(""https://docs.google.com/spreadsheets/d/1v5sN-00LrXuhBxw4dkh2GrG_z4l5oAqOdJRBCsUyMaM/edit?usp=sharing"",""ตรัง!J713"")"),0)</f>
        <v>0</v>
      </c>
      <c r="AO77" s="57">
        <f ca="1">IFERROR(__xludf.DUMMYFUNCTION("IMPORTRANGE(""https://docs.google.com/spreadsheets/d/1v5sN-00LrXuhBxw4dkh2GrG_z4l5oAqOdJRBCsUyMaM/edit?usp=sharing"",""ตรัง!J714"")"),0)</f>
        <v>0</v>
      </c>
      <c r="AP77" s="57">
        <f ca="1">IFERROR(__xludf.DUMMYFUNCTION("IMPORTRANGE(""https://docs.google.com/spreadsheets/d/1v5sN-00LrXuhBxw4dkh2GrG_z4l5oAqOdJRBCsUyMaM/edit?usp=sharing"",""ตรัง!J715"")"),0)</f>
        <v>0</v>
      </c>
      <c r="AQ77" s="57">
        <f ca="1">IFERROR(__xludf.DUMMYFUNCTION("IMPORTRANGE(""https://docs.google.com/spreadsheets/d/1v5sN-00LrXuhBxw4dkh2GrG_z4l5oAqOdJRBCsUyMaM/edit?usp=sharing"",""ตรัง!J716"")"),0)</f>
        <v>0</v>
      </c>
      <c r="AR77" s="57">
        <f ca="1">IFERROR(__xludf.DUMMYFUNCTION("IMPORTRANGE(""https://docs.google.com/spreadsheets/d/1v5sN-00LrXuhBxw4dkh2GrG_z4l5oAqOdJRBCsUyMaM/edit?usp=sharing"",""ตรัง!J717"")"),0)</f>
        <v>0</v>
      </c>
      <c r="AS77" s="57">
        <f ca="1">IFERROR(__xludf.DUMMYFUNCTION("IMPORTRANGE(""https://docs.google.com/spreadsheets/d/1v5sN-00LrXuhBxw4dkh2GrG_z4l5oAqOdJRBCsUyMaM/edit?usp=sharing"",""ตรัง!I720"")"),0)</f>
        <v>0</v>
      </c>
      <c r="AT77" s="57">
        <f ca="1">IFERROR(__xludf.DUMMYFUNCTION("IMPORTRANGE(""https://docs.google.com/spreadsheets/d/1v5sN-00LrXuhBxw4dkh2GrG_z4l5oAqOdJRBCsUyMaM/edit?usp=sharing"",""ตรัง!J718"")"),0)</f>
        <v>0</v>
      </c>
      <c r="AU77" s="57">
        <f ca="1">IFERROR(__xludf.DUMMYFUNCTION("IMPORTRANGE(""https://docs.google.com/spreadsheets/d/1v5sN-00LrXuhBxw4dkh2GrG_z4l5oAqOdJRBCsUyMaM/edit?usp=sharing"",""ตรัง!J719"")"),0)</f>
        <v>0</v>
      </c>
      <c r="AV77" s="57">
        <f ca="1">IFERROR(__xludf.DUMMYFUNCTION("IMPORTRANGE(""https://docs.google.com/spreadsheets/d/1v5sN-00LrXuhBxw4dkh2GrG_z4l5oAqOdJRBCsUyMaM/edit?usp=sharing"",""ตรัง!J720"")"),0)</f>
        <v>0</v>
      </c>
      <c r="AW77" s="63">
        <f t="shared" ca="1" si="14"/>
        <v>0</v>
      </c>
      <c r="AX77" s="57">
        <f ca="1">IFERROR(__xludf.DUMMYFUNCTION("IMPORTRANGE(""https://docs.google.com/spreadsheets/d/1v5sN-00LrXuhBxw4dkh2GrG_z4l5oAqOdJRBCsUyMaM/edit?usp=sharing"",""ตรัง!I721"")"),0)</f>
        <v>0</v>
      </c>
      <c r="AY77" s="57">
        <f ca="1">IFERROR(__xludf.DUMMYFUNCTION("IMPORTRANGE(""https://docs.google.com/spreadsheets/d/1v5sN-00LrXuhBxw4dkh2GrG_z4l5oAqOdJRBCsUyMaM/edit?usp=sharing"",""ตรัง!I722"")"),0)</f>
        <v>0</v>
      </c>
      <c r="AZ77" s="57">
        <f ca="1">IFERROR(__xludf.DUMMYFUNCTION("IMPORTRANGE(""https://docs.google.com/spreadsheets/d/1v5sN-00LrXuhBxw4dkh2GrG_z4l5oAqOdJRBCsUyMaM/edit?usp=sharing"",""ตรัง!J721"")"),0)</f>
        <v>0</v>
      </c>
      <c r="BA77" s="63">
        <f t="shared" ca="1" si="16"/>
        <v>0</v>
      </c>
      <c r="BB77" s="57">
        <f ca="1">IFERROR(__xludf.DUMMYFUNCTION("IMPORTRANGE(""https://docs.google.com/spreadsheets/d/1v5sN-00LrXuhBxw4dkh2GrG_z4l5oAqOdJRBCsUyMaM/edit?usp=sharing"",""ตรัง!J722"")"),0)</f>
        <v>0</v>
      </c>
      <c r="BC77" s="63">
        <f t="shared" ca="1" si="17"/>
        <v>0</v>
      </c>
      <c r="BD77" s="57">
        <f ca="1">IFERROR(__xludf.DUMMYFUNCTION("IMPORTRANGE(""https://docs.google.com/spreadsheets/d/1v5sN-00LrXuhBxw4dkh2GrG_z4l5oAqOdJRBCsUyMaM/edit?usp=sharing"",""ตรัง!I723"")"),0)</f>
        <v>0</v>
      </c>
      <c r="BE77" s="57">
        <f ca="1">IFERROR(__xludf.DUMMYFUNCTION("IMPORTRANGE(""https://docs.google.com/spreadsheets/d/1v5sN-00LrXuhBxw4dkh2GrG_z4l5oAqOdJRBCsUyMaM/edit?usp=sharing"",""ตรัง!I725"")"),0)</f>
        <v>0</v>
      </c>
      <c r="BF77" s="57">
        <f ca="1">IFERROR(__xludf.DUMMYFUNCTION("IMPORTRANGE(""https://docs.google.com/spreadsheets/d/1v5sN-00LrXuhBxw4dkh2GrG_z4l5oAqOdJRBCsUyMaM/edit?usp=sharing"",""ตรัง!J723"")"),0)</f>
        <v>0</v>
      </c>
      <c r="BG77" s="57">
        <f ca="1">IFERROR(__xludf.DUMMYFUNCTION("IMPORTRANGE(""https://docs.google.com/spreadsheets/d/1v5sN-00LrXuhBxw4dkh2GrG_z4l5oAqOdJRBCsUyMaM/edit?usp=sharing"",""ตรัง!J724"")"),0)</f>
        <v>0</v>
      </c>
      <c r="BH77" s="57">
        <f ca="1">IFERROR(__xludf.DUMMYFUNCTION("IMPORTRANGE(""https://docs.google.com/spreadsheets/d/1v5sN-00LrXuhBxw4dkh2GrG_z4l5oAqOdJRBCsUyMaM/edit?usp=sharing"",""ตรัง!J725"")"),0)</f>
        <v>0</v>
      </c>
      <c r="BI77" s="57">
        <f ca="1">IFERROR(__xludf.DUMMYFUNCTION("IMPORTRANGE(""https://docs.google.com/spreadsheets/d/1v5sN-00LrXuhBxw4dkh2GrG_z4l5oAqOdJRBCsUyMaM/edit?usp=sharing"",""ตรัง!I726"")"),0)</f>
        <v>0</v>
      </c>
      <c r="BJ77" s="57">
        <f ca="1">IFERROR(__xludf.DUMMYFUNCTION("IMPORTRANGE(""https://docs.google.com/spreadsheets/d/1v5sN-00LrXuhBxw4dkh2GrG_z4l5oAqOdJRBCsUyMaM/edit?usp=sharing"",""ตรัง!I728"")"),0)</f>
        <v>0</v>
      </c>
      <c r="BK77" s="57">
        <f ca="1">IFERROR(__xludf.DUMMYFUNCTION("IMPORTRANGE(""https://docs.google.com/spreadsheets/d/1v5sN-00LrXuhBxw4dkh2GrG_z4l5oAqOdJRBCsUyMaM/edit?usp=sharing"",""ตรัง!J726"")"),0)</f>
        <v>0</v>
      </c>
      <c r="BL77" s="57">
        <f ca="1">IFERROR(__xludf.DUMMYFUNCTION("IMPORTRANGE(""https://docs.google.com/spreadsheets/d/1v5sN-00LrXuhBxw4dkh2GrG_z4l5oAqOdJRBCsUyMaM/edit?usp=sharing"",""ตรัง!J727"")"),0)</f>
        <v>0</v>
      </c>
      <c r="BM77" s="57">
        <f ca="1">IFERROR(__xludf.DUMMYFUNCTION("IMPORTRANGE(""https://docs.google.com/spreadsheets/d/1v5sN-00LrXuhBxw4dkh2GrG_z4l5oAqOdJRBCsUyMaM/edit?usp=sharing"",""ตรัง!J728"")"),0)</f>
        <v>0</v>
      </c>
      <c r="BN77" s="57">
        <f ca="1">IFERROR(__xludf.DUMMYFUNCTION("IMPORTRANGE(""https://docs.google.com/spreadsheets/d/1v5sN-00LrXuhBxw4dkh2GrG_z4l5oAqOdJRBCsUyMaM/edit?usp=sharing"",""ตรัง!I729"")"),0)</f>
        <v>0</v>
      </c>
      <c r="BO77" s="57">
        <f ca="1">IFERROR(__xludf.DUMMYFUNCTION("IMPORTRANGE(""https://docs.google.com/spreadsheets/d/1v5sN-00LrXuhBxw4dkh2GrG_z4l5oAqOdJRBCsUyMaM/edit?usp=sharing"",""ตรัง!J729"")"),0)</f>
        <v>0</v>
      </c>
      <c r="BP77" s="63">
        <f t="shared" ca="1" si="19"/>
        <v>0</v>
      </c>
      <c r="BQ77" s="57">
        <f ca="1">IFERROR(__xludf.DUMMYFUNCTION("IMPORTRANGE(""https://docs.google.com/spreadsheets/d/1v5sN-00LrXuhBxw4dkh2GrG_z4l5oAqOdJRBCsUyMaM/edit?usp=sharing"",""ตรัง!J730"")"),0)</f>
        <v>0</v>
      </c>
      <c r="BR77" s="57">
        <f ca="1">IFERROR(__xludf.DUMMYFUNCTION("IMPORTRANGE(""https://docs.google.com/spreadsheets/d/1v5sN-00LrXuhBxw4dkh2GrG_z4l5oAqOdJRBCsUyMaM/edit?usp=sharing"",""ตรัง!J731"")"),0)</f>
        <v>0</v>
      </c>
      <c r="BS77" s="57">
        <f ca="1">IFERROR(__xludf.DUMMYFUNCTION("IMPORTRANGE(""https://docs.google.com/spreadsheets/d/1v5sN-00LrXuhBxw4dkh2GrG_z4l5oAqOdJRBCsUyMaM/edit?usp=sharing"",""ตรัง!J732"")"),0)</f>
        <v>0</v>
      </c>
      <c r="BT77" s="57">
        <f ca="1">IFERROR(__xludf.DUMMYFUNCTION("IMPORTRANGE(""https://docs.google.com/spreadsheets/d/1v5sN-00LrXuhBxw4dkh2GrG_z4l5oAqOdJRBCsUyMaM/edit?usp=sharing"",""ตรัง!J733"")"),0)</f>
        <v>0</v>
      </c>
      <c r="BU77" s="57">
        <f ca="1">IFERROR(__xludf.DUMMYFUNCTION("IMPORTRANGE(""https://docs.google.com/spreadsheets/d/1v5sN-00LrXuhBxw4dkh2GrG_z4l5oAqOdJRBCsUyMaM/edit?usp=sharing"",""ตรัง!J734"")"),0)</f>
        <v>0</v>
      </c>
      <c r="BV77" s="57">
        <f ca="1">IFERROR(__xludf.DUMMYFUNCTION("IMPORTRANGE(""https://docs.google.com/spreadsheets/d/1v5sN-00LrXuhBxw4dkh2GrG_z4l5oAqOdJRBCsUyMaM/edit?usp=sharing"",""ตรัง!J735"")"),0)</f>
        <v>0</v>
      </c>
    </row>
    <row r="78" spans="1:74" ht="21" customHeight="1" x14ac:dyDescent="0.3">
      <c r="A78" s="54">
        <v>4</v>
      </c>
      <c r="B78" s="55" t="s">
        <v>99</v>
      </c>
      <c r="C78" s="56">
        <f t="shared" ca="1" si="87"/>
        <v>0</v>
      </c>
      <c r="D78" s="57">
        <f ca="1">IFERROR(__xludf.DUMMYFUNCTION("IMPORTRANGE(""https://docs.google.com/spreadsheets/d/1T5rRTzFc79aSIvqnzkZNvwPstq829QYz_xALlO1Z0s8/edit?usp=sharing"",""นครศรีธรรมราช!L690"")"),0)</f>
        <v>0</v>
      </c>
      <c r="E78" s="64">
        <f ca="1">IFERROR(__xludf.DUMMYFUNCTION("IMPORTRANGE(""https://docs.google.com/spreadsheets/d/1T5rRTzFc79aSIvqnzkZNvwPstq829QYz_xALlO1Z0s8/edit?usp=sharing"",""นครศรีธรรมราช!L697"")"),0)</f>
        <v>0</v>
      </c>
      <c r="F78" s="64">
        <f ca="1">IFERROR(__xludf.DUMMYFUNCTION("IMPORTRANGE(""https://docs.google.com/spreadsheets/d/1T5rRTzFc79aSIvqnzkZNvwPstq829QYz_xALlO1Z0s8/edit?usp=sharing"",""นครศรีธรรมราช!M690"")"),0)</f>
        <v>0</v>
      </c>
      <c r="G78" s="64">
        <f ca="1">IFERROR(__xludf.DUMMYFUNCTION("IMPORTRANGE(""https://docs.google.com/spreadsheets/d/1T5rRTzFc79aSIvqnzkZNvwPstq829QYz_xALlO1Z0s8/edit?usp=sharing"",""นครศรีธรรมราช!M697"")"),0)</f>
        <v>0</v>
      </c>
      <c r="H78" s="58">
        <f t="shared" ca="1" si="33"/>
        <v>0</v>
      </c>
      <c r="I78" s="59">
        <f t="shared" ca="1" si="1"/>
        <v>0</v>
      </c>
      <c r="J78" s="60">
        <f t="shared" ca="1" si="88"/>
        <v>0</v>
      </c>
      <c r="K78" s="61">
        <f t="shared" ca="1" si="39"/>
        <v>0</v>
      </c>
      <c r="L78" s="61">
        <f t="shared" ca="1" si="40"/>
        <v>0</v>
      </c>
      <c r="M78" s="64">
        <f ca="1">IFERROR(__xludf.DUMMYFUNCTION("IMPORTRANGE(""https://docs.google.com/spreadsheets/d/1T5rRTzFc79aSIvqnzkZNvwPstq829QYz_xALlO1Z0s8/edit?usp=sharing"",""นครศรีธรรมราช!N691"")"),0)</f>
        <v>0</v>
      </c>
      <c r="N78" s="64">
        <f ca="1">IFERROR(__xludf.DUMMYFUNCTION("IMPORTRANGE(""https://docs.google.com/spreadsheets/d/1T5rRTzFc79aSIvqnzkZNvwPstq829QYz_xALlO1Z0s8/edit?usp=sharing"",""นครศรีธรรมราช!N692"")"),0)</f>
        <v>0</v>
      </c>
      <c r="O78" s="64">
        <f ca="1">IFERROR(__xludf.DUMMYFUNCTION("IMPORTRANGE(""https://docs.google.com/spreadsheets/d/1T5rRTzFc79aSIvqnzkZNvwPstq829QYz_xALlO1Z0s8/edit?usp=sharing"",""นครศรีธรรมราช!N693"")"),0)</f>
        <v>0</v>
      </c>
      <c r="P78" s="64">
        <f ca="1">IFERROR(__xludf.DUMMYFUNCTION("IMPORTRANGE(""https://docs.google.com/spreadsheets/d/1T5rRTzFc79aSIvqnzkZNvwPstq829QYz_xALlO1Z0s8/edit?usp=sharing"",""นครศรีธรรมราช!N694"")"),0)</f>
        <v>0</v>
      </c>
      <c r="Q78" s="62">
        <f ca="1">IFERROR(__xludf.DUMMYFUNCTION("IMPORTRANGE(""https://docs.google.com/spreadsheets/d/1T5rRTzFc79aSIvqnzkZNvwPstq829QYz_xALlO1Z0s8/edit?usp=sharing"",""นครศรีธรรมราช!N697"")"),0)</f>
        <v>0</v>
      </c>
      <c r="R78" s="62">
        <f t="shared" ca="1" si="42"/>
        <v>0</v>
      </c>
      <c r="S78" s="57">
        <f ca="1">IFERROR(__xludf.DUMMYFUNCTION("IMPORTRANGE(""https://docs.google.com/spreadsheets/d/1T5rRTzFc79aSIvqnzkZNvwPstq829QYz_xALlO1Z0s8/edit?usp=sharing"",""นครศรีธรรมราช!I699"")"),0)</f>
        <v>0</v>
      </c>
      <c r="T78" s="57">
        <f ca="1">IFERROR(__xludf.DUMMYFUNCTION("IMPORTRANGE(""https://docs.google.com/spreadsheets/d/1T5rRTzFc79aSIvqnzkZNvwPstq829QYz_xALlO1Z0s8/edit?usp=sharing"",""นครศรีธรรมราช!J699"")"),0)</f>
        <v>0</v>
      </c>
      <c r="U78" s="63">
        <f t="shared" ca="1" si="34"/>
        <v>0</v>
      </c>
      <c r="V78" s="57">
        <f ca="1">IFERROR(__xludf.DUMMYFUNCTION("IMPORTRANGE(""https://docs.google.com/spreadsheets/d/1T5rRTzFc79aSIvqnzkZNvwPstq829QYz_xALlO1Z0s8/edit?usp=sharing"",""นครศรีธรรมราช!I700"")"),0)</f>
        <v>0</v>
      </c>
      <c r="W78" s="57">
        <f ca="1">IFERROR(__xludf.DUMMYFUNCTION("IMPORTRANGE(""https://docs.google.com/spreadsheets/d/1T5rRTzFc79aSIvqnzkZNvwPstq829QYz_xALlO1Z0s8/edit?usp=sharing"",""นครศรีธรรมราช!J700"")"),0)</f>
        <v>0</v>
      </c>
      <c r="X78" s="63">
        <f t="shared" ca="1" si="35"/>
        <v>0</v>
      </c>
      <c r="Y78" s="57">
        <f ca="1">IFERROR(__xludf.DUMMYFUNCTION("IMPORTRANGE(""https://docs.google.com/spreadsheets/d/1T5rRTzFc79aSIvqnzkZNvwPstq829QYz_xALlO1Z0s8/edit?usp=sharing"",""นครศรีธรรมราช!I701"")"),0)</f>
        <v>0</v>
      </c>
      <c r="Z78" s="57">
        <f ca="1">IFERROR(__xludf.DUMMYFUNCTION("IMPORTRANGE(""https://docs.google.com/spreadsheets/d/1T5rRTzFc79aSIvqnzkZNvwPstq829QYz_xALlO1Z0s8/edit?usp=sharing"",""นครศรีธรรมราช!J701"")"),0)</f>
        <v>0</v>
      </c>
      <c r="AA78" s="63">
        <f t="shared" ca="1" si="36"/>
        <v>0</v>
      </c>
      <c r="AB78" s="63">
        <f ca="1">IFERROR(__xludf.DUMMYFUNCTION("IMPORTRANGE(""https://docs.google.com/spreadsheets/d/1T5rRTzFc79aSIvqnzkZNvwPstq829QYz_xALlO1Z0s8/edit?usp=sharing"",""นครศรีธรรมราช!J702"")"),0)</f>
        <v>0</v>
      </c>
      <c r="AC78" s="63">
        <f ca="1">IFERROR(__xludf.DUMMYFUNCTION("IMPORTRANGE(""https://docs.google.com/spreadsheets/d/1T5rRTzFc79aSIvqnzkZNvwPstq829QYz_xALlO1Z0s8/edit?usp=sharing"",""นครศรีธรรมราช!J703"")"),0)</f>
        <v>0</v>
      </c>
      <c r="AD78" s="63">
        <f ca="1">IFERROR(__xludf.DUMMYFUNCTION("IMPORTRANGE(""https://docs.google.com/spreadsheets/d/1T5rRTzFc79aSIvqnzkZNvwPstq829QYz_xALlO1Z0s8/edit?usp=sharing"",""นครศรีธรรมราช!J704"")"),0)</f>
        <v>0</v>
      </c>
      <c r="AE78" s="63">
        <f ca="1">IFERROR(__xludf.DUMMYFUNCTION("IMPORTRANGE(""https://docs.google.com/spreadsheets/d/1T5rRTzFc79aSIvqnzkZNvwPstq829QYz_xALlO1Z0s8/edit?usp=sharing"",""นครศรีธรรมราช!J705"")"),0)</f>
        <v>0</v>
      </c>
      <c r="AF78" s="63">
        <f ca="1">IFERROR(__xludf.DUMMYFUNCTION("IMPORTRANGE(""https://docs.google.com/spreadsheets/d/1T5rRTzFc79aSIvqnzkZNvwPstq829QYz_xALlO1Z0s8/edit?usp=sharing"",""นครศรีธรรมราช!J706"")"),0)</f>
        <v>0</v>
      </c>
      <c r="AG78" s="63">
        <f ca="1">IFERROR(__xludf.DUMMYFUNCTION("IMPORTRANGE(""https://docs.google.com/spreadsheets/d/1T5rRTzFc79aSIvqnzkZNvwPstq829QYz_xALlO1Z0s8/edit?usp=sharing"",""นครศรีธรรมราช!J707"")"),0)</f>
        <v>0</v>
      </c>
      <c r="AH78" s="57">
        <f ca="1">IFERROR(__xludf.DUMMYFUNCTION("IMPORTRANGE(""https://docs.google.com/spreadsheets/d/1T5rRTzFc79aSIvqnzkZNvwPstq829QYz_xALlO1Z0s8/edit?usp=sharing"",""นครศรีธรรมราช!I708"")"),0)</f>
        <v>0</v>
      </c>
      <c r="AI78" s="57">
        <f ca="1">IFERROR(__xludf.DUMMYFUNCTION("IMPORTRANGE(""https://docs.google.com/spreadsheets/d/1T5rRTzFc79aSIvqnzkZNvwPstq829QYz_xALlO1Z0s8/edit?usp=sharing"",""นครศรีธรรมราช!J708"")"),0)</f>
        <v>0</v>
      </c>
      <c r="AJ78" s="63">
        <f t="shared" ca="1" si="37"/>
        <v>0</v>
      </c>
      <c r="AK78" s="57">
        <f ca="1">IFERROR(__xludf.DUMMYFUNCTION("IMPORTRANGE(""https://docs.google.com/spreadsheets/d/1T5rRTzFc79aSIvqnzkZNvwPstq829QYz_xALlO1Z0s8/edit?usp=sharing"",""นครศรีธรรมราช!J709"")"),0)</f>
        <v>0</v>
      </c>
      <c r="AL78" s="57">
        <f ca="1">IFERROR(__xludf.DUMMYFUNCTION("IMPORTRANGE(""https://docs.google.com/spreadsheets/d/1T5rRTzFc79aSIvqnzkZNvwPstq829QYz_xALlO1Z0s8/edit?usp=sharing"",""นครศรีธรรมราช!J710"")"),0)</f>
        <v>0</v>
      </c>
      <c r="AM78" s="57">
        <f ca="1">IFERROR(__xludf.DUMMYFUNCTION("IMPORTRANGE(""https://docs.google.com/spreadsheets/d/1T5rRTzFc79aSIvqnzkZNvwPstq829QYz_xALlO1Z0s8/edit?usp=sharing"",""นครศรีธรรมราช!J712"")"),0)</f>
        <v>0</v>
      </c>
      <c r="AN78" s="57">
        <f ca="1">IFERROR(__xludf.DUMMYFUNCTION("IMPORTRANGE(""https://docs.google.com/spreadsheets/d/1T5rRTzFc79aSIvqnzkZNvwPstq829QYz_xALlO1Z0s8/edit?usp=sharing"",""นครศรีธรรมราช!J713"")"),0)</f>
        <v>0</v>
      </c>
      <c r="AO78" s="57">
        <f ca="1">IFERROR(__xludf.DUMMYFUNCTION("IMPORTRANGE(""https://docs.google.com/spreadsheets/d/1T5rRTzFc79aSIvqnzkZNvwPstq829QYz_xALlO1Z0s8/edit?usp=sharing"",""นครศรีธรรมราช!J714"")"),0)</f>
        <v>0</v>
      </c>
      <c r="AP78" s="57">
        <f ca="1">IFERROR(__xludf.DUMMYFUNCTION("IMPORTRANGE(""https://docs.google.com/spreadsheets/d/1T5rRTzFc79aSIvqnzkZNvwPstq829QYz_xALlO1Z0s8/edit?usp=sharing"",""นครศรีธรรมราช!J715"")"),0)</f>
        <v>0</v>
      </c>
      <c r="AQ78" s="57">
        <f ca="1">IFERROR(__xludf.DUMMYFUNCTION("IMPORTRANGE(""https://docs.google.com/spreadsheets/d/1T5rRTzFc79aSIvqnzkZNvwPstq829QYz_xALlO1Z0s8/edit?usp=sharing"",""นครศรีธรรมราช!J716"")"),0)</f>
        <v>0</v>
      </c>
      <c r="AR78" s="57">
        <f ca="1">IFERROR(__xludf.DUMMYFUNCTION("IMPORTRANGE(""https://docs.google.com/spreadsheets/d/1T5rRTzFc79aSIvqnzkZNvwPstq829QYz_xALlO1Z0s8/edit?usp=sharing"",""นครศรีธรรมราช!J717"")"),0)</f>
        <v>0</v>
      </c>
      <c r="AS78" s="57">
        <f ca="1">IFERROR(__xludf.DUMMYFUNCTION("IMPORTRANGE(""https://docs.google.com/spreadsheets/d/1T5rRTzFc79aSIvqnzkZNvwPstq829QYz_xALlO1Z0s8/edit?usp=sharing"",""นครศรีธรรมราช!I720"")"),0)</f>
        <v>0</v>
      </c>
      <c r="AT78" s="57">
        <f ca="1">IFERROR(__xludf.DUMMYFUNCTION("IMPORTRANGE(""https://docs.google.com/spreadsheets/d/1T5rRTzFc79aSIvqnzkZNvwPstq829QYz_xALlO1Z0s8/edit?usp=sharing"",""นครศรีธรรมราช!J718"")"),0)</f>
        <v>0</v>
      </c>
      <c r="AU78" s="57">
        <f ca="1">IFERROR(__xludf.DUMMYFUNCTION("IMPORTRANGE(""https://docs.google.com/spreadsheets/d/1T5rRTzFc79aSIvqnzkZNvwPstq829QYz_xALlO1Z0s8/edit?usp=sharing"",""นครศรีธรรมราช!J719"")"),0)</f>
        <v>0</v>
      </c>
      <c r="AV78" s="57">
        <f ca="1">IFERROR(__xludf.DUMMYFUNCTION("IMPORTRANGE(""https://docs.google.com/spreadsheets/d/1T5rRTzFc79aSIvqnzkZNvwPstq829QYz_xALlO1Z0s8/edit?usp=sharing"",""นครศรีธรรมราช!J720"")"),0)</f>
        <v>0</v>
      </c>
      <c r="AW78" s="63">
        <f t="shared" ca="1" si="14"/>
        <v>0</v>
      </c>
      <c r="AX78" s="57">
        <f ca="1">IFERROR(__xludf.DUMMYFUNCTION("IMPORTRANGE(""https://docs.google.com/spreadsheets/d/1T5rRTzFc79aSIvqnzkZNvwPstq829QYz_xALlO1Z0s8/edit?usp=sharing"",""นครศรีธรรมราช!I721"")"),0)</f>
        <v>0</v>
      </c>
      <c r="AY78" s="57">
        <f ca="1">IFERROR(__xludf.DUMMYFUNCTION("IMPORTRANGE(""https://docs.google.com/spreadsheets/d/1T5rRTzFc79aSIvqnzkZNvwPstq829QYz_xALlO1Z0s8/edit?usp=sharing"",""นครศรีธรรมราช!I722"")"),0)</f>
        <v>0</v>
      </c>
      <c r="AZ78" s="57">
        <f ca="1">IFERROR(__xludf.DUMMYFUNCTION("IMPORTRANGE(""https://docs.google.com/spreadsheets/d/1T5rRTzFc79aSIvqnzkZNvwPstq829QYz_xALlO1Z0s8/edit?usp=sharing"",""นครศรีธรรมราช!J721"")"),0)</f>
        <v>0</v>
      </c>
      <c r="BA78" s="63">
        <f t="shared" ca="1" si="16"/>
        <v>0</v>
      </c>
      <c r="BB78" s="57">
        <f ca="1">IFERROR(__xludf.DUMMYFUNCTION("IMPORTRANGE(""https://docs.google.com/spreadsheets/d/1T5rRTzFc79aSIvqnzkZNvwPstq829QYz_xALlO1Z0s8/edit?usp=sharing"",""นครศรีธรรมราช!J722"")"),0)</f>
        <v>0</v>
      </c>
      <c r="BC78" s="63">
        <f t="shared" ca="1" si="17"/>
        <v>0</v>
      </c>
      <c r="BD78" s="57">
        <f ca="1">IFERROR(__xludf.DUMMYFUNCTION("IMPORTRANGE(""https://docs.google.com/spreadsheets/d/1T5rRTzFc79aSIvqnzkZNvwPstq829QYz_xALlO1Z0s8/edit?usp=sharing"",""นครศรีธรรมราช!I723"")"),0)</f>
        <v>0</v>
      </c>
      <c r="BE78" s="57">
        <f ca="1">IFERROR(__xludf.DUMMYFUNCTION("IMPORTRANGE(""https://docs.google.com/spreadsheets/d/1T5rRTzFc79aSIvqnzkZNvwPstq829QYz_xALlO1Z0s8/edit?usp=sharing"",""นครศรีธรรมราช!I725"")"),0)</f>
        <v>0</v>
      </c>
      <c r="BF78" s="57">
        <f ca="1">IFERROR(__xludf.DUMMYFUNCTION("IMPORTRANGE(""https://docs.google.com/spreadsheets/d/1T5rRTzFc79aSIvqnzkZNvwPstq829QYz_xALlO1Z0s8/edit?usp=sharing"",""นครศรีธรรมราช!J723"")"),0)</f>
        <v>0</v>
      </c>
      <c r="BG78" s="57">
        <f ca="1">IFERROR(__xludf.DUMMYFUNCTION("IMPORTRANGE(""https://docs.google.com/spreadsheets/d/1T5rRTzFc79aSIvqnzkZNvwPstq829QYz_xALlO1Z0s8/edit?usp=sharing"",""นครศรีธรรมราช!J724"")"),0)</f>
        <v>0</v>
      </c>
      <c r="BH78" s="57">
        <f ca="1">IFERROR(__xludf.DUMMYFUNCTION("IMPORTRANGE(""https://docs.google.com/spreadsheets/d/1T5rRTzFc79aSIvqnzkZNvwPstq829QYz_xALlO1Z0s8/edit?usp=sharing"",""นครศรีธรรมราช!J725"")"),0)</f>
        <v>0</v>
      </c>
      <c r="BI78" s="57">
        <f ca="1">IFERROR(__xludf.DUMMYFUNCTION("IMPORTRANGE(""https://docs.google.com/spreadsheets/d/1T5rRTzFc79aSIvqnzkZNvwPstq829QYz_xALlO1Z0s8/edit?usp=sharing"",""นครศรีธรรมราช!I726"")"),0)</f>
        <v>0</v>
      </c>
      <c r="BJ78" s="57">
        <f ca="1">IFERROR(__xludf.DUMMYFUNCTION("IMPORTRANGE(""https://docs.google.com/spreadsheets/d/1T5rRTzFc79aSIvqnzkZNvwPstq829QYz_xALlO1Z0s8/edit?usp=sharing"",""นครศรีธรรมราช!I728"")"),0)</f>
        <v>0</v>
      </c>
      <c r="BK78" s="57">
        <f ca="1">IFERROR(__xludf.DUMMYFUNCTION("IMPORTRANGE(""https://docs.google.com/spreadsheets/d/1T5rRTzFc79aSIvqnzkZNvwPstq829QYz_xALlO1Z0s8/edit?usp=sharing"",""นครศรีธรรมราช!J726"")"),0)</f>
        <v>0</v>
      </c>
      <c r="BL78" s="57">
        <f ca="1">IFERROR(__xludf.DUMMYFUNCTION("IMPORTRANGE(""https://docs.google.com/spreadsheets/d/1T5rRTzFc79aSIvqnzkZNvwPstq829QYz_xALlO1Z0s8/edit?usp=sharing"",""นครศรีธรรมราช!J727"")"),0)</f>
        <v>0</v>
      </c>
      <c r="BM78" s="57">
        <f ca="1">IFERROR(__xludf.DUMMYFUNCTION("IMPORTRANGE(""https://docs.google.com/spreadsheets/d/1T5rRTzFc79aSIvqnzkZNvwPstq829QYz_xALlO1Z0s8/edit?usp=sharing"",""นครศรีธรรมราช!J728"")"),0)</f>
        <v>0</v>
      </c>
      <c r="BN78" s="57">
        <f ca="1">IFERROR(__xludf.DUMMYFUNCTION("IMPORTRANGE(""https://docs.google.com/spreadsheets/d/1T5rRTzFc79aSIvqnzkZNvwPstq829QYz_xALlO1Z0s8/edit?usp=sharing"",""นครศรีธรรมราช!I729"")"),0)</f>
        <v>0</v>
      </c>
      <c r="BO78" s="57">
        <f ca="1">IFERROR(__xludf.DUMMYFUNCTION("IMPORTRANGE(""https://docs.google.com/spreadsheets/d/1T5rRTzFc79aSIvqnzkZNvwPstq829QYz_xALlO1Z0s8/edit?usp=sharing"",""นครศรีธรรมราช!J729"")"),0)</f>
        <v>0</v>
      </c>
      <c r="BP78" s="63">
        <f t="shared" ca="1" si="19"/>
        <v>0</v>
      </c>
      <c r="BQ78" s="57">
        <f ca="1">IFERROR(__xludf.DUMMYFUNCTION("IMPORTRANGE(""https://docs.google.com/spreadsheets/d/1T5rRTzFc79aSIvqnzkZNvwPstq829QYz_xALlO1Z0s8/edit?usp=sharing"",""นครศรีธรรมราช!J730"")"),0)</f>
        <v>0</v>
      </c>
      <c r="BR78" s="57">
        <f ca="1">IFERROR(__xludf.DUMMYFUNCTION("IMPORTRANGE(""https://docs.google.com/spreadsheets/d/1T5rRTzFc79aSIvqnzkZNvwPstq829QYz_xALlO1Z0s8/edit?usp=sharing"",""นครศรีธรรมราช!J731"")"),0)</f>
        <v>0</v>
      </c>
      <c r="BS78" s="57">
        <f ca="1">IFERROR(__xludf.DUMMYFUNCTION("IMPORTRANGE(""https://docs.google.com/spreadsheets/d/1T5rRTzFc79aSIvqnzkZNvwPstq829QYz_xALlO1Z0s8/edit?usp=sharing"",""นครศรีธรรมราช!J732"")"),0)</f>
        <v>0</v>
      </c>
      <c r="BT78" s="57">
        <f ca="1">IFERROR(__xludf.DUMMYFUNCTION("IMPORTRANGE(""https://docs.google.com/spreadsheets/d/1T5rRTzFc79aSIvqnzkZNvwPstq829QYz_xALlO1Z0s8/edit?usp=sharing"",""นครศรีธรรมราช!J733"")"),0)</f>
        <v>0</v>
      </c>
      <c r="BU78" s="57">
        <f ca="1">IFERROR(__xludf.DUMMYFUNCTION("IMPORTRANGE(""https://docs.google.com/spreadsheets/d/1T5rRTzFc79aSIvqnzkZNvwPstq829QYz_xALlO1Z0s8/edit?usp=sharing"",""นครศรีธรรมราช!J734"")"),0)</f>
        <v>0</v>
      </c>
      <c r="BV78" s="57">
        <f ca="1">IFERROR(__xludf.DUMMYFUNCTION("IMPORTRANGE(""https://docs.google.com/spreadsheets/d/1T5rRTzFc79aSIvqnzkZNvwPstq829QYz_xALlO1Z0s8/edit?usp=sharing"",""นครศรีธรรมราช!J735"")"),0)</f>
        <v>0</v>
      </c>
    </row>
    <row r="79" spans="1:74" ht="21" customHeight="1" x14ac:dyDescent="0.3">
      <c r="A79" s="54">
        <v>5</v>
      </c>
      <c r="B79" s="55" t="s">
        <v>100</v>
      </c>
      <c r="C79" s="56">
        <f t="shared" ca="1" si="87"/>
        <v>37480</v>
      </c>
      <c r="D79" s="57">
        <f ca="1">IFERROR(__xludf.DUMMYFUNCTION("IMPORTRANGE(""https://docs.google.com/spreadsheets/d/1BeghqumK0IvCmRd2QOy6_afsZq7ZtAGrSnVJy2u7WmY/edit?usp=sharing"",""นราธิวาส!L690"")"),37480)</f>
        <v>37480</v>
      </c>
      <c r="E79" s="64">
        <f ca="1">IFERROR(__xludf.DUMMYFUNCTION("IMPORTRANGE(""https://docs.google.com/spreadsheets/d/1BeghqumK0IvCmRd2QOy6_afsZq7ZtAGrSnVJy2u7WmY/edit?usp=sharing"",""นราธิวาส!L697"")"),0)</f>
        <v>0</v>
      </c>
      <c r="F79" s="64">
        <f ca="1">IFERROR(__xludf.DUMMYFUNCTION("IMPORTRANGE(""https://docs.google.com/spreadsheets/d/1BeghqumK0IvCmRd2QOy6_afsZq7ZtAGrSnVJy2u7WmY/edit?usp=sharing"",""นราธิวาส!M690"")"),37480)</f>
        <v>37480</v>
      </c>
      <c r="G79" s="64">
        <f ca="1">IFERROR(__xludf.DUMMYFUNCTION("IMPORTRANGE(""https://docs.google.com/spreadsheets/d/1BeghqumK0IvCmRd2QOy6_afsZq7ZtAGrSnVJy2u7WmY/edit?usp=sharing"",""นราธิวาส!M697"")"),0)</f>
        <v>0</v>
      </c>
      <c r="H79" s="58">
        <f t="shared" ca="1" si="33"/>
        <v>1000</v>
      </c>
      <c r="I79" s="59">
        <f t="shared" ca="1" si="1"/>
        <v>2.6680896478121663</v>
      </c>
      <c r="J79" s="60">
        <f t="shared" ca="1" si="88"/>
        <v>1000</v>
      </c>
      <c r="K79" s="61">
        <f t="shared" ca="1" si="39"/>
        <v>2.6680896478121663</v>
      </c>
      <c r="L79" s="61">
        <f t="shared" ca="1" si="40"/>
        <v>2.6680896478121663</v>
      </c>
      <c r="M79" s="64">
        <f ca="1">IFERROR(__xludf.DUMMYFUNCTION("IMPORTRANGE(""https://docs.google.com/spreadsheets/d/1BeghqumK0IvCmRd2QOy6_afsZq7ZtAGrSnVJy2u7WmY/edit?usp=sharing"",""นราธิวาส!N691"")"),0)</f>
        <v>0</v>
      </c>
      <c r="N79" s="64">
        <f ca="1">IFERROR(__xludf.DUMMYFUNCTION("IMPORTRANGE(""https://docs.google.com/spreadsheets/d/1BeghqumK0IvCmRd2QOy6_afsZq7ZtAGrSnVJy2u7WmY/edit?usp=sharing"",""นราธิวาส!N692"")"),0)</f>
        <v>0</v>
      </c>
      <c r="O79" s="64">
        <f ca="1">IFERROR(__xludf.DUMMYFUNCTION("IMPORTRANGE(""https://docs.google.com/spreadsheets/d/1BeghqumK0IvCmRd2QOy6_afsZq7ZtAGrSnVJy2u7WmY/edit?usp=sharing"",""นราธิวาส!N693"")"),0)</f>
        <v>0</v>
      </c>
      <c r="P79" s="64">
        <f ca="1">IFERROR(__xludf.DUMMYFUNCTION("IMPORTRANGE(""https://docs.google.com/spreadsheets/d/1BeghqumK0IvCmRd2QOy6_afsZq7ZtAGrSnVJy2u7WmY/edit?usp=sharing"",""นราธิวาส!N694"")"),1000)</f>
        <v>1000</v>
      </c>
      <c r="Q79" s="62">
        <f ca="1">IFERROR(__xludf.DUMMYFUNCTION("IMPORTRANGE(""https://docs.google.com/spreadsheets/d/1BeghqumK0IvCmRd2QOy6_afsZq7ZtAGrSnVJy2u7WmY/edit?usp=sharing"",""นราธิวาส!N697"")"),0)</f>
        <v>0</v>
      </c>
      <c r="R79" s="62">
        <f t="shared" ca="1" si="42"/>
        <v>0</v>
      </c>
      <c r="S79" s="57">
        <f ca="1">IFERROR(__xludf.DUMMYFUNCTION("IMPORTRANGE(""https://docs.google.com/spreadsheets/d/1BeghqumK0IvCmRd2QOy6_afsZq7ZtAGrSnVJy2u7WmY/edit?usp=sharing"",""นราธิวาส!I699"")"),248)</f>
        <v>248</v>
      </c>
      <c r="T79" s="57">
        <f ca="1">IFERROR(__xludf.DUMMYFUNCTION("IMPORTRANGE(""https://docs.google.com/spreadsheets/d/1BeghqumK0IvCmRd2QOy6_afsZq7ZtAGrSnVJy2u7WmY/edit?usp=sharing"",""นราธิวาส!J699"")"),0)</f>
        <v>0</v>
      </c>
      <c r="U79" s="63">
        <f t="shared" ca="1" si="34"/>
        <v>0</v>
      </c>
      <c r="V79" s="57">
        <f ca="1">IFERROR(__xludf.DUMMYFUNCTION("IMPORTRANGE(""https://docs.google.com/spreadsheets/d/1BeghqumK0IvCmRd2QOy6_afsZq7ZtAGrSnVJy2u7WmY/edit?usp=sharing"",""นราธิวาส!I700"")"),56)</f>
        <v>56</v>
      </c>
      <c r="W79" s="57">
        <f ca="1">IFERROR(__xludf.DUMMYFUNCTION("IMPORTRANGE(""https://docs.google.com/spreadsheets/d/1BeghqumK0IvCmRd2QOy6_afsZq7ZtAGrSnVJy2u7WmY/edit?usp=sharing"",""นราธิวาส!J700"")"),0)</f>
        <v>0</v>
      </c>
      <c r="X79" s="63">
        <f t="shared" ca="1" si="35"/>
        <v>0</v>
      </c>
      <c r="Y79" s="57">
        <f ca="1">IFERROR(__xludf.DUMMYFUNCTION("IMPORTRANGE(""https://docs.google.com/spreadsheets/d/1BeghqumK0IvCmRd2QOy6_afsZq7ZtAGrSnVJy2u7WmY/edit?usp=sharing"",""นราธิวาส!I701"")"),0)</f>
        <v>0</v>
      </c>
      <c r="Z79" s="57">
        <f ca="1">IFERROR(__xludf.DUMMYFUNCTION("IMPORTRANGE(""https://docs.google.com/spreadsheets/d/1BeghqumK0IvCmRd2QOy6_afsZq7ZtAGrSnVJy2u7WmY/edit?usp=sharing"",""นราธิวาส!J701"")"),0)</f>
        <v>0</v>
      </c>
      <c r="AA79" s="63">
        <f t="shared" ca="1" si="36"/>
        <v>0</v>
      </c>
      <c r="AB79" s="63">
        <f ca="1">IFERROR(__xludf.DUMMYFUNCTION("IMPORTRANGE(""https://docs.google.com/spreadsheets/d/1BeghqumK0IvCmRd2QOy6_afsZq7ZtAGrSnVJy2u7WmY/edit?usp=sharing"",""นราธิวาส!J702"")"),0)</f>
        <v>0</v>
      </c>
      <c r="AC79" s="63">
        <f ca="1">IFERROR(__xludf.DUMMYFUNCTION("IMPORTRANGE(""https://docs.google.com/spreadsheets/d/1BeghqumK0IvCmRd2QOy6_afsZq7ZtAGrSnVJy2u7WmY/edit?usp=sharing"",""นราธิวาส!J703"")"),0)</f>
        <v>0</v>
      </c>
      <c r="AD79" s="63">
        <f ca="1">IFERROR(__xludf.DUMMYFUNCTION("IMPORTRANGE(""https://docs.google.com/spreadsheets/d/1BeghqumK0IvCmRd2QOy6_afsZq7ZtAGrSnVJy2u7WmY/edit?usp=sharing"",""นราธิวาส!J704"")"),0)</f>
        <v>0</v>
      </c>
      <c r="AE79" s="63">
        <f ca="1">IFERROR(__xludf.DUMMYFUNCTION("IMPORTRANGE(""https://docs.google.com/spreadsheets/d/1BeghqumK0IvCmRd2QOy6_afsZq7ZtAGrSnVJy2u7WmY/edit?usp=sharing"",""นราธิวาส!J705"")"),0)</f>
        <v>0</v>
      </c>
      <c r="AF79" s="63">
        <f ca="1">IFERROR(__xludf.DUMMYFUNCTION("IMPORTRANGE(""https://docs.google.com/spreadsheets/d/1BeghqumK0IvCmRd2QOy6_afsZq7ZtAGrSnVJy2u7WmY/edit?usp=sharing"",""นราธิวาส!J706"")"),0)</f>
        <v>0</v>
      </c>
      <c r="AG79" s="63">
        <f ca="1">IFERROR(__xludf.DUMMYFUNCTION("IMPORTRANGE(""https://docs.google.com/spreadsheets/d/1BeghqumK0IvCmRd2QOy6_afsZq7ZtAGrSnVJy2u7WmY/edit?usp=sharing"",""นราธิวาส!J707"")"),0)</f>
        <v>0</v>
      </c>
      <c r="AH79" s="57">
        <f ca="1">IFERROR(__xludf.DUMMYFUNCTION("IMPORTRANGE(""https://docs.google.com/spreadsheets/d/1BeghqumK0IvCmRd2QOy6_afsZq7ZtAGrSnVJy2u7WmY/edit?usp=sharing"",""นราธิวาส!I708"")"),0)</f>
        <v>0</v>
      </c>
      <c r="AI79" s="57">
        <f ca="1">IFERROR(__xludf.DUMMYFUNCTION("IMPORTRANGE(""https://docs.google.com/spreadsheets/d/1BeghqumK0IvCmRd2QOy6_afsZq7ZtAGrSnVJy2u7WmY/edit?usp=sharing"",""นราธิวาส!J708"")"),0)</f>
        <v>0</v>
      </c>
      <c r="AJ79" s="63">
        <f t="shared" ca="1" si="37"/>
        <v>0</v>
      </c>
      <c r="AK79" s="57">
        <f ca="1">IFERROR(__xludf.DUMMYFUNCTION("IMPORTRANGE(""https://docs.google.com/spreadsheets/d/1BeghqumK0IvCmRd2QOy6_afsZq7ZtAGrSnVJy2u7WmY/edit?usp=sharing"",""นราธิวาส!J709"")"),0)</f>
        <v>0</v>
      </c>
      <c r="AL79" s="57">
        <f ca="1">IFERROR(__xludf.DUMMYFUNCTION("IMPORTRANGE(""https://docs.google.com/spreadsheets/d/1BeghqumK0IvCmRd2QOy6_afsZq7ZtAGrSnVJy2u7WmY/edit?usp=sharing"",""นราธิวาส!J710"")"),0)</f>
        <v>0</v>
      </c>
      <c r="AM79" s="57">
        <f ca="1">IFERROR(__xludf.DUMMYFUNCTION("IMPORTRANGE(""https://docs.google.com/spreadsheets/d/1BeghqumK0IvCmRd2QOy6_afsZq7ZtAGrSnVJy2u7WmY/edit?usp=sharing"",""นราธิวาส!J712"")"),0)</f>
        <v>0</v>
      </c>
      <c r="AN79" s="57">
        <f ca="1">IFERROR(__xludf.DUMMYFUNCTION("IMPORTRANGE(""https://docs.google.com/spreadsheets/d/1BeghqumK0IvCmRd2QOy6_afsZq7ZtAGrSnVJy2u7WmY/edit?usp=sharing"",""นราธิวาส!J713"")"),0)</f>
        <v>0</v>
      </c>
      <c r="AO79" s="57">
        <f ca="1">IFERROR(__xludf.DUMMYFUNCTION("IMPORTRANGE(""https://docs.google.com/spreadsheets/d/1BeghqumK0IvCmRd2QOy6_afsZq7ZtAGrSnVJy2u7WmY/edit?usp=sharing"",""นราธิวาส!J714"")"),0)</f>
        <v>0</v>
      </c>
      <c r="AP79" s="57">
        <f ca="1">IFERROR(__xludf.DUMMYFUNCTION("IMPORTRANGE(""https://docs.google.com/spreadsheets/d/1BeghqumK0IvCmRd2QOy6_afsZq7ZtAGrSnVJy2u7WmY/edit?usp=sharing"",""นราธิวาส!J715"")"),0)</f>
        <v>0</v>
      </c>
      <c r="AQ79" s="57">
        <f ca="1">IFERROR(__xludf.DUMMYFUNCTION("IMPORTRANGE(""https://docs.google.com/spreadsheets/d/1BeghqumK0IvCmRd2QOy6_afsZq7ZtAGrSnVJy2u7WmY/edit?usp=sharing"",""นราธิวาส!J716"")"),0)</f>
        <v>0</v>
      </c>
      <c r="AR79" s="57">
        <f ca="1">IFERROR(__xludf.DUMMYFUNCTION("IMPORTRANGE(""https://docs.google.com/spreadsheets/d/1BeghqumK0IvCmRd2QOy6_afsZq7ZtAGrSnVJy2u7WmY/edit?usp=sharing"",""นราธิวาส!J717"")"),0)</f>
        <v>0</v>
      </c>
      <c r="AS79" s="57">
        <f ca="1">IFERROR(__xludf.DUMMYFUNCTION("IMPORTRANGE(""https://docs.google.com/spreadsheets/d/1BeghqumK0IvCmRd2QOy6_afsZq7ZtAGrSnVJy2u7WmY/edit?usp=sharing"",""นราธิวาส!I720"")"),0)</f>
        <v>0</v>
      </c>
      <c r="AT79" s="57">
        <f ca="1">IFERROR(__xludf.DUMMYFUNCTION("IMPORTRANGE(""https://docs.google.com/spreadsheets/d/1BeghqumK0IvCmRd2QOy6_afsZq7ZtAGrSnVJy2u7WmY/edit?usp=sharing"",""นราธิวาส!J718"")"),0)</f>
        <v>0</v>
      </c>
      <c r="AU79" s="57">
        <f ca="1">IFERROR(__xludf.DUMMYFUNCTION("IMPORTRANGE(""https://docs.google.com/spreadsheets/d/1BeghqumK0IvCmRd2QOy6_afsZq7ZtAGrSnVJy2u7WmY/edit?usp=sharing"",""นราธิวาส!J719"")"),0)</f>
        <v>0</v>
      </c>
      <c r="AV79" s="57">
        <f ca="1">IFERROR(__xludf.DUMMYFUNCTION("IMPORTRANGE(""https://docs.google.com/spreadsheets/d/1BeghqumK0IvCmRd2QOy6_afsZq7ZtAGrSnVJy2u7WmY/edit?usp=sharing"",""นราธิวาส!J720"")"),0)</f>
        <v>0</v>
      </c>
      <c r="AW79" s="63">
        <f t="shared" ca="1" si="14"/>
        <v>0</v>
      </c>
      <c r="AX79" s="57">
        <f ca="1">IFERROR(__xludf.DUMMYFUNCTION("IMPORTRANGE(""https://docs.google.com/spreadsheets/d/1BeghqumK0IvCmRd2QOy6_afsZq7ZtAGrSnVJy2u7WmY/edit?usp=sharing"",""นราธิวาส!I721"")"),0)</f>
        <v>0</v>
      </c>
      <c r="AY79" s="57">
        <f ca="1">IFERROR(__xludf.DUMMYFUNCTION("IMPORTRANGE(""https://docs.google.com/spreadsheets/d/1BeghqumK0IvCmRd2QOy6_afsZq7ZtAGrSnVJy2u7WmY/edit?usp=sharing"",""นราธิวาส!I722"")"),0)</f>
        <v>0</v>
      </c>
      <c r="AZ79" s="57">
        <f ca="1">IFERROR(__xludf.DUMMYFUNCTION("IMPORTRANGE(""https://docs.google.com/spreadsheets/d/1BeghqumK0IvCmRd2QOy6_afsZq7ZtAGrSnVJy2u7WmY/edit?usp=sharing"",""นราธิวาส!J721"")"),0)</f>
        <v>0</v>
      </c>
      <c r="BA79" s="63">
        <f t="shared" ca="1" si="16"/>
        <v>0</v>
      </c>
      <c r="BB79" s="57">
        <f ca="1">IFERROR(__xludf.DUMMYFUNCTION("IMPORTRANGE(""https://docs.google.com/spreadsheets/d/1BeghqumK0IvCmRd2QOy6_afsZq7ZtAGrSnVJy2u7WmY/edit?usp=sharing"",""นราธิวาส!J722"")"),0)</f>
        <v>0</v>
      </c>
      <c r="BC79" s="63">
        <f t="shared" ca="1" si="17"/>
        <v>0</v>
      </c>
      <c r="BD79" s="57">
        <f ca="1">IFERROR(__xludf.DUMMYFUNCTION("IMPORTRANGE(""https://docs.google.com/spreadsheets/d/1BeghqumK0IvCmRd2QOy6_afsZq7ZtAGrSnVJy2u7WmY/edit?usp=sharing"",""นราธิวาส!I723"")"),0)</f>
        <v>0</v>
      </c>
      <c r="BE79" s="57">
        <f ca="1">IFERROR(__xludf.DUMMYFUNCTION("IMPORTRANGE(""https://docs.google.com/spreadsheets/d/1BeghqumK0IvCmRd2QOy6_afsZq7ZtAGrSnVJy2u7WmY/edit?usp=sharing"",""นราธิวาส!I725"")"),0)</f>
        <v>0</v>
      </c>
      <c r="BF79" s="57">
        <f ca="1">IFERROR(__xludf.DUMMYFUNCTION("IMPORTRANGE(""https://docs.google.com/spreadsheets/d/1BeghqumK0IvCmRd2QOy6_afsZq7ZtAGrSnVJy2u7WmY/edit?usp=sharing"",""นราธิวาส!J723"")"),0)</f>
        <v>0</v>
      </c>
      <c r="BG79" s="57">
        <f ca="1">IFERROR(__xludf.DUMMYFUNCTION("IMPORTRANGE(""https://docs.google.com/spreadsheets/d/1BeghqumK0IvCmRd2QOy6_afsZq7ZtAGrSnVJy2u7WmY/edit?usp=sharing"",""นราธิวาส!J724"")"),0)</f>
        <v>0</v>
      </c>
      <c r="BH79" s="57">
        <f ca="1">IFERROR(__xludf.DUMMYFUNCTION("IMPORTRANGE(""https://docs.google.com/spreadsheets/d/1BeghqumK0IvCmRd2QOy6_afsZq7ZtAGrSnVJy2u7WmY/edit?usp=sharing"",""นราธิวาส!J725"")"),0)</f>
        <v>0</v>
      </c>
      <c r="BI79" s="57">
        <f ca="1">IFERROR(__xludf.DUMMYFUNCTION("IMPORTRANGE(""https://docs.google.com/spreadsheets/d/1BeghqumK0IvCmRd2QOy6_afsZq7ZtAGrSnVJy2u7WmY/edit?usp=sharing"",""นราธิวาส!I726"")"),0)</f>
        <v>0</v>
      </c>
      <c r="BJ79" s="57">
        <f ca="1">IFERROR(__xludf.DUMMYFUNCTION("IMPORTRANGE(""https://docs.google.com/spreadsheets/d/1BeghqumK0IvCmRd2QOy6_afsZq7ZtAGrSnVJy2u7WmY/edit?usp=sharing"",""นราธิวาส!I728"")"),0)</f>
        <v>0</v>
      </c>
      <c r="BK79" s="57">
        <f ca="1">IFERROR(__xludf.DUMMYFUNCTION("IMPORTRANGE(""https://docs.google.com/spreadsheets/d/1BeghqumK0IvCmRd2QOy6_afsZq7ZtAGrSnVJy2u7WmY/edit?usp=sharing"",""นราธิวาส!J726"")"),0)</f>
        <v>0</v>
      </c>
      <c r="BL79" s="57">
        <f ca="1">IFERROR(__xludf.DUMMYFUNCTION("IMPORTRANGE(""https://docs.google.com/spreadsheets/d/1BeghqumK0IvCmRd2QOy6_afsZq7ZtAGrSnVJy2u7WmY/edit?usp=sharing"",""นราธิวาส!J727"")"),0)</f>
        <v>0</v>
      </c>
      <c r="BM79" s="57">
        <f ca="1">IFERROR(__xludf.DUMMYFUNCTION("IMPORTRANGE(""https://docs.google.com/spreadsheets/d/1BeghqumK0IvCmRd2QOy6_afsZq7ZtAGrSnVJy2u7WmY/edit?usp=sharing"",""นราธิวาส!J728"")"),0)</f>
        <v>0</v>
      </c>
      <c r="BN79" s="57">
        <f ca="1">IFERROR(__xludf.DUMMYFUNCTION("IMPORTRANGE(""https://docs.google.com/spreadsheets/d/1BeghqumK0IvCmRd2QOy6_afsZq7ZtAGrSnVJy2u7WmY/edit?usp=sharing"",""นราธิวาส!I729"")"),0)</f>
        <v>0</v>
      </c>
      <c r="BO79" s="57">
        <f ca="1">IFERROR(__xludf.DUMMYFUNCTION("IMPORTRANGE(""https://docs.google.com/spreadsheets/d/1BeghqumK0IvCmRd2QOy6_afsZq7ZtAGrSnVJy2u7WmY/edit?usp=sharing"",""นราธิวาส!J729"")"),0)</f>
        <v>0</v>
      </c>
      <c r="BP79" s="63">
        <f t="shared" ca="1" si="19"/>
        <v>0</v>
      </c>
      <c r="BQ79" s="57">
        <f ca="1">IFERROR(__xludf.DUMMYFUNCTION("IMPORTRANGE(""https://docs.google.com/spreadsheets/d/1BeghqumK0IvCmRd2QOy6_afsZq7ZtAGrSnVJy2u7WmY/edit?usp=sharing"",""นราธิวาส!J730"")"),0)</f>
        <v>0</v>
      </c>
      <c r="BR79" s="57">
        <f ca="1">IFERROR(__xludf.DUMMYFUNCTION("IMPORTRANGE(""https://docs.google.com/spreadsheets/d/1BeghqumK0IvCmRd2QOy6_afsZq7ZtAGrSnVJy2u7WmY/edit?usp=sharing"",""นราธิวาส!J731"")"),0)</f>
        <v>0</v>
      </c>
      <c r="BS79" s="57">
        <f ca="1">IFERROR(__xludf.DUMMYFUNCTION("IMPORTRANGE(""https://docs.google.com/spreadsheets/d/1BeghqumK0IvCmRd2QOy6_afsZq7ZtAGrSnVJy2u7WmY/edit?usp=sharing"",""นราธิวาส!J732"")"),0)</f>
        <v>0</v>
      </c>
      <c r="BT79" s="57">
        <f ca="1">IFERROR(__xludf.DUMMYFUNCTION("IMPORTRANGE(""https://docs.google.com/spreadsheets/d/1BeghqumK0IvCmRd2QOy6_afsZq7ZtAGrSnVJy2u7WmY/edit?usp=sharing"",""นราธิวาส!J733"")"),0)</f>
        <v>0</v>
      </c>
      <c r="BU79" s="57">
        <f ca="1">IFERROR(__xludf.DUMMYFUNCTION("IMPORTRANGE(""https://docs.google.com/spreadsheets/d/1BeghqumK0IvCmRd2QOy6_afsZq7ZtAGrSnVJy2u7WmY/edit?usp=sharing"",""นราธิวาส!J734"")"),0)</f>
        <v>0</v>
      </c>
      <c r="BV79" s="57">
        <f ca="1">IFERROR(__xludf.DUMMYFUNCTION("IMPORTRANGE(""https://docs.google.com/spreadsheets/d/1BeghqumK0IvCmRd2QOy6_afsZq7ZtAGrSnVJy2u7WmY/edit?usp=sharing"",""นราธิวาส!J735"")"),0)</f>
        <v>0</v>
      </c>
    </row>
    <row r="80" spans="1:74" ht="21" customHeight="1" x14ac:dyDescent="0.3">
      <c r="A80" s="54">
        <v>6</v>
      </c>
      <c r="B80" s="55" t="s">
        <v>101</v>
      </c>
      <c r="C80" s="56">
        <f t="shared" ca="1" si="87"/>
        <v>23560</v>
      </c>
      <c r="D80" s="57">
        <f ca="1">IFERROR(__xludf.DUMMYFUNCTION("IMPORTRANGE(""https://docs.google.com/spreadsheets/d/1IwnW3-jjRf74MCLW-6PiFwMUffRQXZwZA7YM609NmRc/edit?usp=sharing"",""ปัตตานี!L690"")"),23560)</f>
        <v>23560</v>
      </c>
      <c r="E80" s="64">
        <f ca="1">IFERROR(__xludf.DUMMYFUNCTION("IMPORTRANGE(""https://docs.google.com/spreadsheets/d/1IwnW3-jjRf74MCLW-6PiFwMUffRQXZwZA7YM609NmRc/edit?usp=sharing"",""ปัตตานี!L697"")"),0)</f>
        <v>0</v>
      </c>
      <c r="F80" s="64">
        <f ca="1">IFERROR(__xludf.DUMMYFUNCTION("IMPORTRANGE(""https://docs.google.com/spreadsheets/d/1IwnW3-jjRf74MCLW-6PiFwMUffRQXZwZA7YM609NmRc/edit?usp=sharing"",""ปัตตานี!M690"")"),23560)</f>
        <v>23560</v>
      </c>
      <c r="G80" s="64">
        <f ca="1">IFERROR(__xludf.DUMMYFUNCTION("IMPORTRANGE(""https://docs.google.com/spreadsheets/d/1IwnW3-jjRf74MCLW-6PiFwMUffRQXZwZA7YM609NmRc/edit?usp=sharing"",""ปัตตานี!M697"")"),0)</f>
        <v>0</v>
      </c>
      <c r="H80" s="58">
        <f t="shared" ca="1" si="33"/>
        <v>1000</v>
      </c>
      <c r="I80" s="59">
        <f t="shared" ca="1" si="1"/>
        <v>4.2444821731748723</v>
      </c>
      <c r="J80" s="60">
        <f t="shared" ca="1" si="88"/>
        <v>1000</v>
      </c>
      <c r="K80" s="61">
        <f t="shared" ca="1" si="39"/>
        <v>4.2444821731748723</v>
      </c>
      <c r="L80" s="61">
        <f t="shared" ca="1" si="40"/>
        <v>4.2444821731748723</v>
      </c>
      <c r="M80" s="64">
        <f ca="1">IFERROR(__xludf.DUMMYFUNCTION("IMPORTRANGE(""https://docs.google.com/spreadsheets/d/1IwnW3-jjRf74MCLW-6PiFwMUffRQXZwZA7YM609NmRc/edit?usp=sharing"",""ปัตตานี!N691"")"),0)</f>
        <v>0</v>
      </c>
      <c r="N80" s="64">
        <f ca="1">IFERROR(__xludf.DUMMYFUNCTION("IMPORTRANGE(""https://docs.google.com/spreadsheets/d/1IwnW3-jjRf74MCLW-6PiFwMUffRQXZwZA7YM609NmRc/edit?usp=sharing"",""ปัตตานี!N692"")"),0)</f>
        <v>0</v>
      </c>
      <c r="O80" s="64">
        <f ca="1">IFERROR(__xludf.DUMMYFUNCTION("IMPORTRANGE(""https://docs.google.com/spreadsheets/d/1IwnW3-jjRf74MCLW-6PiFwMUffRQXZwZA7YM609NmRc/edit?usp=sharing"",""ปัตตานี!N693"")"),0)</f>
        <v>0</v>
      </c>
      <c r="P80" s="64">
        <f ca="1">IFERROR(__xludf.DUMMYFUNCTION("IMPORTRANGE(""https://docs.google.com/spreadsheets/d/1IwnW3-jjRf74MCLW-6PiFwMUffRQXZwZA7YM609NmRc/edit?usp=sharing"",""ปัตตานี!N694"")"),1000)</f>
        <v>1000</v>
      </c>
      <c r="Q80" s="62">
        <f ca="1">IFERROR(__xludf.DUMMYFUNCTION("IMPORTRANGE(""https://docs.google.com/spreadsheets/d/1IwnW3-jjRf74MCLW-6PiFwMUffRQXZwZA7YM609NmRc/edit?usp=sharing"",""ปัตตานี!N697"")"),0)</f>
        <v>0</v>
      </c>
      <c r="R80" s="62">
        <f t="shared" ca="1" si="42"/>
        <v>0</v>
      </c>
      <c r="S80" s="57">
        <f ca="1">IFERROR(__xludf.DUMMYFUNCTION("IMPORTRANGE(""https://docs.google.com/spreadsheets/d/1IwnW3-jjRf74MCLW-6PiFwMUffRQXZwZA7YM609NmRc/edit?usp=sharing"",""ปัตตานี!I699"")"),0)</f>
        <v>0</v>
      </c>
      <c r="T80" s="57">
        <f ca="1">IFERROR(__xludf.DUMMYFUNCTION("IMPORTRANGE(""https://docs.google.com/spreadsheets/d/1IwnW3-jjRf74MCLW-6PiFwMUffRQXZwZA7YM609NmRc/edit?usp=sharing"",""ปัตตานี!J699"")"),0)</f>
        <v>0</v>
      </c>
      <c r="U80" s="63">
        <f t="shared" ca="1" si="34"/>
        <v>0</v>
      </c>
      <c r="V80" s="57">
        <f ca="1">IFERROR(__xludf.DUMMYFUNCTION("IMPORTRANGE(""https://docs.google.com/spreadsheets/d/1IwnW3-jjRf74MCLW-6PiFwMUffRQXZwZA7YM609NmRc/edit?usp=sharing"",""ปัตตานี!I700"")"),1)</f>
        <v>1</v>
      </c>
      <c r="W80" s="57">
        <f ca="1">IFERROR(__xludf.DUMMYFUNCTION("IMPORTRANGE(""https://docs.google.com/spreadsheets/d/1IwnW3-jjRf74MCLW-6PiFwMUffRQXZwZA7YM609NmRc/edit?usp=sharing"",""ปัตตานี!J700"")"),0)</f>
        <v>0</v>
      </c>
      <c r="X80" s="63">
        <f t="shared" ca="1" si="35"/>
        <v>0</v>
      </c>
      <c r="Y80" s="57">
        <f ca="1">IFERROR(__xludf.DUMMYFUNCTION("IMPORTRANGE(""https://docs.google.com/spreadsheets/d/1IwnW3-jjRf74MCLW-6PiFwMUffRQXZwZA7YM609NmRc/edit?usp=sharing"",""ปัตตานี!I701"")"),0)</f>
        <v>0</v>
      </c>
      <c r="Z80" s="57">
        <f ca="1">IFERROR(__xludf.DUMMYFUNCTION("IMPORTRANGE(""https://docs.google.com/spreadsheets/d/1IwnW3-jjRf74MCLW-6PiFwMUffRQXZwZA7YM609NmRc/edit?usp=sharing"",""ปัตตานี!J701"")"),0)</f>
        <v>0</v>
      </c>
      <c r="AA80" s="63">
        <f t="shared" ca="1" si="36"/>
        <v>0</v>
      </c>
      <c r="AB80" s="63">
        <f ca="1">IFERROR(__xludf.DUMMYFUNCTION("IMPORTRANGE(""https://docs.google.com/spreadsheets/d/1IwnW3-jjRf74MCLW-6PiFwMUffRQXZwZA7YM609NmRc/edit?usp=sharing"",""ปัตตานี!J702"")"),0)</f>
        <v>0</v>
      </c>
      <c r="AC80" s="63">
        <f ca="1">IFERROR(__xludf.DUMMYFUNCTION("IMPORTRANGE(""https://docs.google.com/spreadsheets/d/1IwnW3-jjRf74MCLW-6PiFwMUffRQXZwZA7YM609NmRc/edit?usp=sharing"",""ปัตตานี!J703"")"),0)</f>
        <v>0</v>
      </c>
      <c r="AD80" s="63">
        <f ca="1">IFERROR(__xludf.DUMMYFUNCTION("IMPORTRANGE(""https://docs.google.com/spreadsheets/d/1IwnW3-jjRf74MCLW-6PiFwMUffRQXZwZA7YM609NmRc/edit?usp=sharing"",""ปัตตานี!J704"")"),0)</f>
        <v>0</v>
      </c>
      <c r="AE80" s="63">
        <f ca="1">IFERROR(__xludf.DUMMYFUNCTION("IMPORTRANGE(""https://docs.google.com/spreadsheets/d/1IwnW3-jjRf74MCLW-6PiFwMUffRQXZwZA7YM609NmRc/edit?usp=sharing"",""ปัตตานี!J705"")"),0)</f>
        <v>0</v>
      </c>
      <c r="AF80" s="63">
        <f ca="1">IFERROR(__xludf.DUMMYFUNCTION("IMPORTRANGE(""https://docs.google.com/spreadsheets/d/1IwnW3-jjRf74MCLW-6PiFwMUffRQXZwZA7YM609NmRc/edit?usp=sharing"",""ปัตตานี!J706"")"),0)</f>
        <v>0</v>
      </c>
      <c r="AG80" s="63">
        <f ca="1">IFERROR(__xludf.DUMMYFUNCTION("IMPORTRANGE(""https://docs.google.com/spreadsheets/d/1IwnW3-jjRf74MCLW-6PiFwMUffRQXZwZA7YM609NmRc/edit?usp=sharing"",""ปัตตานี!J707"")"),0)</f>
        <v>0</v>
      </c>
      <c r="AH80" s="57">
        <f ca="1">IFERROR(__xludf.DUMMYFUNCTION("IMPORTRANGE(""https://docs.google.com/spreadsheets/d/1IwnW3-jjRf74MCLW-6PiFwMUffRQXZwZA7YM609NmRc/edit?usp=sharing"",""ปัตตานี!I708"")"),0)</f>
        <v>0</v>
      </c>
      <c r="AI80" s="57">
        <f ca="1">IFERROR(__xludf.DUMMYFUNCTION("IMPORTRANGE(""https://docs.google.com/spreadsheets/d/1IwnW3-jjRf74MCLW-6PiFwMUffRQXZwZA7YM609NmRc/edit?usp=sharing"",""ปัตตานี!J708"")"),0)</f>
        <v>0</v>
      </c>
      <c r="AJ80" s="63">
        <f t="shared" ca="1" si="37"/>
        <v>0</v>
      </c>
      <c r="AK80" s="57">
        <f ca="1">IFERROR(__xludf.DUMMYFUNCTION("IMPORTRANGE(""https://docs.google.com/spreadsheets/d/1IwnW3-jjRf74MCLW-6PiFwMUffRQXZwZA7YM609NmRc/edit?usp=sharing"",""ปัตตานี!J709"")"),0)</f>
        <v>0</v>
      </c>
      <c r="AL80" s="57">
        <f ca="1">IFERROR(__xludf.DUMMYFUNCTION("IMPORTRANGE(""https://docs.google.com/spreadsheets/d/1IwnW3-jjRf74MCLW-6PiFwMUffRQXZwZA7YM609NmRc/edit?usp=sharing"",""ปัตตานี!J710"")"),0)</f>
        <v>0</v>
      </c>
      <c r="AM80" s="57">
        <f ca="1">IFERROR(__xludf.DUMMYFUNCTION("IMPORTRANGE(""https://docs.google.com/spreadsheets/d/1IwnW3-jjRf74MCLW-6PiFwMUffRQXZwZA7YM609NmRc/edit?usp=sharing"",""ปัตตานี!J712"")"),0)</f>
        <v>0</v>
      </c>
      <c r="AN80" s="57">
        <f ca="1">IFERROR(__xludf.DUMMYFUNCTION("IMPORTRANGE(""https://docs.google.com/spreadsheets/d/1IwnW3-jjRf74MCLW-6PiFwMUffRQXZwZA7YM609NmRc/edit?usp=sharing"",""ปัตตานี!J713"")"),0)</f>
        <v>0</v>
      </c>
      <c r="AO80" s="57">
        <f ca="1">IFERROR(__xludf.DUMMYFUNCTION("IMPORTRANGE(""https://docs.google.com/spreadsheets/d/1IwnW3-jjRf74MCLW-6PiFwMUffRQXZwZA7YM609NmRc/edit?usp=sharing"",""ปัตตานี!J714"")"),0)</f>
        <v>0</v>
      </c>
      <c r="AP80" s="57">
        <f ca="1">IFERROR(__xludf.DUMMYFUNCTION("IMPORTRANGE(""https://docs.google.com/spreadsheets/d/1IwnW3-jjRf74MCLW-6PiFwMUffRQXZwZA7YM609NmRc/edit?usp=sharing"",""ปัตตานี!J715"")"),0)</f>
        <v>0</v>
      </c>
      <c r="AQ80" s="57">
        <f ca="1">IFERROR(__xludf.DUMMYFUNCTION("IMPORTRANGE(""https://docs.google.com/spreadsheets/d/1IwnW3-jjRf74MCLW-6PiFwMUffRQXZwZA7YM609NmRc/edit?usp=sharing"",""ปัตตานี!J716"")"),0)</f>
        <v>0</v>
      </c>
      <c r="AR80" s="57">
        <f ca="1">IFERROR(__xludf.DUMMYFUNCTION("IMPORTRANGE(""https://docs.google.com/spreadsheets/d/1IwnW3-jjRf74MCLW-6PiFwMUffRQXZwZA7YM609NmRc/edit?usp=sharing"",""ปัตตานี!J717"")"),0)</f>
        <v>0</v>
      </c>
      <c r="AS80" s="57">
        <f ca="1">IFERROR(__xludf.DUMMYFUNCTION("IMPORTRANGE(""https://docs.google.com/spreadsheets/d/1IwnW3-jjRf74MCLW-6PiFwMUffRQXZwZA7YM609NmRc/edit?usp=sharing"",""ปัตตานี!I720"")"),0)</f>
        <v>0</v>
      </c>
      <c r="AT80" s="57">
        <f ca="1">IFERROR(__xludf.DUMMYFUNCTION("IMPORTRANGE(""https://docs.google.com/spreadsheets/d/1IwnW3-jjRf74MCLW-6PiFwMUffRQXZwZA7YM609NmRc/edit?usp=sharing"",""ปัตตานี!J718"")"),0)</f>
        <v>0</v>
      </c>
      <c r="AU80" s="57">
        <f ca="1">IFERROR(__xludf.DUMMYFUNCTION("IMPORTRANGE(""https://docs.google.com/spreadsheets/d/1IwnW3-jjRf74MCLW-6PiFwMUffRQXZwZA7YM609NmRc/edit?usp=sharing"",""ปัตตานี!J719"")"),0)</f>
        <v>0</v>
      </c>
      <c r="AV80" s="57">
        <f ca="1">IFERROR(__xludf.DUMMYFUNCTION("IMPORTRANGE(""https://docs.google.com/spreadsheets/d/1IwnW3-jjRf74MCLW-6PiFwMUffRQXZwZA7YM609NmRc/edit?usp=sharing"",""ปัตตานี!J720"")"),0)</f>
        <v>0</v>
      </c>
      <c r="AW80" s="63">
        <f t="shared" ca="1" si="14"/>
        <v>0</v>
      </c>
      <c r="AX80" s="57">
        <f ca="1">IFERROR(__xludf.DUMMYFUNCTION("IMPORTRANGE(""https://docs.google.com/spreadsheets/d/1IwnW3-jjRf74MCLW-6PiFwMUffRQXZwZA7YM609NmRc/edit?usp=sharing"",""ปัตตานี!I721"")"),87)</f>
        <v>87</v>
      </c>
      <c r="AY80" s="57">
        <f ca="1">IFERROR(__xludf.DUMMYFUNCTION("IMPORTRANGE(""https://docs.google.com/spreadsheets/d/1IwnW3-jjRf74MCLW-6PiFwMUffRQXZwZA7YM609NmRc/edit?usp=sharing"",""ปัตตานี!I722"")"),332)</f>
        <v>332</v>
      </c>
      <c r="AZ80" s="57">
        <f ca="1">IFERROR(__xludf.DUMMYFUNCTION("IMPORTRANGE(""https://docs.google.com/spreadsheets/d/1IwnW3-jjRf74MCLW-6PiFwMUffRQXZwZA7YM609NmRc/edit?usp=sharing"",""ปัตตานี!J721"")"),0)</f>
        <v>0</v>
      </c>
      <c r="BA80" s="63">
        <f t="shared" ca="1" si="16"/>
        <v>0</v>
      </c>
      <c r="BB80" s="57">
        <f ca="1">IFERROR(__xludf.DUMMYFUNCTION("IMPORTRANGE(""https://docs.google.com/spreadsheets/d/1IwnW3-jjRf74MCLW-6PiFwMUffRQXZwZA7YM609NmRc/edit?usp=sharing"",""ปัตตานี!J722"")"),0)</f>
        <v>0</v>
      </c>
      <c r="BC80" s="63">
        <f t="shared" ca="1" si="17"/>
        <v>0</v>
      </c>
      <c r="BD80" s="57">
        <f ca="1">IFERROR(__xludf.DUMMYFUNCTION("IMPORTRANGE(""https://docs.google.com/spreadsheets/d/1IwnW3-jjRf74MCLW-6PiFwMUffRQXZwZA7YM609NmRc/edit?usp=sharing"",""ปัตตานี!I723"")"),50)</f>
        <v>50</v>
      </c>
      <c r="BE80" s="57">
        <f ca="1">IFERROR(__xludf.DUMMYFUNCTION("IMPORTRANGE(""https://docs.google.com/spreadsheets/d/1IwnW3-jjRf74MCLW-6PiFwMUffRQXZwZA7YM609NmRc/edit?usp=sharing"",""ปัตตานี!I725"")"),212)</f>
        <v>212</v>
      </c>
      <c r="BF80" s="57">
        <f ca="1">IFERROR(__xludf.DUMMYFUNCTION("IMPORTRANGE(""https://docs.google.com/spreadsheets/d/1IwnW3-jjRf74MCLW-6PiFwMUffRQXZwZA7YM609NmRc/edit?usp=sharing"",""ปัตตานี!J723"")"),0)</f>
        <v>0</v>
      </c>
      <c r="BG80" s="57">
        <f ca="1">IFERROR(__xludf.DUMMYFUNCTION("IMPORTRANGE(""https://docs.google.com/spreadsheets/d/1IwnW3-jjRf74MCLW-6PiFwMUffRQXZwZA7YM609NmRc/edit?usp=sharing"",""ปัตตานี!J724"")"),0)</f>
        <v>0</v>
      </c>
      <c r="BH80" s="57">
        <f ca="1">IFERROR(__xludf.DUMMYFUNCTION("IMPORTRANGE(""https://docs.google.com/spreadsheets/d/1IwnW3-jjRf74MCLW-6PiFwMUffRQXZwZA7YM609NmRc/edit?usp=sharing"",""ปัตตานี!J725"")"),0)</f>
        <v>0</v>
      </c>
      <c r="BI80" s="57">
        <f ca="1">IFERROR(__xludf.DUMMYFUNCTION("IMPORTRANGE(""https://docs.google.com/spreadsheets/d/1IwnW3-jjRf74MCLW-6PiFwMUffRQXZwZA7YM609NmRc/edit?usp=sharing"",""ปัตตานี!I726"")"),37)</f>
        <v>37</v>
      </c>
      <c r="BJ80" s="57">
        <f ca="1">IFERROR(__xludf.DUMMYFUNCTION("IMPORTRANGE(""https://docs.google.com/spreadsheets/d/1IwnW3-jjRf74MCLW-6PiFwMUffRQXZwZA7YM609NmRc/edit?usp=sharing"",""ปัตตานี!I728"")"),120)</f>
        <v>120</v>
      </c>
      <c r="BK80" s="57">
        <f ca="1">IFERROR(__xludf.DUMMYFUNCTION("IMPORTRANGE(""https://docs.google.com/spreadsheets/d/1IwnW3-jjRf74MCLW-6PiFwMUffRQXZwZA7YM609NmRc/edit?usp=sharing"",""ปัตตานี!J726"")"),0)</f>
        <v>0</v>
      </c>
      <c r="BL80" s="57">
        <f ca="1">IFERROR(__xludf.DUMMYFUNCTION("IMPORTRANGE(""https://docs.google.com/spreadsheets/d/1IwnW3-jjRf74MCLW-6PiFwMUffRQXZwZA7YM609NmRc/edit?usp=sharing"",""ปัตตานี!J727"")"),0)</f>
        <v>0</v>
      </c>
      <c r="BM80" s="57">
        <f ca="1">IFERROR(__xludf.DUMMYFUNCTION("IMPORTRANGE(""https://docs.google.com/spreadsheets/d/1IwnW3-jjRf74MCLW-6PiFwMUffRQXZwZA7YM609NmRc/edit?usp=sharing"",""ปัตตานี!J728"")"),0)</f>
        <v>0</v>
      </c>
      <c r="BN80" s="57">
        <f ca="1">IFERROR(__xludf.DUMMYFUNCTION("IMPORTRANGE(""https://docs.google.com/spreadsheets/d/1IwnW3-jjRf74MCLW-6PiFwMUffRQXZwZA7YM609NmRc/edit?usp=sharing"",""ปัตตานี!I729"")"),0)</f>
        <v>0</v>
      </c>
      <c r="BO80" s="57">
        <f ca="1">IFERROR(__xludf.DUMMYFUNCTION("IMPORTRANGE(""https://docs.google.com/spreadsheets/d/1IwnW3-jjRf74MCLW-6PiFwMUffRQXZwZA7YM609NmRc/edit?usp=sharing"",""ปัตตานี!J729"")"),0)</f>
        <v>0</v>
      </c>
      <c r="BP80" s="63">
        <f t="shared" ca="1" si="19"/>
        <v>0</v>
      </c>
      <c r="BQ80" s="57">
        <f ca="1">IFERROR(__xludf.DUMMYFUNCTION("IMPORTRANGE(""https://docs.google.com/spreadsheets/d/1IwnW3-jjRf74MCLW-6PiFwMUffRQXZwZA7YM609NmRc/edit?usp=sharing"",""ปัตตานี!J730"")"),0)</f>
        <v>0</v>
      </c>
      <c r="BR80" s="57">
        <f ca="1">IFERROR(__xludf.DUMMYFUNCTION("IMPORTRANGE(""https://docs.google.com/spreadsheets/d/1IwnW3-jjRf74MCLW-6PiFwMUffRQXZwZA7YM609NmRc/edit?usp=sharing"",""ปัตตานี!J731"")"),0)</f>
        <v>0</v>
      </c>
      <c r="BS80" s="57">
        <f ca="1">IFERROR(__xludf.DUMMYFUNCTION("IMPORTRANGE(""https://docs.google.com/spreadsheets/d/1IwnW3-jjRf74MCLW-6PiFwMUffRQXZwZA7YM609NmRc/edit?usp=sharing"",""ปัตตานี!J732"")"),0)</f>
        <v>0</v>
      </c>
      <c r="BT80" s="57">
        <f ca="1">IFERROR(__xludf.DUMMYFUNCTION("IMPORTRANGE(""https://docs.google.com/spreadsheets/d/1IwnW3-jjRf74MCLW-6PiFwMUffRQXZwZA7YM609NmRc/edit?usp=sharing"",""ปัตตานี!J733"")"),0)</f>
        <v>0</v>
      </c>
      <c r="BU80" s="57">
        <f ca="1">IFERROR(__xludf.DUMMYFUNCTION("IMPORTRANGE(""https://docs.google.com/spreadsheets/d/1IwnW3-jjRf74MCLW-6PiFwMUffRQXZwZA7YM609NmRc/edit?usp=sharing"",""ปัตตานี!J734"")"),0)</f>
        <v>0</v>
      </c>
      <c r="BV80" s="57">
        <f ca="1">IFERROR(__xludf.DUMMYFUNCTION("IMPORTRANGE(""https://docs.google.com/spreadsheets/d/1IwnW3-jjRf74MCLW-6PiFwMUffRQXZwZA7YM609NmRc/edit?usp=sharing"",""ปัตตานี!J735"")"),0)</f>
        <v>0</v>
      </c>
    </row>
    <row r="81" spans="1:74" ht="21" customHeight="1" x14ac:dyDescent="0.3">
      <c r="A81" s="54">
        <v>7</v>
      </c>
      <c r="B81" s="55" t="s">
        <v>102</v>
      </c>
      <c r="C81" s="56">
        <f t="shared" ca="1" si="87"/>
        <v>2000</v>
      </c>
      <c r="D81" s="57">
        <f ca="1">IFERROR(__xludf.DUMMYFUNCTION("IMPORTRANGE(""https://docs.google.com/spreadsheets/d/1vl4QWbWdFruual5o_wdo6ZSqXZ_it806oja4CctTLKs/edit?usp=sharing"",""พังงา!L690"")"),2000)</f>
        <v>2000</v>
      </c>
      <c r="E81" s="64">
        <f ca="1">IFERROR(__xludf.DUMMYFUNCTION("IMPORTRANGE(""https://docs.google.com/spreadsheets/d/1vl4QWbWdFruual5o_wdo6ZSqXZ_it806oja4CctTLKs/edit?usp=sharing"",""พังงา!L697"")"),0)</f>
        <v>0</v>
      </c>
      <c r="F81" s="64">
        <f ca="1">IFERROR(__xludf.DUMMYFUNCTION("IMPORTRANGE(""https://docs.google.com/spreadsheets/d/1vl4QWbWdFruual5o_wdo6ZSqXZ_it806oja4CctTLKs/edit?usp=sharing"",""พังงา!M690"")"),2000)</f>
        <v>2000</v>
      </c>
      <c r="G81" s="64">
        <f ca="1">IFERROR(__xludf.DUMMYFUNCTION("IMPORTRANGE(""https://docs.google.com/spreadsheets/d/1vl4QWbWdFruual5o_wdo6ZSqXZ_it806oja4CctTLKs/edit?usp=sharing"",""พังงา!M697"")"),0)</f>
        <v>0</v>
      </c>
      <c r="H81" s="58">
        <f t="shared" ca="1" si="33"/>
        <v>0</v>
      </c>
      <c r="I81" s="59">
        <f t="shared" ca="1" si="1"/>
        <v>0</v>
      </c>
      <c r="J81" s="60">
        <f t="shared" ca="1" si="88"/>
        <v>0</v>
      </c>
      <c r="K81" s="61">
        <f t="shared" ca="1" si="39"/>
        <v>0</v>
      </c>
      <c r="L81" s="61">
        <f t="shared" ca="1" si="40"/>
        <v>0</v>
      </c>
      <c r="M81" s="64">
        <f ca="1">IFERROR(__xludf.DUMMYFUNCTION("IMPORTRANGE(""https://docs.google.com/spreadsheets/d/1vl4QWbWdFruual5o_wdo6ZSqXZ_it806oja4CctTLKs/edit?usp=sharing"",""พังงา!N691"")"),0)</f>
        <v>0</v>
      </c>
      <c r="N81" s="64">
        <f ca="1">IFERROR(__xludf.DUMMYFUNCTION("IMPORTRANGE(""https://docs.google.com/spreadsheets/d/1vl4QWbWdFruual5o_wdo6ZSqXZ_it806oja4CctTLKs/edit?usp=sharing"",""พังงา!N692"")"),0)</f>
        <v>0</v>
      </c>
      <c r="O81" s="64">
        <f ca="1">IFERROR(__xludf.DUMMYFUNCTION("IMPORTRANGE(""https://docs.google.com/spreadsheets/d/1vl4QWbWdFruual5o_wdo6ZSqXZ_it806oja4CctTLKs/edit?usp=sharing"",""พังงา!N693"")"),0)</f>
        <v>0</v>
      </c>
      <c r="P81" s="64">
        <f ca="1">IFERROR(__xludf.DUMMYFUNCTION("IMPORTRANGE(""https://docs.google.com/spreadsheets/d/1vl4QWbWdFruual5o_wdo6ZSqXZ_it806oja4CctTLKs/edit?usp=sharing"",""พังงา!N694"")"),0)</f>
        <v>0</v>
      </c>
      <c r="Q81" s="62">
        <f ca="1">IFERROR(__xludf.DUMMYFUNCTION("IMPORTRANGE(""https://docs.google.com/spreadsheets/d/1vl4QWbWdFruual5o_wdo6ZSqXZ_it806oja4CctTLKs/edit?usp=sharing"",""พังงา!N697"")"),0)</f>
        <v>0</v>
      </c>
      <c r="R81" s="62">
        <f t="shared" ca="1" si="42"/>
        <v>0</v>
      </c>
      <c r="S81" s="57">
        <f ca="1">IFERROR(__xludf.DUMMYFUNCTION("IMPORTRANGE(""https://docs.google.com/spreadsheets/d/1vl4QWbWdFruual5o_wdo6ZSqXZ_it806oja4CctTLKs/edit?usp=sharing"",""พังงา!I699"")"),0)</f>
        <v>0</v>
      </c>
      <c r="T81" s="57">
        <f ca="1">IFERROR(__xludf.DUMMYFUNCTION("IMPORTRANGE(""https://docs.google.com/spreadsheets/d/1vl4QWbWdFruual5o_wdo6ZSqXZ_it806oja4CctTLKs/edit?usp=sharing"",""พังงา!J699"")"),0)</f>
        <v>0</v>
      </c>
      <c r="U81" s="63">
        <f t="shared" ca="1" si="34"/>
        <v>0</v>
      </c>
      <c r="V81" s="57">
        <f ca="1">IFERROR(__xludf.DUMMYFUNCTION("IMPORTRANGE(""https://docs.google.com/spreadsheets/d/1vl4QWbWdFruual5o_wdo6ZSqXZ_it806oja4CctTLKs/edit?usp=sharing"",""พังงา!I700"")"),0)</f>
        <v>0</v>
      </c>
      <c r="W81" s="57">
        <f ca="1">IFERROR(__xludf.DUMMYFUNCTION("IMPORTRANGE(""https://docs.google.com/spreadsheets/d/1vl4QWbWdFruual5o_wdo6ZSqXZ_it806oja4CctTLKs/edit?usp=sharing"",""พังงา!J700"")"),0)</f>
        <v>0</v>
      </c>
      <c r="X81" s="63">
        <f t="shared" ca="1" si="35"/>
        <v>0</v>
      </c>
      <c r="Y81" s="57">
        <f ca="1">IFERROR(__xludf.DUMMYFUNCTION("IMPORTRANGE(""https://docs.google.com/spreadsheets/d/1vl4QWbWdFruual5o_wdo6ZSqXZ_it806oja4CctTLKs/edit?usp=sharing"",""พังงา!I701"")"),50)</f>
        <v>50</v>
      </c>
      <c r="Z81" s="57">
        <f ca="1">IFERROR(__xludf.DUMMYFUNCTION("IMPORTRANGE(""https://docs.google.com/spreadsheets/d/1vl4QWbWdFruual5o_wdo6ZSqXZ_it806oja4CctTLKs/edit?usp=sharing"",""พังงา!J701"")"),0)</f>
        <v>0</v>
      </c>
      <c r="AA81" s="63">
        <f t="shared" ca="1" si="36"/>
        <v>0</v>
      </c>
      <c r="AB81" s="63">
        <f ca="1">IFERROR(__xludf.DUMMYFUNCTION("IMPORTRANGE(""https://docs.google.com/spreadsheets/d/1vl4QWbWdFruual5o_wdo6ZSqXZ_it806oja4CctTLKs/edit?usp=sharing"",""พังงา!J702"")"),0)</f>
        <v>0</v>
      </c>
      <c r="AC81" s="63">
        <f ca="1">IFERROR(__xludf.DUMMYFUNCTION("IMPORTRANGE(""https://docs.google.com/spreadsheets/d/1vl4QWbWdFruual5o_wdo6ZSqXZ_it806oja4CctTLKs/edit?usp=sharing"",""พังงา!J703"")"),0)</f>
        <v>0</v>
      </c>
      <c r="AD81" s="63">
        <f ca="1">IFERROR(__xludf.DUMMYFUNCTION("IMPORTRANGE(""https://docs.google.com/spreadsheets/d/1vl4QWbWdFruual5o_wdo6ZSqXZ_it806oja4CctTLKs/edit?usp=sharing"",""พังงา!J704"")"),0)</f>
        <v>0</v>
      </c>
      <c r="AE81" s="63">
        <f ca="1">IFERROR(__xludf.DUMMYFUNCTION("IMPORTRANGE(""https://docs.google.com/spreadsheets/d/1vl4QWbWdFruual5o_wdo6ZSqXZ_it806oja4CctTLKs/edit?usp=sharing"",""พังงา!J705"")"),0)</f>
        <v>0</v>
      </c>
      <c r="AF81" s="63">
        <f ca="1">IFERROR(__xludf.DUMMYFUNCTION("IMPORTRANGE(""https://docs.google.com/spreadsheets/d/1vl4QWbWdFruual5o_wdo6ZSqXZ_it806oja4CctTLKs/edit?usp=sharing"",""พังงา!J706"")"),0)</f>
        <v>0</v>
      </c>
      <c r="AG81" s="63">
        <f ca="1">IFERROR(__xludf.DUMMYFUNCTION("IMPORTRANGE(""https://docs.google.com/spreadsheets/d/1vl4QWbWdFruual5o_wdo6ZSqXZ_it806oja4CctTLKs/edit?usp=sharing"",""พังงา!J707"")"),0)</f>
        <v>0</v>
      </c>
      <c r="AH81" s="57">
        <f ca="1">IFERROR(__xludf.DUMMYFUNCTION("IMPORTRANGE(""https://docs.google.com/spreadsheets/d/1vl4QWbWdFruual5o_wdo6ZSqXZ_it806oja4CctTLKs/edit?usp=sharing"",""พังงา!I708"")"),0)</f>
        <v>0</v>
      </c>
      <c r="AI81" s="57">
        <f ca="1">IFERROR(__xludf.DUMMYFUNCTION("IMPORTRANGE(""https://docs.google.com/spreadsheets/d/1vl4QWbWdFruual5o_wdo6ZSqXZ_it806oja4CctTLKs/edit?usp=sharing"",""พังงา!J708"")"),0)</f>
        <v>0</v>
      </c>
      <c r="AJ81" s="63">
        <f t="shared" ca="1" si="37"/>
        <v>0</v>
      </c>
      <c r="AK81" s="57">
        <f ca="1">IFERROR(__xludf.DUMMYFUNCTION("IMPORTRANGE(""https://docs.google.com/spreadsheets/d/1vl4QWbWdFruual5o_wdo6ZSqXZ_it806oja4CctTLKs/edit?usp=sharing"",""พังงา!J709"")"),0)</f>
        <v>0</v>
      </c>
      <c r="AL81" s="57">
        <f ca="1">IFERROR(__xludf.DUMMYFUNCTION("IMPORTRANGE(""https://docs.google.com/spreadsheets/d/1vl4QWbWdFruual5o_wdo6ZSqXZ_it806oja4CctTLKs/edit?usp=sharing"",""พังงา!J710"")"),0)</f>
        <v>0</v>
      </c>
      <c r="AM81" s="57">
        <f ca="1">IFERROR(__xludf.DUMMYFUNCTION("IMPORTRANGE(""https://docs.google.com/spreadsheets/d/1vl4QWbWdFruual5o_wdo6ZSqXZ_it806oja4CctTLKs/edit?usp=sharing"",""พังงา!J712"")"),0)</f>
        <v>0</v>
      </c>
      <c r="AN81" s="57">
        <f ca="1">IFERROR(__xludf.DUMMYFUNCTION("IMPORTRANGE(""https://docs.google.com/spreadsheets/d/1vl4QWbWdFruual5o_wdo6ZSqXZ_it806oja4CctTLKs/edit?usp=sharing"",""พังงา!J713"")"),0)</f>
        <v>0</v>
      </c>
      <c r="AO81" s="57">
        <f ca="1">IFERROR(__xludf.DUMMYFUNCTION("IMPORTRANGE(""https://docs.google.com/spreadsheets/d/1vl4QWbWdFruual5o_wdo6ZSqXZ_it806oja4CctTLKs/edit?usp=sharing"",""พังงา!J714"")"),0)</f>
        <v>0</v>
      </c>
      <c r="AP81" s="57">
        <f ca="1">IFERROR(__xludf.DUMMYFUNCTION("IMPORTRANGE(""https://docs.google.com/spreadsheets/d/1vl4QWbWdFruual5o_wdo6ZSqXZ_it806oja4CctTLKs/edit?usp=sharing"",""พังงา!J715"")"),0)</f>
        <v>0</v>
      </c>
      <c r="AQ81" s="57">
        <f ca="1">IFERROR(__xludf.DUMMYFUNCTION("IMPORTRANGE(""https://docs.google.com/spreadsheets/d/1vl4QWbWdFruual5o_wdo6ZSqXZ_it806oja4CctTLKs/edit?usp=sharing"",""พังงา!J716"")"),0)</f>
        <v>0</v>
      </c>
      <c r="AR81" s="57">
        <f ca="1">IFERROR(__xludf.DUMMYFUNCTION("IMPORTRANGE(""https://docs.google.com/spreadsheets/d/1vl4QWbWdFruual5o_wdo6ZSqXZ_it806oja4CctTLKs/edit?usp=sharing"",""พังงา!J717"")"),0)</f>
        <v>0</v>
      </c>
      <c r="AS81" s="57">
        <f ca="1">IFERROR(__xludf.DUMMYFUNCTION("IMPORTRANGE(""https://docs.google.com/spreadsheets/d/1vl4QWbWdFruual5o_wdo6ZSqXZ_it806oja4CctTLKs/edit?usp=sharing"",""พังงา!I720"")"),0)</f>
        <v>0</v>
      </c>
      <c r="AT81" s="57">
        <f ca="1">IFERROR(__xludf.DUMMYFUNCTION("IMPORTRANGE(""https://docs.google.com/spreadsheets/d/1vl4QWbWdFruual5o_wdo6ZSqXZ_it806oja4CctTLKs/edit?usp=sharing"",""พังงา!J718"")"),0)</f>
        <v>0</v>
      </c>
      <c r="AU81" s="57">
        <f ca="1">IFERROR(__xludf.DUMMYFUNCTION("IMPORTRANGE(""https://docs.google.com/spreadsheets/d/1vl4QWbWdFruual5o_wdo6ZSqXZ_it806oja4CctTLKs/edit?usp=sharing"",""พังงา!J719"")"),0)</f>
        <v>0</v>
      </c>
      <c r="AV81" s="57">
        <f ca="1">IFERROR(__xludf.DUMMYFUNCTION("IMPORTRANGE(""https://docs.google.com/spreadsheets/d/1vl4QWbWdFruual5o_wdo6ZSqXZ_it806oja4CctTLKs/edit?usp=sharing"",""พังงา!J720"")"),0)</f>
        <v>0</v>
      </c>
      <c r="AW81" s="63">
        <f t="shared" ca="1" si="14"/>
        <v>0</v>
      </c>
      <c r="AX81" s="57">
        <f ca="1">IFERROR(__xludf.DUMMYFUNCTION("IMPORTRANGE(""https://docs.google.com/spreadsheets/d/1vl4QWbWdFruual5o_wdo6ZSqXZ_it806oja4CctTLKs/edit?usp=sharing"",""พังงา!I721"")"),0)</f>
        <v>0</v>
      </c>
      <c r="AY81" s="57">
        <f ca="1">IFERROR(__xludf.DUMMYFUNCTION("IMPORTRANGE(""https://docs.google.com/spreadsheets/d/1vl4QWbWdFruual5o_wdo6ZSqXZ_it806oja4CctTLKs/edit?usp=sharing"",""พังงา!I722"")"),0)</f>
        <v>0</v>
      </c>
      <c r="AZ81" s="57">
        <f ca="1">IFERROR(__xludf.DUMMYFUNCTION("IMPORTRANGE(""https://docs.google.com/spreadsheets/d/1vl4QWbWdFruual5o_wdo6ZSqXZ_it806oja4CctTLKs/edit?usp=sharing"",""พังงา!J721"")"),0)</f>
        <v>0</v>
      </c>
      <c r="BA81" s="63">
        <f t="shared" ca="1" si="16"/>
        <v>0</v>
      </c>
      <c r="BB81" s="57">
        <f ca="1">IFERROR(__xludf.DUMMYFUNCTION("IMPORTRANGE(""https://docs.google.com/spreadsheets/d/1vl4QWbWdFruual5o_wdo6ZSqXZ_it806oja4CctTLKs/edit?usp=sharing"",""พังงา!J722"")"),0)</f>
        <v>0</v>
      </c>
      <c r="BC81" s="63">
        <f t="shared" ca="1" si="17"/>
        <v>0</v>
      </c>
      <c r="BD81" s="57">
        <f ca="1">IFERROR(__xludf.DUMMYFUNCTION("IMPORTRANGE(""https://docs.google.com/spreadsheets/d/1vl4QWbWdFruual5o_wdo6ZSqXZ_it806oja4CctTLKs/edit?usp=sharing"",""พังงา!I723"")"),0)</f>
        <v>0</v>
      </c>
      <c r="BE81" s="57">
        <f ca="1">IFERROR(__xludf.DUMMYFUNCTION("IMPORTRANGE(""https://docs.google.com/spreadsheets/d/1vl4QWbWdFruual5o_wdo6ZSqXZ_it806oja4CctTLKs/edit?usp=sharing"",""พังงา!I725"")"),0)</f>
        <v>0</v>
      </c>
      <c r="BF81" s="57">
        <f ca="1">IFERROR(__xludf.DUMMYFUNCTION("IMPORTRANGE(""https://docs.google.com/spreadsheets/d/1vl4QWbWdFruual5o_wdo6ZSqXZ_it806oja4CctTLKs/edit?usp=sharing"",""พังงา!J723"")"),0)</f>
        <v>0</v>
      </c>
      <c r="BG81" s="57">
        <f ca="1">IFERROR(__xludf.DUMMYFUNCTION("IMPORTRANGE(""https://docs.google.com/spreadsheets/d/1vl4QWbWdFruual5o_wdo6ZSqXZ_it806oja4CctTLKs/edit?usp=sharing"",""พังงา!J724"")"),0)</f>
        <v>0</v>
      </c>
      <c r="BH81" s="57">
        <f ca="1">IFERROR(__xludf.DUMMYFUNCTION("IMPORTRANGE(""https://docs.google.com/spreadsheets/d/1vl4QWbWdFruual5o_wdo6ZSqXZ_it806oja4CctTLKs/edit?usp=sharing"",""พังงา!J725"")"),0)</f>
        <v>0</v>
      </c>
      <c r="BI81" s="57">
        <f ca="1">IFERROR(__xludf.DUMMYFUNCTION("IMPORTRANGE(""https://docs.google.com/spreadsheets/d/1vl4QWbWdFruual5o_wdo6ZSqXZ_it806oja4CctTLKs/edit?usp=sharing"",""พังงา!I726"")"),0)</f>
        <v>0</v>
      </c>
      <c r="BJ81" s="57">
        <f ca="1">IFERROR(__xludf.DUMMYFUNCTION("IMPORTRANGE(""https://docs.google.com/spreadsheets/d/1vl4QWbWdFruual5o_wdo6ZSqXZ_it806oja4CctTLKs/edit?usp=sharing"",""พังงา!I728"")"),0)</f>
        <v>0</v>
      </c>
      <c r="BK81" s="57">
        <f ca="1">IFERROR(__xludf.DUMMYFUNCTION("IMPORTRANGE(""https://docs.google.com/spreadsheets/d/1vl4QWbWdFruual5o_wdo6ZSqXZ_it806oja4CctTLKs/edit?usp=sharing"",""พังงา!J726"")"),0)</f>
        <v>0</v>
      </c>
      <c r="BL81" s="57">
        <f ca="1">IFERROR(__xludf.DUMMYFUNCTION("IMPORTRANGE(""https://docs.google.com/spreadsheets/d/1vl4QWbWdFruual5o_wdo6ZSqXZ_it806oja4CctTLKs/edit?usp=sharing"",""พังงา!J727"")"),0)</f>
        <v>0</v>
      </c>
      <c r="BM81" s="57">
        <f ca="1">IFERROR(__xludf.DUMMYFUNCTION("IMPORTRANGE(""https://docs.google.com/spreadsheets/d/1vl4QWbWdFruual5o_wdo6ZSqXZ_it806oja4CctTLKs/edit?usp=sharing"",""พังงา!J728"")"),0)</f>
        <v>0</v>
      </c>
      <c r="BN81" s="57">
        <f ca="1">IFERROR(__xludf.DUMMYFUNCTION("IMPORTRANGE(""https://docs.google.com/spreadsheets/d/1vl4QWbWdFruual5o_wdo6ZSqXZ_it806oja4CctTLKs/edit?usp=sharing"",""พังงา!I729"")"),0)</f>
        <v>0</v>
      </c>
      <c r="BO81" s="57">
        <f ca="1">IFERROR(__xludf.DUMMYFUNCTION("IMPORTRANGE(""https://docs.google.com/spreadsheets/d/1vl4QWbWdFruual5o_wdo6ZSqXZ_it806oja4CctTLKs/edit?usp=sharing"",""พังงา!J729"")"),0)</f>
        <v>0</v>
      </c>
      <c r="BP81" s="63">
        <f t="shared" ca="1" si="19"/>
        <v>0</v>
      </c>
      <c r="BQ81" s="57">
        <f ca="1">IFERROR(__xludf.DUMMYFUNCTION("IMPORTRANGE(""https://docs.google.com/spreadsheets/d/1vl4QWbWdFruual5o_wdo6ZSqXZ_it806oja4CctTLKs/edit?usp=sharing"",""พังงา!J730"")"),0)</f>
        <v>0</v>
      </c>
      <c r="BR81" s="57">
        <f ca="1">IFERROR(__xludf.DUMMYFUNCTION("IMPORTRANGE(""https://docs.google.com/spreadsheets/d/1vl4QWbWdFruual5o_wdo6ZSqXZ_it806oja4CctTLKs/edit?usp=sharing"",""พังงา!J731"")"),0)</f>
        <v>0</v>
      </c>
      <c r="BS81" s="57">
        <f ca="1">IFERROR(__xludf.DUMMYFUNCTION("IMPORTRANGE(""https://docs.google.com/spreadsheets/d/1vl4QWbWdFruual5o_wdo6ZSqXZ_it806oja4CctTLKs/edit?usp=sharing"",""พังงา!J732"")"),0)</f>
        <v>0</v>
      </c>
      <c r="BT81" s="57">
        <f ca="1">IFERROR(__xludf.DUMMYFUNCTION("IMPORTRANGE(""https://docs.google.com/spreadsheets/d/1vl4QWbWdFruual5o_wdo6ZSqXZ_it806oja4CctTLKs/edit?usp=sharing"",""พังงา!J733"")"),0)</f>
        <v>0</v>
      </c>
      <c r="BU81" s="57">
        <f ca="1">IFERROR(__xludf.DUMMYFUNCTION("IMPORTRANGE(""https://docs.google.com/spreadsheets/d/1vl4QWbWdFruual5o_wdo6ZSqXZ_it806oja4CctTLKs/edit?usp=sharing"",""พังงา!J734"")"),0)</f>
        <v>0</v>
      </c>
      <c r="BV81" s="57">
        <f ca="1">IFERROR(__xludf.DUMMYFUNCTION("IMPORTRANGE(""https://docs.google.com/spreadsheets/d/1vl4QWbWdFruual5o_wdo6ZSqXZ_it806oja4CctTLKs/edit?usp=sharing"",""พังงา!J735"")"),0)</f>
        <v>0</v>
      </c>
    </row>
    <row r="82" spans="1:74" ht="21" customHeight="1" x14ac:dyDescent="0.3">
      <c r="A82" s="54">
        <v>8</v>
      </c>
      <c r="B82" s="55" t="s">
        <v>103</v>
      </c>
      <c r="C82" s="56">
        <f t="shared" ca="1" si="87"/>
        <v>0</v>
      </c>
      <c r="D82" s="57">
        <f ca="1">IFERROR(__xludf.DUMMYFUNCTION("IMPORTRANGE(""https://docs.google.com/spreadsheets/d/1b6QssHQp2FoAPSMKHOy273KNzAomaIKhtdlvuZ_zDNE/edit?usp=sharing"",""พัทลุง!L690"")"),0)</f>
        <v>0</v>
      </c>
      <c r="E82" s="64">
        <f ca="1">IFERROR(__xludf.DUMMYFUNCTION("IMPORTRANGE(""https://docs.google.com/spreadsheets/d/1b6QssHQp2FoAPSMKHOy273KNzAomaIKhtdlvuZ_zDNE/edit?usp=sharing"",""พัทลุง!L697"")"),0)</f>
        <v>0</v>
      </c>
      <c r="F82" s="64">
        <f ca="1">IFERROR(__xludf.DUMMYFUNCTION("IMPORTRANGE(""https://docs.google.com/spreadsheets/d/1b6QssHQp2FoAPSMKHOy273KNzAomaIKhtdlvuZ_zDNE/edit?usp=sharing"",""พัทลุง!M690"")"),0)</f>
        <v>0</v>
      </c>
      <c r="G82" s="64">
        <f ca="1">IFERROR(__xludf.DUMMYFUNCTION("IMPORTRANGE(""https://docs.google.com/spreadsheets/d/1b6QssHQp2FoAPSMKHOy273KNzAomaIKhtdlvuZ_zDNE/edit?usp=sharing"",""พัทลุง!M697"")"),0)</f>
        <v>0</v>
      </c>
      <c r="H82" s="58">
        <f t="shared" ca="1" si="33"/>
        <v>0</v>
      </c>
      <c r="I82" s="59">
        <f t="shared" ca="1" si="1"/>
        <v>0</v>
      </c>
      <c r="J82" s="60">
        <f t="shared" ca="1" si="88"/>
        <v>0</v>
      </c>
      <c r="K82" s="61">
        <f t="shared" ca="1" si="39"/>
        <v>0</v>
      </c>
      <c r="L82" s="61">
        <f t="shared" ca="1" si="40"/>
        <v>0</v>
      </c>
      <c r="M82" s="64">
        <f ca="1">IFERROR(__xludf.DUMMYFUNCTION("IMPORTRANGE(""https://docs.google.com/spreadsheets/d/1b6QssHQp2FoAPSMKHOy273KNzAomaIKhtdlvuZ_zDNE/edit?usp=sharing"",""พัทลุง!N691"")"),0)</f>
        <v>0</v>
      </c>
      <c r="N82" s="64">
        <f ca="1">IFERROR(__xludf.DUMMYFUNCTION("IMPORTRANGE(""https://docs.google.com/spreadsheets/d/1b6QssHQp2FoAPSMKHOy273KNzAomaIKhtdlvuZ_zDNE/edit?usp=sharing"",""พัทลุง!N692"")"),0)</f>
        <v>0</v>
      </c>
      <c r="O82" s="64">
        <f ca="1">IFERROR(__xludf.DUMMYFUNCTION("IMPORTRANGE(""https://docs.google.com/spreadsheets/d/1b6QssHQp2FoAPSMKHOy273KNzAomaIKhtdlvuZ_zDNE/edit?usp=sharing"",""พัทลุง!N693"")"),0)</f>
        <v>0</v>
      </c>
      <c r="P82" s="64">
        <f ca="1">IFERROR(__xludf.DUMMYFUNCTION("IMPORTRANGE(""https://docs.google.com/spreadsheets/d/1b6QssHQp2FoAPSMKHOy273KNzAomaIKhtdlvuZ_zDNE/edit?usp=sharing"",""พัทลุง!N694"")"),0)</f>
        <v>0</v>
      </c>
      <c r="Q82" s="62">
        <f ca="1">IFERROR(__xludf.DUMMYFUNCTION("IMPORTRANGE(""https://docs.google.com/spreadsheets/d/1b6QssHQp2FoAPSMKHOy273KNzAomaIKhtdlvuZ_zDNE/edit?usp=sharing"",""พัทลุง!N697"")"),0)</f>
        <v>0</v>
      </c>
      <c r="R82" s="62">
        <f t="shared" ca="1" si="42"/>
        <v>0</v>
      </c>
      <c r="S82" s="57">
        <f ca="1">IFERROR(__xludf.DUMMYFUNCTION("IMPORTRANGE(""https://docs.google.com/spreadsheets/d/1b6QssHQp2FoAPSMKHOy273KNzAomaIKhtdlvuZ_zDNE/edit?usp=sharing"",""พัทลุง!I699"")"),0)</f>
        <v>0</v>
      </c>
      <c r="T82" s="57">
        <f ca="1">IFERROR(__xludf.DUMMYFUNCTION("IMPORTRANGE(""https://docs.google.com/spreadsheets/d/1b6QssHQp2FoAPSMKHOy273KNzAomaIKhtdlvuZ_zDNE/edit?usp=sharing"",""พัทลุง!J699"")"),0)</f>
        <v>0</v>
      </c>
      <c r="U82" s="63">
        <f t="shared" ca="1" si="34"/>
        <v>0</v>
      </c>
      <c r="V82" s="57">
        <f ca="1">IFERROR(__xludf.DUMMYFUNCTION("IMPORTRANGE(""https://docs.google.com/spreadsheets/d/1b6QssHQp2FoAPSMKHOy273KNzAomaIKhtdlvuZ_zDNE/edit?usp=sharing"",""พัทลุง!I700"")"),0)</f>
        <v>0</v>
      </c>
      <c r="W82" s="57">
        <f ca="1">IFERROR(__xludf.DUMMYFUNCTION("IMPORTRANGE(""https://docs.google.com/spreadsheets/d/1b6QssHQp2FoAPSMKHOy273KNzAomaIKhtdlvuZ_zDNE/edit?usp=sharing"",""พัทลุง!J700"")"),0)</f>
        <v>0</v>
      </c>
      <c r="X82" s="63">
        <f t="shared" ca="1" si="35"/>
        <v>0</v>
      </c>
      <c r="Y82" s="57">
        <f ca="1">IFERROR(__xludf.DUMMYFUNCTION("IMPORTRANGE(""https://docs.google.com/spreadsheets/d/1b6QssHQp2FoAPSMKHOy273KNzAomaIKhtdlvuZ_zDNE/edit?usp=sharing"",""พัทลุง!I701"")"),0)</f>
        <v>0</v>
      </c>
      <c r="Z82" s="57">
        <f ca="1">IFERROR(__xludf.DUMMYFUNCTION("IMPORTRANGE(""https://docs.google.com/spreadsheets/d/1b6QssHQp2FoAPSMKHOy273KNzAomaIKhtdlvuZ_zDNE/edit?usp=sharing"",""พัทลุง!J701"")"),0)</f>
        <v>0</v>
      </c>
      <c r="AA82" s="63">
        <f t="shared" ca="1" si="36"/>
        <v>0</v>
      </c>
      <c r="AB82" s="63">
        <f ca="1">IFERROR(__xludf.DUMMYFUNCTION("IMPORTRANGE(""https://docs.google.com/spreadsheets/d/1b6QssHQp2FoAPSMKHOy273KNzAomaIKhtdlvuZ_zDNE/edit?usp=sharing"",""พัทลุง!J702"")"),0)</f>
        <v>0</v>
      </c>
      <c r="AC82" s="63">
        <f ca="1">IFERROR(__xludf.DUMMYFUNCTION("IMPORTRANGE(""https://docs.google.com/spreadsheets/d/1b6QssHQp2FoAPSMKHOy273KNzAomaIKhtdlvuZ_zDNE/edit?usp=sharing"",""พัทลุง!J703"")"),0)</f>
        <v>0</v>
      </c>
      <c r="AD82" s="63">
        <f ca="1">IFERROR(__xludf.DUMMYFUNCTION("IMPORTRANGE(""https://docs.google.com/spreadsheets/d/1b6QssHQp2FoAPSMKHOy273KNzAomaIKhtdlvuZ_zDNE/edit?usp=sharing"",""พัทลุง!J704"")"),0)</f>
        <v>0</v>
      </c>
      <c r="AE82" s="63">
        <f ca="1">IFERROR(__xludf.DUMMYFUNCTION("IMPORTRANGE(""https://docs.google.com/spreadsheets/d/1b6QssHQp2FoAPSMKHOy273KNzAomaIKhtdlvuZ_zDNE/edit?usp=sharing"",""พัทลุง!J705"")"),0)</f>
        <v>0</v>
      </c>
      <c r="AF82" s="63">
        <f ca="1">IFERROR(__xludf.DUMMYFUNCTION("IMPORTRANGE(""https://docs.google.com/spreadsheets/d/1b6QssHQp2FoAPSMKHOy273KNzAomaIKhtdlvuZ_zDNE/edit?usp=sharing"",""พัทลุง!J706"")"),0)</f>
        <v>0</v>
      </c>
      <c r="AG82" s="63">
        <f ca="1">IFERROR(__xludf.DUMMYFUNCTION("IMPORTRANGE(""https://docs.google.com/spreadsheets/d/1b6QssHQp2FoAPSMKHOy273KNzAomaIKhtdlvuZ_zDNE/edit?usp=sharing"",""พัทลุง!J707"")"),0)</f>
        <v>0</v>
      </c>
      <c r="AH82" s="57">
        <f ca="1">IFERROR(__xludf.DUMMYFUNCTION("IMPORTRANGE(""https://docs.google.com/spreadsheets/d/1b6QssHQp2FoAPSMKHOy273KNzAomaIKhtdlvuZ_zDNE/edit?usp=sharing"",""พัทลุง!I708"")"),0)</f>
        <v>0</v>
      </c>
      <c r="AI82" s="57">
        <f ca="1">IFERROR(__xludf.DUMMYFUNCTION("IMPORTRANGE(""https://docs.google.com/spreadsheets/d/1b6QssHQp2FoAPSMKHOy273KNzAomaIKhtdlvuZ_zDNE/edit?usp=sharing"",""พัทลุง!J708"")"),0)</f>
        <v>0</v>
      </c>
      <c r="AJ82" s="63">
        <f t="shared" ca="1" si="37"/>
        <v>0</v>
      </c>
      <c r="AK82" s="57">
        <f ca="1">IFERROR(__xludf.DUMMYFUNCTION("IMPORTRANGE(""https://docs.google.com/spreadsheets/d/1b6QssHQp2FoAPSMKHOy273KNzAomaIKhtdlvuZ_zDNE/edit?usp=sharing"",""พัทลุง!J709"")"),0)</f>
        <v>0</v>
      </c>
      <c r="AL82" s="57">
        <f ca="1">IFERROR(__xludf.DUMMYFUNCTION("IMPORTRANGE(""https://docs.google.com/spreadsheets/d/1b6QssHQp2FoAPSMKHOy273KNzAomaIKhtdlvuZ_zDNE/edit?usp=sharing"",""พัทลุง!J710"")"),0)</f>
        <v>0</v>
      </c>
      <c r="AM82" s="57">
        <f ca="1">IFERROR(__xludf.DUMMYFUNCTION("IMPORTRANGE(""https://docs.google.com/spreadsheets/d/1b6QssHQp2FoAPSMKHOy273KNzAomaIKhtdlvuZ_zDNE/edit?usp=sharing"",""พัทลุง!J712"")"),0)</f>
        <v>0</v>
      </c>
      <c r="AN82" s="57">
        <f ca="1">IFERROR(__xludf.DUMMYFUNCTION("IMPORTRANGE(""https://docs.google.com/spreadsheets/d/1b6QssHQp2FoAPSMKHOy273KNzAomaIKhtdlvuZ_zDNE/edit?usp=sharing"",""พัทลุง!J713"")"),0)</f>
        <v>0</v>
      </c>
      <c r="AO82" s="57">
        <f ca="1">IFERROR(__xludf.DUMMYFUNCTION("IMPORTRANGE(""https://docs.google.com/spreadsheets/d/1b6QssHQp2FoAPSMKHOy273KNzAomaIKhtdlvuZ_zDNE/edit?usp=sharing"",""พัทลุง!J714"")"),0)</f>
        <v>0</v>
      </c>
      <c r="AP82" s="57">
        <f ca="1">IFERROR(__xludf.DUMMYFUNCTION("IMPORTRANGE(""https://docs.google.com/spreadsheets/d/1b6QssHQp2FoAPSMKHOy273KNzAomaIKhtdlvuZ_zDNE/edit?usp=sharing"",""พัทลุง!J715"")"),0)</f>
        <v>0</v>
      </c>
      <c r="AQ82" s="57">
        <f ca="1">IFERROR(__xludf.DUMMYFUNCTION("IMPORTRANGE(""https://docs.google.com/spreadsheets/d/1b6QssHQp2FoAPSMKHOy273KNzAomaIKhtdlvuZ_zDNE/edit?usp=sharing"",""พัทลุง!J716"")"),0)</f>
        <v>0</v>
      </c>
      <c r="AR82" s="57">
        <f ca="1">IFERROR(__xludf.DUMMYFUNCTION("IMPORTRANGE(""https://docs.google.com/spreadsheets/d/1b6QssHQp2FoAPSMKHOy273KNzAomaIKhtdlvuZ_zDNE/edit?usp=sharing"",""พัทลุง!J717"")"),0)</f>
        <v>0</v>
      </c>
      <c r="AS82" s="57">
        <f ca="1">IFERROR(__xludf.DUMMYFUNCTION("IMPORTRANGE(""https://docs.google.com/spreadsheets/d/1b6QssHQp2FoAPSMKHOy273KNzAomaIKhtdlvuZ_zDNE/edit?usp=sharing"",""พัทลุง!I720"")"),0)</f>
        <v>0</v>
      </c>
      <c r="AT82" s="57">
        <f ca="1">IFERROR(__xludf.DUMMYFUNCTION("IMPORTRANGE(""https://docs.google.com/spreadsheets/d/1b6QssHQp2FoAPSMKHOy273KNzAomaIKhtdlvuZ_zDNE/edit?usp=sharing"",""พัทลุง!J718"")"),0)</f>
        <v>0</v>
      </c>
      <c r="AU82" s="57">
        <f ca="1">IFERROR(__xludf.DUMMYFUNCTION("IMPORTRANGE(""https://docs.google.com/spreadsheets/d/1b6QssHQp2FoAPSMKHOy273KNzAomaIKhtdlvuZ_zDNE/edit?usp=sharing"",""พัทลุง!J719"")"),0)</f>
        <v>0</v>
      </c>
      <c r="AV82" s="57">
        <f ca="1">IFERROR(__xludf.DUMMYFUNCTION("IMPORTRANGE(""https://docs.google.com/spreadsheets/d/1b6QssHQp2FoAPSMKHOy273KNzAomaIKhtdlvuZ_zDNE/edit?usp=sharing"",""พัทลุง!J720"")"),0)</f>
        <v>0</v>
      </c>
      <c r="AW82" s="63">
        <f t="shared" ca="1" si="14"/>
        <v>0</v>
      </c>
      <c r="AX82" s="57">
        <f ca="1">IFERROR(__xludf.DUMMYFUNCTION("IMPORTRANGE(""https://docs.google.com/spreadsheets/d/1b6QssHQp2FoAPSMKHOy273KNzAomaIKhtdlvuZ_zDNE/edit?usp=sharing"",""พัทลุง!I721"")"),0)</f>
        <v>0</v>
      </c>
      <c r="AY82" s="57">
        <f ca="1">IFERROR(__xludf.DUMMYFUNCTION("IMPORTRANGE(""https://docs.google.com/spreadsheets/d/1b6QssHQp2FoAPSMKHOy273KNzAomaIKhtdlvuZ_zDNE/edit?usp=sharing"",""พัทลุง!I722"")"),0)</f>
        <v>0</v>
      </c>
      <c r="AZ82" s="57">
        <f ca="1">IFERROR(__xludf.DUMMYFUNCTION("IMPORTRANGE(""https://docs.google.com/spreadsheets/d/1b6QssHQp2FoAPSMKHOy273KNzAomaIKhtdlvuZ_zDNE/edit?usp=sharing"",""พัทลุง!J721"")"),0)</f>
        <v>0</v>
      </c>
      <c r="BA82" s="63">
        <f t="shared" ca="1" si="16"/>
        <v>0</v>
      </c>
      <c r="BB82" s="57">
        <f ca="1">IFERROR(__xludf.DUMMYFUNCTION("IMPORTRANGE(""https://docs.google.com/spreadsheets/d/1b6QssHQp2FoAPSMKHOy273KNzAomaIKhtdlvuZ_zDNE/edit?usp=sharing"",""พัทลุง!J722"")"),0)</f>
        <v>0</v>
      </c>
      <c r="BC82" s="63">
        <f t="shared" ca="1" si="17"/>
        <v>0</v>
      </c>
      <c r="BD82" s="57">
        <f ca="1">IFERROR(__xludf.DUMMYFUNCTION("IMPORTRANGE(""https://docs.google.com/spreadsheets/d/1b6QssHQp2FoAPSMKHOy273KNzAomaIKhtdlvuZ_zDNE/edit?usp=sharing"",""พัทลุง!I723"")"),0)</f>
        <v>0</v>
      </c>
      <c r="BE82" s="57">
        <f ca="1">IFERROR(__xludf.DUMMYFUNCTION("IMPORTRANGE(""https://docs.google.com/spreadsheets/d/1b6QssHQp2FoAPSMKHOy273KNzAomaIKhtdlvuZ_zDNE/edit?usp=sharing"",""พัทลุง!I725"")"),0)</f>
        <v>0</v>
      </c>
      <c r="BF82" s="57">
        <f ca="1">IFERROR(__xludf.DUMMYFUNCTION("IMPORTRANGE(""https://docs.google.com/spreadsheets/d/1b6QssHQp2FoAPSMKHOy273KNzAomaIKhtdlvuZ_zDNE/edit?usp=sharing"",""พัทลุง!J723"")"),0)</f>
        <v>0</v>
      </c>
      <c r="BG82" s="57">
        <f ca="1">IFERROR(__xludf.DUMMYFUNCTION("IMPORTRANGE(""https://docs.google.com/spreadsheets/d/1b6QssHQp2FoAPSMKHOy273KNzAomaIKhtdlvuZ_zDNE/edit?usp=sharing"",""พัทลุง!J724"")"),0)</f>
        <v>0</v>
      </c>
      <c r="BH82" s="57">
        <f ca="1">IFERROR(__xludf.DUMMYFUNCTION("IMPORTRANGE(""https://docs.google.com/spreadsheets/d/1b6QssHQp2FoAPSMKHOy273KNzAomaIKhtdlvuZ_zDNE/edit?usp=sharing"",""พัทลุง!J725"")"),0)</f>
        <v>0</v>
      </c>
      <c r="BI82" s="57">
        <f ca="1">IFERROR(__xludf.DUMMYFUNCTION("IMPORTRANGE(""https://docs.google.com/spreadsheets/d/1b6QssHQp2FoAPSMKHOy273KNzAomaIKhtdlvuZ_zDNE/edit?usp=sharing"",""พัทลุง!I726"")"),0)</f>
        <v>0</v>
      </c>
      <c r="BJ82" s="57">
        <f ca="1">IFERROR(__xludf.DUMMYFUNCTION("IMPORTRANGE(""https://docs.google.com/spreadsheets/d/1b6QssHQp2FoAPSMKHOy273KNzAomaIKhtdlvuZ_zDNE/edit?usp=sharing"",""พัทลุง!I728"")"),0)</f>
        <v>0</v>
      </c>
      <c r="BK82" s="57">
        <f ca="1">IFERROR(__xludf.DUMMYFUNCTION("IMPORTRANGE(""https://docs.google.com/spreadsheets/d/1b6QssHQp2FoAPSMKHOy273KNzAomaIKhtdlvuZ_zDNE/edit?usp=sharing"",""พัทลุง!J726"")"),0)</f>
        <v>0</v>
      </c>
      <c r="BL82" s="57">
        <f ca="1">IFERROR(__xludf.DUMMYFUNCTION("IMPORTRANGE(""https://docs.google.com/spreadsheets/d/1b6QssHQp2FoAPSMKHOy273KNzAomaIKhtdlvuZ_zDNE/edit?usp=sharing"",""พัทลุง!J727"")"),0)</f>
        <v>0</v>
      </c>
      <c r="BM82" s="57">
        <f ca="1">IFERROR(__xludf.DUMMYFUNCTION("IMPORTRANGE(""https://docs.google.com/spreadsheets/d/1b6QssHQp2FoAPSMKHOy273KNzAomaIKhtdlvuZ_zDNE/edit?usp=sharing"",""พัทลุง!J728"")"),0)</f>
        <v>0</v>
      </c>
      <c r="BN82" s="57">
        <f ca="1">IFERROR(__xludf.DUMMYFUNCTION("IMPORTRANGE(""https://docs.google.com/spreadsheets/d/1b6QssHQp2FoAPSMKHOy273KNzAomaIKhtdlvuZ_zDNE/edit?usp=sharing"",""พัทลุง!I729"")"),0)</f>
        <v>0</v>
      </c>
      <c r="BO82" s="57">
        <f ca="1">IFERROR(__xludf.DUMMYFUNCTION("IMPORTRANGE(""https://docs.google.com/spreadsheets/d/1b6QssHQp2FoAPSMKHOy273KNzAomaIKhtdlvuZ_zDNE/edit?usp=sharing"",""พัทลุง!J729"")"),0)</f>
        <v>0</v>
      </c>
      <c r="BP82" s="63">
        <f t="shared" ca="1" si="19"/>
        <v>0</v>
      </c>
      <c r="BQ82" s="57">
        <f ca="1">IFERROR(__xludf.DUMMYFUNCTION("IMPORTRANGE(""https://docs.google.com/spreadsheets/d/1b6QssHQp2FoAPSMKHOy273KNzAomaIKhtdlvuZ_zDNE/edit?usp=sharing"",""พัทลุง!J730"")"),0)</f>
        <v>0</v>
      </c>
      <c r="BR82" s="57">
        <f ca="1">IFERROR(__xludf.DUMMYFUNCTION("IMPORTRANGE(""https://docs.google.com/spreadsheets/d/1b6QssHQp2FoAPSMKHOy273KNzAomaIKhtdlvuZ_zDNE/edit?usp=sharing"",""พัทลุง!J731"")"),0)</f>
        <v>0</v>
      </c>
      <c r="BS82" s="57">
        <f ca="1">IFERROR(__xludf.DUMMYFUNCTION("IMPORTRANGE(""https://docs.google.com/spreadsheets/d/1b6QssHQp2FoAPSMKHOy273KNzAomaIKhtdlvuZ_zDNE/edit?usp=sharing"",""พัทลุง!J732"")"),0)</f>
        <v>0</v>
      </c>
      <c r="BT82" s="57">
        <f ca="1">IFERROR(__xludf.DUMMYFUNCTION("IMPORTRANGE(""https://docs.google.com/spreadsheets/d/1b6QssHQp2FoAPSMKHOy273KNzAomaIKhtdlvuZ_zDNE/edit?usp=sharing"",""พัทลุง!J733"")"),0)</f>
        <v>0</v>
      </c>
      <c r="BU82" s="57">
        <f ca="1">IFERROR(__xludf.DUMMYFUNCTION("IMPORTRANGE(""https://docs.google.com/spreadsheets/d/1b6QssHQp2FoAPSMKHOy273KNzAomaIKhtdlvuZ_zDNE/edit?usp=sharing"",""พัทลุง!J734"")"),0)</f>
        <v>0</v>
      </c>
      <c r="BV82" s="57">
        <f ca="1">IFERROR(__xludf.DUMMYFUNCTION("IMPORTRANGE(""https://docs.google.com/spreadsheets/d/1b6QssHQp2FoAPSMKHOy273KNzAomaIKhtdlvuZ_zDNE/edit?usp=sharing"",""พัทลุง!J735"")"),0)</f>
        <v>0</v>
      </c>
    </row>
    <row r="83" spans="1:74" ht="21" customHeight="1" x14ac:dyDescent="0.3">
      <c r="A83" s="54">
        <v>9</v>
      </c>
      <c r="B83" s="55" t="s">
        <v>104</v>
      </c>
      <c r="C83" s="56">
        <f t="shared" ca="1" si="87"/>
        <v>0</v>
      </c>
      <c r="D83" s="57">
        <f ca="1">IFERROR(__xludf.DUMMYFUNCTION("IMPORTRANGE(""https://docs.google.com/spreadsheets/d/1o7UZe4_OqlqtLDHrj01Z2YFRSZDf1DMy1n3XViHaxRc/edit?usp=sharing"",""ภูเก็ต!L690"")"),0)</f>
        <v>0</v>
      </c>
      <c r="E83" s="64">
        <f ca="1">IFERROR(__xludf.DUMMYFUNCTION("IMPORTRANGE(""https://docs.google.com/spreadsheets/d/1o7UZe4_OqlqtLDHrj01Z2YFRSZDf1DMy1n3XViHaxRc/edit?usp=sharing"",""ภูเก็ต!L697"")"),0)</f>
        <v>0</v>
      </c>
      <c r="F83" s="64">
        <f ca="1">IFERROR(__xludf.DUMMYFUNCTION("IMPORTRANGE(""https://docs.google.com/spreadsheets/d/1o7UZe4_OqlqtLDHrj01Z2YFRSZDf1DMy1n3XViHaxRc/edit?usp=sharing"",""ภูเก็ต!M690"")"),0)</f>
        <v>0</v>
      </c>
      <c r="G83" s="64">
        <f ca="1">IFERROR(__xludf.DUMMYFUNCTION("IMPORTRANGE(""https://docs.google.com/spreadsheets/d/1o7UZe4_OqlqtLDHrj01Z2YFRSZDf1DMy1n3XViHaxRc/edit?usp=sharing"",""ภูเก็ต!M697"")"),0)</f>
        <v>0</v>
      </c>
      <c r="H83" s="58">
        <f t="shared" ca="1" si="33"/>
        <v>0</v>
      </c>
      <c r="I83" s="59">
        <f t="shared" ca="1" si="1"/>
        <v>0</v>
      </c>
      <c r="J83" s="60">
        <f t="shared" ca="1" si="88"/>
        <v>0</v>
      </c>
      <c r="K83" s="61">
        <f t="shared" ca="1" si="39"/>
        <v>0</v>
      </c>
      <c r="L83" s="61">
        <f t="shared" ca="1" si="40"/>
        <v>0</v>
      </c>
      <c r="M83" s="64">
        <f ca="1">IFERROR(__xludf.DUMMYFUNCTION("IMPORTRANGE(""https://docs.google.com/spreadsheets/d/1o7UZe4_OqlqtLDHrj01Z2YFRSZDf1DMy1n3XViHaxRc/edit?usp=sharing"",""ภูเก็ต!N691"")"),0)</f>
        <v>0</v>
      </c>
      <c r="N83" s="64">
        <f ca="1">IFERROR(__xludf.DUMMYFUNCTION("IMPORTRANGE(""https://docs.google.com/spreadsheets/d/1o7UZe4_OqlqtLDHrj01Z2YFRSZDf1DMy1n3XViHaxRc/edit?usp=sharing"",""ภูเก็ต!N692"")"),0)</f>
        <v>0</v>
      </c>
      <c r="O83" s="64">
        <f ca="1">IFERROR(__xludf.DUMMYFUNCTION("IMPORTRANGE(""https://docs.google.com/spreadsheets/d/1o7UZe4_OqlqtLDHrj01Z2YFRSZDf1DMy1n3XViHaxRc/edit?usp=sharing"",""ภูเก็ต!N693"")"),0)</f>
        <v>0</v>
      </c>
      <c r="P83" s="64">
        <f ca="1">IFERROR(__xludf.DUMMYFUNCTION("IMPORTRANGE(""https://docs.google.com/spreadsheets/d/1o7UZe4_OqlqtLDHrj01Z2YFRSZDf1DMy1n3XViHaxRc/edit?usp=sharing"",""ภูเก็ต!N694"")"),0)</f>
        <v>0</v>
      </c>
      <c r="Q83" s="62">
        <f ca="1">IFERROR(__xludf.DUMMYFUNCTION("IMPORTRANGE(""https://docs.google.com/spreadsheets/d/1o7UZe4_OqlqtLDHrj01Z2YFRSZDf1DMy1n3XViHaxRc/edit?usp=sharing"",""ภูเก็ต!N697"")"),0)</f>
        <v>0</v>
      </c>
      <c r="R83" s="62">
        <f t="shared" ca="1" si="42"/>
        <v>0</v>
      </c>
      <c r="S83" s="57">
        <f ca="1">IFERROR(__xludf.DUMMYFUNCTION("IMPORTRANGE(""https://docs.google.com/spreadsheets/d/1o7UZe4_OqlqtLDHrj01Z2YFRSZDf1DMy1n3XViHaxRc/edit?usp=sharing"",""ภูเก็ต!I699"")"),0)</f>
        <v>0</v>
      </c>
      <c r="T83" s="57">
        <f ca="1">IFERROR(__xludf.DUMMYFUNCTION("IMPORTRANGE(""https://docs.google.com/spreadsheets/d/1o7UZe4_OqlqtLDHrj01Z2YFRSZDf1DMy1n3XViHaxRc/edit?usp=sharing"",""ภูเก็ต!J699"")"),0)</f>
        <v>0</v>
      </c>
      <c r="U83" s="63">
        <f t="shared" ca="1" si="34"/>
        <v>0</v>
      </c>
      <c r="V83" s="57">
        <f ca="1">IFERROR(__xludf.DUMMYFUNCTION("IMPORTRANGE(""https://docs.google.com/spreadsheets/d/1o7UZe4_OqlqtLDHrj01Z2YFRSZDf1DMy1n3XViHaxRc/edit?usp=sharing"",""ภูเก็ต!I700"")"),0)</f>
        <v>0</v>
      </c>
      <c r="W83" s="57">
        <f ca="1">IFERROR(__xludf.DUMMYFUNCTION("IMPORTRANGE(""https://docs.google.com/spreadsheets/d/1o7UZe4_OqlqtLDHrj01Z2YFRSZDf1DMy1n3XViHaxRc/edit?usp=sharing"",""ภูเก็ต!J700"")"),0)</f>
        <v>0</v>
      </c>
      <c r="X83" s="63">
        <f t="shared" ca="1" si="35"/>
        <v>0</v>
      </c>
      <c r="Y83" s="57">
        <f ca="1">IFERROR(__xludf.DUMMYFUNCTION("IMPORTRANGE(""https://docs.google.com/spreadsheets/d/1o7UZe4_OqlqtLDHrj01Z2YFRSZDf1DMy1n3XViHaxRc/edit?usp=sharing"",""ภูเก็ต!I701"")"),0)</f>
        <v>0</v>
      </c>
      <c r="Z83" s="57">
        <f ca="1">IFERROR(__xludf.DUMMYFUNCTION("IMPORTRANGE(""https://docs.google.com/spreadsheets/d/1o7UZe4_OqlqtLDHrj01Z2YFRSZDf1DMy1n3XViHaxRc/edit?usp=sharing"",""ภูเก็ต!J701"")"),0)</f>
        <v>0</v>
      </c>
      <c r="AA83" s="63">
        <f t="shared" ca="1" si="36"/>
        <v>0</v>
      </c>
      <c r="AB83" s="63">
        <f ca="1">IFERROR(__xludf.DUMMYFUNCTION("IMPORTRANGE(""https://docs.google.com/spreadsheets/d/1o7UZe4_OqlqtLDHrj01Z2YFRSZDf1DMy1n3XViHaxRc/edit?usp=sharing"",""ภูเก็ต!J702"")"),0)</f>
        <v>0</v>
      </c>
      <c r="AC83" s="63">
        <f ca="1">IFERROR(__xludf.DUMMYFUNCTION("IMPORTRANGE(""https://docs.google.com/spreadsheets/d/1o7UZe4_OqlqtLDHrj01Z2YFRSZDf1DMy1n3XViHaxRc/edit?usp=sharing"",""ภูเก็ต!J703"")"),0)</f>
        <v>0</v>
      </c>
      <c r="AD83" s="63">
        <f ca="1">IFERROR(__xludf.DUMMYFUNCTION("IMPORTRANGE(""https://docs.google.com/spreadsheets/d/1o7UZe4_OqlqtLDHrj01Z2YFRSZDf1DMy1n3XViHaxRc/edit?usp=sharing"",""ภูเก็ต!J704"")"),0)</f>
        <v>0</v>
      </c>
      <c r="AE83" s="63">
        <f ca="1">IFERROR(__xludf.DUMMYFUNCTION("IMPORTRANGE(""https://docs.google.com/spreadsheets/d/1o7UZe4_OqlqtLDHrj01Z2YFRSZDf1DMy1n3XViHaxRc/edit?usp=sharing"",""ภูเก็ต!J705"")"),0)</f>
        <v>0</v>
      </c>
      <c r="AF83" s="63">
        <f ca="1">IFERROR(__xludf.DUMMYFUNCTION("IMPORTRANGE(""https://docs.google.com/spreadsheets/d/1o7UZe4_OqlqtLDHrj01Z2YFRSZDf1DMy1n3XViHaxRc/edit?usp=sharing"",""ภูเก็ต!J706"")"),0)</f>
        <v>0</v>
      </c>
      <c r="AG83" s="63">
        <f ca="1">IFERROR(__xludf.DUMMYFUNCTION("IMPORTRANGE(""https://docs.google.com/spreadsheets/d/1o7UZe4_OqlqtLDHrj01Z2YFRSZDf1DMy1n3XViHaxRc/edit?usp=sharing"",""ภูเก็ต!J707"")"),0)</f>
        <v>0</v>
      </c>
      <c r="AH83" s="57">
        <f ca="1">IFERROR(__xludf.DUMMYFUNCTION("IMPORTRANGE(""https://docs.google.com/spreadsheets/d/1o7UZe4_OqlqtLDHrj01Z2YFRSZDf1DMy1n3XViHaxRc/edit?usp=sharing"",""ภูเก็ต!I708"")"),0)</f>
        <v>0</v>
      </c>
      <c r="AI83" s="57">
        <f ca="1">IFERROR(__xludf.DUMMYFUNCTION("IMPORTRANGE(""https://docs.google.com/spreadsheets/d/1o7UZe4_OqlqtLDHrj01Z2YFRSZDf1DMy1n3XViHaxRc/edit?usp=sharing"",""ภูเก็ต!J708"")"),0)</f>
        <v>0</v>
      </c>
      <c r="AJ83" s="63">
        <f t="shared" ca="1" si="37"/>
        <v>0</v>
      </c>
      <c r="AK83" s="57">
        <f ca="1">IFERROR(__xludf.DUMMYFUNCTION("IMPORTRANGE(""https://docs.google.com/spreadsheets/d/1o7UZe4_OqlqtLDHrj01Z2YFRSZDf1DMy1n3XViHaxRc/edit?usp=sharing"",""ภูเก็ต!J709"")"),0)</f>
        <v>0</v>
      </c>
      <c r="AL83" s="57">
        <f ca="1">IFERROR(__xludf.DUMMYFUNCTION("IMPORTRANGE(""https://docs.google.com/spreadsheets/d/1o7UZe4_OqlqtLDHrj01Z2YFRSZDf1DMy1n3XViHaxRc/edit?usp=sharing"",""ภูเก็ต!J710"")"),0)</f>
        <v>0</v>
      </c>
      <c r="AM83" s="57">
        <f ca="1">IFERROR(__xludf.DUMMYFUNCTION("IMPORTRANGE(""https://docs.google.com/spreadsheets/d/1o7UZe4_OqlqtLDHrj01Z2YFRSZDf1DMy1n3XViHaxRc/edit?usp=sharing"",""ภูเก็ต!J712"")"),0)</f>
        <v>0</v>
      </c>
      <c r="AN83" s="57">
        <f ca="1">IFERROR(__xludf.DUMMYFUNCTION("IMPORTRANGE(""https://docs.google.com/spreadsheets/d/1o7UZe4_OqlqtLDHrj01Z2YFRSZDf1DMy1n3XViHaxRc/edit?usp=sharing"",""ภูเก็ต!J713"")"),0)</f>
        <v>0</v>
      </c>
      <c r="AO83" s="57">
        <f ca="1">IFERROR(__xludf.DUMMYFUNCTION("IMPORTRANGE(""https://docs.google.com/spreadsheets/d/1o7UZe4_OqlqtLDHrj01Z2YFRSZDf1DMy1n3XViHaxRc/edit?usp=sharing"",""ภูเก็ต!J714"")"),0)</f>
        <v>0</v>
      </c>
      <c r="AP83" s="57">
        <f ca="1">IFERROR(__xludf.DUMMYFUNCTION("IMPORTRANGE(""https://docs.google.com/spreadsheets/d/1o7UZe4_OqlqtLDHrj01Z2YFRSZDf1DMy1n3XViHaxRc/edit?usp=sharing"",""ภูเก็ต!J715"")"),0)</f>
        <v>0</v>
      </c>
      <c r="AQ83" s="57">
        <f ca="1">IFERROR(__xludf.DUMMYFUNCTION("IMPORTRANGE(""https://docs.google.com/spreadsheets/d/1o7UZe4_OqlqtLDHrj01Z2YFRSZDf1DMy1n3XViHaxRc/edit?usp=sharing"",""ภูเก็ต!J716"")"),0)</f>
        <v>0</v>
      </c>
      <c r="AR83" s="57">
        <f ca="1">IFERROR(__xludf.DUMMYFUNCTION("IMPORTRANGE(""https://docs.google.com/spreadsheets/d/1o7UZe4_OqlqtLDHrj01Z2YFRSZDf1DMy1n3XViHaxRc/edit?usp=sharing"",""ภูเก็ต!J717"")"),0)</f>
        <v>0</v>
      </c>
      <c r="AS83" s="57">
        <f ca="1">IFERROR(__xludf.DUMMYFUNCTION("IMPORTRANGE(""https://docs.google.com/spreadsheets/d/1o7UZe4_OqlqtLDHrj01Z2YFRSZDf1DMy1n3XViHaxRc/edit?usp=sharing"",""ภูเก็ต!I720"")"),0)</f>
        <v>0</v>
      </c>
      <c r="AT83" s="57">
        <f ca="1">IFERROR(__xludf.DUMMYFUNCTION("IMPORTRANGE(""https://docs.google.com/spreadsheets/d/1o7UZe4_OqlqtLDHrj01Z2YFRSZDf1DMy1n3XViHaxRc/edit?usp=sharing"",""ภูเก็ต!J718"")"),0)</f>
        <v>0</v>
      </c>
      <c r="AU83" s="57">
        <f ca="1">IFERROR(__xludf.DUMMYFUNCTION("IMPORTRANGE(""https://docs.google.com/spreadsheets/d/1o7UZe4_OqlqtLDHrj01Z2YFRSZDf1DMy1n3XViHaxRc/edit?usp=sharing"",""ภูเก็ต!J719"")"),0)</f>
        <v>0</v>
      </c>
      <c r="AV83" s="57">
        <f ca="1">IFERROR(__xludf.DUMMYFUNCTION("IMPORTRANGE(""https://docs.google.com/spreadsheets/d/1o7UZe4_OqlqtLDHrj01Z2YFRSZDf1DMy1n3XViHaxRc/edit?usp=sharing"",""ภูเก็ต!J720"")"),0)</f>
        <v>0</v>
      </c>
      <c r="AW83" s="63">
        <f t="shared" ca="1" si="14"/>
        <v>0</v>
      </c>
      <c r="AX83" s="57">
        <f ca="1">IFERROR(__xludf.DUMMYFUNCTION("IMPORTRANGE(""https://docs.google.com/spreadsheets/d/1o7UZe4_OqlqtLDHrj01Z2YFRSZDf1DMy1n3XViHaxRc/edit?usp=sharing"",""ภูเก็ต!I721"")"),0)</f>
        <v>0</v>
      </c>
      <c r="AY83" s="57">
        <f ca="1">IFERROR(__xludf.DUMMYFUNCTION("IMPORTRANGE(""https://docs.google.com/spreadsheets/d/1o7UZe4_OqlqtLDHrj01Z2YFRSZDf1DMy1n3XViHaxRc/edit?usp=sharing"",""ภูเก็ต!I722"")"),0)</f>
        <v>0</v>
      </c>
      <c r="AZ83" s="57">
        <f ca="1">IFERROR(__xludf.DUMMYFUNCTION("IMPORTRANGE(""https://docs.google.com/spreadsheets/d/1o7UZe4_OqlqtLDHrj01Z2YFRSZDf1DMy1n3XViHaxRc/edit?usp=sharing"",""ภูเก็ต!J721"")"),0)</f>
        <v>0</v>
      </c>
      <c r="BA83" s="63">
        <f t="shared" ca="1" si="16"/>
        <v>0</v>
      </c>
      <c r="BB83" s="57">
        <f ca="1">IFERROR(__xludf.DUMMYFUNCTION("IMPORTRANGE(""https://docs.google.com/spreadsheets/d/1o7UZe4_OqlqtLDHrj01Z2YFRSZDf1DMy1n3XViHaxRc/edit?usp=sharing"",""ภูเก็ต!J722"")"),0)</f>
        <v>0</v>
      </c>
      <c r="BC83" s="63">
        <f t="shared" ca="1" si="17"/>
        <v>0</v>
      </c>
      <c r="BD83" s="57">
        <f ca="1">IFERROR(__xludf.DUMMYFUNCTION("IMPORTRANGE(""https://docs.google.com/spreadsheets/d/1o7UZe4_OqlqtLDHrj01Z2YFRSZDf1DMy1n3XViHaxRc/edit?usp=sharing"",""ภูเก็ต!I723"")"),0)</f>
        <v>0</v>
      </c>
      <c r="BE83" s="57">
        <f ca="1">IFERROR(__xludf.DUMMYFUNCTION("IMPORTRANGE(""https://docs.google.com/spreadsheets/d/1o7UZe4_OqlqtLDHrj01Z2YFRSZDf1DMy1n3XViHaxRc/edit?usp=sharing"",""ภูเก็ต!I725"")"),0)</f>
        <v>0</v>
      </c>
      <c r="BF83" s="57">
        <f ca="1">IFERROR(__xludf.DUMMYFUNCTION("IMPORTRANGE(""https://docs.google.com/spreadsheets/d/1o7UZe4_OqlqtLDHrj01Z2YFRSZDf1DMy1n3XViHaxRc/edit?usp=sharing"",""ภูเก็ต!J723"")"),0)</f>
        <v>0</v>
      </c>
      <c r="BG83" s="57">
        <f ca="1">IFERROR(__xludf.DUMMYFUNCTION("IMPORTRANGE(""https://docs.google.com/spreadsheets/d/1o7UZe4_OqlqtLDHrj01Z2YFRSZDf1DMy1n3XViHaxRc/edit?usp=sharing"",""ภูเก็ต!J724"")"),0)</f>
        <v>0</v>
      </c>
      <c r="BH83" s="57">
        <f ca="1">IFERROR(__xludf.DUMMYFUNCTION("IMPORTRANGE(""https://docs.google.com/spreadsheets/d/1o7UZe4_OqlqtLDHrj01Z2YFRSZDf1DMy1n3XViHaxRc/edit?usp=sharing"",""ภูเก็ต!J725"")"),0)</f>
        <v>0</v>
      </c>
      <c r="BI83" s="57">
        <f ca="1">IFERROR(__xludf.DUMMYFUNCTION("IMPORTRANGE(""https://docs.google.com/spreadsheets/d/1o7UZe4_OqlqtLDHrj01Z2YFRSZDf1DMy1n3XViHaxRc/edit?usp=sharing"",""ภูเก็ต!I726"")"),0)</f>
        <v>0</v>
      </c>
      <c r="BJ83" s="57">
        <f ca="1">IFERROR(__xludf.DUMMYFUNCTION("IMPORTRANGE(""https://docs.google.com/spreadsheets/d/1o7UZe4_OqlqtLDHrj01Z2YFRSZDf1DMy1n3XViHaxRc/edit?usp=sharing"",""ภูเก็ต!I728"")"),0)</f>
        <v>0</v>
      </c>
      <c r="BK83" s="57">
        <f ca="1">IFERROR(__xludf.DUMMYFUNCTION("IMPORTRANGE(""https://docs.google.com/spreadsheets/d/1o7UZe4_OqlqtLDHrj01Z2YFRSZDf1DMy1n3XViHaxRc/edit?usp=sharing"",""ภูเก็ต!J726"")"),0)</f>
        <v>0</v>
      </c>
      <c r="BL83" s="57">
        <f ca="1">IFERROR(__xludf.DUMMYFUNCTION("IMPORTRANGE(""https://docs.google.com/spreadsheets/d/1o7UZe4_OqlqtLDHrj01Z2YFRSZDf1DMy1n3XViHaxRc/edit?usp=sharing"",""ภูเก็ต!J727"")"),0)</f>
        <v>0</v>
      </c>
      <c r="BM83" s="57">
        <f ca="1">IFERROR(__xludf.DUMMYFUNCTION("IMPORTRANGE(""https://docs.google.com/spreadsheets/d/1o7UZe4_OqlqtLDHrj01Z2YFRSZDf1DMy1n3XViHaxRc/edit?usp=sharing"",""ภูเก็ต!J728"")"),0)</f>
        <v>0</v>
      </c>
      <c r="BN83" s="57">
        <f ca="1">IFERROR(__xludf.DUMMYFUNCTION("IMPORTRANGE(""https://docs.google.com/spreadsheets/d/1o7UZe4_OqlqtLDHrj01Z2YFRSZDf1DMy1n3XViHaxRc/edit?usp=sharing"",""ภูเก็ต!I729"")"),0)</f>
        <v>0</v>
      </c>
      <c r="BO83" s="57">
        <f ca="1">IFERROR(__xludf.DUMMYFUNCTION("IMPORTRANGE(""https://docs.google.com/spreadsheets/d/1o7UZe4_OqlqtLDHrj01Z2YFRSZDf1DMy1n3XViHaxRc/edit?usp=sharing"",""ภูเก็ต!J729"")"),0)</f>
        <v>0</v>
      </c>
      <c r="BP83" s="63">
        <f t="shared" ca="1" si="19"/>
        <v>0</v>
      </c>
      <c r="BQ83" s="57">
        <f ca="1">IFERROR(__xludf.DUMMYFUNCTION("IMPORTRANGE(""https://docs.google.com/spreadsheets/d/1o7UZe4_OqlqtLDHrj01Z2YFRSZDf1DMy1n3XViHaxRc/edit?usp=sharing"",""ภูเก็ต!J730"")"),0)</f>
        <v>0</v>
      </c>
      <c r="BR83" s="57">
        <f ca="1">IFERROR(__xludf.DUMMYFUNCTION("IMPORTRANGE(""https://docs.google.com/spreadsheets/d/1o7UZe4_OqlqtLDHrj01Z2YFRSZDf1DMy1n3XViHaxRc/edit?usp=sharing"",""ภูเก็ต!J731"")"),0)</f>
        <v>0</v>
      </c>
      <c r="BS83" s="57">
        <f ca="1">IFERROR(__xludf.DUMMYFUNCTION("IMPORTRANGE(""https://docs.google.com/spreadsheets/d/1o7UZe4_OqlqtLDHrj01Z2YFRSZDf1DMy1n3XViHaxRc/edit?usp=sharing"",""ภูเก็ต!J732"")"),0)</f>
        <v>0</v>
      </c>
      <c r="BT83" s="57">
        <f ca="1">IFERROR(__xludf.DUMMYFUNCTION("IMPORTRANGE(""https://docs.google.com/spreadsheets/d/1o7UZe4_OqlqtLDHrj01Z2YFRSZDf1DMy1n3XViHaxRc/edit?usp=sharing"",""ภูเก็ต!J733"")"),0)</f>
        <v>0</v>
      </c>
      <c r="BU83" s="57">
        <f ca="1">IFERROR(__xludf.DUMMYFUNCTION("IMPORTRANGE(""https://docs.google.com/spreadsheets/d/1o7UZe4_OqlqtLDHrj01Z2YFRSZDf1DMy1n3XViHaxRc/edit?usp=sharing"",""ภูเก็ต!J734"")"),0)</f>
        <v>0</v>
      </c>
      <c r="BV83" s="57">
        <f ca="1">IFERROR(__xludf.DUMMYFUNCTION("IMPORTRANGE(""https://docs.google.com/spreadsheets/d/1o7UZe4_OqlqtLDHrj01Z2YFRSZDf1DMy1n3XViHaxRc/edit?usp=sharing"",""ภูเก็ต!J735"")"),0)</f>
        <v>0</v>
      </c>
    </row>
    <row r="84" spans="1:74" ht="21" customHeight="1" x14ac:dyDescent="0.3">
      <c r="A84" s="54">
        <v>10</v>
      </c>
      <c r="B84" s="55" t="s">
        <v>105</v>
      </c>
      <c r="C84" s="56">
        <f t="shared" ca="1" si="87"/>
        <v>0</v>
      </c>
      <c r="D84" s="57">
        <f ca="1">IFERROR(__xludf.DUMMYFUNCTION("IMPORTRANGE(""https://docs.google.com/spreadsheets/d/1ctPm1vUzcUCPuOj9-eoHUD85PqINFqUB0TjdSWmR5-c/edit?usp=sharing"",""ยะลา!L690"")"),0)</f>
        <v>0</v>
      </c>
      <c r="E84" s="64">
        <f ca="1">IFERROR(__xludf.DUMMYFUNCTION("IMPORTRANGE(""https://docs.google.com/spreadsheets/d/1ctPm1vUzcUCPuOj9-eoHUD85PqINFqUB0TjdSWmR5-c/edit?usp=sharing"",""ยะลา!L697"")"),0)</f>
        <v>0</v>
      </c>
      <c r="F84" s="64">
        <f ca="1">IFERROR(__xludf.DUMMYFUNCTION("IMPORTRANGE(""https://docs.google.com/spreadsheets/d/1ctPm1vUzcUCPuOj9-eoHUD85PqINFqUB0TjdSWmR5-c/edit?usp=sharing"",""ยะลา!M690"")"),0)</f>
        <v>0</v>
      </c>
      <c r="G84" s="64">
        <f ca="1">IFERROR(__xludf.DUMMYFUNCTION("IMPORTRANGE(""https://docs.google.com/spreadsheets/d/1ctPm1vUzcUCPuOj9-eoHUD85PqINFqUB0TjdSWmR5-c/edit?usp=sharing"",""ยะลา!M697"")"),0)</f>
        <v>0</v>
      </c>
      <c r="H84" s="58">
        <f t="shared" ca="1" si="33"/>
        <v>0</v>
      </c>
      <c r="I84" s="59">
        <f t="shared" ca="1" si="1"/>
        <v>0</v>
      </c>
      <c r="J84" s="60">
        <f t="shared" ca="1" si="88"/>
        <v>0</v>
      </c>
      <c r="K84" s="61">
        <f t="shared" ca="1" si="39"/>
        <v>0</v>
      </c>
      <c r="L84" s="61">
        <f t="shared" ca="1" si="40"/>
        <v>0</v>
      </c>
      <c r="M84" s="64">
        <f ca="1">IFERROR(__xludf.DUMMYFUNCTION("IMPORTRANGE(""https://docs.google.com/spreadsheets/d/1ctPm1vUzcUCPuOj9-eoHUD85PqINFqUB0TjdSWmR5-c/edit?usp=sharing"",""ยะลา!N691"")"),0)</f>
        <v>0</v>
      </c>
      <c r="N84" s="64">
        <f ca="1">IFERROR(__xludf.DUMMYFUNCTION("IMPORTRANGE(""https://docs.google.com/spreadsheets/d/1ctPm1vUzcUCPuOj9-eoHUD85PqINFqUB0TjdSWmR5-c/edit?usp=sharing"",""ยะลา!N692"")"),0)</f>
        <v>0</v>
      </c>
      <c r="O84" s="64">
        <f ca="1">IFERROR(__xludf.DUMMYFUNCTION("IMPORTRANGE(""https://docs.google.com/spreadsheets/d/1ctPm1vUzcUCPuOj9-eoHUD85PqINFqUB0TjdSWmR5-c/edit?usp=sharing"",""ยะลา!N693"")"),0)</f>
        <v>0</v>
      </c>
      <c r="P84" s="64">
        <f ca="1">IFERROR(__xludf.DUMMYFUNCTION("IMPORTRANGE(""https://docs.google.com/spreadsheets/d/1ctPm1vUzcUCPuOj9-eoHUD85PqINFqUB0TjdSWmR5-c/edit?usp=sharing"",""ยะลา!N694"")"),0)</f>
        <v>0</v>
      </c>
      <c r="Q84" s="62">
        <f ca="1">IFERROR(__xludf.DUMMYFUNCTION("IMPORTRANGE(""https://docs.google.com/spreadsheets/d/1ctPm1vUzcUCPuOj9-eoHUD85PqINFqUB0TjdSWmR5-c/edit?usp=sharing"",""ยะลา!N697"")"),0)</f>
        <v>0</v>
      </c>
      <c r="R84" s="62">
        <f t="shared" ca="1" si="42"/>
        <v>0</v>
      </c>
      <c r="S84" s="57">
        <f ca="1">IFERROR(__xludf.DUMMYFUNCTION("IMPORTRANGE(""https://docs.google.com/spreadsheets/d/1ctPm1vUzcUCPuOj9-eoHUD85PqINFqUB0TjdSWmR5-c/edit?usp=sharing"",""ยะลา!I699"")"),0)</f>
        <v>0</v>
      </c>
      <c r="T84" s="57">
        <f ca="1">IFERROR(__xludf.DUMMYFUNCTION("IMPORTRANGE(""https://docs.google.com/spreadsheets/d/1ctPm1vUzcUCPuOj9-eoHUD85PqINFqUB0TjdSWmR5-c/edit?usp=sharing"",""ยะลา!J699"")"),0)</f>
        <v>0</v>
      </c>
      <c r="U84" s="63">
        <f t="shared" ca="1" si="34"/>
        <v>0</v>
      </c>
      <c r="V84" s="57">
        <f ca="1">IFERROR(__xludf.DUMMYFUNCTION("IMPORTRANGE(""https://docs.google.com/spreadsheets/d/1ctPm1vUzcUCPuOj9-eoHUD85PqINFqUB0TjdSWmR5-c/edit?usp=sharing"",""ยะลา!I700"")"),0)</f>
        <v>0</v>
      </c>
      <c r="W84" s="57">
        <f ca="1">IFERROR(__xludf.DUMMYFUNCTION("IMPORTRANGE(""https://docs.google.com/spreadsheets/d/1ctPm1vUzcUCPuOj9-eoHUD85PqINFqUB0TjdSWmR5-c/edit?usp=sharing"",""ยะลา!J700"")"),0)</f>
        <v>0</v>
      </c>
      <c r="X84" s="63">
        <f t="shared" ca="1" si="35"/>
        <v>0</v>
      </c>
      <c r="Y84" s="57">
        <f ca="1">IFERROR(__xludf.DUMMYFUNCTION("IMPORTRANGE(""https://docs.google.com/spreadsheets/d/1ctPm1vUzcUCPuOj9-eoHUD85PqINFqUB0TjdSWmR5-c/edit?usp=sharing"",""ยะลา!I701"")"),0)</f>
        <v>0</v>
      </c>
      <c r="Z84" s="57">
        <f ca="1">IFERROR(__xludf.DUMMYFUNCTION("IMPORTRANGE(""https://docs.google.com/spreadsheets/d/1ctPm1vUzcUCPuOj9-eoHUD85PqINFqUB0TjdSWmR5-c/edit?usp=sharing"",""ยะลา!J701"")"),0)</f>
        <v>0</v>
      </c>
      <c r="AA84" s="63">
        <f t="shared" ca="1" si="36"/>
        <v>0</v>
      </c>
      <c r="AB84" s="63">
        <f ca="1">IFERROR(__xludf.DUMMYFUNCTION("IMPORTRANGE(""https://docs.google.com/spreadsheets/d/1ctPm1vUzcUCPuOj9-eoHUD85PqINFqUB0TjdSWmR5-c/edit?usp=sharing"",""ยะลา!J702"")"),0)</f>
        <v>0</v>
      </c>
      <c r="AC84" s="63">
        <f ca="1">IFERROR(__xludf.DUMMYFUNCTION("IMPORTRANGE(""https://docs.google.com/spreadsheets/d/1ctPm1vUzcUCPuOj9-eoHUD85PqINFqUB0TjdSWmR5-c/edit?usp=sharing"",""ยะลา!J703"")"),0)</f>
        <v>0</v>
      </c>
      <c r="AD84" s="63">
        <f ca="1">IFERROR(__xludf.DUMMYFUNCTION("IMPORTRANGE(""https://docs.google.com/spreadsheets/d/1ctPm1vUzcUCPuOj9-eoHUD85PqINFqUB0TjdSWmR5-c/edit?usp=sharing"",""ยะลา!J704"")"),0)</f>
        <v>0</v>
      </c>
      <c r="AE84" s="63">
        <f ca="1">IFERROR(__xludf.DUMMYFUNCTION("IMPORTRANGE(""https://docs.google.com/spreadsheets/d/1ctPm1vUzcUCPuOj9-eoHUD85PqINFqUB0TjdSWmR5-c/edit?usp=sharing"",""ยะลา!J705"")"),0)</f>
        <v>0</v>
      </c>
      <c r="AF84" s="63">
        <f ca="1">IFERROR(__xludf.DUMMYFUNCTION("IMPORTRANGE(""https://docs.google.com/spreadsheets/d/1ctPm1vUzcUCPuOj9-eoHUD85PqINFqUB0TjdSWmR5-c/edit?usp=sharing"",""ยะลา!J706"")"),0)</f>
        <v>0</v>
      </c>
      <c r="AG84" s="63">
        <f ca="1">IFERROR(__xludf.DUMMYFUNCTION("IMPORTRANGE(""https://docs.google.com/spreadsheets/d/1ctPm1vUzcUCPuOj9-eoHUD85PqINFqUB0TjdSWmR5-c/edit?usp=sharing"",""ยะลา!J707"")"),0)</f>
        <v>0</v>
      </c>
      <c r="AH84" s="57">
        <f ca="1">IFERROR(__xludf.DUMMYFUNCTION("IMPORTRANGE(""https://docs.google.com/spreadsheets/d/1ctPm1vUzcUCPuOj9-eoHUD85PqINFqUB0TjdSWmR5-c/edit?usp=sharing"",""ยะลา!I708"")"),0)</f>
        <v>0</v>
      </c>
      <c r="AI84" s="57">
        <f ca="1">IFERROR(__xludf.DUMMYFUNCTION("IMPORTRANGE(""https://docs.google.com/spreadsheets/d/1ctPm1vUzcUCPuOj9-eoHUD85PqINFqUB0TjdSWmR5-c/edit?usp=sharing"",""ยะลา!J708"")"),0)</f>
        <v>0</v>
      </c>
      <c r="AJ84" s="63">
        <f t="shared" ca="1" si="37"/>
        <v>0</v>
      </c>
      <c r="AK84" s="57">
        <f ca="1">IFERROR(__xludf.DUMMYFUNCTION("IMPORTRANGE(""https://docs.google.com/spreadsheets/d/1ctPm1vUzcUCPuOj9-eoHUD85PqINFqUB0TjdSWmR5-c/edit?usp=sharing"",""ยะลา!J709"")"),0)</f>
        <v>0</v>
      </c>
      <c r="AL84" s="57">
        <f ca="1">IFERROR(__xludf.DUMMYFUNCTION("IMPORTRANGE(""https://docs.google.com/spreadsheets/d/1ctPm1vUzcUCPuOj9-eoHUD85PqINFqUB0TjdSWmR5-c/edit?usp=sharing"",""ยะลา!J710"")"),0)</f>
        <v>0</v>
      </c>
      <c r="AM84" s="57">
        <f ca="1">IFERROR(__xludf.DUMMYFUNCTION("IMPORTRANGE(""https://docs.google.com/spreadsheets/d/1ctPm1vUzcUCPuOj9-eoHUD85PqINFqUB0TjdSWmR5-c/edit?usp=sharing"",""ยะลา!J712"")"),0)</f>
        <v>0</v>
      </c>
      <c r="AN84" s="57">
        <f ca="1">IFERROR(__xludf.DUMMYFUNCTION("IMPORTRANGE(""https://docs.google.com/spreadsheets/d/1ctPm1vUzcUCPuOj9-eoHUD85PqINFqUB0TjdSWmR5-c/edit?usp=sharing"",""ยะลา!J713"")"),0)</f>
        <v>0</v>
      </c>
      <c r="AO84" s="57">
        <f ca="1">IFERROR(__xludf.DUMMYFUNCTION("IMPORTRANGE(""https://docs.google.com/spreadsheets/d/1ctPm1vUzcUCPuOj9-eoHUD85PqINFqUB0TjdSWmR5-c/edit?usp=sharing"",""ยะลา!J714"")"),0)</f>
        <v>0</v>
      </c>
      <c r="AP84" s="57">
        <f ca="1">IFERROR(__xludf.DUMMYFUNCTION("IMPORTRANGE(""https://docs.google.com/spreadsheets/d/1ctPm1vUzcUCPuOj9-eoHUD85PqINFqUB0TjdSWmR5-c/edit?usp=sharing"",""ยะลา!J715"")"),0)</f>
        <v>0</v>
      </c>
      <c r="AQ84" s="57">
        <f ca="1">IFERROR(__xludf.DUMMYFUNCTION("IMPORTRANGE(""https://docs.google.com/spreadsheets/d/1ctPm1vUzcUCPuOj9-eoHUD85PqINFqUB0TjdSWmR5-c/edit?usp=sharing"",""ยะลา!J716"")"),0)</f>
        <v>0</v>
      </c>
      <c r="AR84" s="57">
        <f ca="1">IFERROR(__xludf.DUMMYFUNCTION("IMPORTRANGE(""https://docs.google.com/spreadsheets/d/1ctPm1vUzcUCPuOj9-eoHUD85PqINFqUB0TjdSWmR5-c/edit?usp=sharing"",""ยะลา!J717"")"),0)</f>
        <v>0</v>
      </c>
      <c r="AS84" s="57">
        <f ca="1">IFERROR(__xludf.DUMMYFUNCTION("IMPORTRANGE(""https://docs.google.com/spreadsheets/d/1ctPm1vUzcUCPuOj9-eoHUD85PqINFqUB0TjdSWmR5-c/edit?usp=sharing"",""ยะลา!I720"")"),0)</f>
        <v>0</v>
      </c>
      <c r="AT84" s="57">
        <f ca="1">IFERROR(__xludf.DUMMYFUNCTION("IMPORTRANGE(""https://docs.google.com/spreadsheets/d/1ctPm1vUzcUCPuOj9-eoHUD85PqINFqUB0TjdSWmR5-c/edit?usp=sharing"",""ยะลา!J718"")"),0)</f>
        <v>0</v>
      </c>
      <c r="AU84" s="57">
        <f ca="1">IFERROR(__xludf.DUMMYFUNCTION("IMPORTRANGE(""https://docs.google.com/spreadsheets/d/1ctPm1vUzcUCPuOj9-eoHUD85PqINFqUB0TjdSWmR5-c/edit?usp=sharing"",""ยะลา!J719"")"),0)</f>
        <v>0</v>
      </c>
      <c r="AV84" s="57">
        <f ca="1">IFERROR(__xludf.DUMMYFUNCTION("IMPORTRANGE(""https://docs.google.com/spreadsheets/d/1ctPm1vUzcUCPuOj9-eoHUD85PqINFqUB0TjdSWmR5-c/edit?usp=sharing"",""ยะลา!J720"")"),0)</f>
        <v>0</v>
      </c>
      <c r="AW84" s="63">
        <f t="shared" ca="1" si="14"/>
        <v>0</v>
      </c>
      <c r="AX84" s="57">
        <f ca="1">IFERROR(__xludf.DUMMYFUNCTION("IMPORTRANGE(""https://docs.google.com/spreadsheets/d/1ctPm1vUzcUCPuOj9-eoHUD85PqINFqUB0TjdSWmR5-c/edit?usp=sharing"",""ยะลา!I721"")"),0)</f>
        <v>0</v>
      </c>
      <c r="AY84" s="57">
        <f ca="1">IFERROR(__xludf.DUMMYFUNCTION("IMPORTRANGE(""https://docs.google.com/spreadsheets/d/1ctPm1vUzcUCPuOj9-eoHUD85PqINFqUB0TjdSWmR5-c/edit?usp=sharing"",""ยะลา!I722"")"),0)</f>
        <v>0</v>
      </c>
      <c r="AZ84" s="57">
        <f ca="1">IFERROR(__xludf.DUMMYFUNCTION("IMPORTRANGE(""https://docs.google.com/spreadsheets/d/1ctPm1vUzcUCPuOj9-eoHUD85PqINFqUB0TjdSWmR5-c/edit?usp=sharing"",""ยะลา!J721"")"),0)</f>
        <v>0</v>
      </c>
      <c r="BA84" s="63">
        <f t="shared" ca="1" si="16"/>
        <v>0</v>
      </c>
      <c r="BB84" s="57">
        <f ca="1">IFERROR(__xludf.DUMMYFUNCTION("IMPORTRANGE(""https://docs.google.com/spreadsheets/d/1ctPm1vUzcUCPuOj9-eoHUD85PqINFqUB0TjdSWmR5-c/edit?usp=sharing"",""ยะลา!J722"")"),0)</f>
        <v>0</v>
      </c>
      <c r="BC84" s="63">
        <f t="shared" ca="1" si="17"/>
        <v>0</v>
      </c>
      <c r="BD84" s="57">
        <f ca="1">IFERROR(__xludf.DUMMYFUNCTION("IMPORTRANGE(""https://docs.google.com/spreadsheets/d/1ctPm1vUzcUCPuOj9-eoHUD85PqINFqUB0TjdSWmR5-c/edit?usp=sharing"",""ยะลา!I723"")"),0)</f>
        <v>0</v>
      </c>
      <c r="BE84" s="57">
        <f ca="1">IFERROR(__xludf.DUMMYFUNCTION("IMPORTRANGE(""https://docs.google.com/spreadsheets/d/1ctPm1vUzcUCPuOj9-eoHUD85PqINFqUB0TjdSWmR5-c/edit?usp=sharing"",""ยะลา!I725"")"),0)</f>
        <v>0</v>
      </c>
      <c r="BF84" s="57">
        <f ca="1">IFERROR(__xludf.DUMMYFUNCTION("IMPORTRANGE(""https://docs.google.com/spreadsheets/d/1ctPm1vUzcUCPuOj9-eoHUD85PqINFqUB0TjdSWmR5-c/edit?usp=sharing"",""ยะลา!J723"")"),0)</f>
        <v>0</v>
      </c>
      <c r="BG84" s="57">
        <f ca="1">IFERROR(__xludf.DUMMYFUNCTION("IMPORTRANGE(""https://docs.google.com/spreadsheets/d/1ctPm1vUzcUCPuOj9-eoHUD85PqINFqUB0TjdSWmR5-c/edit?usp=sharing"",""ยะลา!J724"")"),0)</f>
        <v>0</v>
      </c>
      <c r="BH84" s="57">
        <f ca="1">IFERROR(__xludf.DUMMYFUNCTION("IMPORTRANGE(""https://docs.google.com/spreadsheets/d/1ctPm1vUzcUCPuOj9-eoHUD85PqINFqUB0TjdSWmR5-c/edit?usp=sharing"",""ยะลา!J725"")"),0)</f>
        <v>0</v>
      </c>
      <c r="BI84" s="57">
        <f ca="1">IFERROR(__xludf.DUMMYFUNCTION("IMPORTRANGE(""https://docs.google.com/spreadsheets/d/1ctPm1vUzcUCPuOj9-eoHUD85PqINFqUB0TjdSWmR5-c/edit?usp=sharing"",""ยะลา!I726"")"),0)</f>
        <v>0</v>
      </c>
      <c r="BJ84" s="57">
        <f ca="1">IFERROR(__xludf.DUMMYFUNCTION("IMPORTRANGE(""https://docs.google.com/spreadsheets/d/1ctPm1vUzcUCPuOj9-eoHUD85PqINFqUB0TjdSWmR5-c/edit?usp=sharing"",""ยะลา!I728"")"),0)</f>
        <v>0</v>
      </c>
      <c r="BK84" s="57">
        <f ca="1">IFERROR(__xludf.DUMMYFUNCTION("IMPORTRANGE(""https://docs.google.com/spreadsheets/d/1ctPm1vUzcUCPuOj9-eoHUD85PqINFqUB0TjdSWmR5-c/edit?usp=sharing"",""ยะลา!J726"")"),0)</f>
        <v>0</v>
      </c>
      <c r="BL84" s="57">
        <f ca="1">IFERROR(__xludf.DUMMYFUNCTION("IMPORTRANGE(""https://docs.google.com/spreadsheets/d/1ctPm1vUzcUCPuOj9-eoHUD85PqINFqUB0TjdSWmR5-c/edit?usp=sharing"",""ยะลา!J727"")"),0)</f>
        <v>0</v>
      </c>
      <c r="BM84" s="57">
        <f ca="1">IFERROR(__xludf.DUMMYFUNCTION("IMPORTRANGE(""https://docs.google.com/spreadsheets/d/1ctPm1vUzcUCPuOj9-eoHUD85PqINFqUB0TjdSWmR5-c/edit?usp=sharing"",""ยะลา!J728"")"),0)</f>
        <v>0</v>
      </c>
      <c r="BN84" s="57">
        <f ca="1">IFERROR(__xludf.DUMMYFUNCTION("IMPORTRANGE(""https://docs.google.com/spreadsheets/d/1ctPm1vUzcUCPuOj9-eoHUD85PqINFqUB0TjdSWmR5-c/edit?usp=sharing"",""ยะลา!I729"")"),0)</f>
        <v>0</v>
      </c>
      <c r="BO84" s="57">
        <f ca="1">IFERROR(__xludf.DUMMYFUNCTION("IMPORTRANGE(""https://docs.google.com/spreadsheets/d/1ctPm1vUzcUCPuOj9-eoHUD85PqINFqUB0TjdSWmR5-c/edit?usp=sharing"",""ยะลา!J729"")"),0)</f>
        <v>0</v>
      </c>
      <c r="BP84" s="63">
        <f t="shared" ca="1" si="19"/>
        <v>0</v>
      </c>
      <c r="BQ84" s="57">
        <f ca="1">IFERROR(__xludf.DUMMYFUNCTION("IMPORTRANGE(""https://docs.google.com/spreadsheets/d/1ctPm1vUzcUCPuOj9-eoHUD85PqINFqUB0TjdSWmR5-c/edit?usp=sharing"",""ยะลา!J730"")"),0)</f>
        <v>0</v>
      </c>
      <c r="BR84" s="57">
        <f ca="1">IFERROR(__xludf.DUMMYFUNCTION("IMPORTRANGE(""https://docs.google.com/spreadsheets/d/1ctPm1vUzcUCPuOj9-eoHUD85PqINFqUB0TjdSWmR5-c/edit?usp=sharing"",""ยะลา!J731"")"),0)</f>
        <v>0</v>
      </c>
      <c r="BS84" s="57">
        <f ca="1">IFERROR(__xludf.DUMMYFUNCTION("IMPORTRANGE(""https://docs.google.com/spreadsheets/d/1ctPm1vUzcUCPuOj9-eoHUD85PqINFqUB0TjdSWmR5-c/edit?usp=sharing"",""ยะลา!J732"")"),0)</f>
        <v>0</v>
      </c>
      <c r="BT84" s="57">
        <f ca="1">IFERROR(__xludf.DUMMYFUNCTION("IMPORTRANGE(""https://docs.google.com/spreadsheets/d/1ctPm1vUzcUCPuOj9-eoHUD85PqINFqUB0TjdSWmR5-c/edit?usp=sharing"",""ยะลา!J733"")"),0)</f>
        <v>0</v>
      </c>
      <c r="BU84" s="57">
        <f ca="1">IFERROR(__xludf.DUMMYFUNCTION("IMPORTRANGE(""https://docs.google.com/spreadsheets/d/1ctPm1vUzcUCPuOj9-eoHUD85PqINFqUB0TjdSWmR5-c/edit?usp=sharing"",""ยะลา!J734"")"),0)</f>
        <v>0</v>
      </c>
      <c r="BV84" s="57">
        <f ca="1">IFERROR(__xludf.DUMMYFUNCTION("IMPORTRANGE(""https://docs.google.com/spreadsheets/d/1ctPm1vUzcUCPuOj9-eoHUD85PqINFqUB0TjdSWmR5-c/edit?usp=sharing"",""ยะลา!J735"")"),0)</f>
        <v>0</v>
      </c>
    </row>
    <row r="85" spans="1:74" ht="21" customHeight="1" x14ac:dyDescent="0.3">
      <c r="A85" s="54">
        <v>11</v>
      </c>
      <c r="B85" s="55" t="s">
        <v>106</v>
      </c>
      <c r="C85" s="56">
        <f t="shared" ca="1" si="87"/>
        <v>0</v>
      </c>
      <c r="D85" s="57">
        <f ca="1">IFERROR(__xludf.DUMMYFUNCTION("IMPORTRANGE(""https://docs.google.com/spreadsheets/d/1YiDIE7Klmt8osgdapRqYWNr7iPGFSsiJqq46S7PYRE0/edit?usp=sharing"",""ระนอง!L690"")"),0)</f>
        <v>0</v>
      </c>
      <c r="E85" s="64">
        <f ca="1">IFERROR(__xludf.DUMMYFUNCTION("IMPORTRANGE(""https://docs.google.com/spreadsheets/d/1YiDIE7Klmt8osgdapRqYWNr7iPGFSsiJqq46S7PYRE0/edit?usp=sharing"",""ระนอง!L697"")"),0)</f>
        <v>0</v>
      </c>
      <c r="F85" s="64">
        <f ca="1">IFERROR(__xludf.DUMMYFUNCTION("IMPORTRANGE(""https://docs.google.com/spreadsheets/d/1YiDIE7Klmt8osgdapRqYWNr7iPGFSsiJqq46S7PYRE0/edit?usp=sharing"",""ระนอง!M690"")"),0)</f>
        <v>0</v>
      </c>
      <c r="G85" s="64">
        <f ca="1">IFERROR(__xludf.DUMMYFUNCTION("IMPORTRANGE(""https://docs.google.com/spreadsheets/d/1YiDIE7Klmt8osgdapRqYWNr7iPGFSsiJqq46S7PYRE0/edit?usp=sharing"",""ระนอง!M697"")"),0)</f>
        <v>0</v>
      </c>
      <c r="H85" s="58">
        <f t="shared" ca="1" si="33"/>
        <v>0</v>
      </c>
      <c r="I85" s="59">
        <f t="shared" ca="1" si="1"/>
        <v>0</v>
      </c>
      <c r="J85" s="60">
        <f t="shared" ca="1" si="88"/>
        <v>0</v>
      </c>
      <c r="K85" s="61">
        <f t="shared" ca="1" si="39"/>
        <v>0</v>
      </c>
      <c r="L85" s="61">
        <f t="shared" ca="1" si="40"/>
        <v>0</v>
      </c>
      <c r="M85" s="64">
        <f ca="1">IFERROR(__xludf.DUMMYFUNCTION("IMPORTRANGE(""https://docs.google.com/spreadsheets/d/1YiDIE7Klmt8osgdapRqYWNr7iPGFSsiJqq46S7PYRE0/edit?usp=sharing"",""ระนอง!N691"")"),0)</f>
        <v>0</v>
      </c>
      <c r="N85" s="64">
        <f ca="1">IFERROR(__xludf.DUMMYFUNCTION("IMPORTRANGE(""https://docs.google.com/spreadsheets/d/1YiDIE7Klmt8osgdapRqYWNr7iPGFSsiJqq46S7PYRE0/edit?usp=sharing"",""ระนอง!N692"")"),0)</f>
        <v>0</v>
      </c>
      <c r="O85" s="64">
        <f ca="1">IFERROR(__xludf.DUMMYFUNCTION("IMPORTRANGE(""https://docs.google.com/spreadsheets/d/1YiDIE7Klmt8osgdapRqYWNr7iPGFSsiJqq46S7PYRE0/edit?usp=sharing"",""ระนอง!N693"")"),0)</f>
        <v>0</v>
      </c>
      <c r="P85" s="64">
        <f ca="1">IFERROR(__xludf.DUMMYFUNCTION("IMPORTRANGE(""https://docs.google.com/spreadsheets/d/1YiDIE7Klmt8osgdapRqYWNr7iPGFSsiJqq46S7PYRE0/edit?usp=sharing"",""ระนอง!N694"")"),0)</f>
        <v>0</v>
      </c>
      <c r="Q85" s="62">
        <f ca="1">IFERROR(__xludf.DUMMYFUNCTION("IMPORTRANGE(""https://docs.google.com/spreadsheets/d/1YiDIE7Klmt8osgdapRqYWNr7iPGFSsiJqq46S7PYRE0/edit?usp=sharing"",""ระนอง!N697"")"),0)</f>
        <v>0</v>
      </c>
      <c r="R85" s="62">
        <f t="shared" ca="1" si="42"/>
        <v>0</v>
      </c>
      <c r="S85" s="57">
        <f ca="1">IFERROR(__xludf.DUMMYFUNCTION("IMPORTRANGE(""https://docs.google.com/spreadsheets/d/1YiDIE7Klmt8osgdapRqYWNr7iPGFSsiJqq46S7PYRE0/edit?usp=sharing"",""ระนอง!I699"")"),0)</f>
        <v>0</v>
      </c>
      <c r="T85" s="57">
        <f ca="1">IFERROR(__xludf.DUMMYFUNCTION("IMPORTRANGE(""https://docs.google.com/spreadsheets/d/1YiDIE7Klmt8osgdapRqYWNr7iPGFSsiJqq46S7PYRE0/edit?usp=sharing"",""ระนอง!J699"")"),0)</f>
        <v>0</v>
      </c>
      <c r="U85" s="63">
        <f t="shared" ca="1" si="34"/>
        <v>0</v>
      </c>
      <c r="V85" s="57">
        <f ca="1">IFERROR(__xludf.DUMMYFUNCTION("IMPORTRANGE(""https://docs.google.com/spreadsheets/d/1YiDIE7Klmt8osgdapRqYWNr7iPGFSsiJqq46S7PYRE0/edit?usp=sharing"",""ระนอง!I700"")"),0)</f>
        <v>0</v>
      </c>
      <c r="W85" s="57">
        <f ca="1">IFERROR(__xludf.DUMMYFUNCTION("IMPORTRANGE(""https://docs.google.com/spreadsheets/d/1YiDIE7Klmt8osgdapRqYWNr7iPGFSsiJqq46S7PYRE0/edit?usp=sharing"",""ระนอง!J700"")"),0)</f>
        <v>0</v>
      </c>
      <c r="X85" s="63">
        <f t="shared" ca="1" si="35"/>
        <v>0</v>
      </c>
      <c r="Y85" s="57">
        <f ca="1">IFERROR(__xludf.DUMMYFUNCTION("IMPORTRANGE(""https://docs.google.com/spreadsheets/d/1YiDIE7Klmt8osgdapRqYWNr7iPGFSsiJqq46S7PYRE0/edit?usp=sharing"",""ระนอง!I701"")"),0)</f>
        <v>0</v>
      </c>
      <c r="Z85" s="57">
        <f ca="1">IFERROR(__xludf.DUMMYFUNCTION("IMPORTRANGE(""https://docs.google.com/spreadsheets/d/1YiDIE7Klmt8osgdapRqYWNr7iPGFSsiJqq46S7PYRE0/edit?usp=sharing"",""ระนอง!J701"")"),0)</f>
        <v>0</v>
      </c>
      <c r="AA85" s="63">
        <f t="shared" ca="1" si="36"/>
        <v>0</v>
      </c>
      <c r="AB85" s="63">
        <f ca="1">IFERROR(__xludf.DUMMYFUNCTION("IMPORTRANGE(""https://docs.google.com/spreadsheets/d/1YiDIE7Klmt8osgdapRqYWNr7iPGFSsiJqq46S7PYRE0/edit?usp=sharing"",""ระนอง!J702"")"),0)</f>
        <v>0</v>
      </c>
      <c r="AC85" s="63">
        <f ca="1">IFERROR(__xludf.DUMMYFUNCTION("IMPORTRANGE(""https://docs.google.com/spreadsheets/d/1YiDIE7Klmt8osgdapRqYWNr7iPGFSsiJqq46S7PYRE0/edit?usp=sharing"",""ระนอง!J703"")"),0)</f>
        <v>0</v>
      </c>
      <c r="AD85" s="63">
        <f ca="1">IFERROR(__xludf.DUMMYFUNCTION("IMPORTRANGE(""https://docs.google.com/spreadsheets/d/1YiDIE7Klmt8osgdapRqYWNr7iPGFSsiJqq46S7PYRE0/edit?usp=sharing"",""ระนอง!J704"")"),0)</f>
        <v>0</v>
      </c>
      <c r="AE85" s="63">
        <f ca="1">IFERROR(__xludf.DUMMYFUNCTION("IMPORTRANGE(""https://docs.google.com/spreadsheets/d/1YiDIE7Klmt8osgdapRqYWNr7iPGFSsiJqq46S7PYRE0/edit?usp=sharing"",""ระนอง!J705"")"),0)</f>
        <v>0</v>
      </c>
      <c r="AF85" s="63">
        <f ca="1">IFERROR(__xludf.DUMMYFUNCTION("IMPORTRANGE(""https://docs.google.com/spreadsheets/d/1YiDIE7Klmt8osgdapRqYWNr7iPGFSsiJqq46S7PYRE0/edit?usp=sharing"",""ระนอง!J706"")"),0)</f>
        <v>0</v>
      </c>
      <c r="AG85" s="63">
        <f ca="1">IFERROR(__xludf.DUMMYFUNCTION("IMPORTRANGE(""https://docs.google.com/spreadsheets/d/1YiDIE7Klmt8osgdapRqYWNr7iPGFSsiJqq46S7PYRE0/edit?usp=sharing"",""ระนอง!J707"")"),0)</f>
        <v>0</v>
      </c>
      <c r="AH85" s="57">
        <f ca="1">IFERROR(__xludf.DUMMYFUNCTION("IMPORTRANGE(""https://docs.google.com/spreadsheets/d/1YiDIE7Klmt8osgdapRqYWNr7iPGFSsiJqq46S7PYRE0/edit?usp=sharing"",""ระนอง!I708"")"),0)</f>
        <v>0</v>
      </c>
      <c r="AI85" s="57">
        <f ca="1">IFERROR(__xludf.DUMMYFUNCTION("IMPORTRANGE(""https://docs.google.com/spreadsheets/d/1YiDIE7Klmt8osgdapRqYWNr7iPGFSsiJqq46S7PYRE0/edit?usp=sharing"",""ระนอง!J708"")"),0)</f>
        <v>0</v>
      </c>
      <c r="AJ85" s="63">
        <f t="shared" ca="1" si="37"/>
        <v>0</v>
      </c>
      <c r="AK85" s="57">
        <f ca="1">IFERROR(__xludf.DUMMYFUNCTION("IMPORTRANGE(""https://docs.google.com/spreadsheets/d/1YiDIE7Klmt8osgdapRqYWNr7iPGFSsiJqq46S7PYRE0/edit?usp=sharing"",""ระนอง!J709"")"),0)</f>
        <v>0</v>
      </c>
      <c r="AL85" s="57">
        <f ca="1">IFERROR(__xludf.DUMMYFUNCTION("IMPORTRANGE(""https://docs.google.com/spreadsheets/d/1YiDIE7Klmt8osgdapRqYWNr7iPGFSsiJqq46S7PYRE0/edit?usp=sharing"",""ระนอง!J710"")"),0)</f>
        <v>0</v>
      </c>
      <c r="AM85" s="57">
        <f ca="1">IFERROR(__xludf.DUMMYFUNCTION("IMPORTRANGE(""https://docs.google.com/spreadsheets/d/1YiDIE7Klmt8osgdapRqYWNr7iPGFSsiJqq46S7PYRE0/edit?usp=sharing"",""ระนอง!J712"")"),0)</f>
        <v>0</v>
      </c>
      <c r="AN85" s="57">
        <f ca="1">IFERROR(__xludf.DUMMYFUNCTION("IMPORTRANGE(""https://docs.google.com/spreadsheets/d/1YiDIE7Klmt8osgdapRqYWNr7iPGFSsiJqq46S7PYRE0/edit?usp=sharing"",""ระนอง!J713"")"),0)</f>
        <v>0</v>
      </c>
      <c r="AO85" s="57">
        <f ca="1">IFERROR(__xludf.DUMMYFUNCTION("IMPORTRANGE(""https://docs.google.com/spreadsheets/d/1YiDIE7Klmt8osgdapRqYWNr7iPGFSsiJqq46S7PYRE0/edit?usp=sharing"",""ระนอง!J714"")"),0)</f>
        <v>0</v>
      </c>
      <c r="AP85" s="57">
        <f ca="1">IFERROR(__xludf.DUMMYFUNCTION("IMPORTRANGE(""https://docs.google.com/spreadsheets/d/1YiDIE7Klmt8osgdapRqYWNr7iPGFSsiJqq46S7PYRE0/edit?usp=sharing"",""ระนอง!J715"")"),0)</f>
        <v>0</v>
      </c>
      <c r="AQ85" s="57">
        <f ca="1">IFERROR(__xludf.DUMMYFUNCTION("IMPORTRANGE(""https://docs.google.com/spreadsheets/d/1YiDIE7Klmt8osgdapRqYWNr7iPGFSsiJqq46S7PYRE0/edit?usp=sharing"",""ระนอง!J716"")"),0)</f>
        <v>0</v>
      </c>
      <c r="AR85" s="57">
        <f ca="1">IFERROR(__xludf.DUMMYFUNCTION("IMPORTRANGE(""https://docs.google.com/spreadsheets/d/1YiDIE7Klmt8osgdapRqYWNr7iPGFSsiJqq46S7PYRE0/edit?usp=sharing"",""ระนอง!J717"")"),0)</f>
        <v>0</v>
      </c>
      <c r="AS85" s="57">
        <f ca="1">IFERROR(__xludf.DUMMYFUNCTION("IMPORTRANGE(""https://docs.google.com/spreadsheets/d/1YiDIE7Klmt8osgdapRqYWNr7iPGFSsiJqq46S7PYRE0/edit?usp=sharing"",""ระนอง!I720"")"),0)</f>
        <v>0</v>
      </c>
      <c r="AT85" s="57">
        <f ca="1">IFERROR(__xludf.DUMMYFUNCTION("IMPORTRANGE(""https://docs.google.com/spreadsheets/d/1YiDIE7Klmt8osgdapRqYWNr7iPGFSsiJqq46S7PYRE0/edit?usp=sharing"",""ระนอง!J718"")"),0)</f>
        <v>0</v>
      </c>
      <c r="AU85" s="57">
        <f ca="1">IFERROR(__xludf.DUMMYFUNCTION("IMPORTRANGE(""https://docs.google.com/spreadsheets/d/1YiDIE7Klmt8osgdapRqYWNr7iPGFSsiJqq46S7PYRE0/edit?usp=sharing"",""ระนอง!J719"")"),0)</f>
        <v>0</v>
      </c>
      <c r="AV85" s="57">
        <f ca="1">IFERROR(__xludf.DUMMYFUNCTION("IMPORTRANGE(""https://docs.google.com/spreadsheets/d/1YiDIE7Klmt8osgdapRqYWNr7iPGFSsiJqq46S7PYRE0/edit?usp=sharing"",""ระนอง!J720"")"),0)</f>
        <v>0</v>
      </c>
      <c r="AW85" s="63">
        <f t="shared" ca="1" si="14"/>
        <v>0</v>
      </c>
      <c r="AX85" s="57">
        <f ca="1">IFERROR(__xludf.DUMMYFUNCTION("IMPORTRANGE(""https://docs.google.com/spreadsheets/d/1YiDIE7Klmt8osgdapRqYWNr7iPGFSsiJqq46S7PYRE0/edit?usp=sharing"",""ระนอง!I721"")"),0)</f>
        <v>0</v>
      </c>
      <c r="AY85" s="57">
        <f ca="1">IFERROR(__xludf.DUMMYFUNCTION("IMPORTRANGE(""https://docs.google.com/spreadsheets/d/1YiDIE7Klmt8osgdapRqYWNr7iPGFSsiJqq46S7PYRE0/edit?usp=sharing"",""ระนอง!I722"")"),0)</f>
        <v>0</v>
      </c>
      <c r="AZ85" s="57">
        <f ca="1">IFERROR(__xludf.DUMMYFUNCTION("IMPORTRANGE(""https://docs.google.com/spreadsheets/d/1YiDIE7Klmt8osgdapRqYWNr7iPGFSsiJqq46S7PYRE0/edit?usp=sharing"",""ระนอง!J721"")"),0)</f>
        <v>0</v>
      </c>
      <c r="BA85" s="63">
        <f t="shared" ca="1" si="16"/>
        <v>0</v>
      </c>
      <c r="BB85" s="57">
        <f ca="1">IFERROR(__xludf.DUMMYFUNCTION("IMPORTRANGE(""https://docs.google.com/spreadsheets/d/1YiDIE7Klmt8osgdapRqYWNr7iPGFSsiJqq46S7PYRE0/edit?usp=sharing"",""ระนอง!J722"")"),0)</f>
        <v>0</v>
      </c>
      <c r="BC85" s="63">
        <f t="shared" ca="1" si="17"/>
        <v>0</v>
      </c>
      <c r="BD85" s="57">
        <f ca="1">IFERROR(__xludf.DUMMYFUNCTION("IMPORTRANGE(""https://docs.google.com/spreadsheets/d/1YiDIE7Klmt8osgdapRqYWNr7iPGFSsiJqq46S7PYRE0/edit?usp=sharing"",""ระนอง!I723"")"),0)</f>
        <v>0</v>
      </c>
      <c r="BE85" s="57">
        <f ca="1">IFERROR(__xludf.DUMMYFUNCTION("IMPORTRANGE(""https://docs.google.com/spreadsheets/d/1YiDIE7Klmt8osgdapRqYWNr7iPGFSsiJqq46S7PYRE0/edit?usp=sharing"",""ระนอง!I725"")"),0)</f>
        <v>0</v>
      </c>
      <c r="BF85" s="57">
        <f ca="1">IFERROR(__xludf.DUMMYFUNCTION("IMPORTRANGE(""https://docs.google.com/spreadsheets/d/1YiDIE7Klmt8osgdapRqYWNr7iPGFSsiJqq46S7PYRE0/edit?usp=sharing"",""ระนอง!J723"")"),0)</f>
        <v>0</v>
      </c>
      <c r="BG85" s="57">
        <f ca="1">IFERROR(__xludf.DUMMYFUNCTION("IMPORTRANGE(""https://docs.google.com/spreadsheets/d/1YiDIE7Klmt8osgdapRqYWNr7iPGFSsiJqq46S7PYRE0/edit?usp=sharing"",""ระนอง!J724"")"),0)</f>
        <v>0</v>
      </c>
      <c r="BH85" s="57">
        <f ca="1">IFERROR(__xludf.DUMMYFUNCTION("IMPORTRANGE(""https://docs.google.com/spreadsheets/d/1YiDIE7Klmt8osgdapRqYWNr7iPGFSsiJqq46S7PYRE0/edit?usp=sharing"",""ระนอง!J725"")"),0)</f>
        <v>0</v>
      </c>
      <c r="BI85" s="57">
        <f ca="1">IFERROR(__xludf.DUMMYFUNCTION("IMPORTRANGE(""https://docs.google.com/spreadsheets/d/1YiDIE7Klmt8osgdapRqYWNr7iPGFSsiJqq46S7PYRE0/edit?usp=sharing"",""ระนอง!I726"")"),0)</f>
        <v>0</v>
      </c>
      <c r="BJ85" s="57">
        <f ca="1">IFERROR(__xludf.DUMMYFUNCTION("IMPORTRANGE(""https://docs.google.com/spreadsheets/d/1YiDIE7Klmt8osgdapRqYWNr7iPGFSsiJqq46S7PYRE0/edit?usp=sharing"",""ระนอง!I728"")"),0)</f>
        <v>0</v>
      </c>
      <c r="BK85" s="57">
        <f ca="1">IFERROR(__xludf.DUMMYFUNCTION("IMPORTRANGE(""https://docs.google.com/spreadsheets/d/1YiDIE7Klmt8osgdapRqYWNr7iPGFSsiJqq46S7PYRE0/edit?usp=sharing"",""ระนอง!J726"")"),0)</f>
        <v>0</v>
      </c>
      <c r="BL85" s="57">
        <f ca="1">IFERROR(__xludf.DUMMYFUNCTION("IMPORTRANGE(""https://docs.google.com/spreadsheets/d/1YiDIE7Klmt8osgdapRqYWNr7iPGFSsiJqq46S7PYRE0/edit?usp=sharing"",""ระนอง!J727"")"),0)</f>
        <v>0</v>
      </c>
      <c r="BM85" s="57">
        <f ca="1">IFERROR(__xludf.DUMMYFUNCTION("IMPORTRANGE(""https://docs.google.com/spreadsheets/d/1YiDIE7Klmt8osgdapRqYWNr7iPGFSsiJqq46S7PYRE0/edit?usp=sharing"",""ระนอง!J728"")"),0)</f>
        <v>0</v>
      </c>
      <c r="BN85" s="57">
        <f ca="1">IFERROR(__xludf.DUMMYFUNCTION("IMPORTRANGE(""https://docs.google.com/spreadsheets/d/1YiDIE7Klmt8osgdapRqYWNr7iPGFSsiJqq46S7PYRE0/edit?usp=sharing"",""ระนอง!I729"")"),0)</f>
        <v>0</v>
      </c>
      <c r="BO85" s="57">
        <f ca="1">IFERROR(__xludf.DUMMYFUNCTION("IMPORTRANGE(""https://docs.google.com/spreadsheets/d/1YiDIE7Klmt8osgdapRqYWNr7iPGFSsiJqq46S7PYRE0/edit?usp=sharing"",""ระนอง!J729"")"),0)</f>
        <v>0</v>
      </c>
      <c r="BP85" s="63">
        <f t="shared" ca="1" si="19"/>
        <v>0</v>
      </c>
      <c r="BQ85" s="57">
        <f ca="1">IFERROR(__xludf.DUMMYFUNCTION("IMPORTRANGE(""https://docs.google.com/spreadsheets/d/1YiDIE7Klmt8osgdapRqYWNr7iPGFSsiJqq46S7PYRE0/edit?usp=sharing"",""ระนอง!J730"")"),0)</f>
        <v>0</v>
      </c>
      <c r="BR85" s="57">
        <f ca="1">IFERROR(__xludf.DUMMYFUNCTION("IMPORTRANGE(""https://docs.google.com/spreadsheets/d/1YiDIE7Klmt8osgdapRqYWNr7iPGFSsiJqq46S7PYRE0/edit?usp=sharing"",""ระนอง!J731"")"),0)</f>
        <v>0</v>
      </c>
      <c r="BS85" s="57">
        <f ca="1">IFERROR(__xludf.DUMMYFUNCTION("IMPORTRANGE(""https://docs.google.com/spreadsheets/d/1YiDIE7Klmt8osgdapRqYWNr7iPGFSsiJqq46S7PYRE0/edit?usp=sharing"",""ระนอง!J732"")"),0)</f>
        <v>0</v>
      </c>
      <c r="BT85" s="57">
        <f ca="1">IFERROR(__xludf.DUMMYFUNCTION("IMPORTRANGE(""https://docs.google.com/spreadsheets/d/1YiDIE7Klmt8osgdapRqYWNr7iPGFSsiJqq46S7PYRE0/edit?usp=sharing"",""ระนอง!J733"")"),0)</f>
        <v>0</v>
      </c>
      <c r="BU85" s="57">
        <f ca="1">IFERROR(__xludf.DUMMYFUNCTION("IMPORTRANGE(""https://docs.google.com/spreadsheets/d/1YiDIE7Klmt8osgdapRqYWNr7iPGFSsiJqq46S7PYRE0/edit?usp=sharing"",""ระนอง!J734"")"),0)</f>
        <v>0</v>
      </c>
      <c r="BV85" s="57">
        <f ca="1">IFERROR(__xludf.DUMMYFUNCTION("IMPORTRANGE(""https://docs.google.com/spreadsheets/d/1YiDIE7Klmt8osgdapRqYWNr7iPGFSsiJqq46S7PYRE0/edit?usp=sharing"",""ระนอง!J735"")"),0)</f>
        <v>0</v>
      </c>
    </row>
    <row r="86" spans="1:74" ht="24" customHeight="1" x14ac:dyDescent="0.3">
      <c r="A86" s="54">
        <v>12</v>
      </c>
      <c r="B86" s="55" t="s">
        <v>107</v>
      </c>
      <c r="C86" s="56">
        <f t="shared" ca="1" si="87"/>
        <v>0</v>
      </c>
      <c r="D86" s="57">
        <f ca="1">IFERROR(__xludf.DUMMYFUNCTION("IMPORTRANGE(""https://docs.google.com/spreadsheets/d/16o_4B-V7AWw_6E93bSpXj_XxVv1oVQctk-B6z1dNEWU/edit?usp=sharing"",""สงขลา!L690"")"),0)</f>
        <v>0</v>
      </c>
      <c r="E86" s="64">
        <f ca="1">IFERROR(__xludf.DUMMYFUNCTION("IMPORTRANGE(""https://docs.google.com/spreadsheets/d/16o_4B-V7AWw_6E93bSpXj_XxVv1oVQctk-B6z1dNEWU/edit?usp=sharing"",""สงขลา!L697"")"),0)</f>
        <v>0</v>
      </c>
      <c r="F86" s="64">
        <f ca="1">IFERROR(__xludf.DUMMYFUNCTION("IMPORTRANGE(""https://docs.google.com/spreadsheets/d/16o_4B-V7AWw_6E93bSpXj_XxVv1oVQctk-B6z1dNEWU/edit?usp=sharing"",""สงขลา!M690"")"),0)</f>
        <v>0</v>
      </c>
      <c r="G86" s="64">
        <f ca="1">IFERROR(__xludf.DUMMYFUNCTION("IMPORTRANGE(""https://docs.google.com/spreadsheets/d/16o_4B-V7AWw_6E93bSpXj_XxVv1oVQctk-B6z1dNEWU/edit?usp=sharing"",""สงขลา!M697"")"),0)</f>
        <v>0</v>
      </c>
      <c r="H86" s="58">
        <f t="shared" ca="1" si="33"/>
        <v>0</v>
      </c>
      <c r="I86" s="59">
        <f t="shared" ca="1" si="1"/>
        <v>0</v>
      </c>
      <c r="J86" s="60">
        <f t="shared" ca="1" si="88"/>
        <v>0</v>
      </c>
      <c r="K86" s="61">
        <f t="shared" ca="1" si="39"/>
        <v>0</v>
      </c>
      <c r="L86" s="61">
        <f t="shared" ca="1" si="40"/>
        <v>0</v>
      </c>
      <c r="M86" s="64">
        <f ca="1">IFERROR(__xludf.DUMMYFUNCTION("IMPORTRANGE(""https://docs.google.com/spreadsheets/d/16o_4B-V7AWw_6E93bSpXj_XxVv1oVQctk-B6z1dNEWU/edit?usp=sharing"",""สงขลา!N691"")"),0)</f>
        <v>0</v>
      </c>
      <c r="N86" s="64">
        <f ca="1">IFERROR(__xludf.DUMMYFUNCTION("IMPORTRANGE(""https://docs.google.com/spreadsheets/d/16o_4B-V7AWw_6E93bSpXj_XxVv1oVQctk-B6z1dNEWU/edit?usp=sharing"",""สงขลา!N692"")"),0)</f>
        <v>0</v>
      </c>
      <c r="O86" s="64">
        <f ca="1">IFERROR(__xludf.DUMMYFUNCTION("IMPORTRANGE(""https://docs.google.com/spreadsheets/d/16o_4B-V7AWw_6E93bSpXj_XxVv1oVQctk-B6z1dNEWU/edit?usp=sharing"",""สงขลา!N693"")"),0)</f>
        <v>0</v>
      </c>
      <c r="P86" s="64">
        <f ca="1">IFERROR(__xludf.DUMMYFUNCTION("IMPORTRANGE(""https://docs.google.com/spreadsheets/d/16o_4B-V7AWw_6E93bSpXj_XxVv1oVQctk-B6z1dNEWU/edit?usp=sharing"",""สงขลา!N694"")"),0)</f>
        <v>0</v>
      </c>
      <c r="Q86" s="62">
        <f ca="1">IFERROR(__xludf.DUMMYFUNCTION("IMPORTRANGE(""https://docs.google.com/spreadsheets/d/16o_4B-V7AWw_6E93bSpXj_XxVv1oVQctk-B6z1dNEWU/edit?usp=sharing"",""สงขลา!N697"")"),0)</f>
        <v>0</v>
      </c>
      <c r="R86" s="62">
        <f t="shared" ca="1" si="42"/>
        <v>0</v>
      </c>
      <c r="S86" s="57">
        <f ca="1">IFERROR(__xludf.DUMMYFUNCTION("IMPORTRANGE(""https://docs.google.com/spreadsheets/d/16o_4B-V7AWw_6E93bSpXj_XxVv1oVQctk-B6z1dNEWU/edit?usp=sharing"",""สงขลา!I699"")"),0)</f>
        <v>0</v>
      </c>
      <c r="T86" s="57">
        <f ca="1">IFERROR(__xludf.DUMMYFUNCTION("IMPORTRANGE(""https://docs.google.com/spreadsheets/d/16o_4B-V7AWw_6E93bSpXj_XxVv1oVQctk-B6z1dNEWU/edit?usp=sharing"",""สงขลา!J699"")"),0)</f>
        <v>0</v>
      </c>
      <c r="U86" s="63">
        <f t="shared" ca="1" si="34"/>
        <v>0</v>
      </c>
      <c r="V86" s="57">
        <f ca="1">IFERROR(__xludf.DUMMYFUNCTION("IMPORTRANGE(""https://docs.google.com/spreadsheets/d/16o_4B-V7AWw_6E93bSpXj_XxVv1oVQctk-B6z1dNEWU/edit?usp=sharing"",""สงขลา!I700"")"),0)</f>
        <v>0</v>
      </c>
      <c r="W86" s="57">
        <f ca="1">IFERROR(__xludf.DUMMYFUNCTION("IMPORTRANGE(""https://docs.google.com/spreadsheets/d/16o_4B-V7AWw_6E93bSpXj_XxVv1oVQctk-B6z1dNEWU/edit?usp=sharing"",""สงขลา!J700"")"),0)</f>
        <v>0</v>
      </c>
      <c r="X86" s="63">
        <f t="shared" ca="1" si="35"/>
        <v>0</v>
      </c>
      <c r="Y86" s="57">
        <f ca="1">IFERROR(__xludf.DUMMYFUNCTION("IMPORTRANGE(""https://docs.google.com/spreadsheets/d/16o_4B-V7AWw_6E93bSpXj_XxVv1oVQctk-B6z1dNEWU/edit?usp=sharing"",""สงขลา!I701"")"),0)</f>
        <v>0</v>
      </c>
      <c r="Z86" s="57">
        <f ca="1">IFERROR(__xludf.DUMMYFUNCTION("IMPORTRANGE(""https://docs.google.com/spreadsheets/d/16o_4B-V7AWw_6E93bSpXj_XxVv1oVQctk-B6z1dNEWU/edit?usp=sharing"",""สงขลา!J701"")"),0)</f>
        <v>0</v>
      </c>
      <c r="AA86" s="63">
        <f t="shared" ca="1" si="36"/>
        <v>0</v>
      </c>
      <c r="AB86" s="63">
        <f ca="1">IFERROR(__xludf.DUMMYFUNCTION("IMPORTRANGE(""https://docs.google.com/spreadsheets/d/16o_4B-V7AWw_6E93bSpXj_XxVv1oVQctk-B6z1dNEWU/edit?usp=sharing"",""สงขลา!J702"")"),0)</f>
        <v>0</v>
      </c>
      <c r="AC86" s="63">
        <f ca="1">IFERROR(__xludf.DUMMYFUNCTION("IMPORTRANGE(""https://docs.google.com/spreadsheets/d/16o_4B-V7AWw_6E93bSpXj_XxVv1oVQctk-B6z1dNEWU/edit?usp=sharing"",""สงขลา!J703"")"),0)</f>
        <v>0</v>
      </c>
      <c r="AD86" s="63">
        <f ca="1">IFERROR(__xludf.DUMMYFUNCTION("IMPORTRANGE(""https://docs.google.com/spreadsheets/d/16o_4B-V7AWw_6E93bSpXj_XxVv1oVQctk-B6z1dNEWU/edit?usp=sharing"",""สงขลา!J704"")"),0)</f>
        <v>0</v>
      </c>
      <c r="AE86" s="63">
        <f ca="1">IFERROR(__xludf.DUMMYFUNCTION("IMPORTRANGE(""https://docs.google.com/spreadsheets/d/16o_4B-V7AWw_6E93bSpXj_XxVv1oVQctk-B6z1dNEWU/edit?usp=sharing"",""สงขลา!J705"")"),0)</f>
        <v>0</v>
      </c>
      <c r="AF86" s="63">
        <f ca="1">IFERROR(__xludf.DUMMYFUNCTION("IMPORTRANGE(""https://docs.google.com/spreadsheets/d/16o_4B-V7AWw_6E93bSpXj_XxVv1oVQctk-B6z1dNEWU/edit?usp=sharing"",""สงขลา!J706"")"),0)</f>
        <v>0</v>
      </c>
      <c r="AG86" s="63">
        <f ca="1">IFERROR(__xludf.DUMMYFUNCTION("IMPORTRANGE(""https://docs.google.com/spreadsheets/d/16o_4B-V7AWw_6E93bSpXj_XxVv1oVQctk-B6z1dNEWU/edit?usp=sharing"",""สงขลา!J707"")"),0)</f>
        <v>0</v>
      </c>
      <c r="AH86" s="57">
        <f ca="1">IFERROR(__xludf.DUMMYFUNCTION("IMPORTRANGE(""https://docs.google.com/spreadsheets/d/16o_4B-V7AWw_6E93bSpXj_XxVv1oVQctk-B6z1dNEWU/edit?usp=sharing"",""สงขลา!I708"")"),0)</f>
        <v>0</v>
      </c>
      <c r="AI86" s="57">
        <f ca="1">IFERROR(__xludf.DUMMYFUNCTION("IMPORTRANGE(""https://docs.google.com/spreadsheets/d/16o_4B-V7AWw_6E93bSpXj_XxVv1oVQctk-B6z1dNEWU/edit?usp=sharing"",""สงขลา!J708"")"),0)</f>
        <v>0</v>
      </c>
      <c r="AJ86" s="63">
        <f t="shared" ca="1" si="37"/>
        <v>0</v>
      </c>
      <c r="AK86" s="57">
        <f ca="1">IFERROR(__xludf.DUMMYFUNCTION("IMPORTRANGE(""https://docs.google.com/spreadsheets/d/16o_4B-V7AWw_6E93bSpXj_XxVv1oVQctk-B6z1dNEWU/edit?usp=sharing"",""สงขลา!J709"")"),0)</f>
        <v>0</v>
      </c>
      <c r="AL86" s="57">
        <f ca="1">IFERROR(__xludf.DUMMYFUNCTION("IMPORTRANGE(""https://docs.google.com/spreadsheets/d/16o_4B-V7AWw_6E93bSpXj_XxVv1oVQctk-B6z1dNEWU/edit?usp=sharing"",""สงขลา!J710"")"),0)</f>
        <v>0</v>
      </c>
      <c r="AM86" s="57">
        <f ca="1">IFERROR(__xludf.DUMMYFUNCTION("IMPORTRANGE(""https://docs.google.com/spreadsheets/d/16o_4B-V7AWw_6E93bSpXj_XxVv1oVQctk-B6z1dNEWU/edit?usp=sharing"",""สงขลา!J712"")"),0)</f>
        <v>0</v>
      </c>
      <c r="AN86" s="57">
        <f ca="1">IFERROR(__xludf.DUMMYFUNCTION("IMPORTRANGE(""https://docs.google.com/spreadsheets/d/16o_4B-V7AWw_6E93bSpXj_XxVv1oVQctk-B6z1dNEWU/edit?usp=sharing"",""สงขลา!J713"")"),0)</f>
        <v>0</v>
      </c>
      <c r="AO86" s="57">
        <f ca="1">IFERROR(__xludf.DUMMYFUNCTION("IMPORTRANGE(""https://docs.google.com/spreadsheets/d/16o_4B-V7AWw_6E93bSpXj_XxVv1oVQctk-B6z1dNEWU/edit?usp=sharing"",""สงขลา!J714"")"),0)</f>
        <v>0</v>
      </c>
      <c r="AP86" s="57">
        <f ca="1">IFERROR(__xludf.DUMMYFUNCTION("IMPORTRANGE(""https://docs.google.com/spreadsheets/d/16o_4B-V7AWw_6E93bSpXj_XxVv1oVQctk-B6z1dNEWU/edit?usp=sharing"",""สงขลา!J715"")"),0)</f>
        <v>0</v>
      </c>
      <c r="AQ86" s="57">
        <f ca="1">IFERROR(__xludf.DUMMYFUNCTION("IMPORTRANGE(""https://docs.google.com/spreadsheets/d/16o_4B-V7AWw_6E93bSpXj_XxVv1oVQctk-B6z1dNEWU/edit?usp=sharing"",""สงขลา!J716"")"),0)</f>
        <v>0</v>
      </c>
      <c r="AR86" s="57">
        <f ca="1">IFERROR(__xludf.DUMMYFUNCTION("IMPORTRANGE(""https://docs.google.com/spreadsheets/d/16o_4B-V7AWw_6E93bSpXj_XxVv1oVQctk-B6z1dNEWU/edit?usp=sharing"",""สงขลา!J717"")"),0)</f>
        <v>0</v>
      </c>
      <c r="AS86" s="57">
        <f ca="1">IFERROR(__xludf.DUMMYFUNCTION("IMPORTRANGE(""https://docs.google.com/spreadsheets/d/16o_4B-V7AWw_6E93bSpXj_XxVv1oVQctk-B6z1dNEWU/edit?usp=sharing"",""สงขลา!I720"")"),0)</f>
        <v>0</v>
      </c>
      <c r="AT86" s="57">
        <f ca="1">IFERROR(__xludf.DUMMYFUNCTION("IMPORTRANGE(""https://docs.google.com/spreadsheets/d/16o_4B-V7AWw_6E93bSpXj_XxVv1oVQctk-B6z1dNEWU/edit?usp=sharing"",""สงขลา!J718"")"),0)</f>
        <v>0</v>
      </c>
      <c r="AU86" s="57">
        <f ca="1">IFERROR(__xludf.DUMMYFUNCTION("IMPORTRANGE(""https://docs.google.com/spreadsheets/d/16o_4B-V7AWw_6E93bSpXj_XxVv1oVQctk-B6z1dNEWU/edit?usp=sharing"",""สงขลา!J719"")"),0)</f>
        <v>0</v>
      </c>
      <c r="AV86" s="57">
        <f ca="1">IFERROR(__xludf.DUMMYFUNCTION("IMPORTRANGE(""https://docs.google.com/spreadsheets/d/16o_4B-V7AWw_6E93bSpXj_XxVv1oVQctk-B6z1dNEWU/edit?usp=sharing"",""สงขลา!J720"")"),0)</f>
        <v>0</v>
      </c>
      <c r="AW86" s="63">
        <f t="shared" ca="1" si="14"/>
        <v>0</v>
      </c>
      <c r="AX86" s="57">
        <f ca="1">IFERROR(__xludf.DUMMYFUNCTION("IMPORTRANGE(""https://docs.google.com/spreadsheets/d/16o_4B-V7AWw_6E93bSpXj_XxVv1oVQctk-B6z1dNEWU/edit?usp=sharing"",""สงขลา!I721"")"),0)</f>
        <v>0</v>
      </c>
      <c r="AY86" s="57">
        <f ca="1">IFERROR(__xludf.DUMMYFUNCTION("IMPORTRANGE(""https://docs.google.com/spreadsheets/d/16o_4B-V7AWw_6E93bSpXj_XxVv1oVQctk-B6z1dNEWU/edit?usp=sharing"",""สงขลา!I722"")"),0)</f>
        <v>0</v>
      </c>
      <c r="AZ86" s="57">
        <f ca="1">IFERROR(__xludf.DUMMYFUNCTION("IMPORTRANGE(""https://docs.google.com/spreadsheets/d/16o_4B-V7AWw_6E93bSpXj_XxVv1oVQctk-B6z1dNEWU/edit?usp=sharing"",""สงขลา!J721"")"),0)</f>
        <v>0</v>
      </c>
      <c r="BA86" s="63">
        <f t="shared" ca="1" si="16"/>
        <v>0</v>
      </c>
      <c r="BB86" s="57">
        <f ca="1">IFERROR(__xludf.DUMMYFUNCTION("IMPORTRANGE(""https://docs.google.com/spreadsheets/d/16o_4B-V7AWw_6E93bSpXj_XxVv1oVQctk-B6z1dNEWU/edit?usp=sharing"",""สงขลา!J722"")"),0)</f>
        <v>0</v>
      </c>
      <c r="BC86" s="63">
        <f t="shared" ca="1" si="17"/>
        <v>0</v>
      </c>
      <c r="BD86" s="57">
        <f ca="1">IFERROR(__xludf.DUMMYFUNCTION("IMPORTRANGE(""https://docs.google.com/spreadsheets/d/16o_4B-V7AWw_6E93bSpXj_XxVv1oVQctk-B6z1dNEWU/edit?usp=sharing"",""สงขลา!I723"")"),0)</f>
        <v>0</v>
      </c>
      <c r="BE86" s="57">
        <f ca="1">IFERROR(__xludf.DUMMYFUNCTION("IMPORTRANGE(""https://docs.google.com/spreadsheets/d/16o_4B-V7AWw_6E93bSpXj_XxVv1oVQctk-B6z1dNEWU/edit?usp=sharing"",""สงขลา!I725"")"),0)</f>
        <v>0</v>
      </c>
      <c r="BF86" s="57">
        <f ca="1">IFERROR(__xludf.DUMMYFUNCTION("IMPORTRANGE(""https://docs.google.com/spreadsheets/d/16o_4B-V7AWw_6E93bSpXj_XxVv1oVQctk-B6z1dNEWU/edit?usp=sharing"",""สงขลา!J723"")"),0)</f>
        <v>0</v>
      </c>
      <c r="BG86" s="57">
        <f ca="1">IFERROR(__xludf.DUMMYFUNCTION("IMPORTRANGE(""https://docs.google.com/spreadsheets/d/16o_4B-V7AWw_6E93bSpXj_XxVv1oVQctk-B6z1dNEWU/edit?usp=sharing"",""สงขลา!J724"")"),0)</f>
        <v>0</v>
      </c>
      <c r="BH86" s="57">
        <f ca="1">IFERROR(__xludf.DUMMYFUNCTION("IMPORTRANGE(""https://docs.google.com/spreadsheets/d/16o_4B-V7AWw_6E93bSpXj_XxVv1oVQctk-B6z1dNEWU/edit?usp=sharing"",""สงขลา!J725"")"),0)</f>
        <v>0</v>
      </c>
      <c r="BI86" s="57">
        <f ca="1">IFERROR(__xludf.DUMMYFUNCTION("IMPORTRANGE(""https://docs.google.com/spreadsheets/d/16o_4B-V7AWw_6E93bSpXj_XxVv1oVQctk-B6z1dNEWU/edit?usp=sharing"",""สงขลา!I726"")"),0)</f>
        <v>0</v>
      </c>
      <c r="BJ86" s="57">
        <f ca="1">IFERROR(__xludf.DUMMYFUNCTION("IMPORTRANGE(""https://docs.google.com/spreadsheets/d/16o_4B-V7AWw_6E93bSpXj_XxVv1oVQctk-B6z1dNEWU/edit?usp=sharing"",""สงขลา!I728"")"),0)</f>
        <v>0</v>
      </c>
      <c r="BK86" s="57">
        <f ca="1">IFERROR(__xludf.DUMMYFUNCTION("IMPORTRANGE(""https://docs.google.com/spreadsheets/d/16o_4B-V7AWw_6E93bSpXj_XxVv1oVQctk-B6z1dNEWU/edit?usp=sharing"",""สงขลา!J726"")"),0)</f>
        <v>0</v>
      </c>
      <c r="BL86" s="57">
        <f ca="1">IFERROR(__xludf.DUMMYFUNCTION("IMPORTRANGE(""https://docs.google.com/spreadsheets/d/16o_4B-V7AWw_6E93bSpXj_XxVv1oVQctk-B6z1dNEWU/edit?usp=sharing"",""สงขลา!J727"")"),0)</f>
        <v>0</v>
      </c>
      <c r="BM86" s="57">
        <f ca="1">IFERROR(__xludf.DUMMYFUNCTION("IMPORTRANGE(""https://docs.google.com/spreadsheets/d/16o_4B-V7AWw_6E93bSpXj_XxVv1oVQctk-B6z1dNEWU/edit?usp=sharing"",""สงขลา!J728"")"),0)</f>
        <v>0</v>
      </c>
      <c r="BN86" s="57">
        <f ca="1">IFERROR(__xludf.DUMMYFUNCTION("IMPORTRANGE(""https://docs.google.com/spreadsheets/d/16o_4B-V7AWw_6E93bSpXj_XxVv1oVQctk-B6z1dNEWU/edit?usp=sharing"",""สงขลา!I729"")"),0)</f>
        <v>0</v>
      </c>
      <c r="BO86" s="57">
        <f ca="1">IFERROR(__xludf.DUMMYFUNCTION("IMPORTRANGE(""https://docs.google.com/spreadsheets/d/16o_4B-V7AWw_6E93bSpXj_XxVv1oVQctk-B6z1dNEWU/edit?usp=sharing"",""สงขลา!J729"")"),0)</f>
        <v>0</v>
      </c>
      <c r="BP86" s="63">
        <f t="shared" ca="1" si="19"/>
        <v>0</v>
      </c>
      <c r="BQ86" s="57">
        <f ca="1">IFERROR(__xludf.DUMMYFUNCTION("IMPORTRANGE(""https://docs.google.com/spreadsheets/d/16o_4B-V7AWw_6E93bSpXj_XxVv1oVQctk-B6z1dNEWU/edit?usp=sharing"",""สงขลา!J730"")"),0)</f>
        <v>0</v>
      </c>
      <c r="BR86" s="57">
        <f ca="1">IFERROR(__xludf.DUMMYFUNCTION("IMPORTRANGE(""https://docs.google.com/spreadsheets/d/16o_4B-V7AWw_6E93bSpXj_XxVv1oVQctk-B6z1dNEWU/edit?usp=sharing"",""สงขลา!J731"")"),0)</f>
        <v>0</v>
      </c>
      <c r="BS86" s="57">
        <f ca="1">IFERROR(__xludf.DUMMYFUNCTION("IMPORTRANGE(""https://docs.google.com/spreadsheets/d/16o_4B-V7AWw_6E93bSpXj_XxVv1oVQctk-B6z1dNEWU/edit?usp=sharing"",""สงขลา!J732"")"),0)</f>
        <v>0</v>
      </c>
      <c r="BT86" s="57">
        <f ca="1">IFERROR(__xludf.DUMMYFUNCTION("IMPORTRANGE(""https://docs.google.com/spreadsheets/d/16o_4B-V7AWw_6E93bSpXj_XxVv1oVQctk-B6z1dNEWU/edit?usp=sharing"",""สงขลา!J733"")"),0)</f>
        <v>0</v>
      </c>
      <c r="BU86" s="57">
        <f ca="1">IFERROR(__xludf.DUMMYFUNCTION("IMPORTRANGE(""https://docs.google.com/spreadsheets/d/16o_4B-V7AWw_6E93bSpXj_XxVv1oVQctk-B6z1dNEWU/edit?usp=sharing"",""สงขลา!J734"")"),0)</f>
        <v>0</v>
      </c>
      <c r="BV86" s="57">
        <f ca="1">IFERROR(__xludf.DUMMYFUNCTION("IMPORTRANGE(""https://docs.google.com/spreadsheets/d/16o_4B-V7AWw_6E93bSpXj_XxVv1oVQctk-B6z1dNEWU/edit?usp=sharing"",""สงขลา!J735"")"),0)</f>
        <v>0</v>
      </c>
    </row>
    <row r="87" spans="1:74" ht="24" customHeight="1" x14ac:dyDescent="0.3">
      <c r="A87" s="54">
        <v>13</v>
      </c>
      <c r="B87" s="55" t="s">
        <v>108</v>
      </c>
      <c r="C87" s="56">
        <f t="shared" ca="1" si="87"/>
        <v>0</v>
      </c>
      <c r="D87" s="57">
        <f ca="1">IFERROR(__xludf.DUMMYFUNCTION("IMPORTRANGE(""https://docs.google.com/spreadsheets/d/16cywr71Fj4fA5OGRHsZh30ZG2gwJhMAQv69oVBzYHv0/edit?usp=sharing"",""สตูล!L690"")"),0)</f>
        <v>0</v>
      </c>
      <c r="E87" s="64">
        <f ca="1">IFERROR(__xludf.DUMMYFUNCTION("IMPORTRANGE(""https://docs.google.com/spreadsheets/d/16cywr71Fj4fA5OGRHsZh30ZG2gwJhMAQv69oVBzYHv0/edit?usp=sharing"",""สตูล!L697"")"),0)</f>
        <v>0</v>
      </c>
      <c r="F87" s="64">
        <f ca="1">IFERROR(__xludf.DUMMYFUNCTION("IMPORTRANGE(""https://docs.google.com/spreadsheets/d/16cywr71Fj4fA5OGRHsZh30ZG2gwJhMAQv69oVBzYHv0/edit?usp=sharing"",""สตูล!M690"")"),0)</f>
        <v>0</v>
      </c>
      <c r="G87" s="64">
        <f ca="1">IFERROR(__xludf.DUMMYFUNCTION("IMPORTRANGE(""https://docs.google.com/spreadsheets/d/16cywr71Fj4fA5OGRHsZh30ZG2gwJhMAQv69oVBzYHv0/edit?usp=sharing"",""สตูล!M697"")"),0)</f>
        <v>0</v>
      </c>
      <c r="H87" s="58">
        <f t="shared" ca="1" si="33"/>
        <v>0</v>
      </c>
      <c r="I87" s="59">
        <f t="shared" ca="1" si="1"/>
        <v>0</v>
      </c>
      <c r="J87" s="60">
        <f t="shared" ca="1" si="88"/>
        <v>0</v>
      </c>
      <c r="K87" s="61">
        <f t="shared" ca="1" si="39"/>
        <v>0</v>
      </c>
      <c r="L87" s="61">
        <f t="shared" ca="1" si="40"/>
        <v>0</v>
      </c>
      <c r="M87" s="64">
        <f ca="1">IFERROR(__xludf.DUMMYFUNCTION("IMPORTRANGE(""https://docs.google.com/spreadsheets/d/16cywr71Fj4fA5OGRHsZh30ZG2gwJhMAQv69oVBzYHv0/edit?usp=sharing"",""สตูล!N691"")"),0)</f>
        <v>0</v>
      </c>
      <c r="N87" s="64">
        <f ca="1">IFERROR(__xludf.DUMMYFUNCTION("IMPORTRANGE(""https://docs.google.com/spreadsheets/d/16cywr71Fj4fA5OGRHsZh30ZG2gwJhMAQv69oVBzYHv0/edit?usp=sharing"",""สตูล!N692"")"),0)</f>
        <v>0</v>
      </c>
      <c r="O87" s="64">
        <f ca="1">IFERROR(__xludf.DUMMYFUNCTION("IMPORTRANGE(""https://docs.google.com/spreadsheets/d/16cywr71Fj4fA5OGRHsZh30ZG2gwJhMAQv69oVBzYHv0/edit?usp=sharing"",""สตูล!N693"")"),0)</f>
        <v>0</v>
      </c>
      <c r="P87" s="64">
        <f ca="1">IFERROR(__xludf.DUMMYFUNCTION("IMPORTRANGE(""https://docs.google.com/spreadsheets/d/16cywr71Fj4fA5OGRHsZh30ZG2gwJhMAQv69oVBzYHv0/edit?usp=sharing"",""สตูล!N694"")"),0)</f>
        <v>0</v>
      </c>
      <c r="Q87" s="62">
        <f ca="1">IFERROR(__xludf.DUMMYFUNCTION("IMPORTRANGE(""https://docs.google.com/spreadsheets/d/16cywr71Fj4fA5OGRHsZh30ZG2gwJhMAQv69oVBzYHv0/edit?usp=sharing"",""สตูล!N697"")"),0)</f>
        <v>0</v>
      </c>
      <c r="R87" s="62">
        <f t="shared" ca="1" si="42"/>
        <v>0</v>
      </c>
      <c r="S87" s="57">
        <f ca="1">IFERROR(__xludf.DUMMYFUNCTION("IMPORTRANGE(""https://docs.google.com/spreadsheets/d/16cywr71Fj4fA5OGRHsZh30ZG2gwJhMAQv69oVBzYHv0/edit?usp=sharing"",""สตูล!I699"")"),0)</f>
        <v>0</v>
      </c>
      <c r="T87" s="57">
        <f ca="1">IFERROR(__xludf.DUMMYFUNCTION("IMPORTRANGE(""https://docs.google.com/spreadsheets/d/16cywr71Fj4fA5OGRHsZh30ZG2gwJhMAQv69oVBzYHv0/edit?usp=sharing"",""สตูล!J699"")"),0)</f>
        <v>0</v>
      </c>
      <c r="U87" s="63">
        <f t="shared" ca="1" si="34"/>
        <v>0</v>
      </c>
      <c r="V87" s="57">
        <f ca="1">IFERROR(__xludf.DUMMYFUNCTION("IMPORTRANGE(""https://docs.google.com/spreadsheets/d/16cywr71Fj4fA5OGRHsZh30ZG2gwJhMAQv69oVBzYHv0/edit?usp=sharing"",""สตูล!I700"")"),0)</f>
        <v>0</v>
      </c>
      <c r="W87" s="57">
        <f ca="1">IFERROR(__xludf.DUMMYFUNCTION("IMPORTRANGE(""https://docs.google.com/spreadsheets/d/16cywr71Fj4fA5OGRHsZh30ZG2gwJhMAQv69oVBzYHv0/edit?usp=sharing"",""สตูล!J700"")"),0)</f>
        <v>0</v>
      </c>
      <c r="X87" s="63">
        <f t="shared" ca="1" si="35"/>
        <v>0</v>
      </c>
      <c r="Y87" s="57">
        <f ca="1">IFERROR(__xludf.DUMMYFUNCTION("IMPORTRANGE(""https://docs.google.com/spreadsheets/d/16cywr71Fj4fA5OGRHsZh30ZG2gwJhMAQv69oVBzYHv0/edit?usp=sharing"",""สตูล!I701"")"),0)</f>
        <v>0</v>
      </c>
      <c r="Z87" s="57">
        <f ca="1">IFERROR(__xludf.DUMMYFUNCTION("IMPORTRANGE(""https://docs.google.com/spreadsheets/d/16cywr71Fj4fA5OGRHsZh30ZG2gwJhMAQv69oVBzYHv0/edit?usp=sharing"",""สตูล!J701"")"),0)</f>
        <v>0</v>
      </c>
      <c r="AA87" s="63">
        <f t="shared" ca="1" si="36"/>
        <v>0</v>
      </c>
      <c r="AB87" s="63">
        <f ca="1">IFERROR(__xludf.DUMMYFUNCTION("IMPORTRANGE(""https://docs.google.com/spreadsheets/d/16cywr71Fj4fA5OGRHsZh30ZG2gwJhMAQv69oVBzYHv0/edit?usp=sharing"",""สตูล!J702"")"),0)</f>
        <v>0</v>
      </c>
      <c r="AC87" s="63">
        <f ca="1">IFERROR(__xludf.DUMMYFUNCTION("IMPORTRANGE(""https://docs.google.com/spreadsheets/d/16cywr71Fj4fA5OGRHsZh30ZG2gwJhMAQv69oVBzYHv0/edit?usp=sharing"",""สตูล!J703"")"),0)</f>
        <v>0</v>
      </c>
      <c r="AD87" s="63">
        <f ca="1">IFERROR(__xludf.DUMMYFUNCTION("IMPORTRANGE(""https://docs.google.com/spreadsheets/d/16cywr71Fj4fA5OGRHsZh30ZG2gwJhMAQv69oVBzYHv0/edit?usp=sharing"",""สตูล!J704"")"),0)</f>
        <v>0</v>
      </c>
      <c r="AE87" s="63">
        <f ca="1">IFERROR(__xludf.DUMMYFUNCTION("IMPORTRANGE(""https://docs.google.com/spreadsheets/d/16cywr71Fj4fA5OGRHsZh30ZG2gwJhMAQv69oVBzYHv0/edit?usp=sharing"",""สตูล!J705"")"),0)</f>
        <v>0</v>
      </c>
      <c r="AF87" s="63">
        <f ca="1">IFERROR(__xludf.DUMMYFUNCTION("IMPORTRANGE(""https://docs.google.com/spreadsheets/d/16cywr71Fj4fA5OGRHsZh30ZG2gwJhMAQv69oVBzYHv0/edit?usp=sharing"",""สตูล!J706"")"),0)</f>
        <v>0</v>
      </c>
      <c r="AG87" s="63">
        <f ca="1">IFERROR(__xludf.DUMMYFUNCTION("IMPORTRANGE(""https://docs.google.com/spreadsheets/d/16cywr71Fj4fA5OGRHsZh30ZG2gwJhMAQv69oVBzYHv0/edit?usp=sharing"",""สตูล!J707"")"),0)</f>
        <v>0</v>
      </c>
      <c r="AH87" s="57">
        <f ca="1">IFERROR(__xludf.DUMMYFUNCTION("IMPORTRANGE(""https://docs.google.com/spreadsheets/d/16cywr71Fj4fA5OGRHsZh30ZG2gwJhMAQv69oVBzYHv0/edit?usp=sharing"",""สตูล!I708"")"),0)</f>
        <v>0</v>
      </c>
      <c r="AI87" s="57">
        <f ca="1">IFERROR(__xludf.DUMMYFUNCTION("IMPORTRANGE(""https://docs.google.com/spreadsheets/d/16cywr71Fj4fA5OGRHsZh30ZG2gwJhMAQv69oVBzYHv0/edit?usp=sharing"",""สตูล!J708"")"),0)</f>
        <v>0</v>
      </c>
      <c r="AJ87" s="63">
        <f t="shared" ca="1" si="37"/>
        <v>0</v>
      </c>
      <c r="AK87" s="57">
        <f ca="1">IFERROR(__xludf.DUMMYFUNCTION("IMPORTRANGE(""https://docs.google.com/spreadsheets/d/16cywr71Fj4fA5OGRHsZh30ZG2gwJhMAQv69oVBzYHv0/edit?usp=sharing"",""สตูล!J709"")"),0)</f>
        <v>0</v>
      </c>
      <c r="AL87" s="57">
        <f ca="1">IFERROR(__xludf.DUMMYFUNCTION("IMPORTRANGE(""https://docs.google.com/spreadsheets/d/16cywr71Fj4fA5OGRHsZh30ZG2gwJhMAQv69oVBzYHv0/edit?usp=sharing"",""สตูล!J710"")"),0)</f>
        <v>0</v>
      </c>
      <c r="AM87" s="57">
        <f ca="1">IFERROR(__xludf.DUMMYFUNCTION("IMPORTRANGE(""https://docs.google.com/spreadsheets/d/16cywr71Fj4fA5OGRHsZh30ZG2gwJhMAQv69oVBzYHv0/edit?usp=sharing"",""สตูล!J712"")"),0)</f>
        <v>0</v>
      </c>
      <c r="AN87" s="57">
        <f ca="1">IFERROR(__xludf.DUMMYFUNCTION("IMPORTRANGE(""https://docs.google.com/spreadsheets/d/16cywr71Fj4fA5OGRHsZh30ZG2gwJhMAQv69oVBzYHv0/edit?usp=sharing"",""สตูล!J713"")"),0)</f>
        <v>0</v>
      </c>
      <c r="AO87" s="57">
        <f ca="1">IFERROR(__xludf.DUMMYFUNCTION("IMPORTRANGE(""https://docs.google.com/spreadsheets/d/16cywr71Fj4fA5OGRHsZh30ZG2gwJhMAQv69oVBzYHv0/edit?usp=sharing"",""สตูล!J714"")"),0)</f>
        <v>0</v>
      </c>
      <c r="AP87" s="57">
        <f ca="1">IFERROR(__xludf.DUMMYFUNCTION("IMPORTRANGE(""https://docs.google.com/spreadsheets/d/16cywr71Fj4fA5OGRHsZh30ZG2gwJhMAQv69oVBzYHv0/edit?usp=sharing"",""สตูล!J715"")"),0)</f>
        <v>0</v>
      </c>
      <c r="AQ87" s="57">
        <f ca="1">IFERROR(__xludf.DUMMYFUNCTION("IMPORTRANGE(""https://docs.google.com/spreadsheets/d/16cywr71Fj4fA5OGRHsZh30ZG2gwJhMAQv69oVBzYHv0/edit?usp=sharing"",""สตูล!J716"")"),0)</f>
        <v>0</v>
      </c>
      <c r="AR87" s="57">
        <f ca="1">IFERROR(__xludf.DUMMYFUNCTION("IMPORTRANGE(""https://docs.google.com/spreadsheets/d/16cywr71Fj4fA5OGRHsZh30ZG2gwJhMAQv69oVBzYHv0/edit?usp=sharing"",""สตูล!J717"")"),0)</f>
        <v>0</v>
      </c>
      <c r="AS87" s="57">
        <f ca="1">IFERROR(__xludf.DUMMYFUNCTION("IMPORTRANGE(""https://docs.google.com/spreadsheets/d/16cywr71Fj4fA5OGRHsZh30ZG2gwJhMAQv69oVBzYHv0/edit?usp=sharing"",""สตูล!I720"")"),0)</f>
        <v>0</v>
      </c>
      <c r="AT87" s="57">
        <f ca="1">IFERROR(__xludf.DUMMYFUNCTION("IMPORTRANGE(""https://docs.google.com/spreadsheets/d/16cywr71Fj4fA5OGRHsZh30ZG2gwJhMAQv69oVBzYHv0/edit?usp=sharing"",""สตูล!J718"")"),0)</f>
        <v>0</v>
      </c>
      <c r="AU87" s="57">
        <f ca="1">IFERROR(__xludf.DUMMYFUNCTION("IMPORTRANGE(""https://docs.google.com/spreadsheets/d/16cywr71Fj4fA5OGRHsZh30ZG2gwJhMAQv69oVBzYHv0/edit?usp=sharing"",""สตูล!J719"")"),0)</f>
        <v>0</v>
      </c>
      <c r="AV87" s="57">
        <f ca="1">IFERROR(__xludf.DUMMYFUNCTION("IMPORTRANGE(""https://docs.google.com/spreadsheets/d/16cywr71Fj4fA5OGRHsZh30ZG2gwJhMAQv69oVBzYHv0/edit?usp=sharing"",""สตูล!J720"")"),0)</f>
        <v>0</v>
      </c>
      <c r="AW87" s="63">
        <f t="shared" ca="1" si="14"/>
        <v>0</v>
      </c>
      <c r="AX87" s="57">
        <f ca="1">IFERROR(__xludf.DUMMYFUNCTION("IMPORTRANGE(""https://docs.google.com/spreadsheets/d/16cywr71Fj4fA5OGRHsZh30ZG2gwJhMAQv69oVBzYHv0/edit?usp=sharing"",""สตูล!I721"")"),0)</f>
        <v>0</v>
      </c>
      <c r="AY87" s="57">
        <f ca="1">IFERROR(__xludf.DUMMYFUNCTION("IMPORTRANGE(""https://docs.google.com/spreadsheets/d/16cywr71Fj4fA5OGRHsZh30ZG2gwJhMAQv69oVBzYHv0/edit?usp=sharing"",""สตูล!I722"")"),0)</f>
        <v>0</v>
      </c>
      <c r="AZ87" s="57">
        <f ca="1">IFERROR(__xludf.DUMMYFUNCTION("IMPORTRANGE(""https://docs.google.com/spreadsheets/d/16cywr71Fj4fA5OGRHsZh30ZG2gwJhMAQv69oVBzYHv0/edit?usp=sharing"",""สตูล!J721"")"),0)</f>
        <v>0</v>
      </c>
      <c r="BA87" s="63">
        <f t="shared" ca="1" si="16"/>
        <v>0</v>
      </c>
      <c r="BB87" s="57">
        <f ca="1">IFERROR(__xludf.DUMMYFUNCTION("IMPORTRANGE(""https://docs.google.com/spreadsheets/d/16cywr71Fj4fA5OGRHsZh30ZG2gwJhMAQv69oVBzYHv0/edit?usp=sharing"",""สตูล!J722"")"),0)</f>
        <v>0</v>
      </c>
      <c r="BC87" s="63">
        <f t="shared" ca="1" si="17"/>
        <v>0</v>
      </c>
      <c r="BD87" s="57">
        <f ca="1">IFERROR(__xludf.DUMMYFUNCTION("IMPORTRANGE(""https://docs.google.com/spreadsheets/d/16cywr71Fj4fA5OGRHsZh30ZG2gwJhMAQv69oVBzYHv0/edit?usp=sharing"",""สตูล!I723"")"),0)</f>
        <v>0</v>
      </c>
      <c r="BE87" s="57">
        <f ca="1">IFERROR(__xludf.DUMMYFUNCTION("IMPORTRANGE(""https://docs.google.com/spreadsheets/d/16cywr71Fj4fA5OGRHsZh30ZG2gwJhMAQv69oVBzYHv0/edit?usp=sharing"",""สตูล!I725"")"),0)</f>
        <v>0</v>
      </c>
      <c r="BF87" s="57">
        <f ca="1">IFERROR(__xludf.DUMMYFUNCTION("IMPORTRANGE(""https://docs.google.com/spreadsheets/d/16cywr71Fj4fA5OGRHsZh30ZG2gwJhMAQv69oVBzYHv0/edit?usp=sharing"",""สตูล!J723"")"),0)</f>
        <v>0</v>
      </c>
      <c r="BG87" s="57">
        <f ca="1">IFERROR(__xludf.DUMMYFUNCTION("IMPORTRANGE(""https://docs.google.com/spreadsheets/d/16cywr71Fj4fA5OGRHsZh30ZG2gwJhMAQv69oVBzYHv0/edit?usp=sharing"",""สตูล!J724"")"),0)</f>
        <v>0</v>
      </c>
      <c r="BH87" s="57">
        <f ca="1">IFERROR(__xludf.DUMMYFUNCTION("IMPORTRANGE(""https://docs.google.com/spreadsheets/d/16cywr71Fj4fA5OGRHsZh30ZG2gwJhMAQv69oVBzYHv0/edit?usp=sharing"",""สตูล!J725"")"),0)</f>
        <v>0</v>
      </c>
      <c r="BI87" s="57">
        <f ca="1">IFERROR(__xludf.DUMMYFUNCTION("IMPORTRANGE(""https://docs.google.com/spreadsheets/d/16cywr71Fj4fA5OGRHsZh30ZG2gwJhMAQv69oVBzYHv0/edit?usp=sharing"",""สตูล!I726"")"),0)</f>
        <v>0</v>
      </c>
      <c r="BJ87" s="57">
        <f ca="1">IFERROR(__xludf.DUMMYFUNCTION("IMPORTRANGE(""https://docs.google.com/spreadsheets/d/16cywr71Fj4fA5OGRHsZh30ZG2gwJhMAQv69oVBzYHv0/edit?usp=sharing"",""สตูล!I728"")"),0)</f>
        <v>0</v>
      </c>
      <c r="BK87" s="57">
        <f ca="1">IFERROR(__xludf.DUMMYFUNCTION("IMPORTRANGE(""https://docs.google.com/spreadsheets/d/16cywr71Fj4fA5OGRHsZh30ZG2gwJhMAQv69oVBzYHv0/edit?usp=sharing"",""สตูล!J726"")"),0)</f>
        <v>0</v>
      </c>
      <c r="BL87" s="57">
        <f ca="1">IFERROR(__xludf.DUMMYFUNCTION("IMPORTRANGE(""https://docs.google.com/spreadsheets/d/16cywr71Fj4fA5OGRHsZh30ZG2gwJhMAQv69oVBzYHv0/edit?usp=sharing"",""สตูล!J727"")"),0)</f>
        <v>0</v>
      </c>
      <c r="BM87" s="57">
        <f ca="1">IFERROR(__xludf.DUMMYFUNCTION("IMPORTRANGE(""https://docs.google.com/spreadsheets/d/16cywr71Fj4fA5OGRHsZh30ZG2gwJhMAQv69oVBzYHv0/edit?usp=sharing"",""สตูล!J728"")"),0)</f>
        <v>0</v>
      </c>
      <c r="BN87" s="57">
        <f ca="1">IFERROR(__xludf.DUMMYFUNCTION("IMPORTRANGE(""https://docs.google.com/spreadsheets/d/16cywr71Fj4fA5OGRHsZh30ZG2gwJhMAQv69oVBzYHv0/edit?usp=sharing"",""สตูล!I729"")"),0)</f>
        <v>0</v>
      </c>
      <c r="BO87" s="57">
        <f ca="1">IFERROR(__xludf.DUMMYFUNCTION("IMPORTRANGE(""https://docs.google.com/spreadsheets/d/16cywr71Fj4fA5OGRHsZh30ZG2gwJhMAQv69oVBzYHv0/edit?usp=sharing"",""สตูล!J729"")"),0)</f>
        <v>0</v>
      </c>
      <c r="BP87" s="63">
        <f t="shared" ca="1" si="19"/>
        <v>0</v>
      </c>
      <c r="BQ87" s="57">
        <f ca="1">IFERROR(__xludf.DUMMYFUNCTION("IMPORTRANGE(""https://docs.google.com/spreadsheets/d/16cywr71Fj4fA5OGRHsZh30ZG2gwJhMAQv69oVBzYHv0/edit?usp=sharing"",""สตูล!J730"")"),0)</f>
        <v>0</v>
      </c>
      <c r="BR87" s="57">
        <f ca="1">IFERROR(__xludf.DUMMYFUNCTION("IMPORTRANGE(""https://docs.google.com/spreadsheets/d/16cywr71Fj4fA5OGRHsZh30ZG2gwJhMAQv69oVBzYHv0/edit?usp=sharing"",""สตูล!J731"")"),0)</f>
        <v>0</v>
      </c>
      <c r="BS87" s="57">
        <f ca="1">IFERROR(__xludf.DUMMYFUNCTION("IMPORTRANGE(""https://docs.google.com/spreadsheets/d/16cywr71Fj4fA5OGRHsZh30ZG2gwJhMAQv69oVBzYHv0/edit?usp=sharing"",""สตูล!J732"")"),0)</f>
        <v>0</v>
      </c>
      <c r="BT87" s="57">
        <f ca="1">IFERROR(__xludf.DUMMYFUNCTION("IMPORTRANGE(""https://docs.google.com/spreadsheets/d/16cywr71Fj4fA5OGRHsZh30ZG2gwJhMAQv69oVBzYHv0/edit?usp=sharing"",""สตูล!J733"")"),0)</f>
        <v>0</v>
      </c>
      <c r="BU87" s="57">
        <f ca="1">IFERROR(__xludf.DUMMYFUNCTION("IMPORTRANGE(""https://docs.google.com/spreadsheets/d/16cywr71Fj4fA5OGRHsZh30ZG2gwJhMAQv69oVBzYHv0/edit?usp=sharing"",""สตูล!J734"")"),0)</f>
        <v>0</v>
      </c>
      <c r="BV87" s="57">
        <f ca="1">IFERROR(__xludf.DUMMYFUNCTION("IMPORTRANGE(""https://docs.google.com/spreadsheets/d/16cywr71Fj4fA5OGRHsZh30ZG2gwJhMAQv69oVBzYHv0/edit?usp=sharing"",""สตูล!J735"")"),0)</f>
        <v>0</v>
      </c>
    </row>
    <row r="88" spans="1:74" ht="24" customHeight="1" x14ac:dyDescent="0.3">
      <c r="A88" s="65">
        <v>14</v>
      </c>
      <c r="B88" s="66" t="s">
        <v>109</v>
      </c>
      <c r="C88" s="67">
        <f t="shared" ca="1" si="87"/>
        <v>0</v>
      </c>
      <c r="D88" s="68">
        <f ca="1">IFERROR(__xludf.DUMMYFUNCTION("IMPORTRANGE(""https://docs.google.com/spreadsheets/d/1vO9Sws6kMtrVtyvrAJptINXjK8TFBoX9xLYOVK_C8bQ/edit?usp=sharing"",""สุราษฎร์ธานี!L690"")"),0)</f>
        <v>0</v>
      </c>
      <c r="E88" s="69">
        <f ca="1">IFERROR(__xludf.DUMMYFUNCTION("IMPORTRANGE(""https://docs.google.com/spreadsheets/d/1vO9Sws6kMtrVtyvrAJptINXjK8TFBoX9xLYOVK_C8bQ/edit?usp=sharing"",""สุราษฎร์ธานี!L697"")"),0)</f>
        <v>0</v>
      </c>
      <c r="F88" s="69">
        <f ca="1">IFERROR(__xludf.DUMMYFUNCTION("IMPORTRANGE(""https://docs.google.com/spreadsheets/d/1vO9Sws6kMtrVtyvrAJptINXjK8TFBoX9xLYOVK_C8bQ/edit?usp=sharing"",""สุราษฎร์ธานี!M690"")"),0)</f>
        <v>0</v>
      </c>
      <c r="G88" s="69">
        <f ca="1">IFERROR(__xludf.DUMMYFUNCTION("IMPORTRANGE(""https://docs.google.com/spreadsheets/d/1vO9Sws6kMtrVtyvrAJptINXjK8TFBoX9xLYOVK_C8bQ/edit?usp=sharing"",""สุราษฎร์ธานี!M697"")"),0)</f>
        <v>0</v>
      </c>
      <c r="H88" s="70">
        <f t="shared" ca="1" si="33"/>
        <v>0</v>
      </c>
      <c r="I88" s="71">
        <f t="shared" ca="1" si="1"/>
        <v>0</v>
      </c>
      <c r="J88" s="72">
        <f t="shared" ca="1" si="88"/>
        <v>0</v>
      </c>
      <c r="K88" s="73">
        <f t="shared" ca="1" si="39"/>
        <v>0</v>
      </c>
      <c r="L88" s="73">
        <f t="shared" ca="1" si="40"/>
        <v>0</v>
      </c>
      <c r="M88" s="69">
        <f ca="1">IFERROR(__xludf.DUMMYFUNCTION("IMPORTRANGE(""https://docs.google.com/spreadsheets/d/1vO9Sws6kMtrVtyvrAJptINXjK8TFBoX9xLYOVK_C8bQ/edit?usp=sharing"",""สุราษฎร์ธานี!N691"")"),0)</f>
        <v>0</v>
      </c>
      <c r="N88" s="69">
        <f ca="1">IFERROR(__xludf.DUMMYFUNCTION("IMPORTRANGE(""https://docs.google.com/spreadsheets/d/1vO9Sws6kMtrVtyvrAJptINXjK8TFBoX9xLYOVK_C8bQ/edit?usp=sharing"",""สุราษฎร์ธานี!N692"")"),0)</f>
        <v>0</v>
      </c>
      <c r="O88" s="69">
        <f ca="1">IFERROR(__xludf.DUMMYFUNCTION("IMPORTRANGE(""https://docs.google.com/spreadsheets/d/1vO9Sws6kMtrVtyvrAJptINXjK8TFBoX9xLYOVK_C8bQ/edit?usp=sharing"",""สุราษฎร์ธานี!N693"")"),0)</f>
        <v>0</v>
      </c>
      <c r="P88" s="69">
        <f ca="1">IFERROR(__xludf.DUMMYFUNCTION("IMPORTRANGE(""https://docs.google.com/spreadsheets/d/1vO9Sws6kMtrVtyvrAJptINXjK8TFBoX9xLYOVK_C8bQ/edit?usp=sharing"",""สุราษฎร์ธานี!N694"")"),0)</f>
        <v>0</v>
      </c>
      <c r="Q88" s="74">
        <f ca="1">IFERROR(__xludf.DUMMYFUNCTION("IMPORTRANGE(""https://docs.google.com/spreadsheets/d/1vO9Sws6kMtrVtyvrAJptINXjK8TFBoX9xLYOVK_C8bQ/edit?usp=sharing"",""สุราษฎร์ธานี!N697"")"),0)</f>
        <v>0</v>
      </c>
      <c r="R88" s="74">
        <f t="shared" ca="1" si="42"/>
        <v>0</v>
      </c>
      <c r="S88" s="68">
        <f ca="1">IFERROR(__xludf.DUMMYFUNCTION("IMPORTRANGE(""https://docs.google.com/spreadsheets/d/1vO9Sws6kMtrVtyvrAJptINXjK8TFBoX9xLYOVK_C8bQ/edit?usp=sharing"",""สุราษฎร์ธานี!I699"")"),0)</f>
        <v>0</v>
      </c>
      <c r="T88" s="68">
        <f ca="1">IFERROR(__xludf.DUMMYFUNCTION("IMPORTRANGE(""https://docs.google.com/spreadsheets/d/1vO9Sws6kMtrVtyvrAJptINXjK8TFBoX9xLYOVK_C8bQ/edit?usp=sharing"",""สุราษฎร์ธานี!J699"")"),0)</f>
        <v>0</v>
      </c>
      <c r="U88" s="75">
        <f t="shared" ca="1" si="34"/>
        <v>0</v>
      </c>
      <c r="V88" s="68">
        <f ca="1">IFERROR(__xludf.DUMMYFUNCTION("IMPORTRANGE(""https://docs.google.com/spreadsheets/d/1vO9Sws6kMtrVtyvrAJptINXjK8TFBoX9xLYOVK_C8bQ/edit?usp=sharing"",""สุราษฎร์ธานี!I700"")"),0)</f>
        <v>0</v>
      </c>
      <c r="W88" s="68">
        <f ca="1">IFERROR(__xludf.DUMMYFUNCTION("IMPORTRANGE(""https://docs.google.com/spreadsheets/d/1vO9Sws6kMtrVtyvrAJptINXjK8TFBoX9xLYOVK_C8bQ/edit?usp=sharing"",""สุราษฎร์ธานี!J700"")"),0)</f>
        <v>0</v>
      </c>
      <c r="X88" s="75">
        <f t="shared" ca="1" si="35"/>
        <v>0</v>
      </c>
      <c r="Y88" s="68">
        <f ca="1">IFERROR(__xludf.DUMMYFUNCTION("IMPORTRANGE(""https://docs.google.com/spreadsheets/d/1vO9Sws6kMtrVtyvrAJptINXjK8TFBoX9xLYOVK_C8bQ/edit?usp=sharing"",""สุราษฎร์ธานี!I701"")"),0)</f>
        <v>0</v>
      </c>
      <c r="Z88" s="68">
        <f ca="1">IFERROR(__xludf.DUMMYFUNCTION("IMPORTRANGE(""https://docs.google.com/spreadsheets/d/1vO9Sws6kMtrVtyvrAJptINXjK8TFBoX9xLYOVK_C8bQ/edit?usp=sharing"",""สุราษฎร์ธานี!J701"")"),0)</f>
        <v>0</v>
      </c>
      <c r="AA88" s="75">
        <f t="shared" ca="1" si="36"/>
        <v>0</v>
      </c>
      <c r="AB88" s="75">
        <f ca="1">IFERROR(__xludf.DUMMYFUNCTION("IMPORTRANGE(""https://docs.google.com/spreadsheets/d/1vO9Sws6kMtrVtyvrAJptINXjK8TFBoX9xLYOVK_C8bQ/edit?usp=sharing"",""สุราษฎร์ธานี!J702"")"),0)</f>
        <v>0</v>
      </c>
      <c r="AC88" s="75">
        <f ca="1">IFERROR(__xludf.DUMMYFUNCTION("IMPORTRANGE(""https://docs.google.com/spreadsheets/d/1vO9Sws6kMtrVtyvrAJptINXjK8TFBoX9xLYOVK_C8bQ/edit?usp=sharing"",""สุราษฎร์ธานี!J703"")"),0)</f>
        <v>0</v>
      </c>
      <c r="AD88" s="75">
        <f ca="1">IFERROR(__xludf.DUMMYFUNCTION("IMPORTRANGE(""https://docs.google.com/spreadsheets/d/1vO9Sws6kMtrVtyvrAJptINXjK8TFBoX9xLYOVK_C8bQ/edit?usp=sharing"",""สุราษฎร์ธานี!J704"")"),0)</f>
        <v>0</v>
      </c>
      <c r="AE88" s="75">
        <f ca="1">IFERROR(__xludf.DUMMYFUNCTION("IMPORTRANGE(""https://docs.google.com/spreadsheets/d/1vO9Sws6kMtrVtyvrAJptINXjK8TFBoX9xLYOVK_C8bQ/edit?usp=sharing"",""สุราษฎร์ธานี!J705"")"),0)</f>
        <v>0</v>
      </c>
      <c r="AF88" s="75">
        <f ca="1">IFERROR(__xludf.DUMMYFUNCTION("IMPORTRANGE(""https://docs.google.com/spreadsheets/d/1vO9Sws6kMtrVtyvrAJptINXjK8TFBoX9xLYOVK_C8bQ/edit?usp=sharing"",""สุราษฎร์ธานี!J706"")"),0)</f>
        <v>0</v>
      </c>
      <c r="AG88" s="75">
        <f ca="1">IFERROR(__xludf.DUMMYFUNCTION("IMPORTRANGE(""https://docs.google.com/spreadsheets/d/1vO9Sws6kMtrVtyvrAJptINXjK8TFBoX9xLYOVK_C8bQ/edit?usp=sharing"",""สุราษฎร์ธานี!J707"")"),0)</f>
        <v>0</v>
      </c>
      <c r="AH88" s="68">
        <f ca="1">IFERROR(__xludf.DUMMYFUNCTION("IMPORTRANGE(""https://docs.google.com/spreadsheets/d/1vO9Sws6kMtrVtyvrAJptINXjK8TFBoX9xLYOVK_C8bQ/edit?usp=sharing"",""สุราษฎร์ธานี!I708"")"),0)</f>
        <v>0</v>
      </c>
      <c r="AI88" s="68">
        <f ca="1">IFERROR(__xludf.DUMMYFUNCTION("IMPORTRANGE(""https://docs.google.com/spreadsheets/d/1vO9Sws6kMtrVtyvrAJptINXjK8TFBoX9xLYOVK_C8bQ/edit?usp=sharing"",""สุราษฎร์ธานี!J708"")"),0)</f>
        <v>0</v>
      </c>
      <c r="AJ88" s="75">
        <f t="shared" ca="1" si="37"/>
        <v>0</v>
      </c>
      <c r="AK88" s="68">
        <f ca="1">IFERROR(__xludf.DUMMYFUNCTION("IMPORTRANGE(""https://docs.google.com/spreadsheets/d/1vO9Sws6kMtrVtyvrAJptINXjK8TFBoX9xLYOVK_C8bQ/edit?usp=sharing"",""สุราษฎร์ธานี!J709"")"),0)</f>
        <v>0</v>
      </c>
      <c r="AL88" s="68">
        <f ca="1">IFERROR(__xludf.DUMMYFUNCTION("IMPORTRANGE(""https://docs.google.com/spreadsheets/d/1vO9Sws6kMtrVtyvrAJptINXjK8TFBoX9xLYOVK_C8bQ/edit?usp=sharing"",""สุราษฎร์ธานี!J710"")"),0)</f>
        <v>0</v>
      </c>
      <c r="AM88" s="68">
        <f ca="1">IFERROR(__xludf.DUMMYFUNCTION("IMPORTRANGE(""https://docs.google.com/spreadsheets/d/1vO9Sws6kMtrVtyvrAJptINXjK8TFBoX9xLYOVK_C8bQ/edit?usp=sharing"",""สุราษฎร์ธานี!J712"")"),0)</f>
        <v>0</v>
      </c>
      <c r="AN88" s="68">
        <f ca="1">IFERROR(__xludf.DUMMYFUNCTION("IMPORTRANGE(""https://docs.google.com/spreadsheets/d/1vO9Sws6kMtrVtyvrAJptINXjK8TFBoX9xLYOVK_C8bQ/edit?usp=sharing"",""สุราษฎร์ธานี!J713"")"),0)</f>
        <v>0</v>
      </c>
      <c r="AO88" s="68">
        <f ca="1">IFERROR(__xludf.DUMMYFUNCTION("IMPORTRANGE(""https://docs.google.com/spreadsheets/d/1vO9Sws6kMtrVtyvrAJptINXjK8TFBoX9xLYOVK_C8bQ/edit?usp=sharing"",""สุราษฎร์ธานี!J714"")"),0)</f>
        <v>0</v>
      </c>
      <c r="AP88" s="68">
        <f ca="1">IFERROR(__xludf.DUMMYFUNCTION("IMPORTRANGE(""https://docs.google.com/spreadsheets/d/1vO9Sws6kMtrVtyvrAJptINXjK8TFBoX9xLYOVK_C8bQ/edit?usp=sharing"",""สุราษฎร์ธานี!J715"")"),0)</f>
        <v>0</v>
      </c>
      <c r="AQ88" s="68">
        <f ca="1">IFERROR(__xludf.DUMMYFUNCTION("IMPORTRANGE(""https://docs.google.com/spreadsheets/d/1vO9Sws6kMtrVtyvrAJptINXjK8TFBoX9xLYOVK_C8bQ/edit?usp=sharing"",""สุราษฎร์ธานี!J716"")"),0)</f>
        <v>0</v>
      </c>
      <c r="AR88" s="68">
        <f ca="1">IFERROR(__xludf.DUMMYFUNCTION("IMPORTRANGE(""https://docs.google.com/spreadsheets/d/1vO9Sws6kMtrVtyvrAJptINXjK8TFBoX9xLYOVK_C8bQ/edit?usp=sharing"",""สุราษฎร์ธานี!J717"")"),0)</f>
        <v>0</v>
      </c>
      <c r="AS88" s="68">
        <f ca="1">IFERROR(__xludf.DUMMYFUNCTION("IMPORTRANGE(""https://docs.google.com/spreadsheets/d/1vO9Sws6kMtrVtyvrAJptINXjK8TFBoX9xLYOVK_C8bQ/edit?usp=sharing"",""สุราษฎร์ธานี!I720"")"),0)</f>
        <v>0</v>
      </c>
      <c r="AT88" s="68">
        <f ca="1">IFERROR(__xludf.DUMMYFUNCTION("IMPORTRANGE(""https://docs.google.com/spreadsheets/d/1vO9Sws6kMtrVtyvrAJptINXjK8TFBoX9xLYOVK_C8bQ/edit?usp=sharing"",""สุราษฎร์ธานี!J718"")"),0)</f>
        <v>0</v>
      </c>
      <c r="AU88" s="68">
        <f ca="1">IFERROR(__xludf.DUMMYFUNCTION("IMPORTRANGE(""https://docs.google.com/spreadsheets/d/1vO9Sws6kMtrVtyvrAJptINXjK8TFBoX9xLYOVK_C8bQ/edit?usp=sharing"",""สุราษฎร์ธานี!J719"")"),0)</f>
        <v>0</v>
      </c>
      <c r="AV88" s="68">
        <f ca="1">IFERROR(__xludf.DUMMYFUNCTION("IMPORTRANGE(""https://docs.google.com/spreadsheets/d/1vO9Sws6kMtrVtyvrAJptINXjK8TFBoX9xLYOVK_C8bQ/edit?usp=sharing"",""สุราษฎร์ธานี!J720"")"),0)</f>
        <v>0</v>
      </c>
      <c r="AW88" s="75">
        <f t="shared" ca="1" si="14"/>
        <v>0</v>
      </c>
      <c r="AX88" s="68">
        <f ca="1">IFERROR(__xludf.DUMMYFUNCTION("IMPORTRANGE(""https://docs.google.com/spreadsheets/d/1vO9Sws6kMtrVtyvrAJptINXjK8TFBoX9xLYOVK_C8bQ/edit?usp=sharing"",""สุราษฎร์ธานี!I721"")"),0)</f>
        <v>0</v>
      </c>
      <c r="AY88" s="68">
        <f ca="1">IFERROR(__xludf.DUMMYFUNCTION("IMPORTRANGE(""https://docs.google.com/spreadsheets/d/1vO9Sws6kMtrVtyvrAJptINXjK8TFBoX9xLYOVK_C8bQ/edit?usp=sharing"",""สุราษฎร์ธานี!I722"")"),0)</f>
        <v>0</v>
      </c>
      <c r="AZ88" s="68">
        <f ca="1">IFERROR(__xludf.DUMMYFUNCTION("IMPORTRANGE(""https://docs.google.com/spreadsheets/d/1vO9Sws6kMtrVtyvrAJptINXjK8TFBoX9xLYOVK_C8bQ/edit?usp=sharing"",""สุราษฎร์ธานี!J721"")"),0)</f>
        <v>0</v>
      </c>
      <c r="BA88" s="75">
        <f t="shared" ca="1" si="16"/>
        <v>0</v>
      </c>
      <c r="BB88" s="68">
        <f ca="1">IFERROR(__xludf.DUMMYFUNCTION("IMPORTRANGE(""https://docs.google.com/spreadsheets/d/1vO9Sws6kMtrVtyvrAJptINXjK8TFBoX9xLYOVK_C8bQ/edit?usp=sharing"",""สุราษฎร์ธานี!J722"")"),0)</f>
        <v>0</v>
      </c>
      <c r="BC88" s="75">
        <f t="shared" ca="1" si="17"/>
        <v>0</v>
      </c>
      <c r="BD88" s="68">
        <f ca="1">IFERROR(__xludf.DUMMYFUNCTION("IMPORTRANGE(""https://docs.google.com/spreadsheets/d/1vO9Sws6kMtrVtyvrAJptINXjK8TFBoX9xLYOVK_C8bQ/edit?usp=sharing"",""สุราษฎร์ธานี!I723"")"),0)</f>
        <v>0</v>
      </c>
      <c r="BE88" s="68">
        <f ca="1">IFERROR(__xludf.DUMMYFUNCTION("IMPORTRANGE(""https://docs.google.com/spreadsheets/d/1vO9Sws6kMtrVtyvrAJptINXjK8TFBoX9xLYOVK_C8bQ/edit?usp=sharing"",""สุราษฎร์ธานี!I725"")"),0)</f>
        <v>0</v>
      </c>
      <c r="BF88" s="68">
        <f ca="1">IFERROR(__xludf.DUMMYFUNCTION("IMPORTRANGE(""https://docs.google.com/spreadsheets/d/1vO9Sws6kMtrVtyvrAJptINXjK8TFBoX9xLYOVK_C8bQ/edit?usp=sharing"",""สุราษฎร์ธานี!J723"")"),0)</f>
        <v>0</v>
      </c>
      <c r="BG88" s="68">
        <f ca="1">IFERROR(__xludf.DUMMYFUNCTION("IMPORTRANGE(""https://docs.google.com/spreadsheets/d/1vO9Sws6kMtrVtyvrAJptINXjK8TFBoX9xLYOVK_C8bQ/edit?usp=sharing"",""สุราษฎร์ธานี!J724"")"),0)</f>
        <v>0</v>
      </c>
      <c r="BH88" s="68">
        <f ca="1">IFERROR(__xludf.DUMMYFUNCTION("IMPORTRANGE(""https://docs.google.com/spreadsheets/d/1vO9Sws6kMtrVtyvrAJptINXjK8TFBoX9xLYOVK_C8bQ/edit?usp=sharing"",""สุราษฎร์ธานี!J725"")"),0)</f>
        <v>0</v>
      </c>
      <c r="BI88" s="68">
        <f ca="1">IFERROR(__xludf.DUMMYFUNCTION("IMPORTRANGE(""https://docs.google.com/spreadsheets/d/1vO9Sws6kMtrVtyvrAJptINXjK8TFBoX9xLYOVK_C8bQ/edit?usp=sharing"",""สุราษฎร์ธานี!I726"")"),0)</f>
        <v>0</v>
      </c>
      <c r="BJ88" s="68">
        <f ca="1">IFERROR(__xludf.DUMMYFUNCTION("IMPORTRANGE(""https://docs.google.com/spreadsheets/d/1vO9Sws6kMtrVtyvrAJptINXjK8TFBoX9xLYOVK_C8bQ/edit?usp=sharing"",""สุราษฎร์ธานี!I728"")"),0)</f>
        <v>0</v>
      </c>
      <c r="BK88" s="68">
        <f ca="1">IFERROR(__xludf.DUMMYFUNCTION("IMPORTRANGE(""https://docs.google.com/spreadsheets/d/1vO9Sws6kMtrVtyvrAJptINXjK8TFBoX9xLYOVK_C8bQ/edit?usp=sharing"",""สุราษฎร์ธานี!J726"")"),0)</f>
        <v>0</v>
      </c>
      <c r="BL88" s="68">
        <f ca="1">IFERROR(__xludf.DUMMYFUNCTION("IMPORTRANGE(""https://docs.google.com/spreadsheets/d/1vO9Sws6kMtrVtyvrAJptINXjK8TFBoX9xLYOVK_C8bQ/edit?usp=sharing"",""สุราษฎร์ธานี!J727"")"),0)</f>
        <v>0</v>
      </c>
      <c r="BM88" s="68">
        <f ca="1">IFERROR(__xludf.DUMMYFUNCTION("IMPORTRANGE(""https://docs.google.com/spreadsheets/d/1vO9Sws6kMtrVtyvrAJptINXjK8TFBoX9xLYOVK_C8bQ/edit?usp=sharing"",""สุราษฎร์ธานี!J728"")"),0)</f>
        <v>0</v>
      </c>
      <c r="BN88" s="68">
        <f ca="1">IFERROR(__xludf.DUMMYFUNCTION("IMPORTRANGE(""https://docs.google.com/spreadsheets/d/1vO9Sws6kMtrVtyvrAJptINXjK8TFBoX9xLYOVK_C8bQ/edit?usp=sharing"",""สุราษฎร์ธานี!I729"")"),0)</f>
        <v>0</v>
      </c>
      <c r="BO88" s="68">
        <f ca="1">IFERROR(__xludf.DUMMYFUNCTION("IMPORTRANGE(""https://docs.google.com/spreadsheets/d/1vO9Sws6kMtrVtyvrAJptINXjK8TFBoX9xLYOVK_C8bQ/edit?usp=sharing"",""สุราษฎร์ธานี!J729"")"),0)</f>
        <v>0</v>
      </c>
      <c r="BP88" s="75">
        <f t="shared" ca="1" si="19"/>
        <v>0</v>
      </c>
      <c r="BQ88" s="68">
        <f ca="1">IFERROR(__xludf.DUMMYFUNCTION("IMPORTRANGE(""https://docs.google.com/spreadsheets/d/1vO9Sws6kMtrVtyvrAJptINXjK8TFBoX9xLYOVK_C8bQ/edit?usp=sharing"",""สุราษฎร์ธานี!J730"")"),0)</f>
        <v>0</v>
      </c>
      <c r="BR88" s="68">
        <f ca="1">IFERROR(__xludf.DUMMYFUNCTION("IMPORTRANGE(""https://docs.google.com/spreadsheets/d/1vO9Sws6kMtrVtyvrAJptINXjK8TFBoX9xLYOVK_C8bQ/edit?usp=sharing"",""สุราษฎร์ธานี!J731"")"),0)</f>
        <v>0</v>
      </c>
      <c r="BS88" s="68">
        <f ca="1">IFERROR(__xludf.DUMMYFUNCTION("IMPORTRANGE(""https://docs.google.com/spreadsheets/d/1vO9Sws6kMtrVtyvrAJptINXjK8TFBoX9xLYOVK_C8bQ/edit?usp=sharing"",""สุราษฎร์ธานี!J732"")"),0)</f>
        <v>0</v>
      </c>
      <c r="BT88" s="68">
        <f ca="1">IFERROR(__xludf.DUMMYFUNCTION("IMPORTRANGE(""https://docs.google.com/spreadsheets/d/1vO9Sws6kMtrVtyvrAJptINXjK8TFBoX9xLYOVK_C8bQ/edit?usp=sharing"",""สุราษฎร์ธานี!J733"")"),0)</f>
        <v>0</v>
      </c>
      <c r="BU88" s="68">
        <f ca="1">IFERROR(__xludf.DUMMYFUNCTION("IMPORTRANGE(""https://docs.google.com/spreadsheets/d/1vO9Sws6kMtrVtyvrAJptINXjK8TFBoX9xLYOVK_C8bQ/edit?usp=sharing"",""สุราษฎร์ธานี!J734"")"),0)</f>
        <v>0</v>
      </c>
      <c r="BV88" s="68">
        <f ca="1">IFERROR(__xludf.DUMMYFUNCTION("IMPORTRANGE(""https://docs.google.com/spreadsheets/d/1vO9Sws6kMtrVtyvrAJptINXjK8TFBoX9xLYOVK_C8bQ/edit?usp=sharing"",""สุราษฎร์ธานี!J735"")"),0)</f>
        <v>0</v>
      </c>
    </row>
    <row r="89" spans="1:74" ht="21" hidden="1" customHeight="1" x14ac:dyDescent="0.3">
      <c r="A89" s="187" t="s">
        <v>110</v>
      </c>
      <c r="B89" s="178"/>
      <c r="C89" s="77">
        <f>+C90+C91+C92+C93+C94+C95+C96+C97+C98+C99+C100+C101+C102+C103</f>
        <v>0</v>
      </c>
      <c r="D89" s="43"/>
      <c r="E89" s="43"/>
      <c r="F89" s="43"/>
      <c r="G89" s="43"/>
      <c r="H89" s="40">
        <f t="shared" si="33"/>
        <v>0</v>
      </c>
      <c r="I89" s="41">
        <f t="shared" si="1"/>
        <v>0</v>
      </c>
      <c r="J89" s="40">
        <f>+J90+J91+J92+J93+J94+J95+J96+J97+J98+J99+J100+J101+J102+J103</f>
        <v>0</v>
      </c>
      <c r="K89" s="43"/>
      <c r="L89" s="43"/>
      <c r="M89" s="43"/>
      <c r="N89" s="43"/>
      <c r="O89" s="43"/>
      <c r="P89" s="43"/>
      <c r="Q89" s="78"/>
      <c r="R89" s="78">
        <f t="shared" si="42"/>
        <v>0</v>
      </c>
      <c r="S89" s="43"/>
      <c r="T89" s="43"/>
      <c r="U89" s="44"/>
      <c r="V89" s="43"/>
      <c r="W89" s="43"/>
      <c r="X89" s="44"/>
      <c r="Y89" s="43"/>
      <c r="Z89" s="43"/>
      <c r="AA89" s="44"/>
      <c r="AB89" s="43"/>
      <c r="AC89" s="43"/>
      <c r="AD89" s="44"/>
      <c r="AE89" s="43"/>
      <c r="AF89" s="44"/>
      <c r="AG89" s="43"/>
      <c r="AH89" s="43"/>
      <c r="AI89" s="43"/>
      <c r="AJ89" s="44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4"/>
      <c r="AX89" s="43"/>
      <c r="AY89" s="43"/>
      <c r="AZ89" s="43"/>
      <c r="BA89" s="44"/>
      <c r="BB89" s="43"/>
      <c r="BC89" s="44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4"/>
      <c r="BQ89" s="43"/>
      <c r="BR89" s="43"/>
      <c r="BS89" s="43"/>
      <c r="BT89" s="43"/>
      <c r="BU89" s="43"/>
      <c r="BV89" s="43"/>
    </row>
    <row r="90" spans="1:74" ht="24" hidden="1" customHeight="1" x14ac:dyDescent="0.3">
      <c r="A90" s="54">
        <v>1</v>
      </c>
      <c r="B90" s="55" t="s">
        <v>111</v>
      </c>
      <c r="C90" s="56">
        <f t="shared" ref="C90:C103" si="89">D90+E90</f>
        <v>0</v>
      </c>
      <c r="D90" s="57">
        <v>0</v>
      </c>
      <c r="E90" s="64">
        <v>0</v>
      </c>
      <c r="F90" s="79"/>
      <c r="G90" s="79"/>
      <c r="H90" s="58">
        <f t="shared" si="33"/>
        <v>0</v>
      </c>
      <c r="I90" s="59">
        <f t="shared" si="1"/>
        <v>0</v>
      </c>
      <c r="J90" s="60">
        <f t="shared" ref="J90:J103" si="90">M90+N90+O90+P90</f>
        <v>0</v>
      </c>
      <c r="K90" s="80"/>
      <c r="L90" s="80"/>
      <c r="M90" s="64">
        <v>0</v>
      </c>
      <c r="N90" s="64">
        <v>0</v>
      </c>
      <c r="O90" s="64">
        <v>0</v>
      </c>
      <c r="P90" s="64">
        <v>0</v>
      </c>
      <c r="Q90" s="62">
        <v>0</v>
      </c>
      <c r="R90" s="62">
        <f t="shared" si="42"/>
        <v>0</v>
      </c>
      <c r="S90" s="79"/>
      <c r="T90" s="79"/>
      <c r="U90" s="81"/>
      <c r="V90" s="79"/>
      <c r="W90" s="79"/>
      <c r="X90" s="81"/>
      <c r="Y90" s="79"/>
      <c r="Z90" s="79"/>
      <c r="AA90" s="81"/>
      <c r="AB90" s="79"/>
      <c r="AC90" s="79"/>
      <c r="AD90" s="81"/>
      <c r="AE90" s="79"/>
      <c r="AF90" s="81"/>
      <c r="AG90" s="79"/>
      <c r="AH90" s="79"/>
      <c r="AI90" s="79"/>
      <c r="AJ90" s="81"/>
      <c r="AK90" s="79"/>
      <c r="AL90" s="79"/>
      <c r="AM90" s="79"/>
      <c r="AN90" s="79"/>
      <c r="AO90" s="79"/>
      <c r="AP90" s="79"/>
      <c r="AQ90" s="79"/>
      <c r="AR90" s="79"/>
      <c r="AS90" s="79"/>
      <c r="AT90" s="79"/>
      <c r="AU90" s="79"/>
      <c r="AV90" s="79"/>
      <c r="AW90" s="81"/>
      <c r="AX90" s="79"/>
      <c r="AY90" s="79"/>
      <c r="AZ90" s="79"/>
      <c r="BA90" s="81"/>
      <c r="BB90" s="79"/>
      <c r="BC90" s="81"/>
      <c r="BD90" s="79"/>
      <c r="BE90" s="79"/>
      <c r="BF90" s="79"/>
      <c r="BG90" s="79"/>
      <c r="BH90" s="79"/>
      <c r="BI90" s="79"/>
      <c r="BJ90" s="79"/>
      <c r="BK90" s="79"/>
      <c r="BL90" s="79"/>
      <c r="BM90" s="79"/>
      <c r="BN90" s="79"/>
      <c r="BO90" s="79"/>
      <c r="BP90" s="81"/>
      <c r="BQ90" s="79"/>
      <c r="BR90" s="79"/>
      <c r="BS90" s="79"/>
      <c r="BT90" s="79"/>
      <c r="BU90" s="79"/>
      <c r="BV90" s="79"/>
    </row>
    <row r="91" spans="1:74" ht="24" hidden="1" customHeight="1" x14ac:dyDescent="0.3">
      <c r="A91" s="54">
        <v>2</v>
      </c>
      <c r="B91" s="55" t="s">
        <v>112</v>
      </c>
      <c r="C91" s="56">
        <f t="shared" si="89"/>
        <v>0</v>
      </c>
      <c r="D91" s="57">
        <v>0</v>
      </c>
      <c r="E91" s="64">
        <v>0</v>
      </c>
      <c r="F91" s="79"/>
      <c r="G91" s="79"/>
      <c r="H91" s="58">
        <f t="shared" si="33"/>
        <v>0</v>
      </c>
      <c r="I91" s="59">
        <f t="shared" si="1"/>
        <v>0</v>
      </c>
      <c r="J91" s="60">
        <f t="shared" si="90"/>
        <v>0</v>
      </c>
      <c r="K91" s="80"/>
      <c r="L91" s="80"/>
      <c r="M91" s="64">
        <v>0</v>
      </c>
      <c r="N91" s="64">
        <v>0</v>
      </c>
      <c r="O91" s="64">
        <v>0</v>
      </c>
      <c r="P91" s="64">
        <v>0</v>
      </c>
      <c r="Q91" s="62">
        <v>0</v>
      </c>
      <c r="R91" s="62">
        <f t="shared" si="42"/>
        <v>0</v>
      </c>
      <c r="S91" s="79"/>
      <c r="T91" s="79"/>
      <c r="U91" s="81"/>
      <c r="V91" s="79"/>
      <c r="W91" s="79"/>
      <c r="X91" s="81"/>
      <c r="Y91" s="79"/>
      <c r="Z91" s="79"/>
      <c r="AA91" s="81"/>
      <c r="AB91" s="79"/>
      <c r="AC91" s="79"/>
      <c r="AD91" s="81"/>
      <c r="AE91" s="79"/>
      <c r="AF91" s="81"/>
      <c r="AG91" s="79"/>
      <c r="AH91" s="79"/>
      <c r="AI91" s="79"/>
      <c r="AJ91" s="81"/>
      <c r="AK91" s="79"/>
      <c r="AL91" s="79"/>
      <c r="AM91" s="79"/>
      <c r="AN91" s="79"/>
      <c r="AO91" s="79"/>
      <c r="AP91" s="79"/>
      <c r="AQ91" s="79"/>
      <c r="AR91" s="79"/>
      <c r="AS91" s="79"/>
      <c r="AT91" s="79"/>
      <c r="AU91" s="79"/>
      <c r="AV91" s="79"/>
      <c r="AW91" s="81"/>
      <c r="AX91" s="79"/>
      <c r="AY91" s="79"/>
      <c r="AZ91" s="79"/>
      <c r="BA91" s="81"/>
      <c r="BB91" s="79"/>
      <c r="BC91" s="81"/>
      <c r="BD91" s="79"/>
      <c r="BE91" s="79"/>
      <c r="BF91" s="79"/>
      <c r="BG91" s="79"/>
      <c r="BH91" s="79"/>
      <c r="BI91" s="79"/>
      <c r="BJ91" s="79"/>
      <c r="BK91" s="79"/>
      <c r="BL91" s="79"/>
      <c r="BM91" s="79"/>
      <c r="BN91" s="79"/>
      <c r="BO91" s="79"/>
      <c r="BP91" s="81"/>
      <c r="BQ91" s="79"/>
      <c r="BR91" s="79"/>
      <c r="BS91" s="79"/>
      <c r="BT91" s="79"/>
      <c r="BU91" s="79"/>
      <c r="BV91" s="79"/>
    </row>
    <row r="92" spans="1:74" ht="24" hidden="1" customHeight="1" x14ac:dyDescent="0.3">
      <c r="A92" s="54">
        <v>3</v>
      </c>
      <c r="B92" s="55" t="s">
        <v>113</v>
      </c>
      <c r="C92" s="56">
        <f t="shared" si="89"/>
        <v>0</v>
      </c>
      <c r="D92" s="57">
        <v>0</v>
      </c>
      <c r="E92" s="64">
        <v>0</v>
      </c>
      <c r="F92" s="79"/>
      <c r="G92" s="79"/>
      <c r="H92" s="58">
        <f t="shared" si="33"/>
        <v>0</v>
      </c>
      <c r="I92" s="59">
        <f t="shared" si="1"/>
        <v>0</v>
      </c>
      <c r="J92" s="60">
        <f t="shared" si="90"/>
        <v>0</v>
      </c>
      <c r="K92" s="80"/>
      <c r="L92" s="80"/>
      <c r="M92" s="64">
        <v>0</v>
      </c>
      <c r="N92" s="64">
        <v>0</v>
      </c>
      <c r="O92" s="64">
        <v>0</v>
      </c>
      <c r="P92" s="64">
        <v>0</v>
      </c>
      <c r="Q92" s="62">
        <v>0</v>
      </c>
      <c r="R92" s="62">
        <f t="shared" si="42"/>
        <v>0</v>
      </c>
      <c r="S92" s="79"/>
      <c r="T92" s="79"/>
      <c r="U92" s="81"/>
      <c r="V92" s="79"/>
      <c r="W92" s="79"/>
      <c r="X92" s="81"/>
      <c r="Y92" s="79"/>
      <c r="Z92" s="79"/>
      <c r="AA92" s="81"/>
      <c r="AB92" s="79"/>
      <c r="AC92" s="79"/>
      <c r="AD92" s="81"/>
      <c r="AE92" s="79"/>
      <c r="AF92" s="81"/>
      <c r="AG92" s="79"/>
      <c r="AH92" s="79"/>
      <c r="AI92" s="79"/>
      <c r="AJ92" s="81"/>
      <c r="AK92" s="79"/>
      <c r="AL92" s="79"/>
      <c r="AM92" s="79"/>
      <c r="AN92" s="79"/>
      <c r="AO92" s="79"/>
      <c r="AP92" s="79"/>
      <c r="AQ92" s="79"/>
      <c r="AR92" s="79"/>
      <c r="AS92" s="79"/>
      <c r="AT92" s="79"/>
      <c r="AU92" s="79"/>
      <c r="AV92" s="79"/>
      <c r="AW92" s="81"/>
      <c r="AX92" s="79"/>
      <c r="AY92" s="79"/>
      <c r="AZ92" s="79"/>
      <c r="BA92" s="81"/>
      <c r="BB92" s="79"/>
      <c r="BC92" s="81"/>
      <c r="BD92" s="79"/>
      <c r="BE92" s="79"/>
      <c r="BF92" s="79"/>
      <c r="BG92" s="79"/>
      <c r="BH92" s="79"/>
      <c r="BI92" s="79"/>
      <c r="BJ92" s="79"/>
      <c r="BK92" s="79"/>
      <c r="BL92" s="79"/>
      <c r="BM92" s="79"/>
      <c r="BN92" s="79"/>
      <c r="BO92" s="79"/>
      <c r="BP92" s="81"/>
      <c r="BQ92" s="79"/>
      <c r="BR92" s="79"/>
      <c r="BS92" s="79"/>
      <c r="BT92" s="79"/>
      <c r="BU92" s="79"/>
      <c r="BV92" s="79"/>
    </row>
    <row r="93" spans="1:74" ht="24" hidden="1" customHeight="1" x14ac:dyDescent="0.3">
      <c r="A93" s="54">
        <f t="shared" ref="A93:A103" si="91">+A92+1</f>
        <v>4</v>
      </c>
      <c r="B93" s="55" t="s">
        <v>114</v>
      </c>
      <c r="C93" s="56">
        <f t="shared" si="89"/>
        <v>0</v>
      </c>
      <c r="D93" s="57">
        <v>0</v>
      </c>
      <c r="E93" s="64">
        <v>0</v>
      </c>
      <c r="F93" s="79"/>
      <c r="G93" s="79"/>
      <c r="H93" s="58">
        <f t="shared" si="33"/>
        <v>0</v>
      </c>
      <c r="I93" s="59">
        <f t="shared" si="1"/>
        <v>0</v>
      </c>
      <c r="J93" s="60">
        <f t="shared" si="90"/>
        <v>0</v>
      </c>
      <c r="K93" s="80"/>
      <c r="L93" s="80"/>
      <c r="M93" s="64">
        <v>0</v>
      </c>
      <c r="N93" s="64">
        <v>0</v>
      </c>
      <c r="O93" s="64">
        <v>0</v>
      </c>
      <c r="P93" s="64">
        <v>0</v>
      </c>
      <c r="Q93" s="62">
        <v>0</v>
      </c>
      <c r="R93" s="62">
        <f t="shared" si="42"/>
        <v>0</v>
      </c>
      <c r="S93" s="79"/>
      <c r="T93" s="79"/>
      <c r="U93" s="81"/>
      <c r="V93" s="79"/>
      <c r="W93" s="79"/>
      <c r="X93" s="81"/>
      <c r="Y93" s="79"/>
      <c r="Z93" s="79"/>
      <c r="AA93" s="81"/>
      <c r="AB93" s="79"/>
      <c r="AC93" s="79"/>
      <c r="AD93" s="81"/>
      <c r="AE93" s="79"/>
      <c r="AF93" s="81"/>
      <c r="AG93" s="79"/>
      <c r="AH93" s="79"/>
      <c r="AI93" s="79"/>
      <c r="AJ93" s="81"/>
      <c r="AK93" s="79"/>
      <c r="AL93" s="79"/>
      <c r="AM93" s="79"/>
      <c r="AN93" s="79"/>
      <c r="AO93" s="79"/>
      <c r="AP93" s="79"/>
      <c r="AQ93" s="79"/>
      <c r="AR93" s="79"/>
      <c r="AS93" s="79"/>
      <c r="AT93" s="79"/>
      <c r="AU93" s="79"/>
      <c r="AV93" s="79"/>
      <c r="AW93" s="81"/>
      <c r="AX93" s="79"/>
      <c r="AY93" s="79"/>
      <c r="AZ93" s="79"/>
      <c r="BA93" s="81"/>
      <c r="BB93" s="79"/>
      <c r="BC93" s="81"/>
      <c r="BD93" s="79"/>
      <c r="BE93" s="79"/>
      <c r="BF93" s="79"/>
      <c r="BG93" s="79"/>
      <c r="BH93" s="79"/>
      <c r="BI93" s="79"/>
      <c r="BJ93" s="79"/>
      <c r="BK93" s="79"/>
      <c r="BL93" s="79"/>
      <c r="BM93" s="79"/>
      <c r="BN93" s="79"/>
      <c r="BO93" s="79"/>
      <c r="BP93" s="81"/>
      <c r="BQ93" s="79"/>
      <c r="BR93" s="79"/>
      <c r="BS93" s="79"/>
      <c r="BT93" s="79"/>
      <c r="BU93" s="79"/>
      <c r="BV93" s="79"/>
    </row>
    <row r="94" spans="1:74" ht="24" hidden="1" customHeight="1" x14ac:dyDescent="0.3">
      <c r="A94" s="54">
        <f t="shared" si="91"/>
        <v>5</v>
      </c>
      <c r="B94" s="55" t="s">
        <v>115</v>
      </c>
      <c r="C94" s="56">
        <f t="shared" si="89"/>
        <v>0</v>
      </c>
      <c r="D94" s="57">
        <v>0</v>
      </c>
      <c r="E94" s="64">
        <v>0</v>
      </c>
      <c r="F94" s="79"/>
      <c r="G94" s="79"/>
      <c r="H94" s="58">
        <f t="shared" si="33"/>
        <v>0</v>
      </c>
      <c r="I94" s="59">
        <f t="shared" si="1"/>
        <v>0</v>
      </c>
      <c r="J94" s="60">
        <f t="shared" si="90"/>
        <v>0</v>
      </c>
      <c r="K94" s="80"/>
      <c r="L94" s="80"/>
      <c r="M94" s="64">
        <v>0</v>
      </c>
      <c r="N94" s="64">
        <v>0</v>
      </c>
      <c r="O94" s="64">
        <v>0</v>
      </c>
      <c r="P94" s="64">
        <v>0</v>
      </c>
      <c r="Q94" s="62">
        <v>0</v>
      </c>
      <c r="R94" s="62">
        <f t="shared" si="42"/>
        <v>0</v>
      </c>
      <c r="S94" s="79"/>
      <c r="T94" s="79"/>
      <c r="U94" s="81"/>
      <c r="V94" s="79"/>
      <c r="W94" s="79"/>
      <c r="X94" s="81"/>
      <c r="Y94" s="79"/>
      <c r="Z94" s="79"/>
      <c r="AA94" s="81"/>
      <c r="AB94" s="79"/>
      <c r="AC94" s="79"/>
      <c r="AD94" s="81"/>
      <c r="AE94" s="79"/>
      <c r="AF94" s="81"/>
      <c r="AG94" s="79"/>
      <c r="AH94" s="79"/>
      <c r="AI94" s="79"/>
      <c r="AJ94" s="81"/>
      <c r="AK94" s="79"/>
      <c r="AL94" s="79"/>
      <c r="AM94" s="79"/>
      <c r="AN94" s="79"/>
      <c r="AO94" s="79"/>
      <c r="AP94" s="79"/>
      <c r="AQ94" s="79"/>
      <c r="AR94" s="79"/>
      <c r="AS94" s="79"/>
      <c r="AT94" s="79"/>
      <c r="AU94" s="79"/>
      <c r="AV94" s="79"/>
      <c r="AW94" s="81"/>
      <c r="AX94" s="79"/>
      <c r="AY94" s="79"/>
      <c r="AZ94" s="79"/>
      <c r="BA94" s="81"/>
      <c r="BB94" s="79"/>
      <c r="BC94" s="81"/>
      <c r="BD94" s="79"/>
      <c r="BE94" s="79"/>
      <c r="BF94" s="79"/>
      <c r="BG94" s="79"/>
      <c r="BH94" s="79"/>
      <c r="BI94" s="79"/>
      <c r="BJ94" s="79"/>
      <c r="BK94" s="79"/>
      <c r="BL94" s="79"/>
      <c r="BM94" s="79"/>
      <c r="BN94" s="79"/>
      <c r="BO94" s="79"/>
      <c r="BP94" s="81"/>
      <c r="BQ94" s="79"/>
      <c r="BR94" s="79"/>
      <c r="BS94" s="79"/>
      <c r="BT94" s="79"/>
      <c r="BU94" s="79"/>
      <c r="BV94" s="79"/>
    </row>
    <row r="95" spans="1:74" ht="24" hidden="1" customHeight="1" x14ac:dyDescent="0.3">
      <c r="A95" s="54">
        <f t="shared" si="91"/>
        <v>6</v>
      </c>
      <c r="B95" s="55" t="s">
        <v>116</v>
      </c>
      <c r="C95" s="56">
        <f t="shared" si="89"/>
        <v>0</v>
      </c>
      <c r="D95" s="57">
        <v>0</v>
      </c>
      <c r="E95" s="64">
        <v>0</v>
      </c>
      <c r="F95" s="79"/>
      <c r="G95" s="79"/>
      <c r="H95" s="58">
        <f t="shared" si="33"/>
        <v>0</v>
      </c>
      <c r="I95" s="59">
        <f t="shared" si="1"/>
        <v>0</v>
      </c>
      <c r="J95" s="60">
        <f t="shared" si="90"/>
        <v>0</v>
      </c>
      <c r="K95" s="80"/>
      <c r="L95" s="80"/>
      <c r="M95" s="64">
        <v>0</v>
      </c>
      <c r="N95" s="64">
        <v>0</v>
      </c>
      <c r="O95" s="64">
        <v>0</v>
      </c>
      <c r="P95" s="64">
        <v>0</v>
      </c>
      <c r="Q95" s="62">
        <v>0</v>
      </c>
      <c r="R95" s="62">
        <f t="shared" si="42"/>
        <v>0</v>
      </c>
      <c r="S95" s="79"/>
      <c r="T95" s="79"/>
      <c r="U95" s="81"/>
      <c r="V95" s="79"/>
      <c r="W95" s="79"/>
      <c r="X95" s="81"/>
      <c r="Y95" s="79"/>
      <c r="Z95" s="79"/>
      <c r="AA95" s="81"/>
      <c r="AB95" s="79"/>
      <c r="AC95" s="79"/>
      <c r="AD95" s="81"/>
      <c r="AE95" s="79"/>
      <c r="AF95" s="81"/>
      <c r="AG95" s="79"/>
      <c r="AH95" s="79"/>
      <c r="AI95" s="79"/>
      <c r="AJ95" s="81"/>
      <c r="AK95" s="79"/>
      <c r="AL95" s="79"/>
      <c r="AM95" s="79"/>
      <c r="AN95" s="79"/>
      <c r="AO95" s="79"/>
      <c r="AP95" s="79"/>
      <c r="AQ95" s="79"/>
      <c r="AR95" s="79"/>
      <c r="AS95" s="79"/>
      <c r="AT95" s="79"/>
      <c r="AU95" s="79"/>
      <c r="AV95" s="79"/>
      <c r="AW95" s="81"/>
      <c r="AX95" s="79"/>
      <c r="AY95" s="79"/>
      <c r="AZ95" s="79"/>
      <c r="BA95" s="81"/>
      <c r="BB95" s="79"/>
      <c r="BC95" s="81"/>
      <c r="BD95" s="79"/>
      <c r="BE95" s="79"/>
      <c r="BF95" s="79"/>
      <c r="BG95" s="79"/>
      <c r="BH95" s="79"/>
      <c r="BI95" s="79"/>
      <c r="BJ95" s="79"/>
      <c r="BK95" s="79"/>
      <c r="BL95" s="79"/>
      <c r="BM95" s="79"/>
      <c r="BN95" s="79"/>
      <c r="BO95" s="79"/>
      <c r="BP95" s="81"/>
      <c r="BQ95" s="79"/>
      <c r="BR95" s="79"/>
      <c r="BS95" s="79"/>
      <c r="BT95" s="79"/>
      <c r="BU95" s="79"/>
      <c r="BV95" s="79"/>
    </row>
    <row r="96" spans="1:74" ht="24" hidden="1" customHeight="1" x14ac:dyDescent="0.3">
      <c r="A96" s="54">
        <f t="shared" si="91"/>
        <v>7</v>
      </c>
      <c r="B96" s="55" t="s">
        <v>117</v>
      </c>
      <c r="C96" s="56">
        <f t="shared" si="89"/>
        <v>0</v>
      </c>
      <c r="D96" s="57">
        <v>0</v>
      </c>
      <c r="E96" s="64">
        <v>0</v>
      </c>
      <c r="F96" s="79"/>
      <c r="G96" s="79"/>
      <c r="H96" s="58">
        <f t="shared" si="33"/>
        <v>0</v>
      </c>
      <c r="I96" s="59">
        <f t="shared" si="1"/>
        <v>0</v>
      </c>
      <c r="J96" s="60">
        <f t="shared" si="90"/>
        <v>0</v>
      </c>
      <c r="K96" s="80"/>
      <c r="L96" s="80"/>
      <c r="M96" s="64">
        <v>0</v>
      </c>
      <c r="N96" s="64">
        <v>0</v>
      </c>
      <c r="O96" s="64">
        <v>0</v>
      </c>
      <c r="P96" s="64">
        <v>0</v>
      </c>
      <c r="Q96" s="62">
        <v>0</v>
      </c>
      <c r="R96" s="62">
        <f t="shared" si="42"/>
        <v>0</v>
      </c>
      <c r="S96" s="79"/>
      <c r="T96" s="79"/>
      <c r="U96" s="81"/>
      <c r="V96" s="79"/>
      <c r="W96" s="79"/>
      <c r="X96" s="81"/>
      <c r="Y96" s="79"/>
      <c r="Z96" s="79"/>
      <c r="AA96" s="81"/>
      <c r="AB96" s="79"/>
      <c r="AC96" s="79"/>
      <c r="AD96" s="81"/>
      <c r="AE96" s="79"/>
      <c r="AF96" s="81"/>
      <c r="AG96" s="79"/>
      <c r="AH96" s="79"/>
      <c r="AI96" s="79"/>
      <c r="AJ96" s="81"/>
      <c r="AK96" s="79"/>
      <c r="AL96" s="79"/>
      <c r="AM96" s="79"/>
      <c r="AN96" s="79"/>
      <c r="AO96" s="79"/>
      <c r="AP96" s="79"/>
      <c r="AQ96" s="79"/>
      <c r="AR96" s="79"/>
      <c r="AS96" s="79"/>
      <c r="AT96" s="79"/>
      <c r="AU96" s="79"/>
      <c r="AV96" s="79"/>
      <c r="AW96" s="81"/>
      <c r="AX96" s="79"/>
      <c r="AY96" s="79"/>
      <c r="AZ96" s="79"/>
      <c r="BA96" s="81"/>
      <c r="BB96" s="79"/>
      <c r="BC96" s="81"/>
      <c r="BD96" s="79"/>
      <c r="BE96" s="79"/>
      <c r="BF96" s="79"/>
      <c r="BG96" s="79"/>
      <c r="BH96" s="79"/>
      <c r="BI96" s="79"/>
      <c r="BJ96" s="79"/>
      <c r="BK96" s="79"/>
      <c r="BL96" s="79"/>
      <c r="BM96" s="79"/>
      <c r="BN96" s="79"/>
      <c r="BO96" s="79"/>
      <c r="BP96" s="81"/>
      <c r="BQ96" s="79"/>
      <c r="BR96" s="79"/>
      <c r="BS96" s="79"/>
      <c r="BT96" s="79"/>
      <c r="BU96" s="79"/>
      <c r="BV96" s="79"/>
    </row>
    <row r="97" spans="1:74" ht="24" hidden="1" customHeight="1" x14ac:dyDescent="0.3">
      <c r="A97" s="54">
        <f t="shared" si="91"/>
        <v>8</v>
      </c>
      <c r="B97" s="55" t="s">
        <v>118</v>
      </c>
      <c r="C97" s="56">
        <f t="shared" si="89"/>
        <v>0</v>
      </c>
      <c r="D97" s="57">
        <v>0</v>
      </c>
      <c r="E97" s="64">
        <v>0</v>
      </c>
      <c r="F97" s="79"/>
      <c r="G97" s="79"/>
      <c r="H97" s="58">
        <f t="shared" si="33"/>
        <v>0</v>
      </c>
      <c r="I97" s="59">
        <f t="shared" si="1"/>
        <v>0</v>
      </c>
      <c r="J97" s="60">
        <f t="shared" si="90"/>
        <v>0</v>
      </c>
      <c r="K97" s="80"/>
      <c r="L97" s="80"/>
      <c r="M97" s="64">
        <v>0</v>
      </c>
      <c r="N97" s="64">
        <v>0</v>
      </c>
      <c r="O97" s="64">
        <v>0</v>
      </c>
      <c r="P97" s="64">
        <v>0</v>
      </c>
      <c r="Q97" s="62">
        <v>0</v>
      </c>
      <c r="R97" s="62">
        <f t="shared" si="42"/>
        <v>0</v>
      </c>
      <c r="S97" s="79"/>
      <c r="T97" s="79"/>
      <c r="U97" s="81"/>
      <c r="V97" s="79"/>
      <c r="W97" s="79"/>
      <c r="X97" s="81"/>
      <c r="Y97" s="79"/>
      <c r="Z97" s="79"/>
      <c r="AA97" s="81"/>
      <c r="AB97" s="79"/>
      <c r="AC97" s="79"/>
      <c r="AD97" s="81"/>
      <c r="AE97" s="79"/>
      <c r="AF97" s="81"/>
      <c r="AG97" s="79"/>
      <c r="AH97" s="79"/>
      <c r="AI97" s="79"/>
      <c r="AJ97" s="81"/>
      <c r="AK97" s="79"/>
      <c r="AL97" s="79"/>
      <c r="AM97" s="79"/>
      <c r="AN97" s="79"/>
      <c r="AO97" s="79"/>
      <c r="AP97" s="79"/>
      <c r="AQ97" s="79"/>
      <c r="AR97" s="79"/>
      <c r="AS97" s="79"/>
      <c r="AT97" s="79"/>
      <c r="AU97" s="79"/>
      <c r="AV97" s="79"/>
      <c r="AW97" s="81"/>
      <c r="AX97" s="79"/>
      <c r="AY97" s="79"/>
      <c r="AZ97" s="79"/>
      <c r="BA97" s="81"/>
      <c r="BB97" s="79"/>
      <c r="BC97" s="81"/>
      <c r="BD97" s="79"/>
      <c r="BE97" s="79"/>
      <c r="BF97" s="79"/>
      <c r="BG97" s="79"/>
      <c r="BH97" s="79"/>
      <c r="BI97" s="79"/>
      <c r="BJ97" s="79"/>
      <c r="BK97" s="79"/>
      <c r="BL97" s="79"/>
      <c r="BM97" s="79"/>
      <c r="BN97" s="79"/>
      <c r="BO97" s="79"/>
      <c r="BP97" s="81"/>
      <c r="BQ97" s="79"/>
      <c r="BR97" s="79"/>
      <c r="BS97" s="79"/>
      <c r="BT97" s="79"/>
      <c r="BU97" s="79"/>
      <c r="BV97" s="79"/>
    </row>
    <row r="98" spans="1:74" ht="24" hidden="1" customHeight="1" x14ac:dyDescent="0.3">
      <c r="A98" s="54">
        <f t="shared" si="91"/>
        <v>9</v>
      </c>
      <c r="B98" s="55" t="s">
        <v>119</v>
      </c>
      <c r="C98" s="56">
        <f t="shared" si="89"/>
        <v>0</v>
      </c>
      <c r="D98" s="57">
        <v>0</v>
      </c>
      <c r="E98" s="64">
        <v>0</v>
      </c>
      <c r="F98" s="79"/>
      <c r="G98" s="79"/>
      <c r="H98" s="58">
        <f t="shared" si="33"/>
        <v>0</v>
      </c>
      <c r="I98" s="59">
        <f t="shared" si="1"/>
        <v>0</v>
      </c>
      <c r="J98" s="60">
        <f t="shared" si="90"/>
        <v>0</v>
      </c>
      <c r="K98" s="80"/>
      <c r="L98" s="80"/>
      <c r="M98" s="64">
        <v>0</v>
      </c>
      <c r="N98" s="64">
        <v>0</v>
      </c>
      <c r="O98" s="64">
        <v>0</v>
      </c>
      <c r="P98" s="64">
        <v>0</v>
      </c>
      <c r="Q98" s="62">
        <v>0</v>
      </c>
      <c r="R98" s="62">
        <f t="shared" si="42"/>
        <v>0</v>
      </c>
      <c r="S98" s="79"/>
      <c r="T98" s="79"/>
      <c r="U98" s="81"/>
      <c r="V98" s="79"/>
      <c r="W98" s="79"/>
      <c r="X98" s="81"/>
      <c r="Y98" s="79"/>
      <c r="Z98" s="79"/>
      <c r="AA98" s="81"/>
      <c r="AB98" s="79"/>
      <c r="AC98" s="79"/>
      <c r="AD98" s="81"/>
      <c r="AE98" s="79"/>
      <c r="AF98" s="81"/>
      <c r="AG98" s="79"/>
      <c r="AH98" s="79"/>
      <c r="AI98" s="79"/>
      <c r="AJ98" s="81"/>
      <c r="AK98" s="79"/>
      <c r="AL98" s="79"/>
      <c r="AM98" s="79"/>
      <c r="AN98" s="79"/>
      <c r="AO98" s="79"/>
      <c r="AP98" s="79"/>
      <c r="AQ98" s="79"/>
      <c r="AR98" s="79"/>
      <c r="AS98" s="79"/>
      <c r="AT98" s="79"/>
      <c r="AU98" s="79"/>
      <c r="AV98" s="79"/>
      <c r="AW98" s="81"/>
      <c r="AX98" s="79"/>
      <c r="AY98" s="79"/>
      <c r="AZ98" s="79"/>
      <c r="BA98" s="81"/>
      <c r="BB98" s="79"/>
      <c r="BC98" s="81"/>
      <c r="BD98" s="79"/>
      <c r="BE98" s="79"/>
      <c r="BF98" s="79"/>
      <c r="BG98" s="79"/>
      <c r="BH98" s="79"/>
      <c r="BI98" s="79"/>
      <c r="BJ98" s="79"/>
      <c r="BK98" s="79"/>
      <c r="BL98" s="79"/>
      <c r="BM98" s="79"/>
      <c r="BN98" s="79"/>
      <c r="BO98" s="79"/>
      <c r="BP98" s="81"/>
      <c r="BQ98" s="79"/>
      <c r="BR98" s="79"/>
      <c r="BS98" s="79"/>
      <c r="BT98" s="79"/>
      <c r="BU98" s="79"/>
      <c r="BV98" s="79"/>
    </row>
    <row r="99" spans="1:74" ht="24" hidden="1" customHeight="1" x14ac:dyDescent="0.3">
      <c r="A99" s="54">
        <f t="shared" si="91"/>
        <v>10</v>
      </c>
      <c r="B99" s="55" t="s">
        <v>120</v>
      </c>
      <c r="C99" s="56">
        <f t="shared" si="89"/>
        <v>0</v>
      </c>
      <c r="D99" s="57">
        <v>0</v>
      </c>
      <c r="E99" s="64">
        <v>0</v>
      </c>
      <c r="F99" s="79"/>
      <c r="G99" s="79"/>
      <c r="H99" s="58">
        <f t="shared" si="33"/>
        <v>0</v>
      </c>
      <c r="I99" s="59">
        <f t="shared" si="1"/>
        <v>0</v>
      </c>
      <c r="J99" s="60">
        <f t="shared" si="90"/>
        <v>0</v>
      </c>
      <c r="K99" s="80"/>
      <c r="L99" s="80"/>
      <c r="M99" s="64">
        <v>0</v>
      </c>
      <c r="N99" s="64">
        <v>0</v>
      </c>
      <c r="O99" s="64">
        <v>0</v>
      </c>
      <c r="P99" s="64">
        <v>0</v>
      </c>
      <c r="Q99" s="62">
        <v>0</v>
      </c>
      <c r="R99" s="62">
        <f t="shared" si="42"/>
        <v>0</v>
      </c>
      <c r="S99" s="79"/>
      <c r="T99" s="79"/>
      <c r="U99" s="81"/>
      <c r="V99" s="79"/>
      <c r="W99" s="79"/>
      <c r="X99" s="81"/>
      <c r="Y99" s="79"/>
      <c r="Z99" s="79"/>
      <c r="AA99" s="81"/>
      <c r="AB99" s="79"/>
      <c r="AC99" s="79"/>
      <c r="AD99" s="81"/>
      <c r="AE99" s="79"/>
      <c r="AF99" s="81"/>
      <c r="AG99" s="79"/>
      <c r="AH99" s="79"/>
      <c r="AI99" s="79"/>
      <c r="AJ99" s="81"/>
      <c r="AK99" s="79"/>
      <c r="AL99" s="79"/>
      <c r="AM99" s="79"/>
      <c r="AN99" s="79"/>
      <c r="AO99" s="79"/>
      <c r="AP99" s="79"/>
      <c r="AQ99" s="79"/>
      <c r="AR99" s="79"/>
      <c r="AS99" s="79"/>
      <c r="AT99" s="79"/>
      <c r="AU99" s="79"/>
      <c r="AV99" s="79"/>
      <c r="AW99" s="81"/>
      <c r="AX99" s="79"/>
      <c r="AY99" s="79"/>
      <c r="AZ99" s="79"/>
      <c r="BA99" s="81"/>
      <c r="BB99" s="79"/>
      <c r="BC99" s="81"/>
      <c r="BD99" s="79"/>
      <c r="BE99" s="79"/>
      <c r="BF99" s="79"/>
      <c r="BG99" s="79"/>
      <c r="BH99" s="79"/>
      <c r="BI99" s="79"/>
      <c r="BJ99" s="79"/>
      <c r="BK99" s="79"/>
      <c r="BL99" s="79"/>
      <c r="BM99" s="79"/>
      <c r="BN99" s="79"/>
      <c r="BO99" s="79"/>
      <c r="BP99" s="81"/>
      <c r="BQ99" s="79"/>
      <c r="BR99" s="79"/>
      <c r="BS99" s="79"/>
      <c r="BT99" s="79"/>
      <c r="BU99" s="79"/>
      <c r="BV99" s="79"/>
    </row>
    <row r="100" spans="1:74" ht="24" hidden="1" customHeight="1" x14ac:dyDescent="0.3">
      <c r="A100" s="54">
        <f t="shared" si="91"/>
        <v>11</v>
      </c>
      <c r="B100" s="55" t="s">
        <v>121</v>
      </c>
      <c r="C100" s="56">
        <f t="shared" si="89"/>
        <v>0</v>
      </c>
      <c r="D100" s="57">
        <v>0</v>
      </c>
      <c r="E100" s="64">
        <v>0</v>
      </c>
      <c r="F100" s="79"/>
      <c r="G100" s="79"/>
      <c r="H100" s="58">
        <f t="shared" si="33"/>
        <v>0</v>
      </c>
      <c r="I100" s="59">
        <f t="shared" si="1"/>
        <v>0</v>
      </c>
      <c r="J100" s="60">
        <f t="shared" si="90"/>
        <v>0</v>
      </c>
      <c r="K100" s="80"/>
      <c r="L100" s="80"/>
      <c r="M100" s="64">
        <v>0</v>
      </c>
      <c r="N100" s="64">
        <v>0</v>
      </c>
      <c r="O100" s="64">
        <v>0</v>
      </c>
      <c r="P100" s="64">
        <v>0</v>
      </c>
      <c r="Q100" s="62">
        <v>0</v>
      </c>
      <c r="R100" s="62">
        <f t="shared" si="42"/>
        <v>0</v>
      </c>
      <c r="S100" s="79"/>
      <c r="T100" s="79"/>
      <c r="U100" s="81"/>
      <c r="V100" s="79"/>
      <c r="W100" s="79"/>
      <c r="X100" s="81"/>
      <c r="Y100" s="79"/>
      <c r="Z100" s="79"/>
      <c r="AA100" s="81"/>
      <c r="AB100" s="79"/>
      <c r="AC100" s="79"/>
      <c r="AD100" s="81"/>
      <c r="AE100" s="79"/>
      <c r="AF100" s="81"/>
      <c r="AG100" s="79"/>
      <c r="AH100" s="79"/>
      <c r="AI100" s="79"/>
      <c r="AJ100" s="81"/>
      <c r="AK100" s="79"/>
      <c r="AL100" s="79"/>
      <c r="AM100" s="79"/>
      <c r="AN100" s="79"/>
      <c r="AO100" s="79"/>
      <c r="AP100" s="79"/>
      <c r="AQ100" s="79"/>
      <c r="AR100" s="79"/>
      <c r="AS100" s="79"/>
      <c r="AT100" s="79"/>
      <c r="AU100" s="79"/>
      <c r="AV100" s="79"/>
      <c r="AW100" s="81"/>
      <c r="AX100" s="79"/>
      <c r="AY100" s="79"/>
      <c r="AZ100" s="79"/>
      <c r="BA100" s="81"/>
      <c r="BB100" s="79"/>
      <c r="BC100" s="81"/>
      <c r="BD100" s="79"/>
      <c r="BE100" s="79"/>
      <c r="BF100" s="79"/>
      <c r="BG100" s="79"/>
      <c r="BH100" s="79"/>
      <c r="BI100" s="79"/>
      <c r="BJ100" s="79"/>
      <c r="BK100" s="79"/>
      <c r="BL100" s="79"/>
      <c r="BM100" s="79"/>
      <c r="BN100" s="79"/>
      <c r="BO100" s="79"/>
      <c r="BP100" s="81"/>
      <c r="BQ100" s="79"/>
      <c r="BR100" s="79"/>
      <c r="BS100" s="79"/>
      <c r="BT100" s="79"/>
      <c r="BU100" s="79"/>
      <c r="BV100" s="79"/>
    </row>
    <row r="101" spans="1:74" ht="24" hidden="1" customHeight="1" x14ac:dyDescent="0.3">
      <c r="A101" s="54">
        <f t="shared" si="91"/>
        <v>12</v>
      </c>
      <c r="B101" s="55" t="s">
        <v>122</v>
      </c>
      <c r="C101" s="56">
        <f t="shared" si="89"/>
        <v>0</v>
      </c>
      <c r="D101" s="57">
        <v>0</v>
      </c>
      <c r="E101" s="64">
        <v>0</v>
      </c>
      <c r="F101" s="79"/>
      <c r="G101" s="79"/>
      <c r="H101" s="58">
        <f t="shared" si="33"/>
        <v>0</v>
      </c>
      <c r="I101" s="59">
        <f t="shared" si="1"/>
        <v>0</v>
      </c>
      <c r="J101" s="60">
        <f t="shared" si="90"/>
        <v>0</v>
      </c>
      <c r="K101" s="80"/>
      <c r="L101" s="80"/>
      <c r="M101" s="64">
        <v>0</v>
      </c>
      <c r="N101" s="64">
        <v>0</v>
      </c>
      <c r="O101" s="64">
        <v>0</v>
      </c>
      <c r="P101" s="64">
        <v>0</v>
      </c>
      <c r="Q101" s="62">
        <v>0</v>
      </c>
      <c r="R101" s="62">
        <f t="shared" si="42"/>
        <v>0</v>
      </c>
      <c r="S101" s="79"/>
      <c r="T101" s="79"/>
      <c r="U101" s="81"/>
      <c r="V101" s="79"/>
      <c r="W101" s="79"/>
      <c r="X101" s="81"/>
      <c r="Y101" s="79"/>
      <c r="Z101" s="79"/>
      <c r="AA101" s="81"/>
      <c r="AB101" s="79"/>
      <c r="AC101" s="79"/>
      <c r="AD101" s="81"/>
      <c r="AE101" s="79"/>
      <c r="AF101" s="81"/>
      <c r="AG101" s="79"/>
      <c r="AH101" s="79"/>
      <c r="AI101" s="79"/>
      <c r="AJ101" s="81"/>
      <c r="AK101" s="79"/>
      <c r="AL101" s="79"/>
      <c r="AM101" s="79"/>
      <c r="AN101" s="79"/>
      <c r="AO101" s="79"/>
      <c r="AP101" s="79"/>
      <c r="AQ101" s="79"/>
      <c r="AR101" s="79"/>
      <c r="AS101" s="79"/>
      <c r="AT101" s="79"/>
      <c r="AU101" s="79"/>
      <c r="AV101" s="79"/>
      <c r="AW101" s="81"/>
      <c r="AX101" s="79"/>
      <c r="AY101" s="79"/>
      <c r="AZ101" s="79"/>
      <c r="BA101" s="81"/>
      <c r="BB101" s="79"/>
      <c r="BC101" s="81"/>
      <c r="BD101" s="79"/>
      <c r="BE101" s="79"/>
      <c r="BF101" s="79"/>
      <c r="BG101" s="79"/>
      <c r="BH101" s="79"/>
      <c r="BI101" s="79"/>
      <c r="BJ101" s="79"/>
      <c r="BK101" s="79"/>
      <c r="BL101" s="79"/>
      <c r="BM101" s="79"/>
      <c r="BN101" s="79"/>
      <c r="BO101" s="79"/>
      <c r="BP101" s="81"/>
      <c r="BQ101" s="79"/>
      <c r="BR101" s="79"/>
      <c r="BS101" s="79"/>
      <c r="BT101" s="79"/>
      <c r="BU101" s="79"/>
      <c r="BV101" s="79"/>
    </row>
    <row r="102" spans="1:74" ht="24" hidden="1" customHeight="1" x14ac:dyDescent="0.3">
      <c r="A102" s="54">
        <f t="shared" si="91"/>
        <v>13</v>
      </c>
      <c r="B102" s="55" t="s">
        <v>123</v>
      </c>
      <c r="C102" s="56">
        <f t="shared" si="89"/>
        <v>0</v>
      </c>
      <c r="D102" s="57">
        <v>0</v>
      </c>
      <c r="E102" s="64">
        <v>0</v>
      </c>
      <c r="F102" s="79"/>
      <c r="G102" s="79"/>
      <c r="H102" s="58">
        <f t="shared" si="33"/>
        <v>0</v>
      </c>
      <c r="I102" s="59">
        <f t="shared" si="1"/>
        <v>0</v>
      </c>
      <c r="J102" s="60">
        <f t="shared" si="90"/>
        <v>0</v>
      </c>
      <c r="K102" s="80"/>
      <c r="L102" s="80"/>
      <c r="M102" s="64">
        <v>0</v>
      </c>
      <c r="N102" s="64">
        <v>0</v>
      </c>
      <c r="O102" s="64">
        <v>0</v>
      </c>
      <c r="P102" s="64">
        <v>0</v>
      </c>
      <c r="Q102" s="62">
        <v>0</v>
      </c>
      <c r="R102" s="62">
        <f t="shared" si="42"/>
        <v>0</v>
      </c>
      <c r="S102" s="79"/>
      <c r="T102" s="79"/>
      <c r="U102" s="81"/>
      <c r="V102" s="79"/>
      <c r="W102" s="79"/>
      <c r="X102" s="81"/>
      <c r="Y102" s="79"/>
      <c r="Z102" s="79"/>
      <c r="AA102" s="81"/>
      <c r="AB102" s="79"/>
      <c r="AC102" s="79"/>
      <c r="AD102" s="81"/>
      <c r="AE102" s="79"/>
      <c r="AF102" s="81"/>
      <c r="AG102" s="79"/>
      <c r="AH102" s="79"/>
      <c r="AI102" s="79"/>
      <c r="AJ102" s="81"/>
      <c r="AK102" s="79"/>
      <c r="AL102" s="79"/>
      <c r="AM102" s="79"/>
      <c r="AN102" s="79"/>
      <c r="AO102" s="79"/>
      <c r="AP102" s="79"/>
      <c r="AQ102" s="79"/>
      <c r="AR102" s="79"/>
      <c r="AS102" s="79"/>
      <c r="AT102" s="79"/>
      <c r="AU102" s="79"/>
      <c r="AV102" s="79"/>
      <c r="AW102" s="81"/>
      <c r="AX102" s="79"/>
      <c r="AY102" s="79"/>
      <c r="AZ102" s="79"/>
      <c r="BA102" s="81"/>
      <c r="BB102" s="79"/>
      <c r="BC102" s="81"/>
      <c r="BD102" s="79"/>
      <c r="BE102" s="79"/>
      <c r="BF102" s="79"/>
      <c r="BG102" s="79"/>
      <c r="BH102" s="79"/>
      <c r="BI102" s="79"/>
      <c r="BJ102" s="79"/>
      <c r="BK102" s="79"/>
      <c r="BL102" s="79"/>
      <c r="BM102" s="79"/>
      <c r="BN102" s="79"/>
      <c r="BO102" s="79"/>
      <c r="BP102" s="81"/>
      <c r="BQ102" s="79"/>
      <c r="BR102" s="79"/>
      <c r="BS102" s="79"/>
      <c r="BT102" s="79"/>
      <c r="BU102" s="79"/>
      <c r="BV102" s="79"/>
    </row>
    <row r="103" spans="1:74" ht="24" hidden="1" customHeight="1" x14ac:dyDescent="0.3">
      <c r="A103" s="65">
        <f t="shared" si="91"/>
        <v>14</v>
      </c>
      <c r="B103" s="66" t="s">
        <v>124</v>
      </c>
      <c r="C103" s="67">
        <f t="shared" si="89"/>
        <v>0</v>
      </c>
      <c r="D103" s="68">
        <v>0</v>
      </c>
      <c r="E103" s="69">
        <v>0</v>
      </c>
      <c r="F103" s="82"/>
      <c r="G103" s="82"/>
      <c r="H103" s="70">
        <f t="shared" si="33"/>
        <v>0</v>
      </c>
      <c r="I103" s="71">
        <f t="shared" si="1"/>
        <v>0</v>
      </c>
      <c r="J103" s="72">
        <f t="shared" si="90"/>
        <v>0</v>
      </c>
      <c r="K103" s="83"/>
      <c r="L103" s="83"/>
      <c r="M103" s="69">
        <v>0</v>
      </c>
      <c r="N103" s="69">
        <v>0</v>
      </c>
      <c r="O103" s="69">
        <v>0</v>
      </c>
      <c r="P103" s="69">
        <v>0</v>
      </c>
      <c r="Q103" s="74">
        <v>0</v>
      </c>
      <c r="R103" s="74">
        <f t="shared" si="42"/>
        <v>0</v>
      </c>
      <c r="S103" s="82"/>
      <c r="T103" s="82"/>
      <c r="U103" s="84"/>
      <c r="V103" s="82"/>
      <c r="W103" s="82"/>
      <c r="X103" s="84"/>
      <c r="Y103" s="82"/>
      <c r="Z103" s="82"/>
      <c r="AA103" s="84"/>
      <c r="AB103" s="82"/>
      <c r="AC103" s="82"/>
      <c r="AD103" s="84"/>
      <c r="AE103" s="82"/>
      <c r="AF103" s="84"/>
      <c r="AG103" s="82"/>
      <c r="AH103" s="82"/>
      <c r="AI103" s="82"/>
      <c r="AJ103" s="84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4"/>
      <c r="AX103" s="82"/>
      <c r="AY103" s="82"/>
      <c r="AZ103" s="82"/>
      <c r="BA103" s="84"/>
      <c r="BB103" s="82"/>
      <c r="BC103" s="84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4"/>
      <c r="BQ103" s="82"/>
      <c r="BR103" s="82"/>
      <c r="BS103" s="82"/>
      <c r="BT103" s="82"/>
      <c r="BU103" s="82"/>
      <c r="BV103" s="82"/>
    </row>
    <row r="104" spans="1:74" ht="21" hidden="1" customHeight="1" x14ac:dyDescent="0.3">
      <c r="A104" s="187" t="s">
        <v>125</v>
      </c>
      <c r="B104" s="178"/>
      <c r="C104" s="77">
        <f>SUM(C105:C116)</f>
        <v>0</v>
      </c>
      <c r="D104" s="43"/>
      <c r="E104" s="43"/>
      <c r="F104" s="43"/>
      <c r="G104" s="43"/>
      <c r="H104" s="40">
        <f t="shared" si="33"/>
        <v>0</v>
      </c>
      <c r="I104" s="41">
        <f t="shared" si="1"/>
        <v>0</v>
      </c>
      <c r="J104" s="40">
        <f>SUM(J105:J116)</f>
        <v>0</v>
      </c>
      <c r="K104" s="43"/>
      <c r="L104" s="43"/>
      <c r="M104" s="43"/>
      <c r="N104" s="43"/>
      <c r="O104" s="43"/>
      <c r="P104" s="43"/>
      <c r="Q104" s="43"/>
      <c r="R104" s="40">
        <f t="shared" si="42"/>
        <v>0</v>
      </c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</row>
    <row r="105" spans="1:74" ht="24" hidden="1" customHeight="1" x14ac:dyDescent="0.3">
      <c r="A105" s="54">
        <v>1</v>
      </c>
      <c r="B105" s="85" t="s">
        <v>126</v>
      </c>
      <c r="C105" s="56">
        <f t="shared" ref="C105:C116" si="92">D105+E105</f>
        <v>0</v>
      </c>
      <c r="D105" s="57">
        <v>0</v>
      </c>
      <c r="E105" s="64">
        <v>0</v>
      </c>
      <c r="F105" s="79"/>
      <c r="G105" s="79"/>
      <c r="H105" s="58">
        <f t="shared" si="33"/>
        <v>0</v>
      </c>
      <c r="I105" s="59">
        <f t="shared" si="1"/>
        <v>0</v>
      </c>
      <c r="J105" s="60">
        <f t="shared" ref="J105:J116" si="93">M105+N105+O105+P105</f>
        <v>0</v>
      </c>
      <c r="K105" s="80"/>
      <c r="L105" s="80"/>
      <c r="M105" s="64">
        <v>0</v>
      </c>
      <c r="N105" s="64">
        <v>0</v>
      </c>
      <c r="O105" s="64">
        <v>0</v>
      </c>
      <c r="P105" s="64">
        <v>0</v>
      </c>
      <c r="Q105" s="62">
        <v>0</v>
      </c>
      <c r="R105" s="62">
        <f t="shared" si="42"/>
        <v>0</v>
      </c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79"/>
      <c r="AF105" s="79"/>
      <c r="AG105" s="79"/>
      <c r="AH105" s="79"/>
      <c r="AI105" s="79"/>
      <c r="AJ105" s="79"/>
      <c r="AK105" s="79"/>
      <c r="AL105" s="79"/>
      <c r="AM105" s="79"/>
      <c r="AN105" s="79"/>
      <c r="AO105" s="79"/>
      <c r="AP105" s="79"/>
      <c r="AQ105" s="79"/>
      <c r="AR105" s="79"/>
      <c r="AS105" s="79"/>
      <c r="AT105" s="79"/>
      <c r="AU105" s="79"/>
      <c r="AV105" s="79"/>
      <c r="AW105" s="79"/>
      <c r="AX105" s="79"/>
      <c r="AY105" s="79"/>
      <c r="AZ105" s="79"/>
      <c r="BA105" s="79"/>
      <c r="BB105" s="79"/>
      <c r="BC105" s="79"/>
      <c r="BD105" s="79"/>
      <c r="BE105" s="79"/>
      <c r="BF105" s="79"/>
      <c r="BG105" s="79"/>
      <c r="BH105" s="79"/>
      <c r="BI105" s="79"/>
      <c r="BJ105" s="79"/>
      <c r="BK105" s="79"/>
      <c r="BL105" s="79"/>
      <c r="BM105" s="79"/>
      <c r="BN105" s="79"/>
      <c r="BO105" s="79"/>
      <c r="BP105" s="79"/>
      <c r="BQ105" s="79"/>
      <c r="BR105" s="79"/>
      <c r="BS105" s="79"/>
      <c r="BT105" s="79"/>
      <c r="BU105" s="79"/>
      <c r="BV105" s="79"/>
    </row>
    <row r="106" spans="1:74" ht="24" hidden="1" customHeight="1" x14ac:dyDescent="0.3">
      <c r="A106" s="54">
        <v>2</v>
      </c>
      <c r="B106" s="85" t="s">
        <v>127</v>
      </c>
      <c r="C106" s="56">
        <f t="shared" si="92"/>
        <v>0</v>
      </c>
      <c r="D106" s="57">
        <v>0</v>
      </c>
      <c r="E106" s="64">
        <v>0</v>
      </c>
      <c r="F106" s="79"/>
      <c r="G106" s="79"/>
      <c r="H106" s="58">
        <f t="shared" si="33"/>
        <v>0</v>
      </c>
      <c r="I106" s="59">
        <f t="shared" si="1"/>
        <v>0</v>
      </c>
      <c r="J106" s="60">
        <f t="shared" si="93"/>
        <v>0</v>
      </c>
      <c r="K106" s="80"/>
      <c r="L106" s="80"/>
      <c r="M106" s="64">
        <v>0</v>
      </c>
      <c r="N106" s="64">
        <v>0</v>
      </c>
      <c r="O106" s="64">
        <v>0</v>
      </c>
      <c r="P106" s="64">
        <v>0</v>
      </c>
      <c r="Q106" s="62">
        <v>0</v>
      </c>
      <c r="R106" s="62">
        <f t="shared" si="42"/>
        <v>0</v>
      </c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79"/>
      <c r="AM106" s="79"/>
      <c r="AN106" s="79"/>
      <c r="AO106" s="79"/>
      <c r="AP106" s="79"/>
      <c r="AQ106" s="79"/>
      <c r="AR106" s="79"/>
      <c r="AS106" s="79"/>
      <c r="AT106" s="79"/>
      <c r="AU106" s="79"/>
      <c r="AV106" s="79"/>
      <c r="AW106" s="79"/>
      <c r="AX106" s="79"/>
      <c r="AY106" s="79"/>
      <c r="AZ106" s="79"/>
      <c r="BA106" s="79"/>
      <c r="BB106" s="79"/>
      <c r="BC106" s="79"/>
      <c r="BD106" s="79"/>
      <c r="BE106" s="79"/>
      <c r="BF106" s="79"/>
      <c r="BG106" s="79"/>
      <c r="BH106" s="79"/>
      <c r="BI106" s="79"/>
      <c r="BJ106" s="79"/>
      <c r="BK106" s="79"/>
      <c r="BL106" s="79"/>
      <c r="BM106" s="79"/>
      <c r="BN106" s="79"/>
      <c r="BO106" s="79"/>
      <c r="BP106" s="79"/>
      <c r="BQ106" s="79"/>
      <c r="BR106" s="79"/>
      <c r="BS106" s="79"/>
      <c r="BT106" s="79"/>
      <c r="BU106" s="79"/>
      <c r="BV106" s="79"/>
    </row>
    <row r="107" spans="1:74" ht="24" hidden="1" customHeight="1" x14ac:dyDescent="0.3">
      <c r="A107" s="54">
        <v>3</v>
      </c>
      <c r="B107" s="85" t="s">
        <v>128</v>
      </c>
      <c r="C107" s="56">
        <f t="shared" si="92"/>
        <v>0</v>
      </c>
      <c r="D107" s="57">
        <v>0</v>
      </c>
      <c r="E107" s="64">
        <v>0</v>
      </c>
      <c r="F107" s="79"/>
      <c r="G107" s="79"/>
      <c r="H107" s="58">
        <f t="shared" si="33"/>
        <v>0</v>
      </c>
      <c r="I107" s="59">
        <f t="shared" si="1"/>
        <v>0</v>
      </c>
      <c r="J107" s="60">
        <f t="shared" si="93"/>
        <v>0</v>
      </c>
      <c r="K107" s="80"/>
      <c r="L107" s="80"/>
      <c r="M107" s="64">
        <v>0</v>
      </c>
      <c r="N107" s="64">
        <v>0</v>
      </c>
      <c r="O107" s="64">
        <v>0</v>
      </c>
      <c r="P107" s="64">
        <v>0</v>
      </c>
      <c r="Q107" s="62">
        <v>0</v>
      </c>
      <c r="R107" s="62">
        <f t="shared" si="42"/>
        <v>0</v>
      </c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</row>
    <row r="108" spans="1:74" ht="24" hidden="1" customHeight="1" x14ac:dyDescent="0.3">
      <c r="A108" s="86">
        <v>4</v>
      </c>
      <c r="B108" s="85" t="s">
        <v>129</v>
      </c>
      <c r="C108" s="56">
        <f t="shared" si="92"/>
        <v>0</v>
      </c>
      <c r="D108" s="57">
        <v>0</v>
      </c>
      <c r="E108" s="64">
        <v>0</v>
      </c>
      <c r="F108" s="79"/>
      <c r="G108" s="79"/>
      <c r="H108" s="58">
        <f t="shared" si="33"/>
        <v>0</v>
      </c>
      <c r="I108" s="59">
        <f t="shared" si="1"/>
        <v>0</v>
      </c>
      <c r="J108" s="60">
        <f t="shared" si="93"/>
        <v>0</v>
      </c>
      <c r="K108" s="80"/>
      <c r="L108" s="80"/>
      <c r="M108" s="64">
        <v>0</v>
      </c>
      <c r="N108" s="64">
        <v>0</v>
      </c>
      <c r="O108" s="64">
        <v>0</v>
      </c>
      <c r="P108" s="64">
        <v>0</v>
      </c>
      <c r="Q108" s="62">
        <v>0</v>
      </c>
      <c r="R108" s="62">
        <f t="shared" si="42"/>
        <v>0</v>
      </c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</row>
    <row r="109" spans="1:74" ht="24" hidden="1" customHeight="1" x14ac:dyDescent="0.3">
      <c r="A109" s="86">
        <v>5</v>
      </c>
      <c r="B109" s="85" t="s">
        <v>130</v>
      </c>
      <c r="C109" s="56">
        <f t="shared" si="92"/>
        <v>0</v>
      </c>
      <c r="D109" s="57">
        <v>0</v>
      </c>
      <c r="E109" s="64">
        <v>0</v>
      </c>
      <c r="F109" s="79"/>
      <c r="G109" s="79"/>
      <c r="H109" s="58">
        <f t="shared" si="33"/>
        <v>0</v>
      </c>
      <c r="I109" s="59">
        <f t="shared" si="1"/>
        <v>0</v>
      </c>
      <c r="J109" s="60">
        <f t="shared" si="93"/>
        <v>0</v>
      </c>
      <c r="K109" s="80"/>
      <c r="L109" s="80"/>
      <c r="M109" s="64">
        <v>0</v>
      </c>
      <c r="N109" s="64">
        <v>0</v>
      </c>
      <c r="O109" s="64">
        <v>0</v>
      </c>
      <c r="P109" s="64">
        <v>0</v>
      </c>
      <c r="Q109" s="62">
        <v>0</v>
      </c>
      <c r="R109" s="62">
        <f t="shared" si="42"/>
        <v>0</v>
      </c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79"/>
      <c r="AF109" s="79"/>
      <c r="AG109" s="79"/>
      <c r="AH109" s="79"/>
      <c r="AI109" s="79"/>
      <c r="AJ109" s="79"/>
      <c r="AK109" s="79"/>
      <c r="AL109" s="79"/>
      <c r="AM109" s="79"/>
      <c r="AN109" s="79"/>
      <c r="AO109" s="79"/>
      <c r="AP109" s="79"/>
      <c r="AQ109" s="79"/>
      <c r="AR109" s="79"/>
      <c r="AS109" s="79"/>
      <c r="AT109" s="79"/>
      <c r="AU109" s="79"/>
      <c r="AV109" s="79"/>
      <c r="AW109" s="79"/>
      <c r="AX109" s="79"/>
      <c r="AY109" s="79"/>
      <c r="AZ109" s="79"/>
      <c r="BA109" s="79"/>
      <c r="BB109" s="79"/>
      <c r="BC109" s="79"/>
      <c r="BD109" s="79"/>
      <c r="BE109" s="79"/>
      <c r="BF109" s="79"/>
      <c r="BG109" s="79"/>
      <c r="BH109" s="79"/>
      <c r="BI109" s="79"/>
      <c r="BJ109" s="79"/>
      <c r="BK109" s="79"/>
      <c r="BL109" s="79"/>
      <c r="BM109" s="79"/>
      <c r="BN109" s="79"/>
      <c r="BO109" s="79"/>
      <c r="BP109" s="79"/>
      <c r="BQ109" s="79"/>
      <c r="BR109" s="79"/>
      <c r="BS109" s="79"/>
      <c r="BT109" s="79"/>
      <c r="BU109" s="79"/>
      <c r="BV109" s="79"/>
    </row>
    <row r="110" spans="1:74" ht="24" hidden="1" customHeight="1" x14ac:dyDescent="0.3">
      <c r="A110" s="86">
        <v>6</v>
      </c>
      <c r="B110" s="85" t="s">
        <v>131</v>
      </c>
      <c r="C110" s="56">
        <f t="shared" si="92"/>
        <v>0</v>
      </c>
      <c r="D110" s="57">
        <v>0</v>
      </c>
      <c r="E110" s="64">
        <v>0</v>
      </c>
      <c r="F110" s="79"/>
      <c r="G110" s="79"/>
      <c r="H110" s="58">
        <f t="shared" si="33"/>
        <v>0</v>
      </c>
      <c r="I110" s="59">
        <f t="shared" si="1"/>
        <v>0</v>
      </c>
      <c r="J110" s="60">
        <f t="shared" si="93"/>
        <v>0</v>
      </c>
      <c r="K110" s="80"/>
      <c r="L110" s="80"/>
      <c r="M110" s="64">
        <v>0</v>
      </c>
      <c r="N110" s="64">
        <v>0</v>
      </c>
      <c r="O110" s="64">
        <v>0</v>
      </c>
      <c r="P110" s="64">
        <v>0</v>
      </c>
      <c r="Q110" s="62">
        <v>0</v>
      </c>
      <c r="R110" s="62">
        <f t="shared" si="42"/>
        <v>0</v>
      </c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  <c r="AP110" s="79"/>
      <c r="AQ110" s="79"/>
      <c r="AR110" s="79"/>
      <c r="AS110" s="79"/>
      <c r="AT110" s="79"/>
      <c r="AU110" s="79"/>
      <c r="AV110" s="79"/>
      <c r="AW110" s="79"/>
      <c r="AX110" s="79"/>
      <c r="AY110" s="79"/>
      <c r="AZ110" s="79"/>
      <c r="BA110" s="79"/>
      <c r="BB110" s="79"/>
      <c r="BC110" s="79"/>
      <c r="BD110" s="79"/>
      <c r="BE110" s="79"/>
      <c r="BF110" s="79"/>
      <c r="BG110" s="79"/>
      <c r="BH110" s="79"/>
      <c r="BI110" s="79"/>
      <c r="BJ110" s="79"/>
      <c r="BK110" s="79"/>
      <c r="BL110" s="79"/>
      <c r="BM110" s="79"/>
      <c r="BN110" s="79"/>
      <c r="BO110" s="79"/>
      <c r="BP110" s="79"/>
      <c r="BQ110" s="79"/>
      <c r="BR110" s="79"/>
      <c r="BS110" s="79"/>
      <c r="BT110" s="79"/>
      <c r="BU110" s="79"/>
      <c r="BV110" s="79"/>
    </row>
    <row r="111" spans="1:74" ht="24" hidden="1" customHeight="1" x14ac:dyDescent="0.3">
      <c r="A111" s="86">
        <v>7</v>
      </c>
      <c r="B111" s="85" t="s">
        <v>132</v>
      </c>
      <c r="C111" s="56">
        <f t="shared" si="92"/>
        <v>0</v>
      </c>
      <c r="D111" s="57">
        <v>0</v>
      </c>
      <c r="E111" s="64">
        <v>0</v>
      </c>
      <c r="F111" s="79"/>
      <c r="G111" s="79"/>
      <c r="H111" s="58">
        <f t="shared" si="33"/>
        <v>0</v>
      </c>
      <c r="I111" s="59">
        <f t="shared" si="1"/>
        <v>0</v>
      </c>
      <c r="J111" s="60">
        <f t="shared" si="93"/>
        <v>0</v>
      </c>
      <c r="K111" s="80"/>
      <c r="L111" s="80"/>
      <c r="M111" s="64">
        <v>0</v>
      </c>
      <c r="N111" s="64">
        <v>0</v>
      </c>
      <c r="O111" s="64">
        <v>0</v>
      </c>
      <c r="P111" s="64">
        <v>0</v>
      </c>
      <c r="Q111" s="62">
        <v>0</v>
      </c>
      <c r="R111" s="62">
        <f t="shared" si="42"/>
        <v>0</v>
      </c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79"/>
      <c r="AL111" s="79"/>
      <c r="AM111" s="79"/>
      <c r="AN111" s="79"/>
      <c r="AO111" s="79"/>
      <c r="AP111" s="79"/>
      <c r="AQ111" s="79"/>
      <c r="AR111" s="79"/>
      <c r="AS111" s="79"/>
      <c r="AT111" s="79"/>
      <c r="AU111" s="79"/>
      <c r="AV111" s="79"/>
      <c r="AW111" s="79"/>
      <c r="AX111" s="79"/>
      <c r="AY111" s="79"/>
      <c r="AZ111" s="79"/>
      <c r="BA111" s="79"/>
      <c r="BB111" s="79"/>
      <c r="BC111" s="79"/>
      <c r="BD111" s="79"/>
      <c r="BE111" s="79"/>
      <c r="BF111" s="79"/>
      <c r="BG111" s="79"/>
      <c r="BH111" s="79"/>
      <c r="BI111" s="79"/>
      <c r="BJ111" s="79"/>
      <c r="BK111" s="79"/>
      <c r="BL111" s="79"/>
      <c r="BM111" s="79"/>
      <c r="BN111" s="79"/>
      <c r="BO111" s="79"/>
      <c r="BP111" s="79"/>
      <c r="BQ111" s="79"/>
      <c r="BR111" s="79"/>
      <c r="BS111" s="79"/>
      <c r="BT111" s="79"/>
      <c r="BU111" s="79"/>
      <c r="BV111" s="79"/>
    </row>
    <row r="112" spans="1:74" ht="24" hidden="1" customHeight="1" x14ac:dyDescent="0.3">
      <c r="A112" s="86">
        <v>8</v>
      </c>
      <c r="B112" s="85" t="s">
        <v>133</v>
      </c>
      <c r="C112" s="56">
        <f t="shared" si="92"/>
        <v>0</v>
      </c>
      <c r="D112" s="57">
        <v>0</v>
      </c>
      <c r="E112" s="64">
        <v>0</v>
      </c>
      <c r="F112" s="79"/>
      <c r="G112" s="79"/>
      <c r="H112" s="58">
        <f t="shared" si="33"/>
        <v>0</v>
      </c>
      <c r="I112" s="59">
        <f t="shared" si="1"/>
        <v>0</v>
      </c>
      <c r="J112" s="60">
        <f t="shared" si="93"/>
        <v>0</v>
      </c>
      <c r="K112" s="80"/>
      <c r="L112" s="80"/>
      <c r="M112" s="64">
        <v>0</v>
      </c>
      <c r="N112" s="64">
        <v>0</v>
      </c>
      <c r="O112" s="64">
        <v>0</v>
      </c>
      <c r="P112" s="64">
        <v>0</v>
      </c>
      <c r="Q112" s="62">
        <v>0</v>
      </c>
      <c r="R112" s="62">
        <f t="shared" si="42"/>
        <v>0</v>
      </c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  <c r="AT112" s="79"/>
      <c r="AU112" s="79"/>
      <c r="AV112" s="79"/>
      <c r="AW112" s="79"/>
      <c r="AX112" s="79"/>
      <c r="AY112" s="79"/>
      <c r="AZ112" s="79"/>
      <c r="BA112" s="79"/>
      <c r="BB112" s="79"/>
      <c r="BC112" s="79"/>
      <c r="BD112" s="79"/>
      <c r="BE112" s="79"/>
      <c r="BF112" s="79"/>
      <c r="BG112" s="79"/>
      <c r="BH112" s="79"/>
      <c r="BI112" s="79"/>
      <c r="BJ112" s="79"/>
      <c r="BK112" s="79"/>
      <c r="BL112" s="79"/>
      <c r="BM112" s="79"/>
      <c r="BN112" s="79"/>
      <c r="BO112" s="79"/>
      <c r="BP112" s="79"/>
      <c r="BQ112" s="79"/>
      <c r="BR112" s="79"/>
      <c r="BS112" s="79"/>
      <c r="BT112" s="79"/>
      <c r="BU112" s="79"/>
      <c r="BV112" s="79"/>
    </row>
    <row r="113" spans="1:74" ht="24" hidden="1" customHeight="1" x14ac:dyDescent="0.3">
      <c r="A113" s="86">
        <v>9</v>
      </c>
      <c r="B113" s="85" t="s">
        <v>134</v>
      </c>
      <c r="C113" s="56">
        <f t="shared" si="92"/>
        <v>0</v>
      </c>
      <c r="D113" s="57">
        <v>0</v>
      </c>
      <c r="E113" s="64">
        <v>0</v>
      </c>
      <c r="F113" s="79"/>
      <c r="G113" s="79"/>
      <c r="H113" s="58">
        <f t="shared" si="33"/>
        <v>0</v>
      </c>
      <c r="I113" s="59">
        <f t="shared" si="1"/>
        <v>0</v>
      </c>
      <c r="J113" s="60">
        <f t="shared" si="93"/>
        <v>0</v>
      </c>
      <c r="K113" s="80"/>
      <c r="L113" s="80"/>
      <c r="M113" s="64">
        <v>0</v>
      </c>
      <c r="N113" s="64">
        <v>0</v>
      </c>
      <c r="O113" s="64">
        <v>0</v>
      </c>
      <c r="P113" s="64">
        <v>0</v>
      </c>
      <c r="Q113" s="62">
        <v>0</v>
      </c>
      <c r="R113" s="62">
        <f t="shared" si="42"/>
        <v>0</v>
      </c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79"/>
      <c r="AF113" s="79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  <c r="AQ113" s="79"/>
      <c r="AR113" s="79"/>
      <c r="AS113" s="79"/>
      <c r="AT113" s="79"/>
      <c r="AU113" s="79"/>
      <c r="AV113" s="79"/>
      <c r="AW113" s="79"/>
      <c r="AX113" s="79"/>
      <c r="AY113" s="79"/>
      <c r="AZ113" s="79"/>
      <c r="BA113" s="79"/>
      <c r="BB113" s="79"/>
      <c r="BC113" s="79"/>
      <c r="BD113" s="79"/>
      <c r="BE113" s="79"/>
      <c r="BF113" s="79"/>
      <c r="BG113" s="79"/>
      <c r="BH113" s="79"/>
      <c r="BI113" s="79"/>
      <c r="BJ113" s="79"/>
      <c r="BK113" s="79"/>
      <c r="BL113" s="79"/>
      <c r="BM113" s="79"/>
      <c r="BN113" s="79"/>
      <c r="BO113" s="79"/>
      <c r="BP113" s="79"/>
      <c r="BQ113" s="79"/>
      <c r="BR113" s="79"/>
      <c r="BS113" s="79"/>
      <c r="BT113" s="79"/>
      <c r="BU113" s="79"/>
      <c r="BV113" s="79"/>
    </row>
    <row r="114" spans="1:74" ht="24" hidden="1" customHeight="1" x14ac:dyDescent="0.3">
      <c r="A114" s="86">
        <v>10</v>
      </c>
      <c r="B114" s="85" t="s">
        <v>135</v>
      </c>
      <c r="C114" s="56">
        <f t="shared" si="92"/>
        <v>0</v>
      </c>
      <c r="D114" s="57">
        <v>0</v>
      </c>
      <c r="E114" s="64">
        <v>0</v>
      </c>
      <c r="F114" s="79"/>
      <c r="G114" s="79"/>
      <c r="H114" s="58">
        <f t="shared" si="33"/>
        <v>0</v>
      </c>
      <c r="I114" s="59">
        <f t="shared" si="1"/>
        <v>0</v>
      </c>
      <c r="J114" s="60">
        <f t="shared" si="93"/>
        <v>0</v>
      </c>
      <c r="K114" s="80"/>
      <c r="L114" s="80"/>
      <c r="M114" s="64">
        <v>0</v>
      </c>
      <c r="N114" s="64">
        <v>0</v>
      </c>
      <c r="O114" s="64">
        <v>0</v>
      </c>
      <c r="P114" s="64">
        <v>0</v>
      </c>
      <c r="Q114" s="62">
        <v>0</v>
      </c>
      <c r="R114" s="62">
        <f t="shared" si="42"/>
        <v>0</v>
      </c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79"/>
      <c r="AL114" s="79"/>
      <c r="AM114" s="79"/>
      <c r="AN114" s="79"/>
      <c r="AO114" s="79"/>
      <c r="AP114" s="79"/>
      <c r="AQ114" s="79"/>
      <c r="AR114" s="79"/>
      <c r="AS114" s="79"/>
      <c r="AT114" s="79"/>
      <c r="AU114" s="79"/>
      <c r="AV114" s="79"/>
      <c r="AW114" s="79"/>
      <c r="AX114" s="79"/>
      <c r="AY114" s="79"/>
      <c r="AZ114" s="79"/>
      <c r="BA114" s="79"/>
      <c r="BB114" s="79"/>
      <c r="BC114" s="79"/>
      <c r="BD114" s="79"/>
      <c r="BE114" s="79"/>
      <c r="BF114" s="79"/>
      <c r="BG114" s="79"/>
      <c r="BH114" s="79"/>
      <c r="BI114" s="79"/>
      <c r="BJ114" s="79"/>
      <c r="BK114" s="79"/>
      <c r="BL114" s="79"/>
      <c r="BM114" s="79"/>
      <c r="BN114" s="79"/>
      <c r="BO114" s="79"/>
      <c r="BP114" s="79"/>
      <c r="BQ114" s="79"/>
      <c r="BR114" s="79"/>
      <c r="BS114" s="79"/>
      <c r="BT114" s="79"/>
      <c r="BU114" s="79"/>
      <c r="BV114" s="79"/>
    </row>
    <row r="115" spans="1:74" ht="24" hidden="1" customHeight="1" x14ac:dyDescent="0.3">
      <c r="A115" s="86">
        <v>11</v>
      </c>
      <c r="B115" s="85" t="s">
        <v>136</v>
      </c>
      <c r="C115" s="56">
        <f t="shared" si="92"/>
        <v>0</v>
      </c>
      <c r="D115" s="57">
        <v>0</v>
      </c>
      <c r="E115" s="64">
        <v>0</v>
      </c>
      <c r="F115" s="79"/>
      <c r="G115" s="79"/>
      <c r="H115" s="58">
        <f t="shared" si="33"/>
        <v>0</v>
      </c>
      <c r="I115" s="59">
        <f t="shared" si="1"/>
        <v>0</v>
      </c>
      <c r="J115" s="60">
        <f t="shared" si="93"/>
        <v>0</v>
      </c>
      <c r="K115" s="80"/>
      <c r="L115" s="80"/>
      <c r="M115" s="64">
        <v>0</v>
      </c>
      <c r="N115" s="64">
        <v>0</v>
      </c>
      <c r="O115" s="64">
        <v>0</v>
      </c>
      <c r="P115" s="64">
        <v>0</v>
      </c>
      <c r="Q115" s="62">
        <v>0</v>
      </c>
      <c r="R115" s="62">
        <f t="shared" si="42"/>
        <v>0</v>
      </c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  <c r="AH115" s="79"/>
      <c r="AI115" s="79"/>
      <c r="AJ115" s="79"/>
      <c r="AK115" s="79"/>
      <c r="AL115" s="79"/>
      <c r="AM115" s="79"/>
      <c r="AN115" s="79"/>
      <c r="AO115" s="79"/>
      <c r="AP115" s="79"/>
      <c r="AQ115" s="79"/>
      <c r="AR115" s="79"/>
      <c r="AS115" s="79"/>
      <c r="AT115" s="79"/>
      <c r="AU115" s="79"/>
      <c r="AV115" s="79"/>
      <c r="AW115" s="79"/>
      <c r="AX115" s="79"/>
      <c r="AY115" s="79"/>
      <c r="AZ115" s="79"/>
      <c r="BA115" s="79"/>
      <c r="BB115" s="79"/>
      <c r="BC115" s="79"/>
      <c r="BD115" s="79"/>
      <c r="BE115" s="79"/>
      <c r="BF115" s="79"/>
      <c r="BG115" s="79"/>
      <c r="BH115" s="79"/>
      <c r="BI115" s="79"/>
      <c r="BJ115" s="79"/>
      <c r="BK115" s="79"/>
      <c r="BL115" s="79"/>
      <c r="BM115" s="79"/>
      <c r="BN115" s="79"/>
      <c r="BO115" s="79"/>
      <c r="BP115" s="79"/>
      <c r="BQ115" s="79"/>
      <c r="BR115" s="79"/>
      <c r="BS115" s="79"/>
      <c r="BT115" s="79"/>
      <c r="BU115" s="79"/>
      <c r="BV115" s="79"/>
    </row>
    <row r="116" spans="1:74" ht="24" hidden="1" customHeight="1" x14ac:dyDescent="0.3">
      <c r="A116" s="86">
        <v>12</v>
      </c>
      <c r="B116" s="85" t="s">
        <v>137</v>
      </c>
      <c r="C116" s="56">
        <f t="shared" si="92"/>
        <v>0</v>
      </c>
      <c r="D116" s="57">
        <v>0</v>
      </c>
      <c r="E116" s="64">
        <v>0</v>
      </c>
      <c r="F116" s="79"/>
      <c r="G116" s="79"/>
      <c r="H116" s="58">
        <f t="shared" si="33"/>
        <v>0</v>
      </c>
      <c r="I116" s="59">
        <f t="shared" si="1"/>
        <v>0</v>
      </c>
      <c r="J116" s="60">
        <f t="shared" si="93"/>
        <v>0</v>
      </c>
      <c r="K116" s="80"/>
      <c r="L116" s="80"/>
      <c r="M116" s="64">
        <v>0</v>
      </c>
      <c r="N116" s="64">
        <v>0</v>
      </c>
      <c r="O116" s="64">
        <v>0</v>
      </c>
      <c r="P116" s="64">
        <v>0</v>
      </c>
      <c r="Q116" s="62">
        <v>0</v>
      </c>
      <c r="R116" s="62">
        <f t="shared" si="42"/>
        <v>0</v>
      </c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U116" s="79"/>
      <c r="AV116" s="79"/>
      <c r="AW116" s="79"/>
      <c r="AX116" s="79"/>
      <c r="AY116" s="79"/>
      <c r="AZ116" s="79"/>
      <c r="BA116" s="79"/>
      <c r="BB116" s="79"/>
      <c r="BC116" s="79"/>
      <c r="BD116" s="79"/>
      <c r="BE116" s="79"/>
      <c r="BF116" s="79"/>
      <c r="BG116" s="79"/>
      <c r="BH116" s="79"/>
      <c r="BI116" s="79"/>
      <c r="BJ116" s="79"/>
      <c r="BK116" s="79"/>
      <c r="BL116" s="79"/>
      <c r="BM116" s="79"/>
      <c r="BN116" s="79"/>
      <c r="BO116" s="79"/>
      <c r="BP116" s="79"/>
      <c r="BQ116" s="79"/>
      <c r="BR116" s="79"/>
      <c r="BS116" s="79"/>
      <c r="BT116" s="79"/>
      <c r="BU116" s="79"/>
      <c r="BV116" s="79"/>
    </row>
    <row r="117" spans="1:74" ht="24" customHeight="1" x14ac:dyDescent="0.2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8"/>
      <c r="N117" s="88"/>
      <c r="O117" s="8"/>
      <c r="P117" s="8"/>
      <c r="Q117" s="89"/>
      <c r="R117" s="89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</row>
    <row r="118" spans="1:74" ht="24" customHeight="1" x14ac:dyDescent="0.2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8"/>
      <c r="N118" s="88"/>
      <c r="O118" s="8"/>
      <c r="P118" s="8"/>
      <c r="Q118" s="89"/>
      <c r="R118" s="89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</row>
    <row r="119" spans="1:74" ht="24" customHeight="1" x14ac:dyDescent="0.2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8"/>
      <c r="N119" s="88"/>
      <c r="O119" s="8"/>
      <c r="P119" s="8"/>
      <c r="Q119" s="89"/>
      <c r="R119" s="89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</row>
    <row r="120" spans="1:74" ht="24" customHeight="1" x14ac:dyDescent="0.2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8"/>
      <c r="N120" s="88"/>
      <c r="O120" s="8"/>
      <c r="P120" s="8"/>
      <c r="Q120" s="89"/>
      <c r="R120" s="89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</row>
    <row r="121" spans="1:74" ht="24" customHeight="1" x14ac:dyDescent="0.2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8"/>
      <c r="N121" s="88"/>
      <c r="O121" s="8"/>
      <c r="P121" s="8"/>
      <c r="Q121" s="89"/>
      <c r="R121" s="89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</row>
    <row r="122" spans="1:74" ht="24" customHeight="1" x14ac:dyDescent="0.2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8"/>
      <c r="N122" s="88"/>
      <c r="O122" s="8"/>
      <c r="P122" s="8"/>
      <c r="Q122" s="89"/>
      <c r="R122" s="89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</row>
    <row r="123" spans="1:74" ht="24" customHeight="1" x14ac:dyDescent="0.2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8"/>
      <c r="N123" s="88"/>
      <c r="O123" s="8"/>
      <c r="P123" s="8"/>
      <c r="Q123" s="89"/>
      <c r="R123" s="89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</row>
    <row r="124" spans="1:74" ht="24" customHeight="1" x14ac:dyDescent="0.2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8"/>
      <c r="N124" s="88"/>
      <c r="O124" s="8"/>
      <c r="P124" s="8"/>
      <c r="Q124" s="89"/>
      <c r="R124" s="89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</row>
    <row r="125" spans="1:74" ht="24" customHeight="1" x14ac:dyDescent="0.2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8"/>
      <c r="N125" s="88"/>
      <c r="O125" s="8"/>
      <c r="P125" s="8"/>
      <c r="Q125" s="89"/>
      <c r="R125" s="89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</row>
    <row r="126" spans="1:74" ht="24" customHeight="1" x14ac:dyDescent="0.2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8"/>
      <c r="N126" s="88"/>
      <c r="O126" s="8"/>
      <c r="P126" s="8"/>
      <c r="Q126" s="89"/>
      <c r="R126" s="89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</row>
    <row r="127" spans="1:74" ht="24" customHeight="1" x14ac:dyDescent="0.2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8"/>
      <c r="N127" s="88"/>
      <c r="O127" s="8"/>
      <c r="P127" s="8"/>
      <c r="Q127" s="89"/>
      <c r="R127" s="89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</row>
    <row r="128" spans="1:74" ht="24" customHeight="1" x14ac:dyDescent="0.2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8"/>
      <c r="N128" s="88"/>
      <c r="O128" s="8"/>
      <c r="P128" s="8"/>
      <c r="Q128" s="89"/>
      <c r="R128" s="89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</row>
    <row r="129" spans="1:74" ht="24" customHeight="1" x14ac:dyDescent="0.2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8"/>
      <c r="N129" s="88"/>
      <c r="O129" s="8"/>
      <c r="P129" s="8"/>
      <c r="Q129" s="89"/>
      <c r="R129" s="89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</row>
    <row r="130" spans="1:74" ht="24" customHeight="1" x14ac:dyDescent="0.2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8"/>
      <c r="N130" s="88"/>
      <c r="O130" s="8"/>
      <c r="P130" s="8"/>
      <c r="Q130" s="89"/>
      <c r="R130" s="89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</row>
    <row r="131" spans="1:74" ht="24" customHeight="1" x14ac:dyDescent="0.2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8"/>
      <c r="N131" s="88"/>
      <c r="O131" s="8"/>
      <c r="P131" s="8"/>
      <c r="Q131" s="89"/>
      <c r="R131" s="89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</row>
    <row r="132" spans="1:74" ht="24" customHeight="1" x14ac:dyDescent="0.2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8"/>
      <c r="N132" s="88"/>
      <c r="O132" s="8"/>
      <c r="P132" s="8"/>
      <c r="Q132" s="89"/>
      <c r="R132" s="89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</row>
    <row r="133" spans="1:74" ht="24" customHeight="1" x14ac:dyDescent="0.2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8"/>
      <c r="N133" s="88"/>
      <c r="O133" s="8"/>
      <c r="P133" s="8"/>
      <c r="Q133" s="89"/>
      <c r="R133" s="89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</row>
    <row r="134" spans="1:74" ht="24" customHeight="1" x14ac:dyDescent="0.2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8"/>
      <c r="N134" s="88"/>
      <c r="O134" s="8"/>
      <c r="P134" s="8"/>
      <c r="Q134" s="89"/>
      <c r="R134" s="89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</row>
    <row r="135" spans="1:74" ht="24" customHeight="1" x14ac:dyDescent="0.2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8"/>
      <c r="N135" s="88"/>
      <c r="O135" s="8"/>
      <c r="P135" s="8"/>
      <c r="Q135" s="89"/>
      <c r="R135" s="89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</row>
    <row r="136" spans="1:74" ht="24" customHeight="1" x14ac:dyDescent="0.2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8"/>
      <c r="N136" s="88"/>
      <c r="O136" s="8"/>
      <c r="P136" s="8"/>
      <c r="Q136" s="89"/>
      <c r="R136" s="89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</row>
    <row r="137" spans="1:74" ht="24" customHeight="1" x14ac:dyDescent="0.2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8"/>
      <c r="N137" s="88"/>
      <c r="O137" s="8"/>
      <c r="P137" s="8"/>
      <c r="Q137" s="89"/>
      <c r="R137" s="89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</row>
    <row r="138" spans="1:74" ht="24" customHeight="1" x14ac:dyDescent="0.2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8"/>
      <c r="N138" s="88"/>
      <c r="O138" s="8"/>
      <c r="P138" s="8"/>
      <c r="Q138" s="89"/>
      <c r="R138" s="89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</row>
    <row r="139" spans="1:74" ht="24" customHeight="1" x14ac:dyDescent="0.2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8"/>
      <c r="N139" s="88"/>
      <c r="O139" s="8"/>
      <c r="P139" s="8"/>
      <c r="Q139" s="89"/>
      <c r="R139" s="89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</row>
    <row r="140" spans="1:74" ht="24" customHeight="1" x14ac:dyDescent="0.2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8"/>
      <c r="N140" s="88"/>
      <c r="O140" s="8"/>
      <c r="P140" s="8"/>
      <c r="Q140" s="89"/>
      <c r="R140" s="89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</row>
    <row r="141" spans="1:74" ht="24" customHeight="1" x14ac:dyDescent="0.2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8"/>
      <c r="N141" s="88"/>
      <c r="O141" s="8"/>
      <c r="P141" s="8"/>
      <c r="Q141" s="89"/>
      <c r="R141" s="89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</row>
    <row r="142" spans="1:74" ht="24" customHeight="1" x14ac:dyDescent="0.2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8"/>
      <c r="N142" s="88"/>
      <c r="O142" s="8"/>
      <c r="P142" s="8"/>
      <c r="Q142" s="89"/>
      <c r="R142" s="89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</row>
    <row r="143" spans="1:74" ht="24" customHeight="1" x14ac:dyDescent="0.2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8"/>
      <c r="N143" s="88"/>
      <c r="O143" s="8"/>
      <c r="P143" s="8"/>
      <c r="Q143" s="89"/>
      <c r="R143" s="89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</row>
    <row r="144" spans="1:74" ht="24" customHeight="1" x14ac:dyDescent="0.2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8"/>
      <c r="N144" s="88"/>
      <c r="O144" s="8"/>
      <c r="P144" s="8"/>
      <c r="Q144" s="89"/>
      <c r="R144" s="89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</row>
    <row r="145" spans="1:74" ht="24" customHeight="1" x14ac:dyDescent="0.2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8"/>
      <c r="N145" s="88"/>
      <c r="O145" s="8"/>
      <c r="P145" s="8"/>
      <c r="Q145" s="89"/>
      <c r="R145" s="89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</row>
    <row r="146" spans="1:74" ht="24" customHeight="1" x14ac:dyDescent="0.2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8"/>
      <c r="N146" s="88"/>
      <c r="O146" s="8"/>
      <c r="P146" s="8"/>
      <c r="Q146" s="89"/>
      <c r="R146" s="89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</row>
    <row r="147" spans="1:74" ht="24" customHeight="1" x14ac:dyDescent="0.2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8"/>
      <c r="N147" s="88"/>
      <c r="O147" s="8"/>
      <c r="P147" s="8"/>
      <c r="Q147" s="89"/>
      <c r="R147" s="89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</row>
    <row r="148" spans="1:74" ht="24" customHeight="1" x14ac:dyDescent="0.2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8"/>
      <c r="N148" s="88"/>
      <c r="O148" s="8"/>
      <c r="P148" s="8"/>
      <c r="Q148" s="89"/>
      <c r="R148" s="89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</row>
    <row r="149" spans="1:74" ht="24" customHeight="1" x14ac:dyDescent="0.2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8"/>
      <c r="N149" s="88"/>
      <c r="O149" s="8"/>
      <c r="P149" s="8"/>
      <c r="Q149" s="89"/>
      <c r="R149" s="89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</row>
    <row r="150" spans="1:74" ht="24" customHeight="1" x14ac:dyDescent="0.2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8"/>
      <c r="N150" s="88"/>
      <c r="O150" s="8"/>
      <c r="P150" s="8"/>
      <c r="Q150" s="89"/>
      <c r="R150" s="89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</row>
    <row r="151" spans="1:74" ht="24" customHeight="1" x14ac:dyDescent="0.2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8"/>
      <c r="N151" s="88"/>
      <c r="O151" s="8"/>
      <c r="P151" s="8"/>
      <c r="Q151" s="89"/>
      <c r="R151" s="89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</row>
    <row r="152" spans="1:74" ht="24" customHeight="1" x14ac:dyDescent="0.2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8"/>
      <c r="N152" s="88"/>
      <c r="O152" s="8"/>
      <c r="P152" s="8"/>
      <c r="Q152" s="89"/>
      <c r="R152" s="89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</row>
    <row r="153" spans="1:74" ht="24" customHeight="1" x14ac:dyDescent="0.2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8"/>
      <c r="N153" s="88"/>
      <c r="O153" s="8"/>
      <c r="P153" s="8"/>
      <c r="Q153" s="89"/>
      <c r="R153" s="89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</row>
    <row r="154" spans="1:74" ht="24" customHeight="1" x14ac:dyDescent="0.2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8"/>
      <c r="N154" s="88"/>
      <c r="O154" s="8"/>
      <c r="P154" s="8"/>
      <c r="Q154" s="89"/>
      <c r="R154" s="89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</row>
    <row r="155" spans="1:74" ht="24" customHeight="1" x14ac:dyDescent="0.2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8"/>
      <c r="N155" s="88"/>
      <c r="O155" s="8"/>
      <c r="P155" s="8"/>
      <c r="Q155" s="89"/>
      <c r="R155" s="89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</row>
    <row r="156" spans="1:74" ht="24" customHeight="1" x14ac:dyDescent="0.2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8"/>
      <c r="N156" s="88"/>
      <c r="O156" s="8"/>
      <c r="P156" s="8"/>
      <c r="Q156" s="89"/>
      <c r="R156" s="89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</row>
    <row r="157" spans="1:74" ht="24" customHeight="1" x14ac:dyDescent="0.2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8"/>
      <c r="N157" s="88"/>
      <c r="O157" s="8"/>
      <c r="P157" s="8"/>
      <c r="Q157" s="89"/>
      <c r="R157" s="89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</row>
    <row r="158" spans="1:74" ht="24" customHeight="1" x14ac:dyDescent="0.2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8"/>
      <c r="N158" s="88"/>
      <c r="O158" s="8"/>
      <c r="P158" s="8"/>
      <c r="Q158" s="89"/>
      <c r="R158" s="89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</row>
    <row r="159" spans="1:74" ht="24" customHeight="1" x14ac:dyDescent="0.2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8"/>
      <c r="N159" s="88"/>
      <c r="O159" s="8"/>
      <c r="P159" s="8"/>
      <c r="Q159" s="89"/>
      <c r="R159" s="89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</row>
    <row r="160" spans="1:74" ht="24" customHeight="1" x14ac:dyDescent="0.2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8"/>
      <c r="N160" s="88"/>
      <c r="O160" s="8"/>
      <c r="P160" s="8"/>
      <c r="Q160" s="89"/>
      <c r="R160" s="89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</row>
    <row r="161" spans="1:74" ht="24" customHeight="1" x14ac:dyDescent="0.2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8"/>
      <c r="N161" s="88"/>
      <c r="O161" s="8"/>
      <c r="P161" s="8"/>
      <c r="Q161" s="89"/>
      <c r="R161" s="89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</row>
    <row r="162" spans="1:74" ht="24" customHeight="1" x14ac:dyDescent="0.2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8"/>
      <c r="N162" s="88"/>
      <c r="O162" s="8"/>
      <c r="P162" s="8"/>
      <c r="Q162" s="89"/>
      <c r="R162" s="89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</row>
    <row r="163" spans="1:74" ht="24" customHeight="1" x14ac:dyDescent="0.2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8"/>
      <c r="N163" s="88"/>
      <c r="O163" s="8"/>
      <c r="P163" s="8"/>
      <c r="Q163" s="89"/>
      <c r="R163" s="89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</row>
    <row r="164" spans="1:74" ht="24" customHeight="1" x14ac:dyDescent="0.2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8"/>
      <c r="N164" s="88"/>
      <c r="O164" s="8"/>
      <c r="P164" s="8"/>
      <c r="Q164" s="89"/>
      <c r="R164" s="89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</row>
    <row r="165" spans="1:74" ht="24" customHeight="1" x14ac:dyDescent="0.2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8"/>
      <c r="N165" s="88"/>
      <c r="O165" s="8"/>
      <c r="P165" s="8"/>
      <c r="Q165" s="89"/>
      <c r="R165" s="89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</row>
    <row r="166" spans="1:74" ht="24" customHeight="1" x14ac:dyDescent="0.2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8"/>
      <c r="N166" s="88"/>
      <c r="O166" s="8"/>
      <c r="P166" s="8"/>
      <c r="Q166" s="89"/>
      <c r="R166" s="89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</row>
    <row r="167" spans="1:74" ht="24" customHeight="1" x14ac:dyDescent="0.2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8"/>
      <c r="N167" s="88"/>
      <c r="O167" s="8"/>
      <c r="P167" s="8"/>
      <c r="Q167" s="89"/>
      <c r="R167" s="89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</row>
    <row r="168" spans="1:74" ht="24" customHeight="1" x14ac:dyDescent="0.2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8"/>
      <c r="N168" s="88"/>
      <c r="O168" s="8"/>
      <c r="P168" s="8"/>
      <c r="Q168" s="89"/>
      <c r="R168" s="89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</row>
    <row r="169" spans="1:74" ht="24" customHeight="1" x14ac:dyDescent="0.2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8"/>
      <c r="N169" s="88"/>
      <c r="O169" s="8"/>
      <c r="P169" s="8"/>
      <c r="Q169" s="89"/>
      <c r="R169" s="89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</row>
    <row r="170" spans="1:74" ht="24" customHeight="1" x14ac:dyDescent="0.2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8"/>
      <c r="N170" s="88"/>
      <c r="O170" s="8"/>
      <c r="P170" s="8"/>
      <c r="Q170" s="89"/>
      <c r="R170" s="89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</row>
    <row r="171" spans="1:74" ht="24" customHeight="1" x14ac:dyDescent="0.2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8"/>
      <c r="N171" s="88"/>
      <c r="O171" s="8"/>
      <c r="P171" s="8"/>
      <c r="Q171" s="89"/>
      <c r="R171" s="89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</row>
    <row r="172" spans="1:74" ht="24" customHeight="1" x14ac:dyDescent="0.2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8"/>
      <c r="N172" s="88"/>
      <c r="O172" s="8"/>
      <c r="P172" s="8"/>
      <c r="Q172" s="89"/>
      <c r="R172" s="89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</row>
    <row r="173" spans="1:74" ht="24" customHeight="1" x14ac:dyDescent="0.2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8"/>
      <c r="N173" s="88"/>
      <c r="O173" s="8"/>
      <c r="P173" s="8"/>
      <c r="Q173" s="89"/>
      <c r="R173" s="89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</row>
    <row r="174" spans="1:74" ht="24" customHeight="1" x14ac:dyDescent="0.2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8"/>
      <c r="N174" s="88"/>
      <c r="O174" s="8"/>
      <c r="P174" s="8"/>
      <c r="Q174" s="89"/>
      <c r="R174" s="89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</row>
    <row r="175" spans="1:74" ht="24" customHeight="1" x14ac:dyDescent="0.2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8"/>
      <c r="N175" s="88"/>
      <c r="O175" s="8"/>
      <c r="P175" s="8"/>
      <c r="Q175" s="89"/>
      <c r="R175" s="89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</row>
    <row r="176" spans="1:74" ht="24" customHeight="1" x14ac:dyDescent="0.2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8"/>
      <c r="N176" s="88"/>
      <c r="O176" s="8"/>
      <c r="P176" s="8"/>
      <c r="Q176" s="89"/>
      <c r="R176" s="89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</row>
    <row r="177" spans="1:74" ht="24" customHeight="1" x14ac:dyDescent="0.2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8"/>
      <c r="N177" s="88"/>
      <c r="O177" s="8"/>
      <c r="P177" s="8"/>
      <c r="Q177" s="89"/>
      <c r="R177" s="89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</row>
    <row r="178" spans="1:74" ht="24" customHeight="1" x14ac:dyDescent="0.2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8"/>
      <c r="N178" s="88"/>
      <c r="O178" s="8"/>
      <c r="P178" s="8"/>
      <c r="Q178" s="89"/>
      <c r="R178" s="89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</row>
    <row r="179" spans="1:74" ht="24" customHeight="1" x14ac:dyDescent="0.2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8"/>
      <c r="N179" s="88"/>
      <c r="O179" s="8"/>
      <c r="P179" s="8"/>
      <c r="Q179" s="89"/>
      <c r="R179" s="89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</row>
    <row r="180" spans="1:74" ht="24" customHeight="1" x14ac:dyDescent="0.2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8"/>
      <c r="N180" s="88"/>
      <c r="O180" s="8"/>
      <c r="P180" s="8"/>
      <c r="Q180" s="89"/>
      <c r="R180" s="89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</row>
    <row r="181" spans="1:74" ht="24" customHeight="1" x14ac:dyDescent="0.2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8"/>
      <c r="N181" s="88"/>
      <c r="O181" s="8"/>
      <c r="P181" s="8"/>
      <c r="Q181" s="89"/>
      <c r="R181" s="89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</row>
    <row r="182" spans="1:74" ht="24" customHeight="1" x14ac:dyDescent="0.2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8"/>
      <c r="N182" s="88"/>
      <c r="O182" s="8"/>
      <c r="P182" s="8"/>
      <c r="Q182" s="89"/>
      <c r="R182" s="89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</row>
    <row r="183" spans="1:74" ht="24" customHeight="1" x14ac:dyDescent="0.2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8"/>
      <c r="N183" s="88"/>
      <c r="O183" s="8"/>
      <c r="P183" s="8"/>
      <c r="Q183" s="89"/>
      <c r="R183" s="89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</row>
    <row r="184" spans="1:74" ht="24" customHeight="1" x14ac:dyDescent="0.2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8"/>
      <c r="N184" s="88"/>
      <c r="O184" s="8"/>
      <c r="P184" s="8"/>
      <c r="Q184" s="89"/>
      <c r="R184" s="89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</row>
    <row r="185" spans="1:74" ht="24" customHeight="1" x14ac:dyDescent="0.2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8"/>
      <c r="N185" s="88"/>
      <c r="O185" s="8"/>
      <c r="P185" s="8"/>
      <c r="Q185" s="89"/>
      <c r="R185" s="89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</row>
    <row r="186" spans="1:74" ht="24" customHeight="1" x14ac:dyDescent="0.2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8"/>
      <c r="N186" s="88"/>
      <c r="O186" s="8"/>
      <c r="P186" s="8"/>
      <c r="Q186" s="89"/>
      <c r="R186" s="89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</row>
    <row r="187" spans="1:74" ht="24" customHeight="1" x14ac:dyDescent="0.2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8"/>
      <c r="N187" s="88"/>
      <c r="O187" s="8"/>
      <c r="P187" s="8"/>
      <c r="Q187" s="89"/>
      <c r="R187" s="89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</row>
    <row r="188" spans="1:74" ht="24" customHeight="1" x14ac:dyDescent="0.2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8"/>
      <c r="N188" s="88"/>
      <c r="O188" s="8"/>
      <c r="P188" s="8"/>
      <c r="Q188" s="89"/>
      <c r="R188" s="89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</row>
    <row r="189" spans="1:74" ht="24" customHeight="1" x14ac:dyDescent="0.2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8"/>
      <c r="N189" s="88"/>
      <c r="O189" s="8"/>
      <c r="P189" s="8"/>
      <c r="Q189" s="89"/>
      <c r="R189" s="89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</row>
    <row r="190" spans="1:74" ht="24" customHeight="1" x14ac:dyDescent="0.2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8"/>
      <c r="N190" s="88"/>
      <c r="O190" s="8"/>
      <c r="P190" s="8"/>
      <c r="Q190" s="89"/>
      <c r="R190" s="89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</row>
    <row r="191" spans="1:74" ht="24" customHeight="1" x14ac:dyDescent="0.2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8"/>
      <c r="N191" s="88"/>
      <c r="O191" s="8"/>
      <c r="P191" s="8"/>
      <c r="Q191" s="89"/>
      <c r="R191" s="89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</row>
    <row r="192" spans="1:74" ht="24" customHeight="1" x14ac:dyDescent="0.2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8"/>
      <c r="N192" s="88"/>
      <c r="O192" s="8"/>
      <c r="P192" s="8"/>
      <c r="Q192" s="89"/>
      <c r="R192" s="89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</row>
    <row r="193" spans="1:74" ht="24" customHeight="1" x14ac:dyDescent="0.2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8"/>
      <c r="N193" s="88"/>
      <c r="O193" s="8"/>
      <c r="P193" s="8"/>
      <c r="Q193" s="89"/>
      <c r="R193" s="89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</row>
    <row r="194" spans="1:74" ht="24" customHeight="1" x14ac:dyDescent="0.2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8"/>
      <c r="N194" s="88"/>
      <c r="O194" s="8"/>
      <c r="P194" s="8"/>
      <c r="Q194" s="89"/>
      <c r="R194" s="89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</row>
    <row r="195" spans="1:74" ht="24" customHeight="1" x14ac:dyDescent="0.2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8"/>
      <c r="N195" s="88"/>
      <c r="O195" s="8"/>
      <c r="P195" s="8"/>
      <c r="Q195" s="89"/>
      <c r="R195" s="89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</row>
    <row r="196" spans="1:74" ht="24" customHeight="1" x14ac:dyDescent="0.2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8"/>
      <c r="N196" s="88"/>
      <c r="O196" s="8"/>
      <c r="P196" s="8"/>
      <c r="Q196" s="89"/>
      <c r="R196" s="89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</row>
    <row r="197" spans="1:74" ht="24" customHeight="1" x14ac:dyDescent="0.2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8"/>
      <c r="N197" s="88"/>
      <c r="O197" s="8"/>
      <c r="P197" s="8"/>
      <c r="Q197" s="89"/>
      <c r="R197" s="89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</row>
    <row r="198" spans="1:74" ht="24" customHeight="1" x14ac:dyDescent="0.2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8"/>
      <c r="N198" s="88"/>
      <c r="O198" s="8"/>
      <c r="P198" s="8"/>
      <c r="Q198" s="89"/>
      <c r="R198" s="89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</row>
    <row r="199" spans="1:74" ht="24" customHeight="1" x14ac:dyDescent="0.2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8"/>
      <c r="N199" s="88"/>
      <c r="O199" s="8"/>
      <c r="P199" s="8"/>
      <c r="Q199" s="89"/>
      <c r="R199" s="89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</row>
    <row r="200" spans="1:74" ht="24" customHeight="1" x14ac:dyDescent="0.2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8"/>
      <c r="N200" s="88"/>
      <c r="O200" s="8"/>
      <c r="P200" s="8"/>
      <c r="Q200" s="89"/>
      <c r="R200" s="89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</row>
    <row r="201" spans="1:74" ht="24" customHeight="1" x14ac:dyDescent="0.2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8"/>
      <c r="N201" s="88"/>
      <c r="O201" s="8"/>
      <c r="P201" s="8"/>
      <c r="Q201" s="89"/>
      <c r="R201" s="89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</row>
    <row r="202" spans="1:74" ht="24" customHeight="1" x14ac:dyDescent="0.2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8"/>
      <c r="N202" s="88"/>
      <c r="O202" s="8"/>
      <c r="P202" s="8"/>
      <c r="Q202" s="89"/>
      <c r="R202" s="89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</row>
    <row r="203" spans="1:74" ht="24" customHeight="1" x14ac:dyDescent="0.2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8"/>
      <c r="N203" s="88"/>
      <c r="O203" s="8"/>
      <c r="P203" s="8"/>
      <c r="Q203" s="89"/>
      <c r="R203" s="89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</row>
    <row r="204" spans="1:74" ht="24" customHeight="1" x14ac:dyDescent="0.2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8"/>
      <c r="N204" s="88"/>
      <c r="O204" s="8"/>
      <c r="P204" s="8"/>
      <c r="Q204" s="89"/>
      <c r="R204" s="89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</row>
    <row r="205" spans="1:74" ht="24" customHeight="1" x14ac:dyDescent="0.2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8"/>
      <c r="N205" s="88"/>
      <c r="O205" s="8"/>
      <c r="P205" s="8"/>
      <c r="Q205" s="89"/>
      <c r="R205" s="89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</row>
    <row r="206" spans="1:74" ht="24" customHeight="1" x14ac:dyDescent="0.2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8"/>
      <c r="N206" s="88"/>
      <c r="O206" s="8"/>
      <c r="P206" s="8"/>
      <c r="Q206" s="89"/>
      <c r="R206" s="89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</row>
    <row r="207" spans="1:74" ht="24" customHeight="1" x14ac:dyDescent="0.2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8"/>
      <c r="N207" s="88"/>
      <c r="O207" s="8"/>
      <c r="P207" s="8"/>
      <c r="Q207" s="89"/>
      <c r="R207" s="89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</row>
    <row r="208" spans="1:74" ht="24" customHeight="1" x14ac:dyDescent="0.2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8"/>
      <c r="N208" s="88"/>
      <c r="O208" s="8"/>
      <c r="P208" s="8"/>
      <c r="Q208" s="89"/>
      <c r="R208" s="89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</row>
    <row r="209" spans="1:74" ht="24" customHeight="1" x14ac:dyDescent="0.2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8"/>
      <c r="N209" s="88"/>
      <c r="O209" s="8"/>
      <c r="P209" s="8"/>
      <c r="Q209" s="89"/>
      <c r="R209" s="89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</row>
    <row r="210" spans="1:74" ht="24" customHeight="1" x14ac:dyDescent="0.2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8"/>
      <c r="N210" s="88"/>
      <c r="O210" s="8"/>
      <c r="P210" s="8"/>
      <c r="Q210" s="89"/>
      <c r="R210" s="89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</row>
    <row r="211" spans="1:74" ht="24" customHeight="1" x14ac:dyDescent="0.2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8"/>
      <c r="N211" s="88"/>
      <c r="O211" s="8"/>
      <c r="P211" s="8"/>
      <c r="Q211" s="89"/>
      <c r="R211" s="89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</row>
    <row r="212" spans="1:74" ht="24" customHeight="1" x14ac:dyDescent="0.2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8"/>
      <c r="N212" s="88"/>
      <c r="O212" s="8"/>
      <c r="P212" s="8"/>
      <c r="Q212" s="89"/>
      <c r="R212" s="89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</row>
    <row r="213" spans="1:74" ht="24" customHeight="1" x14ac:dyDescent="0.2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8"/>
      <c r="N213" s="88"/>
      <c r="O213" s="8"/>
      <c r="P213" s="8"/>
      <c r="Q213" s="89"/>
      <c r="R213" s="89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</row>
    <row r="214" spans="1:74" ht="24" customHeight="1" x14ac:dyDescent="0.2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8"/>
      <c r="N214" s="88"/>
      <c r="O214" s="8"/>
      <c r="P214" s="8"/>
      <c r="Q214" s="89"/>
      <c r="R214" s="89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</row>
    <row r="215" spans="1:74" ht="24" customHeight="1" x14ac:dyDescent="0.2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8"/>
      <c r="N215" s="88"/>
      <c r="O215" s="8"/>
      <c r="P215" s="8"/>
      <c r="Q215" s="89"/>
      <c r="R215" s="89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</row>
    <row r="216" spans="1:74" ht="24" customHeight="1" x14ac:dyDescent="0.2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8"/>
      <c r="N216" s="88"/>
      <c r="O216" s="8"/>
      <c r="P216" s="8"/>
      <c r="Q216" s="89"/>
      <c r="R216" s="89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</row>
    <row r="217" spans="1:74" ht="24" customHeight="1" x14ac:dyDescent="0.2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8"/>
      <c r="N217" s="88"/>
      <c r="O217" s="8"/>
      <c r="P217" s="8"/>
      <c r="Q217" s="89"/>
      <c r="R217" s="89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</row>
    <row r="218" spans="1:74" ht="24" customHeight="1" x14ac:dyDescent="0.2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8"/>
      <c r="N218" s="88"/>
      <c r="O218" s="8"/>
      <c r="P218" s="8"/>
      <c r="Q218" s="89"/>
      <c r="R218" s="89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</row>
    <row r="219" spans="1:74" ht="24" customHeight="1" x14ac:dyDescent="0.2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8"/>
      <c r="N219" s="88"/>
      <c r="O219" s="8"/>
      <c r="P219" s="8"/>
      <c r="Q219" s="89"/>
      <c r="R219" s="89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</row>
    <row r="220" spans="1:74" ht="24" customHeight="1" x14ac:dyDescent="0.2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8"/>
      <c r="N220" s="88"/>
      <c r="O220" s="8"/>
      <c r="P220" s="8"/>
      <c r="Q220" s="89"/>
      <c r="R220" s="89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</row>
    <row r="221" spans="1:74" ht="24" customHeight="1" x14ac:dyDescent="0.2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8"/>
      <c r="N221" s="88"/>
      <c r="O221" s="8"/>
      <c r="P221" s="8"/>
      <c r="Q221" s="89"/>
      <c r="R221" s="89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</row>
    <row r="222" spans="1:74" ht="24" customHeight="1" x14ac:dyDescent="0.2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8"/>
      <c r="N222" s="88"/>
      <c r="O222" s="8"/>
      <c r="P222" s="8"/>
      <c r="Q222" s="89"/>
      <c r="R222" s="89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</row>
    <row r="223" spans="1:74" ht="24" customHeight="1" x14ac:dyDescent="0.2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8"/>
      <c r="N223" s="88"/>
      <c r="O223" s="8"/>
      <c r="P223" s="8"/>
      <c r="Q223" s="89"/>
      <c r="R223" s="89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</row>
    <row r="224" spans="1:74" ht="24" customHeight="1" x14ac:dyDescent="0.2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8"/>
      <c r="N224" s="88"/>
      <c r="O224" s="8"/>
      <c r="P224" s="8"/>
      <c r="Q224" s="89"/>
      <c r="R224" s="89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</row>
    <row r="225" spans="1:74" ht="24" customHeight="1" x14ac:dyDescent="0.2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8"/>
      <c r="N225" s="88"/>
      <c r="O225" s="8"/>
      <c r="P225" s="8"/>
      <c r="Q225" s="89"/>
      <c r="R225" s="89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</row>
    <row r="226" spans="1:74" ht="24" customHeight="1" x14ac:dyDescent="0.2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8"/>
      <c r="N226" s="88"/>
      <c r="O226" s="8"/>
      <c r="P226" s="8"/>
      <c r="Q226" s="89"/>
      <c r="R226" s="89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</row>
    <row r="227" spans="1:74" ht="24" customHeight="1" x14ac:dyDescent="0.2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8"/>
      <c r="N227" s="88"/>
      <c r="O227" s="8"/>
      <c r="P227" s="8"/>
      <c r="Q227" s="89"/>
      <c r="R227" s="89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</row>
    <row r="228" spans="1:74" ht="24" customHeight="1" x14ac:dyDescent="0.2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8"/>
      <c r="N228" s="88"/>
      <c r="O228" s="8"/>
      <c r="P228" s="8"/>
      <c r="Q228" s="89"/>
      <c r="R228" s="89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</row>
    <row r="229" spans="1:74" ht="24" customHeight="1" x14ac:dyDescent="0.2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8"/>
      <c r="N229" s="88"/>
      <c r="O229" s="8"/>
      <c r="P229" s="8"/>
      <c r="Q229" s="89"/>
      <c r="R229" s="89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</row>
    <row r="230" spans="1:74" ht="24" customHeight="1" x14ac:dyDescent="0.2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8"/>
      <c r="N230" s="88"/>
      <c r="O230" s="8"/>
      <c r="P230" s="8"/>
      <c r="Q230" s="89"/>
      <c r="R230" s="89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</row>
    <row r="231" spans="1:74" ht="24" customHeight="1" x14ac:dyDescent="0.2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8"/>
      <c r="N231" s="88"/>
      <c r="O231" s="8"/>
      <c r="P231" s="8"/>
      <c r="Q231" s="89"/>
      <c r="R231" s="89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</row>
    <row r="232" spans="1:74" ht="24" customHeight="1" x14ac:dyDescent="0.2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8"/>
      <c r="N232" s="88"/>
      <c r="O232" s="8"/>
      <c r="P232" s="8"/>
      <c r="Q232" s="89"/>
      <c r="R232" s="89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</row>
    <row r="233" spans="1:74" ht="24" customHeight="1" x14ac:dyDescent="0.2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8"/>
      <c r="N233" s="88"/>
      <c r="O233" s="8"/>
      <c r="P233" s="8"/>
      <c r="Q233" s="89"/>
      <c r="R233" s="89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</row>
    <row r="234" spans="1:74" ht="24" customHeight="1" x14ac:dyDescent="0.2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8"/>
      <c r="N234" s="88"/>
      <c r="O234" s="8"/>
      <c r="P234" s="8"/>
      <c r="Q234" s="89"/>
      <c r="R234" s="89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</row>
    <row r="235" spans="1:74" ht="24" customHeight="1" x14ac:dyDescent="0.2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8"/>
      <c r="N235" s="88"/>
      <c r="O235" s="8"/>
      <c r="P235" s="8"/>
      <c r="Q235" s="89"/>
      <c r="R235" s="89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</row>
    <row r="236" spans="1:74" ht="24" customHeight="1" x14ac:dyDescent="0.2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8"/>
      <c r="N236" s="88"/>
      <c r="O236" s="8"/>
      <c r="P236" s="8"/>
      <c r="Q236" s="89"/>
      <c r="R236" s="89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</row>
    <row r="237" spans="1:74" ht="24" customHeight="1" x14ac:dyDescent="0.2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8"/>
      <c r="N237" s="88"/>
      <c r="O237" s="8"/>
      <c r="P237" s="8"/>
      <c r="Q237" s="89"/>
      <c r="R237" s="89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</row>
    <row r="238" spans="1:74" ht="24" customHeight="1" x14ac:dyDescent="0.2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8"/>
      <c r="N238" s="88"/>
      <c r="O238" s="8"/>
      <c r="P238" s="8"/>
      <c r="Q238" s="89"/>
      <c r="R238" s="89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</row>
    <row r="239" spans="1:74" ht="24" customHeight="1" x14ac:dyDescent="0.2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8"/>
      <c r="N239" s="88"/>
      <c r="O239" s="8"/>
      <c r="P239" s="8"/>
      <c r="Q239" s="89"/>
      <c r="R239" s="89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</row>
    <row r="240" spans="1:74" ht="24" customHeight="1" x14ac:dyDescent="0.2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8"/>
      <c r="N240" s="88"/>
      <c r="O240" s="8"/>
      <c r="P240" s="8"/>
      <c r="Q240" s="89"/>
      <c r="R240" s="89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</row>
    <row r="241" spans="1:74" ht="24" customHeight="1" x14ac:dyDescent="0.2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8"/>
      <c r="N241" s="88"/>
      <c r="O241" s="8"/>
      <c r="P241" s="8"/>
      <c r="Q241" s="89"/>
      <c r="R241" s="89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</row>
    <row r="242" spans="1:74" ht="24" customHeight="1" x14ac:dyDescent="0.2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8"/>
      <c r="N242" s="88"/>
      <c r="O242" s="8"/>
      <c r="P242" s="8"/>
      <c r="Q242" s="89"/>
      <c r="R242" s="89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</row>
    <row r="243" spans="1:74" ht="24" customHeight="1" x14ac:dyDescent="0.2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8"/>
      <c r="N243" s="88"/>
      <c r="O243" s="8"/>
      <c r="P243" s="8"/>
      <c r="Q243" s="89"/>
      <c r="R243" s="89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</row>
    <row r="244" spans="1:74" ht="24" customHeight="1" x14ac:dyDescent="0.2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8"/>
      <c r="N244" s="88"/>
      <c r="O244" s="8"/>
      <c r="P244" s="8"/>
      <c r="Q244" s="89"/>
      <c r="R244" s="89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</row>
    <row r="245" spans="1:74" ht="24" customHeight="1" x14ac:dyDescent="0.2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8"/>
      <c r="N245" s="88"/>
      <c r="O245" s="8"/>
      <c r="P245" s="8"/>
      <c r="Q245" s="89"/>
      <c r="R245" s="89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</row>
    <row r="246" spans="1:74" ht="24" customHeight="1" x14ac:dyDescent="0.2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8"/>
      <c r="N246" s="88"/>
      <c r="O246" s="8"/>
      <c r="P246" s="8"/>
      <c r="Q246" s="89"/>
      <c r="R246" s="89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</row>
    <row r="247" spans="1:74" ht="24" customHeight="1" x14ac:dyDescent="0.2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8"/>
      <c r="N247" s="88"/>
      <c r="O247" s="8"/>
      <c r="P247" s="8"/>
      <c r="Q247" s="89"/>
      <c r="R247" s="89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</row>
    <row r="248" spans="1:74" ht="24" customHeight="1" x14ac:dyDescent="0.2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8"/>
      <c r="N248" s="88"/>
      <c r="O248" s="8"/>
      <c r="P248" s="8"/>
      <c r="Q248" s="89"/>
      <c r="R248" s="89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</row>
    <row r="249" spans="1:74" ht="24" customHeight="1" x14ac:dyDescent="0.2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8"/>
      <c r="N249" s="88"/>
      <c r="O249" s="8"/>
      <c r="P249" s="8"/>
      <c r="Q249" s="89"/>
      <c r="R249" s="89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</row>
    <row r="250" spans="1:74" ht="24" customHeight="1" x14ac:dyDescent="0.2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8"/>
      <c r="N250" s="88"/>
      <c r="O250" s="8"/>
      <c r="P250" s="8"/>
      <c r="Q250" s="89"/>
      <c r="R250" s="89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</row>
    <row r="251" spans="1:74" ht="24" customHeight="1" x14ac:dyDescent="0.2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8"/>
      <c r="N251" s="88"/>
      <c r="O251" s="8"/>
      <c r="P251" s="8"/>
      <c r="Q251" s="89"/>
      <c r="R251" s="89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</row>
    <row r="252" spans="1:74" ht="24" customHeight="1" x14ac:dyDescent="0.2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8"/>
      <c r="N252" s="88"/>
      <c r="O252" s="8"/>
      <c r="P252" s="8"/>
      <c r="Q252" s="89"/>
      <c r="R252" s="89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</row>
    <row r="253" spans="1:74" ht="24" customHeight="1" x14ac:dyDescent="0.2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8"/>
      <c r="N253" s="88"/>
      <c r="O253" s="8"/>
      <c r="P253" s="8"/>
      <c r="Q253" s="89"/>
      <c r="R253" s="89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</row>
    <row r="254" spans="1:74" ht="24" customHeight="1" x14ac:dyDescent="0.2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8"/>
      <c r="N254" s="88"/>
      <c r="O254" s="8"/>
      <c r="P254" s="8"/>
      <c r="Q254" s="89"/>
      <c r="R254" s="89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</row>
    <row r="255" spans="1:74" ht="24" customHeight="1" x14ac:dyDescent="0.2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8"/>
      <c r="N255" s="88"/>
      <c r="O255" s="8"/>
      <c r="P255" s="8"/>
      <c r="Q255" s="89"/>
      <c r="R255" s="89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</row>
    <row r="256" spans="1:74" ht="24" customHeight="1" x14ac:dyDescent="0.2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8"/>
      <c r="N256" s="88"/>
      <c r="O256" s="8"/>
      <c r="P256" s="8"/>
      <c r="Q256" s="89"/>
      <c r="R256" s="89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</row>
    <row r="257" spans="1:74" ht="24" customHeight="1" x14ac:dyDescent="0.2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8"/>
      <c r="N257" s="88"/>
      <c r="O257" s="8"/>
      <c r="P257" s="8"/>
      <c r="Q257" s="89"/>
      <c r="R257" s="89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</row>
    <row r="258" spans="1:74" ht="24" customHeight="1" x14ac:dyDescent="0.2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8"/>
      <c r="N258" s="88"/>
      <c r="O258" s="8"/>
      <c r="P258" s="8"/>
      <c r="Q258" s="89"/>
      <c r="R258" s="89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</row>
    <row r="259" spans="1:74" ht="24" customHeight="1" x14ac:dyDescent="0.2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8"/>
      <c r="N259" s="88"/>
      <c r="O259" s="8"/>
      <c r="P259" s="8"/>
      <c r="Q259" s="89"/>
      <c r="R259" s="89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</row>
    <row r="260" spans="1:74" ht="24" customHeight="1" x14ac:dyDescent="0.2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8"/>
      <c r="N260" s="88"/>
      <c r="O260" s="8"/>
      <c r="P260" s="8"/>
      <c r="Q260" s="89"/>
      <c r="R260" s="89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</row>
    <row r="261" spans="1:74" ht="24" customHeight="1" x14ac:dyDescent="0.2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8"/>
      <c r="N261" s="88"/>
      <c r="O261" s="8"/>
      <c r="P261" s="8"/>
      <c r="Q261" s="89"/>
      <c r="R261" s="89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</row>
    <row r="262" spans="1:74" ht="24" customHeight="1" x14ac:dyDescent="0.2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8"/>
      <c r="N262" s="88"/>
      <c r="O262" s="8"/>
      <c r="P262" s="8"/>
      <c r="Q262" s="89"/>
      <c r="R262" s="89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</row>
    <row r="263" spans="1:74" ht="24" customHeight="1" x14ac:dyDescent="0.2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8"/>
      <c r="N263" s="88"/>
      <c r="O263" s="8"/>
      <c r="P263" s="8"/>
      <c r="Q263" s="89"/>
      <c r="R263" s="89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</row>
    <row r="264" spans="1:74" ht="24" customHeight="1" x14ac:dyDescent="0.2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8"/>
      <c r="N264" s="88"/>
      <c r="O264" s="8"/>
      <c r="P264" s="8"/>
      <c r="Q264" s="89"/>
      <c r="R264" s="89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</row>
    <row r="265" spans="1:74" ht="24" customHeight="1" x14ac:dyDescent="0.2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8"/>
      <c r="N265" s="88"/>
      <c r="O265" s="8"/>
      <c r="P265" s="8"/>
      <c r="Q265" s="89"/>
      <c r="R265" s="89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</row>
    <row r="266" spans="1:74" ht="24" customHeight="1" x14ac:dyDescent="0.2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8"/>
      <c r="N266" s="88"/>
      <c r="O266" s="8"/>
      <c r="P266" s="8"/>
      <c r="Q266" s="89"/>
      <c r="R266" s="89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</row>
    <row r="267" spans="1:74" ht="24" customHeight="1" x14ac:dyDescent="0.2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8"/>
      <c r="N267" s="88"/>
      <c r="O267" s="8"/>
      <c r="P267" s="8"/>
      <c r="Q267" s="89"/>
      <c r="R267" s="89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</row>
    <row r="268" spans="1:74" ht="24" customHeight="1" x14ac:dyDescent="0.2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8"/>
      <c r="N268" s="88"/>
      <c r="O268" s="8"/>
      <c r="P268" s="8"/>
      <c r="Q268" s="89"/>
      <c r="R268" s="89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</row>
    <row r="269" spans="1:74" ht="24" customHeight="1" x14ac:dyDescent="0.2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8"/>
      <c r="N269" s="88"/>
      <c r="O269" s="8"/>
      <c r="P269" s="8"/>
      <c r="Q269" s="89"/>
      <c r="R269" s="89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</row>
    <row r="270" spans="1:74" ht="24" customHeight="1" x14ac:dyDescent="0.2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8"/>
      <c r="N270" s="88"/>
      <c r="O270" s="8"/>
      <c r="P270" s="8"/>
      <c r="Q270" s="89"/>
      <c r="R270" s="89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</row>
    <row r="271" spans="1:74" ht="24" customHeight="1" x14ac:dyDescent="0.2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8"/>
      <c r="N271" s="88"/>
      <c r="O271" s="8"/>
      <c r="P271" s="8"/>
      <c r="Q271" s="89"/>
      <c r="R271" s="89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</row>
    <row r="272" spans="1:74" ht="24" customHeight="1" x14ac:dyDescent="0.2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8"/>
      <c r="N272" s="88"/>
      <c r="O272" s="8"/>
      <c r="P272" s="8"/>
      <c r="Q272" s="89"/>
      <c r="R272" s="89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</row>
    <row r="273" spans="1:74" ht="24" customHeight="1" x14ac:dyDescent="0.2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8"/>
      <c r="N273" s="88"/>
      <c r="O273" s="8"/>
      <c r="P273" s="8"/>
      <c r="Q273" s="89"/>
      <c r="R273" s="89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</row>
    <row r="274" spans="1:74" ht="24" customHeight="1" x14ac:dyDescent="0.2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8"/>
      <c r="N274" s="88"/>
      <c r="O274" s="8"/>
      <c r="P274" s="8"/>
      <c r="Q274" s="89"/>
      <c r="R274" s="89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</row>
    <row r="275" spans="1:74" ht="24" customHeight="1" x14ac:dyDescent="0.2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8"/>
      <c r="N275" s="88"/>
      <c r="O275" s="8"/>
      <c r="P275" s="8"/>
      <c r="Q275" s="89"/>
      <c r="R275" s="89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</row>
    <row r="276" spans="1:74" ht="24" customHeight="1" x14ac:dyDescent="0.2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8"/>
      <c r="N276" s="88"/>
      <c r="O276" s="8"/>
      <c r="P276" s="8"/>
      <c r="Q276" s="89"/>
      <c r="R276" s="89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</row>
    <row r="277" spans="1:74" ht="24" customHeight="1" x14ac:dyDescent="0.2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8"/>
      <c r="N277" s="88"/>
      <c r="O277" s="8"/>
      <c r="P277" s="8"/>
      <c r="Q277" s="89"/>
      <c r="R277" s="89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</row>
    <row r="278" spans="1:74" ht="24" customHeight="1" x14ac:dyDescent="0.2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8"/>
      <c r="N278" s="88"/>
      <c r="O278" s="8"/>
      <c r="P278" s="8"/>
      <c r="Q278" s="89"/>
      <c r="R278" s="89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</row>
    <row r="279" spans="1:74" ht="24" customHeight="1" x14ac:dyDescent="0.2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8"/>
      <c r="N279" s="88"/>
      <c r="O279" s="8"/>
      <c r="P279" s="8"/>
      <c r="Q279" s="89"/>
      <c r="R279" s="89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</row>
    <row r="280" spans="1:74" ht="24" customHeight="1" x14ac:dyDescent="0.2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8"/>
      <c r="N280" s="88"/>
      <c r="O280" s="8"/>
      <c r="P280" s="8"/>
      <c r="Q280" s="89"/>
      <c r="R280" s="89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</row>
    <row r="281" spans="1:74" ht="24" customHeight="1" x14ac:dyDescent="0.2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8"/>
      <c r="N281" s="88"/>
      <c r="O281" s="8"/>
      <c r="P281" s="8"/>
      <c r="Q281" s="89"/>
      <c r="R281" s="89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</row>
    <row r="282" spans="1:74" ht="24" customHeight="1" x14ac:dyDescent="0.2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8"/>
      <c r="N282" s="88"/>
      <c r="O282" s="8"/>
      <c r="P282" s="8"/>
      <c r="Q282" s="89"/>
      <c r="R282" s="89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</row>
    <row r="283" spans="1:74" ht="24" customHeight="1" x14ac:dyDescent="0.2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8"/>
      <c r="N283" s="88"/>
      <c r="O283" s="8"/>
      <c r="P283" s="8"/>
      <c r="Q283" s="89"/>
      <c r="R283" s="89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</row>
    <row r="284" spans="1:74" ht="24" customHeight="1" x14ac:dyDescent="0.2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8"/>
      <c r="N284" s="88"/>
      <c r="O284" s="8"/>
      <c r="P284" s="8"/>
      <c r="Q284" s="89"/>
      <c r="R284" s="89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</row>
    <row r="285" spans="1:74" ht="24" customHeight="1" x14ac:dyDescent="0.2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8"/>
      <c r="N285" s="88"/>
      <c r="O285" s="8"/>
      <c r="P285" s="8"/>
      <c r="Q285" s="89"/>
      <c r="R285" s="89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</row>
    <row r="286" spans="1:74" ht="24" customHeight="1" x14ac:dyDescent="0.2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8"/>
      <c r="N286" s="88"/>
      <c r="O286" s="8"/>
      <c r="P286" s="8"/>
      <c r="Q286" s="89"/>
      <c r="R286" s="89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</row>
    <row r="287" spans="1:74" ht="24" customHeight="1" x14ac:dyDescent="0.2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8"/>
      <c r="N287" s="88"/>
      <c r="O287" s="8"/>
      <c r="P287" s="8"/>
      <c r="Q287" s="89"/>
      <c r="R287" s="89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</row>
    <row r="288" spans="1:74" ht="24" customHeight="1" x14ac:dyDescent="0.2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8"/>
      <c r="N288" s="88"/>
      <c r="O288" s="8"/>
      <c r="P288" s="8"/>
      <c r="Q288" s="89"/>
      <c r="R288" s="89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</row>
    <row r="289" spans="1:74" ht="24" customHeight="1" x14ac:dyDescent="0.2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8"/>
      <c r="N289" s="88"/>
      <c r="O289" s="8"/>
      <c r="P289" s="8"/>
      <c r="Q289" s="89"/>
      <c r="R289" s="89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</row>
    <row r="290" spans="1:74" ht="24" customHeight="1" x14ac:dyDescent="0.2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8"/>
      <c r="N290" s="88"/>
      <c r="O290" s="8"/>
      <c r="P290" s="8"/>
      <c r="Q290" s="89"/>
      <c r="R290" s="89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</row>
    <row r="291" spans="1:74" ht="24" customHeight="1" x14ac:dyDescent="0.2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8"/>
      <c r="N291" s="88"/>
      <c r="O291" s="8"/>
      <c r="P291" s="8"/>
      <c r="Q291" s="89"/>
      <c r="R291" s="89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</row>
    <row r="292" spans="1:74" ht="24" customHeight="1" x14ac:dyDescent="0.2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8"/>
      <c r="N292" s="88"/>
      <c r="O292" s="8"/>
      <c r="P292" s="8"/>
      <c r="Q292" s="89"/>
      <c r="R292" s="89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</row>
    <row r="293" spans="1:74" ht="24" customHeight="1" x14ac:dyDescent="0.2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8"/>
      <c r="N293" s="88"/>
      <c r="O293" s="8"/>
      <c r="P293" s="8"/>
      <c r="Q293" s="89"/>
      <c r="R293" s="89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</row>
    <row r="294" spans="1:74" ht="24" customHeight="1" x14ac:dyDescent="0.2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8"/>
      <c r="N294" s="88"/>
      <c r="O294" s="8"/>
      <c r="P294" s="8"/>
      <c r="Q294" s="89"/>
      <c r="R294" s="89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</row>
    <row r="295" spans="1:74" ht="24" customHeight="1" x14ac:dyDescent="0.2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8"/>
      <c r="N295" s="88"/>
      <c r="O295" s="8"/>
      <c r="P295" s="8"/>
      <c r="Q295" s="89"/>
      <c r="R295" s="89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</row>
    <row r="296" spans="1:74" ht="24" customHeight="1" x14ac:dyDescent="0.2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8"/>
      <c r="N296" s="88"/>
      <c r="O296" s="8"/>
      <c r="P296" s="8"/>
      <c r="Q296" s="89"/>
      <c r="R296" s="89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</row>
    <row r="297" spans="1:74" ht="24" customHeight="1" x14ac:dyDescent="0.2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8"/>
      <c r="N297" s="88"/>
      <c r="O297" s="8"/>
      <c r="P297" s="8"/>
      <c r="Q297" s="89"/>
      <c r="R297" s="89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</row>
    <row r="298" spans="1:74" ht="24" customHeight="1" x14ac:dyDescent="0.2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8"/>
      <c r="N298" s="88"/>
      <c r="O298" s="8"/>
      <c r="P298" s="8"/>
      <c r="Q298" s="89"/>
      <c r="R298" s="89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</row>
    <row r="299" spans="1:74" ht="24" customHeight="1" x14ac:dyDescent="0.2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8"/>
      <c r="N299" s="88"/>
      <c r="O299" s="8"/>
      <c r="P299" s="8"/>
      <c r="Q299" s="89"/>
      <c r="R299" s="89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</row>
    <row r="300" spans="1:74" ht="24" customHeight="1" x14ac:dyDescent="0.2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8"/>
      <c r="N300" s="88"/>
      <c r="O300" s="8"/>
      <c r="P300" s="8"/>
      <c r="Q300" s="89"/>
      <c r="R300" s="89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</row>
    <row r="301" spans="1:74" ht="24" customHeight="1" x14ac:dyDescent="0.2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8"/>
      <c r="N301" s="88"/>
      <c r="O301" s="8"/>
      <c r="P301" s="8"/>
      <c r="Q301" s="89"/>
      <c r="R301" s="89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</row>
    <row r="302" spans="1:74" ht="24" customHeight="1" x14ac:dyDescent="0.2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8"/>
      <c r="N302" s="88"/>
      <c r="O302" s="8"/>
      <c r="P302" s="8"/>
      <c r="Q302" s="89"/>
      <c r="R302" s="89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</row>
    <row r="303" spans="1:74" ht="24" customHeight="1" x14ac:dyDescent="0.2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8"/>
      <c r="N303" s="88"/>
      <c r="O303" s="8"/>
      <c r="P303" s="8"/>
      <c r="Q303" s="89"/>
      <c r="R303" s="89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</row>
    <row r="304" spans="1:74" ht="24" customHeight="1" x14ac:dyDescent="0.2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8"/>
      <c r="N304" s="88"/>
      <c r="O304" s="8"/>
      <c r="P304" s="8"/>
      <c r="Q304" s="89"/>
      <c r="R304" s="89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</row>
    <row r="305" spans="1:74" ht="24" customHeight="1" x14ac:dyDescent="0.2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8"/>
      <c r="N305" s="88"/>
      <c r="O305" s="8"/>
      <c r="P305" s="8"/>
      <c r="Q305" s="89"/>
      <c r="R305" s="89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</row>
    <row r="306" spans="1:74" ht="24" customHeight="1" x14ac:dyDescent="0.2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8"/>
      <c r="N306" s="88"/>
      <c r="O306" s="8"/>
      <c r="P306" s="8"/>
      <c r="Q306" s="89"/>
      <c r="R306" s="89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</row>
    <row r="307" spans="1:74" ht="24" customHeight="1" x14ac:dyDescent="0.2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8"/>
      <c r="N307" s="88"/>
      <c r="O307" s="8"/>
      <c r="P307" s="8"/>
      <c r="Q307" s="89"/>
      <c r="R307" s="89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</row>
    <row r="308" spans="1:74" ht="24" customHeight="1" x14ac:dyDescent="0.2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8"/>
      <c r="N308" s="88"/>
      <c r="O308" s="8"/>
      <c r="P308" s="8"/>
      <c r="Q308" s="89"/>
      <c r="R308" s="89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</row>
    <row r="309" spans="1:74" ht="24" customHeight="1" x14ac:dyDescent="0.2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8"/>
      <c r="N309" s="88"/>
      <c r="O309" s="8"/>
      <c r="P309" s="8"/>
      <c r="Q309" s="89"/>
      <c r="R309" s="89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</row>
    <row r="310" spans="1:74" ht="24" customHeight="1" x14ac:dyDescent="0.2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8"/>
      <c r="N310" s="88"/>
      <c r="O310" s="8"/>
      <c r="P310" s="8"/>
      <c r="Q310" s="89"/>
      <c r="R310" s="89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</row>
    <row r="311" spans="1:74" ht="24" customHeight="1" x14ac:dyDescent="0.2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8"/>
      <c r="N311" s="88"/>
      <c r="O311" s="8"/>
      <c r="P311" s="8"/>
      <c r="Q311" s="89"/>
      <c r="R311" s="89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</row>
    <row r="312" spans="1:74" ht="24" customHeight="1" x14ac:dyDescent="0.2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8"/>
      <c r="N312" s="88"/>
      <c r="O312" s="8"/>
      <c r="P312" s="8"/>
      <c r="Q312" s="89"/>
      <c r="R312" s="89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</row>
    <row r="313" spans="1:74" ht="24" customHeight="1" x14ac:dyDescent="0.2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8"/>
      <c r="N313" s="88"/>
      <c r="O313" s="8"/>
      <c r="P313" s="8"/>
      <c r="Q313" s="89"/>
      <c r="R313" s="89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</row>
    <row r="314" spans="1:74" ht="12.75" x14ac:dyDescent="0.2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8"/>
      <c r="N314" s="88"/>
      <c r="O314" s="8"/>
      <c r="P314" s="8"/>
      <c r="Q314" s="89"/>
      <c r="R314" s="89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</row>
    <row r="315" spans="1:74" ht="12.75" x14ac:dyDescent="0.2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8"/>
      <c r="N315" s="88"/>
      <c r="O315" s="8"/>
      <c r="P315" s="8"/>
      <c r="Q315" s="89"/>
      <c r="R315" s="89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</row>
    <row r="316" spans="1:74" ht="12.75" x14ac:dyDescent="0.2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8"/>
      <c r="N316" s="88"/>
      <c r="O316" s="8"/>
      <c r="P316" s="8"/>
      <c r="Q316" s="89"/>
      <c r="R316" s="89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</row>
    <row r="317" spans="1:74" ht="12.75" x14ac:dyDescent="0.2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8"/>
      <c r="N317" s="88"/>
      <c r="O317" s="8"/>
      <c r="P317" s="8"/>
      <c r="Q317" s="89"/>
      <c r="R317" s="89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</row>
    <row r="318" spans="1:74" ht="12.75" x14ac:dyDescent="0.2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8"/>
      <c r="N318" s="88"/>
      <c r="O318" s="8"/>
      <c r="P318" s="8"/>
      <c r="Q318" s="89"/>
      <c r="R318" s="89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</row>
    <row r="319" spans="1:74" ht="12.75" x14ac:dyDescent="0.2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8"/>
      <c r="N319" s="88"/>
      <c r="O319" s="8"/>
      <c r="P319" s="8"/>
      <c r="Q319" s="89"/>
      <c r="R319" s="89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</row>
    <row r="320" spans="1:74" ht="12.75" x14ac:dyDescent="0.2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8"/>
      <c r="N320" s="88"/>
      <c r="O320" s="8"/>
      <c r="P320" s="8"/>
      <c r="Q320" s="89"/>
      <c r="R320" s="89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</row>
    <row r="321" spans="1:74" ht="12.75" x14ac:dyDescent="0.2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8"/>
      <c r="N321" s="88"/>
      <c r="O321" s="8"/>
      <c r="P321" s="8"/>
      <c r="Q321" s="89"/>
      <c r="R321" s="89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</row>
    <row r="322" spans="1:74" ht="12.75" x14ac:dyDescent="0.2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8"/>
      <c r="N322" s="88"/>
      <c r="O322" s="8"/>
      <c r="P322" s="8"/>
      <c r="Q322" s="89"/>
      <c r="R322" s="89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</row>
    <row r="323" spans="1:74" ht="12.75" x14ac:dyDescent="0.2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8"/>
      <c r="N323" s="88"/>
      <c r="O323" s="8"/>
      <c r="P323" s="8"/>
      <c r="Q323" s="89"/>
      <c r="R323" s="89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</row>
    <row r="324" spans="1:74" ht="12.75" x14ac:dyDescent="0.2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8"/>
      <c r="N324" s="88"/>
      <c r="O324" s="8"/>
      <c r="P324" s="8"/>
      <c r="Q324" s="89"/>
      <c r="R324" s="89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</row>
    <row r="325" spans="1:74" ht="12.75" x14ac:dyDescent="0.2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8"/>
      <c r="N325" s="88"/>
      <c r="O325" s="8"/>
      <c r="P325" s="8"/>
      <c r="Q325" s="89"/>
      <c r="R325" s="89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</row>
    <row r="326" spans="1:74" ht="12.75" x14ac:dyDescent="0.2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8"/>
      <c r="N326" s="88"/>
      <c r="O326" s="8"/>
      <c r="P326" s="8"/>
      <c r="Q326" s="89"/>
      <c r="R326" s="89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</row>
    <row r="327" spans="1:74" ht="12.75" x14ac:dyDescent="0.2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8"/>
      <c r="N327" s="88"/>
      <c r="O327" s="8"/>
      <c r="P327" s="8"/>
      <c r="Q327" s="89"/>
      <c r="R327" s="89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</row>
    <row r="328" spans="1:74" ht="12.75" x14ac:dyDescent="0.2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8"/>
      <c r="N328" s="88"/>
      <c r="O328" s="8"/>
      <c r="P328" s="8"/>
      <c r="Q328" s="89"/>
      <c r="R328" s="89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</row>
    <row r="329" spans="1:74" ht="12.75" x14ac:dyDescent="0.2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8"/>
      <c r="N329" s="88"/>
      <c r="O329" s="8"/>
      <c r="P329" s="8"/>
      <c r="Q329" s="89"/>
      <c r="R329" s="89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</row>
    <row r="330" spans="1:74" ht="12.75" x14ac:dyDescent="0.2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8"/>
      <c r="N330" s="88"/>
      <c r="O330" s="8"/>
      <c r="P330" s="8"/>
      <c r="Q330" s="89"/>
      <c r="R330" s="89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</row>
    <row r="331" spans="1:74" ht="12.75" x14ac:dyDescent="0.2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8"/>
      <c r="N331" s="88"/>
      <c r="O331" s="8"/>
      <c r="P331" s="8"/>
      <c r="Q331" s="89"/>
      <c r="R331" s="89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</row>
    <row r="332" spans="1:74" ht="12.75" x14ac:dyDescent="0.2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8"/>
      <c r="N332" s="88"/>
      <c r="O332" s="8"/>
      <c r="P332" s="8"/>
      <c r="Q332" s="89"/>
      <c r="R332" s="89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</row>
    <row r="333" spans="1:74" ht="12.75" x14ac:dyDescent="0.2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8"/>
      <c r="N333" s="88"/>
      <c r="O333" s="8"/>
      <c r="P333" s="8"/>
      <c r="Q333" s="89"/>
      <c r="R333" s="89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</row>
    <row r="334" spans="1:74" ht="12.75" x14ac:dyDescent="0.2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8"/>
      <c r="N334" s="88"/>
      <c r="O334" s="8"/>
      <c r="P334" s="8"/>
      <c r="Q334" s="89"/>
      <c r="R334" s="89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</row>
    <row r="335" spans="1:74" ht="12.75" x14ac:dyDescent="0.2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8"/>
      <c r="N335" s="88"/>
      <c r="O335" s="8"/>
      <c r="P335" s="8"/>
      <c r="Q335" s="89"/>
      <c r="R335" s="89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</row>
    <row r="336" spans="1:74" ht="12.75" x14ac:dyDescent="0.2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8"/>
      <c r="N336" s="88"/>
      <c r="O336" s="8"/>
      <c r="P336" s="8"/>
      <c r="Q336" s="89"/>
      <c r="R336" s="89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</row>
    <row r="337" spans="1:74" ht="12.75" x14ac:dyDescent="0.2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8"/>
      <c r="N337" s="88"/>
      <c r="O337" s="8"/>
      <c r="P337" s="8"/>
      <c r="Q337" s="89"/>
      <c r="R337" s="89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</row>
    <row r="338" spans="1:74" ht="12.75" x14ac:dyDescent="0.2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8"/>
      <c r="N338" s="88"/>
      <c r="O338" s="8"/>
      <c r="P338" s="8"/>
      <c r="Q338" s="89"/>
      <c r="R338" s="89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</row>
    <row r="339" spans="1:74" ht="12.75" x14ac:dyDescent="0.2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8"/>
      <c r="N339" s="88"/>
      <c r="O339" s="8"/>
      <c r="P339" s="8"/>
      <c r="Q339" s="89"/>
      <c r="R339" s="89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</row>
    <row r="340" spans="1:74" ht="12.75" x14ac:dyDescent="0.2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8"/>
      <c r="N340" s="88"/>
      <c r="O340" s="8"/>
      <c r="P340" s="8"/>
      <c r="Q340" s="89"/>
      <c r="R340" s="89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</row>
    <row r="341" spans="1:74" ht="12.75" x14ac:dyDescent="0.2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8"/>
      <c r="N341" s="88"/>
      <c r="O341" s="8"/>
      <c r="P341" s="8"/>
      <c r="Q341" s="89"/>
      <c r="R341" s="89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</row>
    <row r="342" spans="1:74" ht="12.75" x14ac:dyDescent="0.2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8"/>
      <c r="N342" s="88"/>
      <c r="O342" s="8"/>
      <c r="P342" s="8"/>
      <c r="Q342" s="89"/>
      <c r="R342" s="89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</row>
    <row r="343" spans="1:74" ht="12.75" x14ac:dyDescent="0.2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8"/>
      <c r="N343" s="88"/>
      <c r="O343" s="8"/>
      <c r="P343" s="8"/>
      <c r="Q343" s="89"/>
      <c r="R343" s="89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</row>
    <row r="344" spans="1:74" ht="12.75" x14ac:dyDescent="0.2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8"/>
      <c r="N344" s="88"/>
      <c r="O344" s="8"/>
      <c r="P344" s="8"/>
      <c r="Q344" s="89"/>
      <c r="R344" s="89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</row>
    <row r="345" spans="1:74" ht="12.75" x14ac:dyDescent="0.2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8"/>
      <c r="N345" s="88"/>
      <c r="O345" s="8"/>
      <c r="P345" s="8"/>
      <c r="Q345" s="89"/>
      <c r="R345" s="89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</row>
    <row r="346" spans="1:74" ht="12.75" x14ac:dyDescent="0.2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8"/>
      <c r="N346" s="88"/>
      <c r="O346" s="8"/>
      <c r="P346" s="8"/>
      <c r="Q346" s="89"/>
      <c r="R346" s="89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</row>
    <row r="347" spans="1:74" ht="12.75" x14ac:dyDescent="0.2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8"/>
      <c r="N347" s="88"/>
      <c r="O347" s="8"/>
      <c r="P347" s="8"/>
      <c r="Q347" s="89"/>
      <c r="R347" s="89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</row>
    <row r="348" spans="1:74" ht="12.75" x14ac:dyDescent="0.2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8"/>
      <c r="N348" s="88"/>
      <c r="O348" s="8"/>
      <c r="P348" s="8"/>
      <c r="Q348" s="89"/>
      <c r="R348" s="89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</row>
    <row r="349" spans="1:74" ht="12.75" x14ac:dyDescent="0.2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8"/>
      <c r="N349" s="88"/>
      <c r="O349" s="8"/>
      <c r="P349" s="8"/>
      <c r="Q349" s="89"/>
      <c r="R349" s="89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</row>
    <row r="350" spans="1:74" ht="12.75" x14ac:dyDescent="0.2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8"/>
      <c r="N350" s="88"/>
      <c r="O350" s="8"/>
      <c r="P350" s="8"/>
      <c r="Q350" s="89"/>
      <c r="R350" s="89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</row>
    <row r="351" spans="1:74" ht="12.75" x14ac:dyDescent="0.2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8"/>
      <c r="N351" s="88"/>
      <c r="O351" s="8"/>
      <c r="P351" s="8"/>
      <c r="Q351" s="89"/>
      <c r="R351" s="89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</row>
    <row r="352" spans="1:74" ht="12.75" x14ac:dyDescent="0.2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8"/>
      <c r="N352" s="88"/>
      <c r="O352" s="8"/>
      <c r="P352" s="8"/>
      <c r="Q352" s="89"/>
      <c r="R352" s="89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</row>
    <row r="353" spans="1:74" ht="12.75" x14ac:dyDescent="0.2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8"/>
      <c r="N353" s="88"/>
      <c r="O353" s="8"/>
      <c r="P353" s="8"/>
      <c r="Q353" s="89"/>
      <c r="R353" s="89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</row>
    <row r="354" spans="1:74" ht="12.75" x14ac:dyDescent="0.2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8"/>
      <c r="N354" s="88"/>
      <c r="O354" s="8"/>
      <c r="P354" s="8"/>
      <c r="Q354" s="89"/>
      <c r="R354" s="89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</row>
    <row r="355" spans="1:74" ht="12.75" x14ac:dyDescent="0.2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8"/>
      <c r="N355" s="88"/>
      <c r="O355" s="8"/>
      <c r="P355" s="8"/>
      <c r="Q355" s="89"/>
      <c r="R355" s="89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</row>
    <row r="356" spans="1:74" ht="12.75" x14ac:dyDescent="0.2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8"/>
      <c r="N356" s="88"/>
      <c r="O356" s="8"/>
      <c r="P356" s="8"/>
      <c r="Q356" s="89"/>
      <c r="R356" s="89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</row>
    <row r="357" spans="1:74" ht="12.75" x14ac:dyDescent="0.2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8"/>
      <c r="N357" s="88"/>
      <c r="O357" s="8"/>
      <c r="P357" s="8"/>
      <c r="Q357" s="89"/>
      <c r="R357" s="89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</row>
    <row r="358" spans="1:74" ht="12.75" x14ac:dyDescent="0.2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8"/>
      <c r="N358" s="88"/>
      <c r="O358" s="8"/>
      <c r="P358" s="8"/>
      <c r="Q358" s="89"/>
      <c r="R358" s="89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</row>
    <row r="359" spans="1:74" ht="12.75" x14ac:dyDescent="0.2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8"/>
      <c r="N359" s="88"/>
      <c r="O359" s="8"/>
      <c r="P359" s="8"/>
      <c r="Q359" s="89"/>
      <c r="R359" s="89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</row>
    <row r="360" spans="1:74" ht="12.75" x14ac:dyDescent="0.2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8"/>
      <c r="N360" s="88"/>
      <c r="O360" s="8"/>
      <c r="P360" s="8"/>
      <c r="Q360" s="89"/>
      <c r="R360" s="89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</row>
    <row r="361" spans="1:74" ht="12.75" x14ac:dyDescent="0.2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8"/>
      <c r="N361" s="88"/>
      <c r="O361" s="8"/>
      <c r="P361" s="8"/>
      <c r="Q361" s="89"/>
      <c r="R361" s="89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</row>
    <row r="362" spans="1:74" ht="12.75" x14ac:dyDescent="0.2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8"/>
      <c r="N362" s="88"/>
      <c r="O362" s="8"/>
      <c r="P362" s="8"/>
      <c r="Q362" s="89"/>
      <c r="R362" s="89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</row>
    <row r="363" spans="1:74" ht="12.75" x14ac:dyDescent="0.2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8"/>
      <c r="N363" s="88"/>
      <c r="O363" s="8"/>
      <c r="P363" s="8"/>
      <c r="Q363" s="89"/>
      <c r="R363" s="89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</row>
    <row r="364" spans="1:74" ht="12.75" x14ac:dyDescent="0.2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8"/>
      <c r="N364" s="88"/>
      <c r="O364" s="8"/>
      <c r="P364" s="8"/>
      <c r="Q364" s="89"/>
      <c r="R364" s="89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</row>
    <row r="365" spans="1:74" ht="12.75" x14ac:dyDescent="0.2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8"/>
      <c r="N365" s="88"/>
      <c r="O365" s="8"/>
      <c r="P365" s="8"/>
      <c r="Q365" s="89"/>
      <c r="R365" s="89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</row>
    <row r="366" spans="1:74" ht="12.75" x14ac:dyDescent="0.2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8"/>
      <c r="N366" s="88"/>
      <c r="O366" s="8"/>
      <c r="P366" s="8"/>
      <c r="Q366" s="89"/>
      <c r="R366" s="89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</row>
    <row r="367" spans="1:74" ht="12.75" x14ac:dyDescent="0.2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8"/>
      <c r="N367" s="88"/>
      <c r="O367" s="8"/>
      <c r="P367" s="8"/>
      <c r="Q367" s="89"/>
      <c r="R367" s="89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</row>
    <row r="368" spans="1:74" ht="12.75" x14ac:dyDescent="0.2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8"/>
      <c r="N368" s="88"/>
      <c r="O368" s="8"/>
      <c r="P368" s="8"/>
      <c r="Q368" s="89"/>
      <c r="R368" s="89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</row>
    <row r="369" spans="1:74" ht="12.75" x14ac:dyDescent="0.2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8"/>
      <c r="N369" s="88"/>
      <c r="O369" s="8"/>
      <c r="P369" s="8"/>
      <c r="Q369" s="89"/>
      <c r="R369" s="89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</row>
    <row r="370" spans="1:74" ht="12.75" x14ac:dyDescent="0.2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8"/>
      <c r="N370" s="88"/>
      <c r="O370" s="8"/>
      <c r="P370" s="8"/>
      <c r="Q370" s="89"/>
      <c r="R370" s="89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</row>
    <row r="371" spans="1:74" ht="12.75" x14ac:dyDescent="0.2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8"/>
      <c r="N371" s="88"/>
      <c r="O371" s="8"/>
      <c r="P371" s="8"/>
      <c r="Q371" s="89"/>
      <c r="R371" s="89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</row>
    <row r="372" spans="1:74" ht="12.75" x14ac:dyDescent="0.2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8"/>
      <c r="N372" s="88"/>
      <c r="O372" s="8"/>
      <c r="P372" s="8"/>
      <c r="Q372" s="89"/>
      <c r="R372" s="89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</row>
    <row r="373" spans="1:74" ht="12.75" x14ac:dyDescent="0.2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8"/>
      <c r="N373" s="88"/>
      <c r="O373" s="8"/>
      <c r="P373" s="8"/>
      <c r="Q373" s="89"/>
      <c r="R373" s="89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</row>
    <row r="374" spans="1:74" ht="12.75" x14ac:dyDescent="0.2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8"/>
      <c r="N374" s="88"/>
      <c r="O374" s="8"/>
      <c r="P374" s="8"/>
      <c r="Q374" s="89"/>
      <c r="R374" s="89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</row>
    <row r="375" spans="1:74" ht="12.75" x14ac:dyDescent="0.2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8"/>
      <c r="N375" s="88"/>
      <c r="O375" s="8"/>
      <c r="P375" s="8"/>
      <c r="Q375" s="89"/>
      <c r="R375" s="89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</row>
    <row r="376" spans="1:74" ht="12.75" x14ac:dyDescent="0.2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8"/>
      <c r="N376" s="88"/>
      <c r="O376" s="8"/>
      <c r="P376" s="8"/>
      <c r="Q376" s="89"/>
      <c r="R376" s="89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</row>
    <row r="377" spans="1:74" ht="12.75" x14ac:dyDescent="0.2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8"/>
      <c r="N377" s="88"/>
      <c r="O377" s="8"/>
      <c r="P377" s="8"/>
      <c r="Q377" s="89"/>
      <c r="R377" s="89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</row>
    <row r="378" spans="1:74" ht="12.75" x14ac:dyDescent="0.2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8"/>
      <c r="N378" s="88"/>
      <c r="O378" s="8"/>
      <c r="P378" s="8"/>
      <c r="Q378" s="89"/>
      <c r="R378" s="89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</row>
    <row r="379" spans="1:74" ht="12.75" x14ac:dyDescent="0.2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8"/>
      <c r="N379" s="88"/>
      <c r="O379" s="8"/>
      <c r="P379" s="8"/>
      <c r="Q379" s="89"/>
      <c r="R379" s="89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</row>
    <row r="380" spans="1:74" ht="12.75" x14ac:dyDescent="0.2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8"/>
      <c r="N380" s="88"/>
      <c r="O380" s="8"/>
      <c r="P380" s="8"/>
      <c r="Q380" s="89"/>
      <c r="R380" s="89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</row>
    <row r="381" spans="1:74" ht="12.75" x14ac:dyDescent="0.2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8"/>
      <c r="N381" s="88"/>
      <c r="O381" s="8"/>
      <c r="P381" s="8"/>
      <c r="Q381" s="89"/>
      <c r="R381" s="89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</row>
    <row r="382" spans="1:74" ht="12.75" x14ac:dyDescent="0.2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8"/>
      <c r="N382" s="88"/>
      <c r="O382" s="8"/>
      <c r="P382" s="8"/>
      <c r="Q382" s="89"/>
      <c r="R382" s="89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</row>
    <row r="383" spans="1:74" ht="12.75" x14ac:dyDescent="0.2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8"/>
      <c r="N383" s="88"/>
      <c r="O383" s="8"/>
      <c r="P383" s="8"/>
      <c r="Q383" s="89"/>
      <c r="R383" s="89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</row>
    <row r="384" spans="1:74" ht="12.75" x14ac:dyDescent="0.2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8"/>
      <c r="N384" s="88"/>
      <c r="O384" s="8"/>
      <c r="P384" s="8"/>
      <c r="Q384" s="89"/>
      <c r="R384" s="89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</row>
    <row r="385" spans="1:74" ht="12.75" x14ac:dyDescent="0.2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8"/>
      <c r="N385" s="88"/>
      <c r="O385" s="8"/>
      <c r="P385" s="8"/>
      <c r="Q385" s="89"/>
      <c r="R385" s="89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</row>
    <row r="386" spans="1:74" ht="12.75" x14ac:dyDescent="0.2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8"/>
      <c r="N386" s="88"/>
      <c r="O386" s="8"/>
      <c r="P386" s="8"/>
      <c r="Q386" s="89"/>
      <c r="R386" s="89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</row>
    <row r="387" spans="1:74" ht="12.75" x14ac:dyDescent="0.2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8"/>
      <c r="N387" s="88"/>
      <c r="O387" s="8"/>
      <c r="P387" s="8"/>
      <c r="Q387" s="89"/>
      <c r="R387" s="89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</row>
    <row r="388" spans="1:74" ht="12.75" x14ac:dyDescent="0.2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8"/>
      <c r="N388" s="88"/>
      <c r="O388" s="8"/>
      <c r="P388" s="8"/>
      <c r="Q388" s="89"/>
      <c r="R388" s="89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</row>
    <row r="389" spans="1:74" ht="12.75" x14ac:dyDescent="0.2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8"/>
      <c r="N389" s="88"/>
      <c r="O389" s="8"/>
      <c r="P389" s="8"/>
      <c r="Q389" s="89"/>
      <c r="R389" s="89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</row>
    <row r="390" spans="1:74" ht="12.75" x14ac:dyDescent="0.2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8"/>
      <c r="N390" s="88"/>
      <c r="O390" s="8"/>
      <c r="P390" s="8"/>
      <c r="Q390" s="89"/>
      <c r="R390" s="89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</row>
    <row r="391" spans="1:74" ht="12.75" x14ac:dyDescent="0.2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8"/>
      <c r="N391" s="88"/>
      <c r="O391" s="8"/>
      <c r="P391" s="8"/>
      <c r="Q391" s="89"/>
      <c r="R391" s="89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</row>
    <row r="392" spans="1:74" ht="12.75" x14ac:dyDescent="0.2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8"/>
      <c r="N392" s="88"/>
      <c r="O392" s="8"/>
      <c r="P392" s="8"/>
      <c r="Q392" s="89"/>
      <c r="R392" s="89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</row>
    <row r="393" spans="1:74" ht="12.75" x14ac:dyDescent="0.2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8"/>
      <c r="N393" s="88"/>
      <c r="O393" s="8"/>
      <c r="P393" s="8"/>
      <c r="Q393" s="89"/>
      <c r="R393" s="89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</row>
    <row r="394" spans="1:74" ht="12.75" x14ac:dyDescent="0.2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8"/>
      <c r="N394" s="88"/>
      <c r="O394" s="8"/>
      <c r="P394" s="8"/>
      <c r="Q394" s="89"/>
      <c r="R394" s="89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</row>
    <row r="395" spans="1:74" ht="12.75" x14ac:dyDescent="0.2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8"/>
      <c r="N395" s="88"/>
      <c r="O395" s="8"/>
      <c r="P395" s="8"/>
      <c r="Q395" s="89"/>
      <c r="R395" s="89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</row>
    <row r="396" spans="1:74" ht="12.75" x14ac:dyDescent="0.2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8"/>
      <c r="N396" s="88"/>
      <c r="O396" s="8"/>
      <c r="P396" s="8"/>
      <c r="Q396" s="89"/>
      <c r="R396" s="89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</row>
    <row r="397" spans="1:74" ht="12.75" x14ac:dyDescent="0.2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8"/>
      <c r="N397" s="88"/>
      <c r="O397" s="8"/>
      <c r="P397" s="8"/>
      <c r="Q397" s="89"/>
      <c r="R397" s="89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</row>
    <row r="398" spans="1:74" ht="12.75" x14ac:dyDescent="0.2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8"/>
      <c r="N398" s="88"/>
      <c r="O398" s="8"/>
      <c r="P398" s="8"/>
      <c r="Q398" s="89"/>
      <c r="R398" s="89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</row>
    <row r="399" spans="1:74" ht="12.75" x14ac:dyDescent="0.2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8"/>
      <c r="N399" s="88"/>
      <c r="O399" s="8"/>
      <c r="P399" s="8"/>
      <c r="Q399" s="89"/>
      <c r="R399" s="89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</row>
    <row r="400" spans="1:74" ht="12.75" x14ac:dyDescent="0.2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8"/>
      <c r="N400" s="88"/>
      <c r="O400" s="8"/>
      <c r="P400" s="8"/>
      <c r="Q400" s="89"/>
      <c r="R400" s="89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</row>
    <row r="401" spans="1:74" ht="12.75" x14ac:dyDescent="0.2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8"/>
      <c r="N401" s="88"/>
      <c r="O401" s="8"/>
      <c r="P401" s="8"/>
      <c r="Q401" s="89"/>
      <c r="R401" s="89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</row>
    <row r="402" spans="1:74" ht="12.75" x14ac:dyDescent="0.2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8"/>
      <c r="N402" s="88"/>
      <c r="O402" s="8"/>
      <c r="P402" s="8"/>
      <c r="Q402" s="89"/>
      <c r="R402" s="89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</row>
    <row r="403" spans="1:74" ht="12.75" x14ac:dyDescent="0.2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8"/>
      <c r="N403" s="88"/>
      <c r="O403" s="8"/>
      <c r="P403" s="8"/>
      <c r="Q403" s="89"/>
      <c r="R403" s="89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</row>
    <row r="404" spans="1:74" ht="12.75" x14ac:dyDescent="0.2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8"/>
      <c r="N404" s="88"/>
      <c r="O404" s="8"/>
      <c r="P404" s="8"/>
      <c r="Q404" s="89"/>
      <c r="R404" s="89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</row>
    <row r="405" spans="1:74" ht="12.75" x14ac:dyDescent="0.2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8"/>
      <c r="N405" s="88"/>
      <c r="O405" s="8"/>
      <c r="P405" s="8"/>
      <c r="Q405" s="89"/>
      <c r="R405" s="89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</row>
    <row r="406" spans="1:74" ht="12.75" x14ac:dyDescent="0.2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8"/>
      <c r="N406" s="88"/>
      <c r="O406" s="8"/>
      <c r="P406" s="8"/>
      <c r="Q406" s="89"/>
      <c r="R406" s="89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</row>
    <row r="407" spans="1:74" ht="12.75" x14ac:dyDescent="0.2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8"/>
      <c r="N407" s="88"/>
      <c r="O407" s="8"/>
      <c r="P407" s="8"/>
      <c r="Q407" s="89"/>
      <c r="R407" s="89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</row>
    <row r="408" spans="1:74" ht="12.75" x14ac:dyDescent="0.2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8"/>
      <c r="N408" s="88"/>
      <c r="O408" s="8"/>
      <c r="P408" s="8"/>
      <c r="Q408" s="89"/>
      <c r="R408" s="89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</row>
    <row r="409" spans="1:74" ht="12.75" x14ac:dyDescent="0.2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8"/>
      <c r="N409" s="88"/>
      <c r="O409" s="8"/>
      <c r="P409" s="8"/>
      <c r="Q409" s="89"/>
      <c r="R409" s="89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</row>
    <row r="410" spans="1:74" ht="12.75" x14ac:dyDescent="0.2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8"/>
      <c r="N410" s="88"/>
      <c r="O410" s="8"/>
      <c r="P410" s="8"/>
      <c r="Q410" s="89"/>
      <c r="R410" s="89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</row>
    <row r="411" spans="1:74" ht="12.75" x14ac:dyDescent="0.2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8"/>
      <c r="N411" s="88"/>
      <c r="O411" s="8"/>
      <c r="P411" s="8"/>
      <c r="Q411" s="89"/>
      <c r="R411" s="89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</row>
    <row r="412" spans="1:74" ht="12.75" x14ac:dyDescent="0.2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8"/>
      <c r="N412" s="88"/>
      <c r="O412" s="8"/>
      <c r="P412" s="8"/>
      <c r="Q412" s="89"/>
      <c r="R412" s="89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</row>
    <row r="413" spans="1:74" ht="12.75" x14ac:dyDescent="0.2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8"/>
      <c r="N413" s="88"/>
      <c r="O413" s="8"/>
      <c r="P413" s="8"/>
      <c r="Q413" s="89"/>
      <c r="R413" s="89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</row>
    <row r="414" spans="1:74" ht="12.75" x14ac:dyDescent="0.2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8"/>
      <c r="N414" s="88"/>
      <c r="O414" s="8"/>
      <c r="P414" s="8"/>
      <c r="Q414" s="89"/>
      <c r="R414" s="89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</row>
    <row r="415" spans="1:74" ht="12.75" x14ac:dyDescent="0.2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8"/>
      <c r="N415" s="88"/>
      <c r="O415" s="8"/>
      <c r="P415" s="8"/>
      <c r="Q415" s="89"/>
      <c r="R415" s="89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</row>
    <row r="416" spans="1:74" ht="12.75" x14ac:dyDescent="0.2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8"/>
      <c r="N416" s="88"/>
      <c r="O416" s="8"/>
      <c r="P416" s="8"/>
      <c r="Q416" s="89"/>
      <c r="R416" s="89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</row>
    <row r="417" spans="1:74" ht="12.75" x14ac:dyDescent="0.2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8"/>
      <c r="N417" s="88"/>
      <c r="O417" s="8"/>
      <c r="P417" s="8"/>
      <c r="Q417" s="89"/>
      <c r="R417" s="89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</row>
    <row r="418" spans="1:74" ht="12.75" x14ac:dyDescent="0.2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8"/>
      <c r="N418" s="88"/>
      <c r="O418" s="8"/>
      <c r="P418" s="8"/>
      <c r="Q418" s="89"/>
      <c r="R418" s="89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</row>
    <row r="419" spans="1:74" ht="12.75" x14ac:dyDescent="0.2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8"/>
      <c r="N419" s="88"/>
      <c r="O419" s="8"/>
      <c r="P419" s="8"/>
      <c r="Q419" s="89"/>
      <c r="R419" s="89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</row>
    <row r="420" spans="1:74" ht="12.75" x14ac:dyDescent="0.2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8"/>
      <c r="N420" s="88"/>
      <c r="O420" s="8"/>
      <c r="P420" s="8"/>
      <c r="Q420" s="89"/>
      <c r="R420" s="89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</row>
    <row r="421" spans="1:74" ht="12.75" x14ac:dyDescent="0.2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8"/>
      <c r="N421" s="88"/>
      <c r="O421" s="8"/>
      <c r="P421" s="8"/>
      <c r="Q421" s="89"/>
      <c r="R421" s="89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</row>
    <row r="422" spans="1:74" ht="12.75" x14ac:dyDescent="0.2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8"/>
      <c r="N422" s="88"/>
      <c r="O422" s="8"/>
      <c r="P422" s="8"/>
      <c r="Q422" s="89"/>
      <c r="R422" s="89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</row>
    <row r="423" spans="1:74" ht="12.75" x14ac:dyDescent="0.2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8"/>
      <c r="N423" s="88"/>
      <c r="O423" s="8"/>
      <c r="P423" s="8"/>
      <c r="Q423" s="89"/>
      <c r="R423" s="89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</row>
    <row r="424" spans="1:74" ht="12.75" x14ac:dyDescent="0.2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8"/>
      <c r="N424" s="88"/>
      <c r="O424" s="8"/>
      <c r="P424" s="8"/>
      <c r="Q424" s="89"/>
      <c r="R424" s="89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</row>
    <row r="425" spans="1:74" ht="12.75" x14ac:dyDescent="0.2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8"/>
      <c r="N425" s="88"/>
      <c r="O425" s="8"/>
      <c r="P425" s="8"/>
      <c r="Q425" s="89"/>
      <c r="R425" s="89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</row>
    <row r="426" spans="1:74" ht="12.75" x14ac:dyDescent="0.2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8"/>
      <c r="N426" s="88"/>
      <c r="O426" s="8"/>
      <c r="P426" s="8"/>
      <c r="Q426" s="89"/>
      <c r="R426" s="89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</row>
    <row r="427" spans="1:74" ht="12.75" x14ac:dyDescent="0.2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8"/>
      <c r="N427" s="88"/>
      <c r="O427" s="8"/>
      <c r="P427" s="8"/>
      <c r="Q427" s="89"/>
      <c r="R427" s="89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</row>
    <row r="428" spans="1:74" ht="12.75" x14ac:dyDescent="0.2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8"/>
      <c r="N428" s="88"/>
      <c r="O428" s="8"/>
      <c r="P428" s="8"/>
      <c r="Q428" s="89"/>
      <c r="R428" s="89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</row>
    <row r="429" spans="1:74" ht="12.75" x14ac:dyDescent="0.2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8"/>
      <c r="N429" s="88"/>
      <c r="O429" s="8"/>
      <c r="P429" s="8"/>
      <c r="Q429" s="89"/>
      <c r="R429" s="89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</row>
    <row r="430" spans="1:74" ht="12.75" x14ac:dyDescent="0.2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8"/>
      <c r="N430" s="88"/>
      <c r="O430" s="8"/>
      <c r="P430" s="8"/>
      <c r="Q430" s="89"/>
      <c r="R430" s="89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</row>
    <row r="431" spans="1:74" ht="12.75" x14ac:dyDescent="0.2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8"/>
      <c r="N431" s="88"/>
      <c r="O431" s="8"/>
      <c r="P431" s="8"/>
      <c r="Q431" s="89"/>
      <c r="R431" s="89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</row>
    <row r="432" spans="1:74" ht="12.75" x14ac:dyDescent="0.2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8"/>
      <c r="N432" s="88"/>
      <c r="O432" s="8"/>
      <c r="P432" s="8"/>
      <c r="Q432" s="89"/>
      <c r="R432" s="89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</row>
    <row r="433" spans="1:74" ht="12.75" x14ac:dyDescent="0.2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8"/>
      <c r="N433" s="88"/>
      <c r="O433" s="8"/>
      <c r="P433" s="8"/>
      <c r="Q433" s="89"/>
      <c r="R433" s="89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</row>
    <row r="434" spans="1:74" ht="12.75" x14ac:dyDescent="0.2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8"/>
      <c r="N434" s="88"/>
      <c r="O434" s="8"/>
      <c r="P434" s="8"/>
      <c r="Q434" s="89"/>
      <c r="R434" s="89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</row>
    <row r="435" spans="1:74" ht="12.75" x14ac:dyDescent="0.2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8"/>
      <c r="N435" s="88"/>
      <c r="O435" s="8"/>
      <c r="P435" s="8"/>
      <c r="Q435" s="89"/>
      <c r="R435" s="89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</row>
    <row r="436" spans="1:74" ht="12.75" x14ac:dyDescent="0.2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8"/>
      <c r="N436" s="88"/>
      <c r="O436" s="8"/>
      <c r="P436" s="8"/>
      <c r="Q436" s="89"/>
      <c r="R436" s="89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</row>
    <row r="437" spans="1:74" ht="12.75" x14ac:dyDescent="0.2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8"/>
      <c r="N437" s="88"/>
      <c r="O437" s="8"/>
      <c r="P437" s="8"/>
      <c r="Q437" s="89"/>
      <c r="R437" s="89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</row>
    <row r="438" spans="1:74" ht="12.75" x14ac:dyDescent="0.2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8"/>
      <c r="N438" s="88"/>
      <c r="O438" s="8"/>
      <c r="P438" s="8"/>
      <c r="Q438" s="89"/>
      <c r="R438" s="89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</row>
    <row r="439" spans="1:74" ht="12.75" x14ac:dyDescent="0.2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8"/>
      <c r="N439" s="88"/>
      <c r="O439" s="8"/>
      <c r="P439" s="8"/>
      <c r="Q439" s="89"/>
      <c r="R439" s="89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</row>
    <row r="440" spans="1:74" ht="12.75" x14ac:dyDescent="0.2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8"/>
      <c r="N440" s="88"/>
      <c r="O440" s="8"/>
      <c r="P440" s="8"/>
      <c r="Q440" s="89"/>
      <c r="R440" s="89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</row>
    <row r="441" spans="1:74" ht="12.75" x14ac:dyDescent="0.2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8"/>
      <c r="N441" s="88"/>
      <c r="O441" s="8"/>
      <c r="P441" s="8"/>
      <c r="Q441" s="89"/>
      <c r="R441" s="89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</row>
    <row r="442" spans="1:74" ht="12.75" x14ac:dyDescent="0.2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8"/>
      <c r="N442" s="88"/>
      <c r="O442" s="8"/>
      <c r="P442" s="8"/>
      <c r="Q442" s="89"/>
      <c r="R442" s="89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</row>
    <row r="443" spans="1:74" ht="12.75" x14ac:dyDescent="0.2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8"/>
      <c r="N443" s="88"/>
      <c r="O443" s="8"/>
      <c r="P443" s="8"/>
      <c r="Q443" s="89"/>
      <c r="R443" s="89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</row>
    <row r="444" spans="1:74" ht="12.75" x14ac:dyDescent="0.2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8"/>
      <c r="N444" s="88"/>
      <c r="O444" s="8"/>
      <c r="P444" s="8"/>
      <c r="Q444" s="89"/>
      <c r="R444" s="89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</row>
    <row r="445" spans="1:74" ht="12.75" x14ac:dyDescent="0.2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8"/>
      <c r="N445" s="88"/>
      <c r="O445" s="8"/>
      <c r="P445" s="8"/>
      <c r="Q445" s="89"/>
      <c r="R445" s="89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</row>
    <row r="446" spans="1:74" ht="12.75" x14ac:dyDescent="0.2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8"/>
      <c r="N446" s="88"/>
      <c r="O446" s="8"/>
      <c r="P446" s="8"/>
      <c r="Q446" s="89"/>
      <c r="R446" s="89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</row>
    <row r="447" spans="1:74" ht="12.75" x14ac:dyDescent="0.2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8"/>
      <c r="N447" s="88"/>
      <c r="O447" s="8"/>
      <c r="P447" s="8"/>
      <c r="Q447" s="89"/>
      <c r="R447" s="89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</row>
    <row r="448" spans="1:74" ht="12.75" x14ac:dyDescent="0.2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8"/>
      <c r="N448" s="88"/>
      <c r="O448" s="8"/>
      <c r="P448" s="8"/>
      <c r="Q448" s="89"/>
      <c r="R448" s="89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</row>
    <row r="449" spans="1:74" ht="12.75" x14ac:dyDescent="0.2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8"/>
      <c r="N449" s="88"/>
      <c r="O449" s="8"/>
      <c r="P449" s="8"/>
      <c r="Q449" s="89"/>
      <c r="R449" s="89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</row>
    <row r="450" spans="1:74" ht="12.75" x14ac:dyDescent="0.2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8"/>
      <c r="N450" s="88"/>
      <c r="O450" s="8"/>
      <c r="P450" s="8"/>
      <c r="Q450" s="89"/>
      <c r="R450" s="89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</row>
    <row r="451" spans="1:74" ht="12.75" x14ac:dyDescent="0.2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8"/>
      <c r="N451" s="88"/>
      <c r="O451" s="8"/>
      <c r="P451" s="8"/>
      <c r="Q451" s="89"/>
      <c r="R451" s="89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</row>
    <row r="452" spans="1:74" ht="12.75" x14ac:dyDescent="0.2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8"/>
      <c r="N452" s="88"/>
      <c r="O452" s="8"/>
      <c r="P452" s="8"/>
      <c r="Q452" s="89"/>
      <c r="R452" s="89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</row>
    <row r="453" spans="1:74" ht="12.75" x14ac:dyDescent="0.2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8"/>
      <c r="N453" s="88"/>
      <c r="O453" s="8"/>
      <c r="P453" s="8"/>
      <c r="Q453" s="89"/>
      <c r="R453" s="89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</row>
    <row r="454" spans="1:74" ht="12.75" x14ac:dyDescent="0.2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8"/>
      <c r="N454" s="88"/>
      <c r="O454" s="8"/>
      <c r="P454" s="8"/>
      <c r="Q454" s="89"/>
      <c r="R454" s="89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</row>
    <row r="455" spans="1:74" ht="12.75" x14ac:dyDescent="0.2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8"/>
      <c r="N455" s="88"/>
      <c r="O455" s="8"/>
      <c r="P455" s="8"/>
      <c r="Q455" s="89"/>
      <c r="R455" s="89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</row>
    <row r="456" spans="1:74" ht="12.75" x14ac:dyDescent="0.2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8"/>
      <c r="N456" s="88"/>
      <c r="O456" s="8"/>
      <c r="P456" s="8"/>
      <c r="Q456" s="89"/>
      <c r="R456" s="89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</row>
    <row r="457" spans="1:74" ht="12.75" x14ac:dyDescent="0.2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8"/>
      <c r="N457" s="88"/>
      <c r="O457" s="8"/>
      <c r="P457" s="8"/>
      <c r="Q457" s="89"/>
      <c r="R457" s="89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</row>
    <row r="458" spans="1:74" ht="12.75" x14ac:dyDescent="0.2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8"/>
      <c r="N458" s="88"/>
      <c r="O458" s="8"/>
      <c r="P458" s="8"/>
      <c r="Q458" s="89"/>
      <c r="R458" s="89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</row>
    <row r="459" spans="1:74" ht="12.75" x14ac:dyDescent="0.2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8"/>
      <c r="N459" s="88"/>
      <c r="O459" s="8"/>
      <c r="P459" s="8"/>
      <c r="Q459" s="89"/>
      <c r="R459" s="89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</row>
    <row r="460" spans="1:74" ht="12.75" x14ac:dyDescent="0.2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8"/>
      <c r="N460" s="88"/>
      <c r="O460" s="8"/>
      <c r="P460" s="8"/>
      <c r="Q460" s="89"/>
      <c r="R460" s="89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</row>
    <row r="461" spans="1:74" ht="12.75" x14ac:dyDescent="0.2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8"/>
      <c r="N461" s="88"/>
      <c r="O461" s="8"/>
      <c r="P461" s="8"/>
      <c r="Q461" s="89"/>
      <c r="R461" s="89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</row>
    <row r="462" spans="1:74" ht="12.75" x14ac:dyDescent="0.2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8"/>
      <c r="N462" s="88"/>
      <c r="O462" s="8"/>
      <c r="P462" s="8"/>
      <c r="Q462" s="89"/>
      <c r="R462" s="89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</row>
    <row r="463" spans="1:74" ht="12.75" x14ac:dyDescent="0.2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8"/>
      <c r="N463" s="88"/>
      <c r="O463" s="8"/>
      <c r="P463" s="8"/>
      <c r="Q463" s="89"/>
      <c r="R463" s="89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</row>
    <row r="464" spans="1:74" ht="12.75" x14ac:dyDescent="0.2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8"/>
      <c r="N464" s="88"/>
      <c r="O464" s="8"/>
      <c r="P464" s="8"/>
      <c r="Q464" s="89"/>
      <c r="R464" s="89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</row>
    <row r="465" spans="1:74" ht="12.75" x14ac:dyDescent="0.2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8"/>
      <c r="N465" s="88"/>
      <c r="O465" s="8"/>
      <c r="P465" s="8"/>
      <c r="Q465" s="89"/>
      <c r="R465" s="89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</row>
    <row r="466" spans="1:74" ht="12.75" x14ac:dyDescent="0.2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8"/>
      <c r="N466" s="88"/>
      <c r="O466" s="8"/>
      <c r="P466" s="8"/>
      <c r="Q466" s="89"/>
      <c r="R466" s="89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</row>
    <row r="467" spans="1:74" ht="12.75" x14ac:dyDescent="0.2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8"/>
      <c r="N467" s="88"/>
      <c r="O467" s="8"/>
      <c r="P467" s="8"/>
      <c r="Q467" s="89"/>
      <c r="R467" s="89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</row>
    <row r="468" spans="1:74" ht="12.75" x14ac:dyDescent="0.2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8"/>
      <c r="N468" s="88"/>
      <c r="O468" s="8"/>
      <c r="P468" s="8"/>
      <c r="Q468" s="89"/>
      <c r="R468" s="89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</row>
    <row r="469" spans="1:74" ht="12.75" x14ac:dyDescent="0.2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8"/>
      <c r="N469" s="88"/>
      <c r="O469" s="8"/>
      <c r="P469" s="8"/>
      <c r="Q469" s="89"/>
      <c r="R469" s="89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</row>
    <row r="470" spans="1:74" ht="12.75" x14ac:dyDescent="0.2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8"/>
      <c r="N470" s="88"/>
      <c r="O470" s="8"/>
      <c r="P470" s="8"/>
      <c r="Q470" s="89"/>
      <c r="R470" s="89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</row>
    <row r="471" spans="1:74" ht="12.75" x14ac:dyDescent="0.2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8"/>
      <c r="N471" s="88"/>
      <c r="O471" s="8"/>
      <c r="P471" s="8"/>
      <c r="Q471" s="89"/>
      <c r="R471" s="89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</row>
    <row r="472" spans="1:74" ht="12.75" x14ac:dyDescent="0.2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8"/>
      <c r="N472" s="88"/>
      <c r="O472" s="8"/>
      <c r="P472" s="8"/>
      <c r="Q472" s="89"/>
      <c r="R472" s="89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</row>
    <row r="473" spans="1:74" ht="12.75" x14ac:dyDescent="0.2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8"/>
      <c r="N473" s="88"/>
      <c r="O473" s="8"/>
      <c r="P473" s="8"/>
      <c r="Q473" s="89"/>
      <c r="R473" s="89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</row>
    <row r="474" spans="1:74" ht="12.75" x14ac:dyDescent="0.2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8"/>
      <c r="N474" s="88"/>
      <c r="O474" s="8"/>
      <c r="P474" s="8"/>
      <c r="Q474" s="89"/>
      <c r="R474" s="89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</row>
    <row r="475" spans="1:74" ht="12.75" x14ac:dyDescent="0.2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8"/>
      <c r="N475" s="88"/>
      <c r="O475" s="8"/>
      <c r="P475" s="8"/>
      <c r="Q475" s="89"/>
      <c r="R475" s="89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</row>
    <row r="476" spans="1:74" ht="12.75" x14ac:dyDescent="0.2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8"/>
      <c r="N476" s="88"/>
      <c r="O476" s="8"/>
      <c r="P476" s="8"/>
      <c r="Q476" s="89"/>
      <c r="R476" s="89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</row>
    <row r="477" spans="1:74" ht="12.75" x14ac:dyDescent="0.2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8"/>
      <c r="N477" s="88"/>
      <c r="O477" s="8"/>
      <c r="P477" s="8"/>
      <c r="Q477" s="89"/>
      <c r="R477" s="89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</row>
    <row r="478" spans="1:74" ht="12.75" x14ac:dyDescent="0.2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8"/>
      <c r="N478" s="88"/>
      <c r="O478" s="8"/>
      <c r="P478" s="8"/>
      <c r="Q478" s="89"/>
      <c r="R478" s="89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</row>
    <row r="479" spans="1:74" ht="12.75" x14ac:dyDescent="0.2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8"/>
      <c r="N479" s="88"/>
      <c r="O479" s="8"/>
      <c r="P479" s="8"/>
      <c r="Q479" s="89"/>
      <c r="R479" s="89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</row>
    <row r="480" spans="1:74" ht="12.75" x14ac:dyDescent="0.2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8"/>
      <c r="N480" s="88"/>
      <c r="O480" s="8"/>
      <c r="P480" s="8"/>
      <c r="Q480" s="89"/>
      <c r="R480" s="89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</row>
    <row r="481" spans="1:74" ht="12.75" x14ac:dyDescent="0.2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8"/>
      <c r="N481" s="88"/>
      <c r="O481" s="8"/>
      <c r="P481" s="8"/>
      <c r="Q481" s="89"/>
      <c r="R481" s="89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</row>
    <row r="482" spans="1:74" ht="12.75" x14ac:dyDescent="0.2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8"/>
      <c r="N482" s="88"/>
      <c r="O482" s="8"/>
      <c r="P482" s="8"/>
      <c r="Q482" s="89"/>
      <c r="R482" s="89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</row>
    <row r="483" spans="1:74" ht="12.75" x14ac:dyDescent="0.2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8"/>
      <c r="N483" s="88"/>
      <c r="O483" s="8"/>
      <c r="P483" s="8"/>
      <c r="Q483" s="89"/>
      <c r="R483" s="89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</row>
    <row r="484" spans="1:74" ht="12.75" x14ac:dyDescent="0.2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8"/>
      <c r="N484" s="88"/>
      <c r="O484" s="8"/>
      <c r="P484" s="8"/>
      <c r="Q484" s="89"/>
      <c r="R484" s="89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</row>
    <row r="485" spans="1:74" ht="12.75" x14ac:dyDescent="0.2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8"/>
      <c r="N485" s="88"/>
      <c r="O485" s="8"/>
      <c r="P485" s="8"/>
      <c r="Q485" s="89"/>
      <c r="R485" s="89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</row>
    <row r="486" spans="1:74" ht="12.75" x14ac:dyDescent="0.2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8"/>
      <c r="N486" s="88"/>
      <c r="O486" s="8"/>
      <c r="P486" s="8"/>
      <c r="Q486" s="89"/>
      <c r="R486" s="89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</row>
    <row r="487" spans="1:74" ht="12.75" x14ac:dyDescent="0.2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8"/>
      <c r="N487" s="88"/>
      <c r="O487" s="8"/>
      <c r="P487" s="8"/>
      <c r="Q487" s="89"/>
      <c r="R487" s="89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</row>
    <row r="488" spans="1:74" ht="12.75" x14ac:dyDescent="0.2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8"/>
      <c r="N488" s="88"/>
      <c r="O488" s="8"/>
      <c r="P488" s="8"/>
      <c r="Q488" s="89"/>
      <c r="R488" s="89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</row>
    <row r="489" spans="1:74" ht="12.75" x14ac:dyDescent="0.2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8"/>
      <c r="N489" s="88"/>
      <c r="O489" s="8"/>
      <c r="P489" s="8"/>
      <c r="Q489" s="89"/>
      <c r="R489" s="89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</row>
    <row r="490" spans="1:74" ht="12.75" x14ac:dyDescent="0.2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8"/>
      <c r="N490" s="88"/>
      <c r="O490" s="8"/>
      <c r="P490" s="8"/>
      <c r="Q490" s="89"/>
      <c r="R490" s="89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</row>
    <row r="491" spans="1:74" ht="12.75" x14ac:dyDescent="0.2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8"/>
      <c r="N491" s="88"/>
      <c r="O491" s="8"/>
      <c r="P491" s="8"/>
      <c r="Q491" s="89"/>
      <c r="R491" s="89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</row>
    <row r="492" spans="1:74" ht="12.75" x14ac:dyDescent="0.2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8"/>
      <c r="N492" s="88"/>
      <c r="O492" s="8"/>
      <c r="P492" s="8"/>
      <c r="Q492" s="89"/>
      <c r="R492" s="89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</row>
    <row r="493" spans="1:74" ht="12.75" x14ac:dyDescent="0.2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8"/>
      <c r="N493" s="88"/>
      <c r="O493" s="8"/>
      <c r="P493" s="8"/>
      <c r="Q493" s="89"/>
      <c r="R493" s="89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</row>
    <row r="494" spans="1:74" ht="12.75" x14ac:dyDescent="0.2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8"/>
      <c r="N494" s="88"/>
      <c r="O494" s="8"/>
      <c r="P494" s="8"/>
      <c r="Q494" s="89"/>
      <c r="R494" s="89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</row>
    <row r="495" spans="1:74" ht="12.75" x14ac:dyDescent="0.2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8"/>
      <c r="N495" s="88"/>
      <c r="O495" s="8"/>
      <c r="P495" s="8"/>
      <c r="Q495" s="89"/>
      <c r="R495" s="89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</row>
    <row r="496" spans="1:74" ht="12.75" x14ac:dyDescent="0.2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8"/>
      <c r="N496" s="88"/>
      <c r="O496" s="8"/>
      <c r="P496" s="8"/>
      <c r="Q496" s="89"/>
      <c r="R496" s="89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</row>
    <row r="497" spans="1:74" ht="12.75" x14ac:dyDescent="0.2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8"/>
      <c r="N497" s="88"/>
      <c r="O497" s="8"/>
      <c r="P497" s="8"/>
      <c r="Q497" s="89"/>
      <c r="R497" s="89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</row>
    <row r="498" spans="1:74" ht="12.75" x14ac:dyDescent="0.2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8"/>
      <c r="N498" s="88"/>
      <c r="O498" s="8"/>
      <c r="P498" s="8"/>
      <c r="Q498" s="89"/>
      <c r="R498" s="89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</row>
    <row r="499" spans="1:74" ht="12.75" x14ac:dyDescent="0.2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8"/>
      <c r="N499" s="88"/>
      <c r="O499" s="8"/>
      <c r="P499" s="8"/>
      <c r="Q499" s="89"/>
      <c r="R499" s="89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</row>
    <row r="500" spans="1:74" ht="12.75" x14ac:dyDescent="0.2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8"/>
      <c r="N500" s="88"/>
      <c r="O500" s="8"/>
      <c r="P500" s="8"/>
      <c r="Q500" s="89"/>
      <c r="R500" s="89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</row>
    <row r="501" spans="1:74" ht="12.75" x14ac:dyDescent="0.2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8"/>
      <c r="N501" s="88"/>
      <c r="O501" s="8"/>
      <c r="P501" s="8"/>
      <c r="Q501" s="89"/>
      <c r="R501" s="89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</row>
    <row r="502" spans="1:74" ht="12.75" x14ac:dyDescent="0.2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8"/>
      <c r="N502" s="88"/>
      <c r="O502" s="8"/>
      <c r="P502" s="8"/>
      <c r="Q502" s="89"/>
      <c r="R502" s="89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</row>
    <row r="503" spans="1:74" ht="12.75" x14ac:dyDescent="0.2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8"/>
      <c r="N503" s="88"/>
      <c r="O503" s="8"/>
      <c r="P503" s="8"/>
      <c r="Q503" s="89"/>
      <c r="R503" s="89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</row>
    <row r="504" spans="1:74" ht="12.75" x14ac:dyDescent="0.2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8"/>
      <c r="N504" s="88"/>
      <c r="O504" s="8"/>
      <c r="P504" s="8"/>
      <c r="Q504" s="89"/>
      <c r="R504" s="89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</row>
    <row r="505" spans="1:74" ht="12.75" x14ac:dyDescent="0.2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8"/>
      <c r="N505" s="88"/>
      <c r="O505" s="8"/>
      <c r="P505" s="8"/>
      <c r="Q505" s="89"/>
      <c r="R505" s="89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</row>
    <row r="506" spans="1:74" ht="12.75" x14ac:dyDescent="0.2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8"/>
      <c r="N506" s="88"/>
      <c r="O506" s="8"/>
      <c r="P506" s="8"/>
      <c r="Q506" s="89"/>
      <c r="R506" s="89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</row>
    <row r="507" spans="1:74" ht="12.75" x14ac:dyDescent="0.2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8"/>
      <c r="N507" s="88"/>
      <c r="O507" s="8"/>
      <c r="P507" s="8"/>
      <c r="Q507" s="89"/>
      <c r="R507" s="89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</row>
    <row r="508" spans="1:74" ht="12.75" x14ac:dyDescent="0.2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8"/>
      <c r="N508" s="88"/>
      <c r="O508" s="8"/>
      <c r="P508" s="8"/>
      <c r="Q508" s="89"/>
      <c r="R508" s="89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</row>
    <row r="509" spans="1:74" ht="12.75" x14ac:dyDescent="0.2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8"/>
      <c r="N509" s="88"/>
      <c r="O509" s="8"/>
      <c r="P509" s="8"/>
      <c r="Q509" s="89"/>
      <c r="R509" s="89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</row>
    <row r="510" spans="1:74" ht="12.75" x14ac:dyDescent="0.2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8"/>
      <c r="N510" s="88"/>
      <c r="O510" s="8"/>
      <c r="P510" s="8"/>
      <c r="Q510" s="89"/>
      <c r="R510" s="89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</row>
    <row r="511" spans="1:74" ht="12.75" x14ac:dyDescent="0.2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8"/>
      <c r="N511" s="88"/>
      <c r="O511" s="8"/>
      <c r="P511" s="8"/>
      <c r="Q511" s="89"/>
      <c r="R511" s="89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</row>
    <row r="512" spans="1:74" ht="12.75" x14ac:dyDescent="0.2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8"/>
      <c r="N512" s="88"/>
      <c r="O512" s="8"/>
      <c r="P512" s="8"/>
      <c r="Q512" s="89"/>
      <c r="R512" s="89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</row>
    <row r="513" spans="1:74" ht="12.75" x14ac:dyDescent="0.2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8"/>
      <c r="N513" s="88"/>
      <c r="O513" s="8"/>
      <c r="P513" s="8"/>
      <c r="Q513" s="89"/>
      <c r="R513" s="89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</row>
    <row r="514" spans="1:74" ht="12.75" x14ac:dyDescent="0.2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8"/>
      <c r="N514" s="88"/>
      <c r="O514" s="8"/>
      <c r="P514" s="8"/>
      <c r="Q514" s="89"/>
      <c r="R514" s="89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</row>
    <row r="515" spans="1:74" ht="12.75" x14ac:dyDescent="0.2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8"/>
      <c r="N515" s="88"/>
      <c r="O515" s="8"/>
      <c r="P515" s="8"/>
      <c r="Q515" s="89"/>
      <c r="R515" s="89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</row>
    <row r="516" spans="1:74" ht="12.75" x14ac:dyDescent="0.2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8"/>
      <c r="N516" s="88"/>
      <c r="O516" s="8"/>
      <c r="P516" s="8"/>
      <c r="Q516" s="89"/>
      <c r="R516" s="89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</row>
    <row r="517" spans="1:74" ht="12.75" x14ac:dyDescent="0.2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8"/>
      <c r="N517" s="88"/>
      <c r="O517" s="8"/>
      <c r="P517" s="8"/>
      <c r="Q517" s="89"/>
      <c r="R517" s="89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</row>
    <row r="518" spans="1:74" ht="12.75" x14ac:dyDescent="0.2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8"/>
      <c r="N518" s="88"/>
      <c r="O518" s="8"/>
      <c r="P518" s="8"/>
      <c r="Q518" s="89"/>
      <c r="R518" s="89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</row>
    <row r="519" spans="1:74" ht="12.75" x14ac:dyDescent="0.2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8"/>
      <c r="N519" s="88"/>
      <c r="O519" s="8"/>
      <c r="P519" s="8"/>
      <c r="Q519" s="89"/>
      <c r="R519" s="89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</row>
    <row r="520" spans="1:74" ht="12.75" x14ac:dyDescent="0.2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8"/>
      <c r="N520" s="88"/>
      <c r="O520" s="8"/>
      <c r="P520" s="8"/>
      <c r="Q520" s="89"/>
      <c r="R520" s="89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</row>
    <row r="521" spans="1:74" ht="12.75" x14ac:dyDescent="0.2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8"/>
      <c r="N521" s="88"/>
      <c r="O521" s="8"/>
      <c r="P521" s="8"/>
      <c r="Q521" s="89"/>
      <c r="R521" s="89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</row>
    <row r="522" spans="1:74" ht="12.75" x14ac:dyDescent="0.2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8"/>
      <c r="N522" s="88"/>
      <c r="O522" s="8"/>
      <c r="P522" s="8"/>
      <c r="Q522" s="89"/>
      <c r="R522" s="89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</row>
    <row r="523" spans="1:74" ht="12.75" x14ac:dyDescent="0.2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8"/>
      <c r="N523" s="88"/>
      <c r="O523" s="8"/>
      <c r="P523" s="8"/>
      <c r="Q523" s="89"/>
      <c r="R523" s="89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</row>
    <row r="524" spans="1:74" ht="12.75" x14ac:dyDescent="0.2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8"/>
      <c r="N524" s="88"/>
      <c r="O524" s="8"/>
      <c r="P524" s="8"/>
      <c r="Q524" s="89"/>
      <c r="R524" s="89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</row>
    <row r="525" spans="1:74" ht="12.75" x14ac:dyDescent="0.2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8"/>
      <c r="N525" s="88"/>
      <c r="O525" s="8"/>
      <c r="P525" s="8"/>
      <c r="Q525" s="89"/>
      <c r="R525" s="89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</row>
    <row r="526" spans="1:74" ht="12.75" x14ac:dyDescent="0.2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8"/>
      <c r="N526" s="88"/>
      <c r="O526" s="8"/>
      <c r="P526" s="8"/>
      <c r="Q526" s="89"/>
      <c r="R526" s="89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</row>
    <row r="527" spans="1:74" ht="12.75" x14ac:dyDescent="0.2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8"/>
      <c r="N527" s="88"/>
      <c r="O527" s="8"/>
      <c r="P527" s="8"/>
      <c r="Q527" s="89"/>
      <c r="R527" s="89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</row>
    <row r="528" spans="1:74" ht="12.75" x14ac:dyDescent="0.2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8"/>
      <c r="N528" s="88"/>
      <c r="O528" s="8"/>
      <c r="P528" s="8"/>
      <c r="Q528" s="89"/>
      <c r="R528" s="89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</row>
    <row r="529" spans="1:74" ht="12.75" x14ac:dyDescent="0.2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8"/>
      <c r="N529" s="88"/>
      <c r="O529" s="8"/>
      <c r="P529" s="8"/>
      <c r="Q529" s="89"/>
      <c r="R529" s="89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</row>
    <row r="530" spans="1:74" ht="12.75" x14ac:dyDescent="0.2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8"/>
      <c r="N530" s="88"/>
      <c r="O530" s="8"/>
      <c r="P530" s="8"/>
      <c r="Q530" s="89"/>
      <c r="R530" s="89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</row>
    <row r="531" spans="1:74" ht="12.75" x14ac:dyDescent="0.2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8"/>
      <c r="N531" s="88"/>
      <c r="O531" s="8"/>
      <c r="P531" s="8"/>
      <c r="Q531" s="89"/>
      <c r="R531" s="89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</row>
    <row r="532" spans="1:74" ht="12.75" x14ac:dyDescent="0.2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8"/>
      <c r="N532" s="88"/>
      <c r="O532" s="8"/>
      <c r="P532" s="8"/>
      <c r="Q532" s="89"/>
      <c r="R532" s="89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</row>
    <row r="533" spans="1:74" ht="12.75" x14ac:dyDescent="0.2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8"/>
      <c r="N533" s="88"/>
      <c r="O533" s="8"/>
      <c r="P533" s="8"/>
      <c r="Q533" s="89"/>
      <c r="R533" s="89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</row>
    <row r="534" spans="1:74" ht="12.75" x14ac:dyDescent="0.2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8"/>
      <c r="N534" s="88"/>
      <c r="O534" s="8"/>
      <c r="P534" s="8"/>
      <c r="Q534" s="89"/>
      <c r="R534" s="89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</row>
    <row r="535" spans="1:74" ht="12.75" x14ac:dyDescent="0.2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8"/>
      <c r="N535" s="88"/>
      <c r="O535" s="8"/>
      <c r="P535" s="8"/>
      <c r="Q535" s="89"/>
      <c r="R535" s="89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</row>
    <row r="536" spans="1:74" ht="12.75" x14ac:dyDescent="0.2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8"/>
      <c r="N536" s="88"/>
      <c r="O536" s="8"/>
      <c r="P536" s="8"/>
      <c r="Q536" s="89"/>
      <c r="R536" s="89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</row>
    <row r="537" spans="1:74" ht="12.75" x14ac:dyDescent="0.2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8"/>
      <c r="N537" s="88"/>
      <c r="O537" s="8"/>
      <c r="P537" s="8"/>
      <c r="Q537" s="89"/>
      <c r="R537" s="89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</row>
    <row r="538" spans="1:74" ht="12.75" x14ac:dyDescent="0.2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8"/>
      <c r="N538" s="88"/>
      <c r="O538" s="8"/>
      <c r="P538" s="8"/>
      <c r="Q538" s="89"/>
      <c r="R538" s="89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</row>
    <row r="539" spans="1:74" ht="12.75" x14ac:dyDescent="0.2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8"/>
      <c r="N539" s="88"/>
      <c r="O539" s="8"/>
      <c r="P539" s="8"/>
      <c r="Q539" s="89"/>
      <c r="R539" s="89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</row>
    <row r="540" spans="1:74" ht="12.75" x14ac:dyDescent="0.2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8"/>
      <c r="N540" s="88"/>
      <c r="O540" s="8"/>
      <c r="P540" s="8"/>
      <c r="Q540" s="89"/>
      <c r="R540" s="89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</row>
    <row r="541" spans="1:74" ht="12.75" x14ac:dyDescent="0.2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8"/>
      <c r="N541" s="88"/>
      <c r="O541" s="8"/>
      <c r="P541" s="8"/>
      <c r="Q541" s="89"/>
      <c r="R541" s="89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</row>
    <row r="542" spans="1:74" ht="12.75" x14ac:dyDescent="0.2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8"/>
      <c r="N542" s="88"/>
      <c r="O542" s="8"/>
      <c r="P542" s="8"/>
      <c r="Q542" s="89"/>
      <c r="R542" s="89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</row>
    <row r="543" spans="1:74" ht="12.75" x14ac:dyDescent="0.2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8"/>
      <c r="N543" s="88"/>
      <c r="O543" s="8"/>
      <c r="P543" s="8"/>
      <c r="Q543" s="89"/>
      <c r="R543" s="89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</row>
    <row r="544" spans="1:74" ht="12.75" x14ac:dyDescent="0.2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8"/>
      <c r="N544" s="88"/>
      <c r="O544" s="8"/>
      <c r="P544" s="8"/>
      <c r="Q544" s="89"/>
      <c r="R544" s="89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</row>
    <row r="545" spans="1:74" ht="12.75" x14ac:dyDescent="0.2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8"/>
      <c r="N545" s="88"/>
      <c r="O545" s="8"/>
      <c r="P545" s="8"/>
      <c r="Q545" s="89"/>
      <c r="R545" s="89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</row>
    <row r="546" spans="1:74" ht="12.75" x14ac:dyDescent="0.2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8"/>
      <c r="N546" s="88"/>
      <c r="O546" s="8"/>
      <c r="P546" s="8"/>
      <c r="Q546" s="89"/>
      <c r="R546" s="89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</row>
    <row r="547" spans="1:74" ht="12.75" x14ac:dyDescent="0.2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8"/>
      <c r="N547" s="88"/>
      <c r="O547" s="8"/>
      <c r="P547" s="8"/>
      <c r="Q547" s="89"/>
      <c r="R547" s="89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</row>
    <row r="548" spans="1:74" ht="12.75" x14ac:dyDescent="0.2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8"/>
      <c r="N548" s="88"/>
      <c r="O548" s="8"/>
      <c r="P548" s="8"/>
      <c r="Q548" s="89"/>
      <c r="R548" s="89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</row>
    <row r="549" spans="1:74" ht="12.75" x14ac:dyDescent="0.2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8"/>
      <c r="N549" s="88"/>
      <c r="O549" s="8"/>
      <c r="P549" s="8"/>
      <c r="Q549" s="89"/>
      <c r="R549" s="89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</row>
    <row r="550" spans="1:74" ht="12.75" x14ac:dyDescent="0.2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8"/>
      <c r="N550" s="88"/>
      <c r="O550" s="8"/>
      <c r="P550" s="8"/>
      <c r="Q550" s="89"/>
      <c r="R550" s="89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</row>
    <row r="551" spans="1:74" ht="12.75" x14ac:dyDescent="0.2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8"/>
      <c r="N551" s="88"/>
      <c r="O551" s="8"/>
      <c r="P551" s="8"/>
      <c r="Q551" s="89"/>
      <c r="R551" s="89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</row>
    <row r="552" spans="1:74" ht="12.75" x14ac:dyDescent="0.2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8"/>
      <c r="N552" s="88"/>
      <c r="O552" s="8"/>
      <c r="P552" s="8"/>
      <c r="Q552" s="89"/>
      <c r="R552" s="89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</row>
    <row r="553" spans="1:74" ht="12.75" x14ac:dyDescent="0.2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8"/>
      <c r="N553" s="88"/>
      <c r="O553" s="8"/>
      <c r="P553" s="8"/>
      <c r="Q553" s="89"/>
      <c r="R553" s="89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</row>
    <row r="554" spans="1:74" ht="12.75" x14ac:dyDescent="0.2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8"/>
      <c r="N554" s="88"/>
      <c r="O554" s="8"/>
      <c r="P554" s="8"/>
      <c r="Q554" s="89"/>
      <c r="R554" s="89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</row>
    <row r="555" spans="1:74" ht="12.75" x14ac:dyDescent="0.2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8"/>
      <c r="N555" s="88"/>
      <c r="O555" s="8"/>
      <c r="P555" s="8"/>
      <c r="Q555" s="89"/>
      <c r="R555" s="89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</row>
    <row r="556" spans="1:74" ht="12.75" x14ac:dyDescent="0.2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8"/>
      <c r="N556" s="88"/>
      <c r="O556" s="8"/>
      <c r="P556" s="8"/>
      <c r="Q556" s="89"/>
      <c r="R556" s="89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</row>
    <row r="557" spans="1:74" ht="12.75" x14ac:dyDescent="0.2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8"/>
      <c r="N557" s="88"/>
      <c r="O557" s="8"/>
      <c r="P557" s="8"/>
      <c r="Q557" s="89"/>
      <c r="R557" s="89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</row>
    <row r="558" spans="1:74" ht="12.75" x14ac:dyDescent="0.2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8"/>
      <c r="N558" s="88"/>
      <c r="O558" s="8"/>
      <c r="P558" s="8"/>
      <c r="Q558" s="89"/>
      <c r="R558" s="89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</row>
    <row r="559" spans="1:74" ht="12.75" x14ac:dyDescent="0.2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8"/>
      <c r="N559" s="88"/>
      <c r="O559" s="8"/>
      <c r="P559" s="8"/>
      <c r="Q559" s="89"/>
      <c r="R559" s="89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</row>
    <row r="560" spans="1:74" ht="12.75" x14ac:dyDescent="0.2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8"/>
      <c r="N560" s="88"/>
      <c r="O560" s="8"/>
      <c r="P560" s="8"/>
      <c r="Q560" s="89"/>
      <c r="R560" s="89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</row>
    <row r="561" spans="1:74" ht="12.75" x14ac:dyDescent="0.2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8"/>
      <c r="N561" s="88"/>
      <c r="O561" s="8"/>
      <c r="P561" s="8"/>
      <c r="Q561" s="89"/>
      <c r="R561" s="89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</row>
    <row r="562" spans="1:74" ht="12.75" x14ac:dyDescent="0.2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8"/>
      <c r="N562" s="88"/>
      <c r="O562" s="8"/>
      <c r="P562" s="8"/>
      <c r="Q562" s="89"/>
      <c r="R562" s="89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</row>
    <row r="563" spans="1:74" ht="12.75" x14ac:dyDescent="0.2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8"/>
      <c r="N563" s="88"/>
      <c r="O563" s="8"/>
      <c r="P563" s="8"/>
      <c r="Q563" s="89"/>
      <c r="R563" s="89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</row>
    <row r="564" spans="1:74" ht="12.75" x14ac:dyDescent="0.2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8"/>
      <c r="N564" s="88"/>
      <c r="O564" s="8"/>
      <c r="P564" s="8"/>
      <c r="Q564" s="89"/>
      <c r="R564" s="89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</row>
    <row r="565" spans="1:74" ht="12.75" x14ac:dyDescent="0.2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8"/>
      <c r="N565" s="88"/>
      <c r="O565" s="8"/>
      <c r="P565" s="8"/>
      <c r="Q565" s="89"/>
      <c r="R565" s="89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</row>
    <row r="566" spans="1:74" ht="12.75" x14ac:dyDescent="0.2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8"/>
      <c r="N566" s="88"/>
      <c r="O566" s="8"/>
      <c r="P566" s="8"/>
      <c r="Q566" s="89"/>
      <c r="R566" s="89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</row>
    <row r="567" spans="1:74" ht="12.75" x14ac:dyDescent="0.2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8"/>
      <c r="N567" s="88"/>
      <c r="O567" s="8"/>
      <c r="P567" s="8"/>
      <c r="Q567" s="89"/>
      <c r="R567" s="89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</row>
    <row r="568" spans="1:74" ht="12.75" x14ac:dyDescent="0.2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8"/>
      <c r="N568" s="88"/>
      <c r="O568" s="8"/>
      <c r="P568" s="8"/>
      <c r="Q568" s="89"/>
      <c r="R568" s="89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</row>
    <row r="569" spans="1:74" ht="12.75" x14ac:dyDescent="0.2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8"/>
      <c r="N569" s="88"/>
      <c r="O569" s="8"/>
      <c r="P569" s="8"/>
      <c r="Q569" s="89"/>
      <c r="R569" s="89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</row>
    <row r="570" spans="1:74" ht="12.75" x14ac:dyDescent="0.2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8"/>
      <c r="N570" s="88"/>
      <c r="O570" s="8"/>
      <c r="P570" s="8"/>
      <c r="Q570" s="89"/>
      <c r="R570" s="89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</row>
    <row r="571" spans="1:74" ht="12.75" x14ac:dyDescent="0.2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8"/>
      <c r="N571" s="88"/>
      <c r="O571" s="8"/>
      <c r="P571" s="8"/>
      <c r="Q571" s="89"/>
      <c r="R571" s="89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</row>
    <row r="572" spans="1:74" ht="12.75" x14ac:dyDescent="0.2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8"/>
      <c r="N572" s="88"/>
      <c r="O572" s="8"/>
      <c r="P572" s="8"/>
      <c r="Q572" s="89"/>
      <c r="R572" s="89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</row>
    <row r="573" spans="1:74" ht="12.75" x14ac:dyDescent="0.2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8"/>
      <c r="N573" s="88"/>
      <c r="O573" s="8"/>
      <c r="P573" s="8"/>
      <c r="Q573" s="89"/>
      <c r="R573" s="89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</row>
    <row r="574" spans="1:74" ht="12.75" x14ac:dyDescent="0.2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8"/>
      <c r="N574" s="88"/>
      <c r="O574" s="8"/>
      <c r="P574" s="8"/>
      <c r="Q574" s="89"/>
      <c r="R574" s="89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</row>
    <row r="575" spans="1:74" ht="12.75" x14ac:dyDescent="0.2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8"/>
      <c r="N575" s="88"/>
      <c r="O575" s="8"/>
      <c r="P575" s="8"/>
      <c r="Q575" s="89"/>
      <c r="R575" s="89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</row>
    <row r="576" spans="1:74" ht="12.75" x14ac:dyDescent="0.2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8"/>
      <c r="N576" s="88"/>
      <c r="O576" s="8"/>
      <c r="P576" s="8"/>
      <c r="Q576" s="89"/>
      <c r="R576" s="89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</row>
    <row r="577" spans="1:74" ht="12.75" x14ac:dyDescent="0.2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8"/>
      <c r="N577" s="88"/>
      <c r="O577" s="8"/>
      <c r="P577" s="8"/>
      <c r="Q577" s="89"/>
      <c r="R577" s="89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</row>
    <row r="578" spans="1:74" ht="12.75" x14ac:dyDescent="0.2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8"/>
      <c r="N578" s="88"/>
      <c r="O578" s="8"/>
      <c r="P578" s="8"/>
      <c r="Q578" s="89"/>
      <c r="R578" s="89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</row>
    <row r="579" spans="1:74" ht="12.75" x14ac:dyDescent="0.2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8"/>
      <c r="N579" s="88"/>
      <c r="O579" s="8"/>
      <c r="P579" s="8"/>
      <c r="Q579" s="89"/>
      <c r="R579" s="89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</row>
    <row r="580" spans="1:74" ht="12.75" x14ac:dyDescent="0.2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8"/>
      <c r="N580" s="88"/>
      <c r="O580" s="8"/>
      <c r="P580" s="8"/>
      <c r="Q580" s="89"/>
      <c r="R580" s="89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</row>
    <row r="581" spans="1:74" ht="12.75" x14ac:dyDescent="0.2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8"/>
      <c r="N581" s="88"/>
      <c r="O581" s="8"/>
      <c r="P581" s="8"/>
      <c r="Q581" s="89"/>
      <c r="R581" s="89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</row>
    <row r="582" spans="1:74" ht="12.75" x14ac:dyDescent="0.2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8"/>
      <c r="N582" s="88"/>
      <c r="O582" s="8"/>
      <c r="P582" s="8"/>
      <c r="Q582" s="89"/>
      <c r="R582" s="89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</row>
    <row r="583" spans="1:74" ht="12.75" x14ac:dyDescent="0.2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8"/>
      <c r="N583" s="88"/>
      <c r="O583" s="8"/>
      <c r="P583" s="8"/>
      <c r="Q583" s="89"/>
      <c r="R583" s="89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</row>
    <row r="584" spans="1:74" ht="12.75" x14ac:dyDescent="0.2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8"/>
      <c r="N584" s="88"/>
      <c r="O584" s="8"/>
      <c r="P584" s="8"/>
      <c r="Q584" s="89"/>
      <c r="R584" s="89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</row>
    <row r="585" spans="1:74" ht="12.75" x14ac:dyDescent="0.2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8"/>
      <c r="N585" s="88"/>
      <c r="O585" s="8"/>
      <c r="P585" s="8"/>
      <c r="Q585" s="89"/>
      <c r="R585" s="89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</row>
    <row r="586" spans="1:74" ht="12.75" x14ac:dyDescent="0.2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8"/>
      <c r="N586" s="88"/>
      <c r="O586" s="8"/>
      <c r="P586" s="8"/>
      <c r="Q586" s="89"/>
      <c r="R586" s="89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</row>
    <row r="587" spans="1:74" ht="12.75" x14ac:dyDescent="0.2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8"/>
      <c r="N587" s="88"/>
      <c r="O587" s="8"/>
      <c r="P587" s="8"/>
      <c r="Q587" s="89"/>
      <c r="R587" s="89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</row>
    <row r="588" spans="1:74" ht="12.75" x14ac:dyDescent="0.2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8"/>
      <c r="N588" s="88"/>
      <c r="O588" s="8"/>
      <c r="P588" s="8"/>
      <c r="Q588" s="89"/>
      <c r="R588" s="89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</row>
    <row r="589" spans="1:74" ht="12.75" x14ac:dyDescent="0.2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8"/>
      <c r="N589" s="88"/>
      <c r="O589" s="8"/>
      <c r="P589" s="8"/>
      <c r="Q589" s="89"/>
      <c r="R589" s="89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</row>
    <row r="590" spans="1:74" ht="12.75" x14ac:dyDescent="0.2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8"/>
      <c r="N590" s="88"/>
      <c r="O590" s="8"/>
      <c r="P590" s="8"/>
      <c r="Q590" s="89"/>
      <c r="R590" s="89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</row>
    <row r="591" spans="1:74" ht="12.75" x14ac:dyDescent="0.2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8"/>
      <c r="N591" s="88"/>
      <c r="O591" s="8"/>
      <c r="P591" s="8"/>
      <c r="Q591" s="89"/>
      <c r="R591" s="89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</row>
    <row r="592" spans="1:74" ht="12.75" x14ac:dyDescent="0.2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8"/>
      <c r="N592" s="88"/>
      <c r="O592" s="8"/>
      <c r="P592" s="8"/>
      <c r="Q592" s="89"/>
      <c r="R592" s="89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</row>
    <row r="593" spans="1:74" ht="12.75" x14ac:dyDescent="0.2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8"/>
      <c r="N593" s="88"/>
      <c r="O593" s="8"/>
      <c r="P593" s="8"/>
      <c r="Q593" s="89"/>
      <c r="R593" s="89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</row>
    <row r="594" spans="1:74" ht="12.75" x14ac:dyDescent="0.2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8"/>
      <c r="N594" s="88"/>
      <c r="O594" s="8"/>
      <c r="P594" s="8"/>
      <c r="Q594" s="89"/>
      <c r="R594" s="89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</row>
    <row r="595" spans="1:74" ht="12.75" x14ac:dyDescent="0.2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8"/>
      <c r="N595" s="88"/>
      <c r="O595" s="8"/>
      <c r="P595" s="8"/>
      <c r="Q595" s="89"/>
      <c r="R595" s="89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</row>
    <row r="596" spans="1:74" ht="12.75" x14ac:dyDescent="0.2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8"/>
      <c r="N596" s="88"/>
      <c r="O596" s="8"/>
      <c r="P596" s="8"/>
      <c r="Q596" s="89"/>
      <c r="R596" s="89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</row>
    <row r="597" spans="1:74" ht="12.75" x14ac:dyDescent="0.2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8"/>
      <c r="N597" s="88"/>
      <c r="O597" s="8"/>
      <c r="P597" s="8"/>
      <c r="Q597" s="89"/>
      <c r="R597" s="89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</row>
    <row r="598" spans="1:74" ht="12.75" x14ac:dyDescent="0.2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8"/>
      <c r="N598" s="88"/>
      <c r="O598" s="8"/>
      <c r="P598" s="8"/>
      <c r="Q598" s="89"/>
      <c r="R598" s="89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</row>
    <row r="599" spans="1:74" ht="12.75" x14ac:dyDescent="0.2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8"/>
      <c r="N599" s="88"/>
      <c r="O599" s="8"/>
      <c r="P599" s="8"/>
      <c r="Q599" s="89"/>
      <c r="R599" s="89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</row>
    <row r="600" spans="1:74" ht="12.75" x14ac:dyDescent="0.2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8"/>
      <c r="N600" s="88"/>
      <c r="O600" s="8"/>
      <c r="P600" s="8"/>
      <c r="Q600" s="89"/>
      <c r="R600" s="89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</row>
    <row r="601" spans="1:74" ht="12.75" x14ac:dyDescent="0.2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8"/>
      <c r="N601" s="88"/>
      <c r="O601" s="8"/>
      <c r="P601" s="8"/>
      <c r="Q601" s="89"/>
      <c r="R601" s="89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</row>
    <row r="602" spans="1:74" ht="12.75" x14ac:dyDescent="0.2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8"/>
      <c r="N602" s="88"/>
      <c r="O602" s="8"/>
      <c r="P602" s="8"/>
      <c r="Q602" s="89"/>
      <c r="R602" s="89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</row>
    <row r="603" spans="1:74" ht="12.75" x14ac:dyDescent="0.2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8"/>
      <c r="N603" s="88"/>
      <c r="O603" s="8"/>
      <c r="P603" s="8"/>
      <c r="Q603" s="89"/>
      <c r="R603" s="89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</row>
    <row r="604" spans="1:74" ht="12.75" x14ac:dyDescent="0.2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8"/>
      <c r="N604" s="88"/>
      <c r="O604" s="8"/>
      <c r="P604" s="8"/>
      <c r="Q604" s="89"/>
      <c r="R604" s="89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</row>
    <row r="605" spans="1:74" ht="12.75" x14ac:dyDescent="0.2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8"/>
      <c r="N605" s="88"/>
      <c r="O605" s="8"/>
      <c r="P605" s="8"/>
      <c r="Q605" s="89"/>
      <c r="R605" s="89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</row>
    <row r="606" spans="1:74" ht="12.75" x14ac:dyDescent="0.2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8"/>
      <c r="N606" s="88"/>
      <c r="O606" s="8"/>
      <c r="P606" s="8"/>
      <c r="Q606" s="89"/>
      <c r="R606" s="89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</row>
    <row r="607" spans="1:74" ht="12.75" x14ac:dyDescent="0.2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8"/>
      <c r="N607" s="88"/>
      <c r="O607" s="8"/>
      <c r="P607" s="8"/>
      <c r="Q607" s="89"/>
      <c r="R607" s="89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</row>
    <row r="608" spans="1:74" ht="12.75" x14ac:dyDescent="0.2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8"/>
      <c r="N608" s="88"/>
      <c r="O608" s="8"/>
      <c r="P608" s="8"/>
      <c r="Q608" s="89"/>
      <c r="R608" s="89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</row>
    <row r="609" spans="1:74" ht="12.75" x14ac:dyDescent="0.2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8"/>
      <c r="N609" s="88"/>
      <c r="O609" s="8"/>
      <c r="P609" s="8"/>
      <c r="Q609" s="89"/>
      <c r="R609" s="89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</row>
    <row r="610" spans="1:74" ht="12.75" x14ac:dyDescent="0.2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8"/>
      <c r="N610" s="88"/>
      <c r="O610" s="8"/>
      <c r="P610" s="8"/>
      <c r="Q610" s="89"/>
      <c r="R610" s="89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</row>
    <row r="611" spans="1:74" ht="12.75" x14ac:dyDescent="0.2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8"/>
      <c r="N611" s="88"/>
      <c r="O611" s="8"/>
      <c r="P611" s="8"/>
      <c r="Q611" s="89"/>
      <c r="R611" s="89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</row>
    <row r="612" spans="1:74" ht="12.75" x14ac:dyDescent="0.2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8"/>
      <c r="N612" s="88"/>
      <c r="O612" s="8"/>
      <c r="P612" s="8"/>
      <c r="Q612" s="89"/>
      <c r="R612" s="89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</row>
    <row r="613" spans="1:74" ht="12.75" x14ac:dyDescent="0.2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8"/>
      <c r="N613" s="88"/>
      <c r="O613" s="8"/>
      <c r="P613" s="8"/>
      <c r="Q613" s="89"/>
      <c r="R613" s="89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</row>
    <row r="614" spans="1:74" ht="12.75" x14ac:dyDescent="0.2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8"/>
      <c r="N614" s="88"/>
      <c r="O614" s="8"/>
      <c r="P614" s="8"/>
      <c r="Q614" s="89"/>
      <c r="R614" s="89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</row>
    <row r="615" spans="1:74" ht="12.75" x14ac:dyDescent="0.2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8"/>
      <c r="N615" s="88"/>
      <c r="O615" s="8"/>
      <c r="P615" s="8"/>
      <c r="Q615" s="89"/>
      <c r="R615" s="89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</row>
    <row r="616" spans="1:74" ht="12.75" x14ac:dyDescent="0.2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8"/>
      <c r="N616" s="88"/>
      <c r="O616" s="8"/>
      <c r="P616" s="8"/>
      <c r="Q616" s="89"/>
      <c r="R616" s="89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</row>
    <row r="617" spans="1:74" ht="12.75" x14ac:dyDescent="0.2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8"/>
      <c r="N617" s="88"/>
      <c r="O617" s="8"/>
      <c r="P617" s="8"/>
      <c r="Q617" s="89"/>
      <c r="R617" s="89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</row>
    <row r="618" spans="1:74" ht="12.75" x14ac:dyDescent="0.2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8"/>
      <c r="N618" s="88"/>
      <c r="O618" s="8"/>
      <c r="P618" s="8"/>
      <c r="Q618" s="89"/>
      <c r="R618" s="89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</row>
    <row r="619" spans="1:74" ht="12.75" x14ac:dyDescent="0.2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8"/>
      <c r="N619" s="88"/>
      <c r="O619" s="8"/>
      <c r="P619" s="8"/>
      <c r="Q619" s="89"/>
      <c r="R619" s="89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</row>
    <row r="620" spans="1:74" ht="12.75" x14ac:dyDescent="0.2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8"/>
      <c r="N620" s="88"/>
      <c r="O620" s="8"/>
      <c r="P620" s="8"/>
      <c r="Q620" s="89"/>
      <c r="R620" s="89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</row>
    <row r="621" spans="1:74" ht="12.75" x14ac:dyDescent="0.2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8"/>
      <c r="N621" s="88"/>
      <c r="O621" s="8"/>
      <c r="P621" s="8"/>
      <c r="Q621" s="89"/>
      <c r="R621" s="89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</row>
    <row r="622" spans="1:74" ht="12.75" x14ac:dyDescent="0.2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8"/>
      <c r="N622" s="88"/>
      <c r="O622" s="8"/>
      <c r="P622" s="8"/>
      <c r="Q622" s="89"/>
      <c r="R622" s="89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</row>
    <row r="623" spans="1:74" ht="12.75" x14ac:dyDescent="0.2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8"/>
      <c r="N623" s="88"/>
      <c r="O623" s="8"/>
      <c r="P623" s="8"/>
      <c r="Q623" s="89"/>
      <c r="R623" s="89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</row>
    <row r="624" spans="1:74" ht="12.75" x14ac:dyDescent="0.2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8"/>
      <c r="N624" s="88"/>
      <c r="O624" s="8"/>
      <c r="P624" s="8"/>
      <c r="Q624" s="89"/>
      <c r="R624" s="89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</row>
    <row r="625" spans="1:74" ht="12.75" x14ac:dyDescent="0.2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8"/>
      <c r="N625" s="88"/>
      <c r="O625" s="8"/>
      <c r="P625" s="8"/>
      <c r="Q625" s="89"/>
      <c r="R625" s="89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</row>
    <row r="626" spans="1:74" ht="12.75" x14ac:dyDescent="0.2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8"/>
      <c r="N626" s="88"/>
      <c r="O626" s="8"/>
      <c r="P626" s="8"/>
      <c r="Q626" s="89"/>
      <c r="R626" s="89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</row>
    <row r="627" spans="1:74" ht="12.75" x14ac:dyDescent="0.2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8"/>
      <c r="N627" s="88"/>
      <c r="O627" s="8"/>
      <c r="P627" s="8"/>
      <c r="Q627" s="89"/>
      <c r="R627" s="89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</row>
    <row r="628" spans="1:74" ht="12.75" x14ac:dyDescent="0.2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8"/>
      <c r="N628" s="88"/>
      <c r="O628" s="8"/>
      <c r="P628" s="8"/>
      <c r="Q628" s="89"/>
      <c r="R628" s="89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</row>
    <row r="629" spans="1:74" ht="12.75" x14ac:dyDescent="0.2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8"/>
      <c r="N629" s="88"/>
      <c r="O629" s="8"/>
      <c r="P629" s="8"/>
      <c r="Q629" s="89"/>
      <c r="R629" s="89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</row>
    <row r="630" spans="1:74" ht="12.75" x14ac:dyDescent="0.2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8"/>
      <c r="N630" s="88"/>
      <c r="O630" s="8"/>
      <c r="P630" s="8"/>
      <c r="Q630" s="89"/>
      <c r="R630" s="89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</row>
    <row r="631" spans="1:74" ht="12.75" x14ac:dyDescent="0.2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8"/>
      <c r="N631" s="88"/>
      <c r="O631" s="8"/>
      <c r="P631" s="8"/>
      <c r="Q631" s="89"/>
      <c r="R631" s="89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</row>
    <row r="632" spans="1:74" ht="12.75" x14ac:dyDescent="0.2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8"/>
      <c r="N632" s="88"/>
      <c r="O632" s="8"/>
      <c r="P632" s="8"/>
      <c r="Q632" s="89"/>
      <c r="R632" s="89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</row>
    <row r="633" spans="1:74" ht="12.75" x14ac:dyDescent="0.2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8"/>
      <c r="N633" s="88"/>
      <c r="O633" s="8"/>
      <c r="P633" s="8"/>
      <c r="Q633" s="89"/>
      <c r="R633" s="89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</row>
    <row r="634" spans="1:74" ht="12.75" x14ac:dyDescent="0.2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8"/>
      <c r="N634" s="88"/>
      <c r="O634" s="8"/>
      <c r="P634" s="8"/>
      <c r="Q634" s="89"/>
      <c r="R634" s="89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</row>
    <row r="635" spans="1:74" ht="12.75" x14ac:dyDescent="0.2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8"/>
      <c r="N635" s="88"/>
      <c r="O635" s="8"/>
      <c r="P635" s="8"/>
      <c r="Q635" s="89"/>
      <c r="R635" s="89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</row>
    <row r="636" spans="1:74" ht="12.75" x14ac:dyDescent="0.2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8"/>
      <c r="N636" s="88"/>
      <c r="O636" s="8"/>
      <c r="P636" s="8"/>
      <c r="Q636" s="89"/>
      <c r="R636" s="89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</row>
    <row r="637" spans="1:74" ht="12.75" x14ac:dyDescent="0.2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8"/>
      <c r="N637" s="88"/>
      <c r="O637" s="8"/>
      <c r="P637" s="8"/>
      <c r="Q637" s="89"/>
      <c r="R637" s="89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</row>
    <row r="638" spans="1:74" ht="12.75" x14ac:dyDescent="0.2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8"/>
      <c r="N638" s="88"/>
      <c r="O638" s="8"/>
      <c r="P638" s="8"/>
      <c r="Q638" s="89"/>
      <c r="R638" s="89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</row>
    <row r="639" spans="1:74" ht="12.75" x14ac:dyDescent="0.2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8"/>
      <c r="N639" s="88"/>
      <c r="O639" s="8"/>
      <c r="P639" s="8"/>
      <c r="Q639" s="89"/>
      <c r="R639" s="89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</row>
    <row r="640" spans="1:74" ht="12.75" x14ac:dyDescent="0.2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8"/>
      <c r="N640" s="88"/>
      <c r="O640" s="8"/>
      <c r="P640" s="8"/>
      <c r="Q640" s="89"/>
      <c r="R640" s="89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</row>
    <row r="641" spans="1:74" ht="12.75" x14ac:dyDescent="0.2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8"/>
      <c r="N641" s="88"/>
      <c r="O641" s="8"/>
      <c r="P641" s="8"/>
      <c r="Q641" s="89"/>
      <c r="R641" s="89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</row>
    <row r="642" spans="1:74" ht="12.75" x14ac:dyDescent="0.2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8"/>
      <c r="N642" s="88"/>
      <c r="O642" s="8"/>
      <c r="P642" s="8"/>
      <c r="Q642" s="89"/>
      <c r="R642" s="89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</row>
    <row r="643" spans="1:74" ht="12.75" x14ac:dyDescent="0.2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8"/>
      <c r="N643" s="88"/>
      <c r="O643" s="8"/>
      <c r="P643" s="8"/>
      <c r="Q643" s="89"/>
      <c r="R643" s="89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</row>
    <row r="644" spans="1:74" ht="12.75" x14ac:dyDescent="0.2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8"/>
      <c r="N644" s="88"/>
      <c r="O644" s="8"/>
      <c r="P644" s="8"/>
      <c r="Q644" s="89"/>
      <c r="R644" s="89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</row>
    <row r="645" spans="1:74" ht="12.75" x14ac:dyDescent="0.2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8"/>
      <c r="N645" s="88"/>
      <c r="O645" s="8"/>
      <c r="P645" s="8"/>
      <c r="Q645" s="89"/>
      <c r="R645" s="89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</row>
    <row r="646" spans="1:74" ht="12.75" x14ac:dyDescent="0.2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8"/>
      <c r="N646" s="88"/>
      <c r="O646" s="8"/>
      <c r="P646" s="8"/>
      <c r="Q646" s="89"/>
      <c r="R646" s="89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</row>
    <row r="647" spans="1:74" ht="12.75" x14ac:dyDescent="0.2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8"/>
      <c r="N647" s="88"/>
      <c r="O647" s="8"/>
      <c r="P647" s="8"/>
      <c r="Q647" s="89"/>
      <c r="R647" s="89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</row>
    <row r="648" spans="1:74" ht="12.75" x14ac:dyDescent="0.2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8"/>
      <c r="N648" s="88"/>
      <c r="O648" s="8"/>
      <c r="P648" s="8"/>
      <c r="Q648" s="89"/>
      <c r="R648" s="89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</row>
    <row r="649" spans="1:74" ht="12.75" x14ac:dyDescent="0.2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8"/>
      <c r="N649" s="88"/>
      <c r="O649" s="8"/>
      <c r="P649" s="8"/>
      <c r="Q649" s="89"/>
      <c r="R649" s="89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</row>
    <row r="650" spans="1:74" ht="12.75" x14ac:dyDescent="0.2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8"/>
      <c r="N650" s="88"/>
      <c r="O650" s="8"/>
      <c r="P650" s="8"/>
      <c r="Q650" s="89"/>
      <c r="R650" s="89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</row>
    <row r="651" spans="1:74" ht="12.75" x14ac:dyDescent="0.2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8"/>
      <c r="N651" s="88"/>
      <c r="O651" s="8"/>
      <c r="P651" s="8"/>
      <c r="Q651" s="89"/>
      <c r="R651" s="89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</row>
    <row r="652" spans="1:74" ht="12.75" x14ac:dyDescent="0.2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8"/>
      <c r="N652" s="88"/>
      <c r="O652" s="8"/>
      <c r="P652" s="8"/>
      <c r="Q652" s="89"/>
      <c r="R652" s="89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</row>
    <row r="653" spans="1:74" ht="12.75" x14ac:dyDescent="0.2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8"/>
      <c r="N653" s="88"/>
      <c r="O653" s="8"/>
      <c r="P653" s="8"/>
      <c r="Q653" s="89"/>
      <c r="R653" s="89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</row>
    <row r="654" spans="1:74" ht="12.75" x14ac:dyDescent="0.2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8"/>
      <c r="N654" s="88"/>
      <c r="O654" s="8"/>
      <c r="P654" s="8"/>
      <c r="Q654" s="89"/>
      <c r="R654" s="89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</row>
    <row r="655" spans="1:74" ht="12.75" x14ac:dyDescent="0.2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8"/>
      <c r="N655" s="88"/>
      <c r="O655" s="8"/>
      <c r="P655" s="8"/>
      <c r="Q655" s="89"/>
      <c r="R655" s="89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</row>
    <row r="656" spans="1:74" ht="12.75" x14ac:dyDescent="0.2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8"/>
      <c r="N656" s="88"/>
      <c r="O656" s="8"/>
      <c r="P656" s="8"/>
      <c r="Q656" s="89"/>
      <c r="R656" s="89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</row>
    <row r="657" spans="1:74" ht="12.75" x14ac:dyDescent="0.2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8"/>
      <c r="N657" s="88"/>
      <c r="O657" s="8"/>
      <c r="P657" s="8"/>
      <c r="Q657" s="89"/>
      <c r="R657" s="89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</row>
    <row r="658" spans="1:74" ht="12.75" x14ac:dyDescent="0.2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8"/>
      <c r="N658" s="88"/>
      <c r="O658" s="8"/>
      <c r="P658" s="8"/>
      <c r="Q658" s="89"/>
      <c r="R658" s="89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</row>
    <row r="659" spans="1:74" ht="12.75" x14ac:dyDescent="0.2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8"/>
      <c r="N659" s="88"/>
      <c r="O659" s="8"/>
      <c r="P659" s="8"/>
      <c r="Q659" s="89"/>
      <c r="R659" s="89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</row>
    <row r="660" spans="1:74" ht="12.75" x14ac:dyDescent="0.2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8"/>
      <c r="N660" s="88"/>
      <c r="O660" s="8"/>
      <c r="P660" s="8"/>
      <c r="Q660" s="89"/>
      <c r="R660" s="89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</row>
    <row r="661" spans="1:74" ht="12.75" x14ac:dyDescent="0.2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8"/>
      <c r="N661" s="88"/>
      <c r="O661" s="8"/>
      <c r="P661" s="8"/>
      <c r="Q661" s="89"/>
      <c r="R661" s="89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</row>
    <row r="662" spans="1:74" ht="12.75" x14ac:dyDescent="0.2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8"/>
      <c r="N662" s="88"/>
      <c r="O662" s="8"/>
      <c r="P662" s="8"/>
      <c r="Q662" s="89"/>
      <c r="R662" s="89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</row>
    <row r="663" spans="1:74" ht="12.75" x14ac:dyDescent="0.2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8"/>
      <c r="N663" s="88"/>
      <c r="O663" s="8"/>
      <c r="P663" s="8"/>
      <c r="Q663" s="89"/>
      <c r="R663" s="89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</row>
    <row r="664" spans="1:74" ht="12.75" x14ac:dyDescent="0.2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8"/>
      <c r="N664" s="88"/>
      <c r="O664" s="8"/>
      <c r="P664" s="8"/>
      <c r="Q664" s="89"/>
      <c r="R664" s="89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</row>
    <row r="665" spans="1:74" ht="12.75" x14ac:dyDescent="0.2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8"/>
      <c r="N665" s="88"/>
      <c r="O665" s="8"/>
      <c r="P665" s="8"/>
      <c r="Q665" s="89"/>
      <c r="R665" s="89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</row>
    <row r="666" spans="1:74" ht="12.75" x14ac:dyDescent="0.2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8"/>
      <c r="N666" s="88"/>
      <c r="O666" s="8"/>
      <c r="P666" s="8"/>
      <c r="Q666" s="89"/>
      <c r="R666" s="89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</row>
    <row r="667" spans="1:74" ht="12.75" x14ac:dyDescent="0.2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8"/>
      <c r="N667" s="88"/>
      <c r="O667" s="8"/>
      <c r="P667" s="8"/>
      <c r="Q667" s="89"/>
      <c r="R667" s="89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</row>
    <row r="668" spans="1:74" ht="12.75" x14ac:dyDescent="0.2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8"/>
      <c r="N668" s="88"/>
      <c r="O668" s="8"/>
      <c r="P668" s="8"/>
      <c r="Q668" s="89"/>
      <c r="R668" s="89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</row>
    <row r="669" spans="1:74" ht="12.75" x14ac:dyDescent="0.2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8"/>
      <c r="N669" s="88"/>
      <c r="O669" s="8"/>
      <c r="P669" s="8"/>
      <c r="Q669" s="89"/>
      <c r="R669" s="89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</row>
    <row r="670" spans="1:74" ht="12.75" x14ac:dyDescent="0.2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8"/>
      <c r="N670" s="88"/>
      <c r="O670" s="8"/>
      <c r="P670" s="8"/>
      <c r="Q670" s="89"/>
      <c r="R670" s="89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</row>
    <row r="671" spans="1:74" ht="12.75" x14ac:dyDescent="0.2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8"/>
      <c r="N671" s="88"/>
      <c r="O671" s="8"/>
      <c r="P671" s="8"/>
      <c r="Q671" s="89"/>
      <c r="R671" s="89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</row>
    <row r="672" spans="1:74" ht="12.75" x14ac:dyDescent="0.2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8"/>
      <c r="N672" s="88"/>
      <c r="O672" s="8"/>
      <c r="P672" s="8"/>
      <c r="Q672" s="89"/>
      <c r="R672" s="89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</row>
    <row r="673" spans="1:74" ht="12.75" x14ac:dyDescent="0.2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8"/>
      <c r="N673" s="88"/>
      <c r="O673" s="8"/>
      <c r="P673" s="8"/>
      <c r="Q673" s="89"/>
      <c r="R673" s="89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</row>
    <row r="674" spans="1:74" ht="12.75" x14ac:dyDescent="0.2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8"/>
      <c r="N674" s="88"/>
      <c r="O674" s="8"/>
      <c r="P674" s="8"/>
      <c r="Q674" s="89"/>
      <c r="R674" s="89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</row>
    <row r="675" spans="1:74" ht="12.75" x14ac:dyDescent="0.2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8"/>
      <c r="N675" s="88"/>
      <c r="O675" s="8"/>
      <c r="P675" s="8"/>
      <c r="Q675" s="89"/>
      <c r="R675" s="89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</row>
    <row r="676" spans="1:74" ht="12.75" x14ac:dyDescent="0.2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8"/>
      <c r="N676" s="88"/>
      <c r="O676" s="8"/>
      <c r="P676" s="8"/>
      <c r="Q676" s="89"/>
      <c r="R676" s="89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</row>
    <row r="677" spans="1:74" ht="12.75" x14ac:dyDescent="0.2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8"/>
      <c r="N677" s="88"/>
      <c r="O677" s="8"/>
      <c r="P677" s="8"/>
      <c r="Q677" s="89"/>
      <c r="R677" s="89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</row>
    <row r="678" spans="1:74" ht="12.75" x14ac:dyDescent="0.2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8"/>
      <c r="N678" s="88"/>
      <c r="O678" s="8"/>
      <c r="P678" s="8"/>
      <c r="Q678" s="89"/>
      <c r="R678" s="89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</row>
    <row r="679" spans="1:74" ht="12.75" x14ac:dyDescent="0.2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8"/>
      <c r="N679" s="88"/>
      <c r="O679" s="8"/>
      <c r="P679" s="8"/>
      <c r="Q679" s="89"/>
      <c r="R679" s="89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</row>
    <row r="680" spans="1:74" ht="12.75" x14ac:dyDescent="0.2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8"/>
      <c r="N680" s="88"/>
      <c r="O680" s="8"/>
      <c r="P680" s="8"/>
      <c r="Q680" s="89"/>
      <c r="R680" s="89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</row>
    <row r="681" spans="1:74" ht="12.75" x14ac:dyDescent="0.2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8"/>
      <c r="N681" s="88"/>
      <c r="O681" s="8"/>
      <c r="P681" s="8"/>
      <c r="Q681" s="89"/>
      <c r="R681" s="89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</row>
    <row r="682" spans="1:74" ht="12.75" x14ac:dyDescent="0.2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8"/>
      <c r="N682" s="88"/>
      <c r="O682" s="8"/>
      <c r="P682" s="8"/>
      <c r="Q682" s="89"/>
      <c r="R682" s="89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</row>
    <row r="683" spans="1:74" ht="12.75" x14ac:dyDescent="0.2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8"/>
      <c r="N683" s="88"/>
      <c r="O683" s="8"/>
      <c r="P683" s="8"/>
      <c r="Q683" s="89"/>
      <c r="R683" s="89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</row>
    <row r="684" spans="1:74" ht="12.75" x14ac:dyDescent="0.2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8"/>
      <c r="N684" s="88"/>
      <c r="O684" s="8"/>
      <c r="P684" s="8"/>
      <c r="Q684" s="89"/>
      <c r="R684" s="89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</row>
    <row r="685" spans="1:74" ht="12.75" x14ac:dyDescent="0.2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8"/>
      <c r="N685" s="88"/>
      <c r="O685" s="8"/>
      <c r="P685" s="8"/>
      <c r="Q685" s="89"/>
      <c r="R685" s="89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</row>
    <row r="686" spans="1:74" ht="12.75" x14ac:dyDescent="0.2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8"/>
      <c r="N686" s="88"/>
      <c r="O686" s="8"/>
      <c r="P686" s="8"/>
      <c r="Q686" s="89"/>
      <c r="R686" s="89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</row>
    <row r="687" spans="1:74" ht="12.75" x14ac:dyDescent="0.2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8"/>
      <c r="N687" s="88"/>
      <c r="O687" s="8"/>
      <c r="P687" s="8"/>
      <c r="Q687" s="89"/>
      <c r="R687" s="89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</row>
    <row r="688" spans="1:74" ht="12.75" x14ac:dyDescent="0.2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8"/>
      <c r="N688" s="88"/>
      <c r="O688" s="8"/>
      <c r="P688" s="8"/>
      <c r="Q688" s="89"/>
      <c r="R688" s="89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</row>
    <row r="689" spans="1:74" ht="12.75" x14ac:dyDescent="0.2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8"/>
      <c r="N689" s="88"/>
      <c r="O689" s="8"/>
      <c r="P689" s="8"/>
      <c r="Q689" s="89"/>
      <c r="R689" s="89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</row>
    <row r="690" spans="1:74" ht="12.75" x14ac:dyDescent="0.2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8"/>
      <c r="N690" s="88"/>
      <c r="O690" s="8"/>
      <c r="P690" s="8"/>
      <c r="Q690" s="89"/>
      <c r="R690" s="89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</row>
    <row r="691" spans="1:74" ht="12.75" x14ac:dyDescent="0.2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8"/>
      <c r="N691" s="88"/>
      <c r="O691" s="8"/>
      <c r="P691" s="8"/>
      <c r="Q691" s="89"/>
      <c r="R691" s="89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</row>
    <row r="692" spans="1:74" ht="12.75" x14ac:dyDescent="0.2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8"/>
      <c r="N692" s="88"/>
      <c r="O692" s="8"/>
      <c r="P692" s="8"/>
      <c r="Q692" s="89"/>
      <c r="R692" s="89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</row>
    <row r="693" spans="1:74" ht="12.75" x14ac:dyDescent="0.2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8"/>
      <c r="N693" s="88"/>
      <c r="O693" s="8"/>
      <c r="P693" s="8"/>
      <c r="Q693" s="89"/>
      <c r="R693" s="89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</row>
    <row r="694" spans="1:74" ht="12.75" x14ac:dyDescent="0.2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8"/>
      <c r="N694" s="88"/>
      <c r="O694" s="8"/>
      <c r="P694" s="8"/>
      <c r="Q694" s="89"/>
      <c r="R694" s="89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</row>
    <row r="695" spans="1:74" ht="12.75" x14ac:dyDescent="0.2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8"/>
      <c r="N695" s="88"/>
      <c r="O695" s="8"/>
      <c r="P695" s="8"/>
      <c r="Q695" s="89"/>
      <c r="R695" s="89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</row>
    <row r="696" spans="1:74" ht="12.75" x14ac:dyDescent="0.2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8"/>
      <c r="N696" s="88"/>
      <c r="O696" s="8"/>
      <c r="P696" s="8"/>
      <c r="Q696" s="89"/>
      <c r="R696" s="89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</row>
    <row r="697" spans="1:74" ht="12.75" x14ac:dyDescent="0.2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8"/>
      <c r="N697" s="88"/>
      <c r="O697" s="8"/>
      <c r="P697" s="8"/>
      <c r="Q697" s="89"/>
      <c r="R697" s="89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</row>
    <row r="698" spans="1:74" ht="12.75" x14ac:dyDescent="0.2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8"/>
      <c r="N698" s="88"/>
      <c r="O698" s="8"/>
      <c r="P698" s="8"/>
      <c r="Q698" s="89"/>
      <c r="R698" s="89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</row>
    <row r="699" spans="1:74" ht="12.75" x14ac:dyDescent="0.2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8"/>
      <c r="N699" s="88"/>
      <c r="O699" s="8"/>
      <c r="P699" s="8"/>
      <c r="Q699" s="89"/>
      <c r="R699" s="89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</row>
    <row r="700" spans="1:74" ht="12.75" x14ac:dyDescent="0.2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8"/>
      <c r="N700" s="88"/>
      <c r="O700" s="8"/>
      <c r="P700" s="8"/>
      <c r="Q700" s="89"/>
      <c r="R700" s="89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</row>
    <row r="701" spans="1:74" ht="12.75" x14ac:dyDescent="0.2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8"/>
      <c r="N701" s="88"/>
      <c r="O701" s="8"/>
      <c r="P701" s="8"/>
      <c r="Q701" s="89"/>
      <c r="R701" s="89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</row>
    <row r="702" spans="1:74" ht="12.75" x14ac:dyDescent="0.2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8"/>
      <c r="N702" s="88"/>
      <c r="O702" s="8"/>
      <c r="P702" s="8"/>
      <c r="Q702" s="89"/>
      <c r="R702" s="89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</row>
    <row r="703" spans="1:74" ht="12.75" x14ac:dyDescent="0.2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8"/>
      <c r="N703" s="88"/>
      <c r="O703" s="8"/>
      <c r="P703" s="8"/>
      <c r="Q703" s="89"/>
      <c r="R703" s="89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</row>
    <row r="704" spans="1:74" ht="12.75" x14ac:dyDescent="0.2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8"/>
      <c r="N704" s="88"/>
      <c r="O704" s="8"/>
      <c r="P704" s="8"/>
      <c r="Q704" s="89"/>
      <c r="R704" s="89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</row>
    <row r="705" spans="1:74" ht="12.75" x14ac:dyDescent="0.2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8"/>
      <c r="N705" s="88"/>
      <c r="O705" s="8"/>
      <c r="P705" s="8"/>
      <c r="Q705" s="89"/>
      <c r="R705" s="89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</row>
    <row r="706" spans="1:74" ht="12.75" x14ac:dyDescent="0.2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8"/>
      <c r="N706" s="88"/>
      <c r="O706" s="8"/>
      <c r="P706" s="8"/>
      <c r="Q706" s="89"/>
      <c r="R706" s="89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</row>
    <row r="707" spans="1:74" ht="12.75" x14ac:dyDescent="0.2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8"/>
      <c r="N707" s="88"/>
      <c r="O707" s="8"/>
      <c r="P707" s="8"/>
      <c r="Q707" s="89"/>
      <c r="R707" s="89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</row>
    <row r="708" spans="1:74" ht="12.75" x14ac:dyDescent="0.2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8"/>
      <c r="N708" s="88"/>
      <c r="O708" s="8"/>
      <c r="P708" s="8"/>
      <c r="Q708" s="89"/>
      <c r="R708" s="89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</row>
    <row r="709" spans="1:74" ht="12.75" x14ac:dyDescent="0.2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8"/>
      <c r="N709" s="88"/>
      <c r="O709" s="8"/>
      <c r="P709" s="8"/>
      <c r="Q709" s="89"/>
      <c r="R709" s="89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</row>
    <row r="710" spans="1:74" ht="12.75" x14ac:dyDescent="0.2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8"/>
      <c r="N710" s="88"/>
      <c r="O710" s="8"/>
      <c r="P710" s="8"/>
      <c r="Q710" s="89"/>
      <c r="R710" s="89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</row>
    <row r="711" spans="1:74" ht="12.75" x14ac:dyDescent="0.2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8"/>
      <c r="N711" s="88"/>
      <c r="O711" s="8"/>
      <c r="P711" s="8"/>
      <c r="Q711" s="89"/>
      <c r="R711" s="89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</row>
    <row r="712" spans="1:74" ht="12.75" x14ac:dyDescent="0.2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8"/>
      <c r="N712" s="88"/>
      <c r="O712" s="8"/>
      <c r="P712" s="8"/>
      <c r="Q712" s="89"/>
      <c r="R712" s="89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</row>
    <row r="713" spans="1:74" ht="12.75" x14ac:dyDescent="0.2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8"/>
      <c r="N713" s="88"/>
      <c r="O713" s="8"/>
      <c r="P713" s="8"/>
      <c r="Q713" s="89"/>
      <c r="R713" s="89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</row>
    <row r="714" spans="1:74" ht="12.75" x14ac:dyDescent="0.2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8"/>
      <c r="N714" s="88"/>
      <c r="O714" s="8"/>
      <c r="P714" s="8"/>
      <c r="Q714" s="89"/>
      <c r="R714" s="89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</row>
    <row r="715" spans="1:74" ht="12.75" x14ac:dyDescent="0.2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8"/>
      <c r="N715" s="88"/>
      <c r="O715" s="8"/>
      <c r="P715" s="8"/>
      <c r="Q715" s="89"/>
      <c r="R715" s="89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</row>
    <row r="716" spans="1:74" ht="12.75" x14ac:dyDescent="0.2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8"/>
      <c r="N716" s="88"/>
      <c r="O716" s="8"/>
      <c r="P716" s="8"/>
      <c r="Q716" s="89"/>
      <c r="R716" s="89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</row>
    <row r="717" spans="1:74" ht="12.75" x14ac:dyDescent="0.2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8"/>
      <c r="N717" s="88"/>
      <c r="O717" s="8"/>
      <c r="P717" s="8"/>
      <c r="Q717" s="89"/>
      <c r="R717" s="89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</row>
    <row r="718" spans="1:74" ht="12.75" x14ac:dyDescent="0.2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8"/>
      <c r="N718" s="88"/>
      <c r="O718" s="8"/>
      <c r="P718" s="8"/>
      <c r="Q718" s="89"/>
      <c r="R718" s="89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</row>
    <row r="719" spans="1:74" ht="12.75" x14ac:dyDescent="0.2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8"/>
      <c r="N719" s="88"/>
      <c r="O719" s="8"/>
      <c r="P719" s="8"/>
      <c r="Q719" s="89"/>
      <c r="R719" s="89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</row>
    <row r="720" spans="1:74" ht="12.75" x14ac:dyDescent="0.2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8"/>
      <c r="N720" s="88"/>
      <c r="O720" s="8"/>
      <c r="P720" s="8"/>
      <c r="Q720" s="89"/>
      <c r="R720" s="89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</row>
    <row r="721" spans="1:74" ht="12.75" x14ac:dyDescent="0.2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8"/>
      <c r="N721" s="88"/>
      <c r="O721" s="8"/>
      <c r="P721" s="8"/>
      <c r="Q721" s="89"/>
      <c r="R721" s="89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</row>
    <row r="722" spans="1:74" ht="12.75" x14ac:dyDescent="0.2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8"/>
      <c r="N722" s="88"/>
      <c r="O722" s="8"/>
      <c r="P722" s="8"/>
      <c r="Q722" s="89"/>
      <c r="R722" s="89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</row>
    <row r="723" spans="1:74" ht="12.75" x14ac:dyDescent="0.2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8"/>
      <c r="N723" s="88"/>
      <c r="O723" s="8"/>
      <c r="P723" s="8"/>
      <c r="Q723" s="89"/>
      <c r="R723" s="89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</row>
    <row r="724" spans="1:74" ht="12.75" x14ac:dyDescent="0.2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8"/>
      <c r="N724" s="88"/>
      <c r="O724" s="8"/>
      <c r="P724" s="8"/>
      <c r="Q724" s="89"/>
      <c r="R724" s="89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</row>
    <row r="725" spans="1:74" ht="12.75" x14ac:dyDescent="0.2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8"/>
      <c r="N725" s="88"/>
      <c r="O725" s="8"/>
      <c r="P725" s="8"/>
      <c r="Q725" s="89"/>
      <c r="R725" s="89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</row>
    <row r="726" spans="1:74" ht="12.75" x14ac:dyDescent="0.2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8"/>
      <c r="N726" s="88"/>
      <c r="O726" s="8"/>
      <c r="P726" s="8"/>
      <c r="Q726" s="89"/>
      <c r="R726" s="89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</row>
    <row r="727" spans="1:74" ht="12.75" x14ac:dyDescent="0.2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8"/>
      <c r="N727" s="88"/>
      <c r="O727" s="8"/>
      <c r="P727" s="8"/>
      <c r="Q727" s="89"/>
      <c r="R727" s="89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</row>
    <row r="728" spans="1:74" ht="12.75" x14ac:dyDescent="0.2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8"/>
      <c r="N728" s="88"/>
      <c r="O728" s="8"/>
      <c r="P728" s="8"/>
      <c r="Q728" s="89"/>
      <c r="R728" s="89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</row>
    <row r="729" spans="1:74" ht="12.75" x14ac:dyDescent="0.2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8"/>
      <c r="N729" s="88"/>
      <c r="O729" s="8"/>
      <c r="P729" s="8"/>
      <c r="Q729" s="89"/>
      <c r="R729" s="89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</row>
    <row r="730" spans="1:74" ht="12.75" x14ac:dyDescent="0.2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8"/>
      <c r="N730" s="88"/>
      <c r="O730" s="8"/>
      <c r="P730" s="8"/>
      <c r="Q730" s="89"/>
      <c r="R730" s="89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</row>
    <row r="731" spans="1:74" ht="12.75" x14ac:dyDescent="0.2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8"/>
      <c r="N731" s="88"/>
      <c r="O731" s="8"/>
      <c r="P731" s="8"/>
      <c r="Q731" s="89"/>
      <c r="R731" s="89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</row>
    <row r="732" spans="1:74" ht="12.75" x14ac:dyDescent="0.2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8"/>
      <c r="N732" s="88"/>
      <c r="O732" s="8"/>
      <c r="P732" s="8"/>
      <c r="Q732" s="89"/>
      <c r="R732" s="89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</row>
    <row r="733" spans="1:74" ht="12.75" x14ac:dyDescent="0.2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8"/>
      <c r="N733" s="88"/>
      <c r="O733" s="8"/>
      <c r="P733" s="8"/>
      <c r="Q733" s="89"/>
      <c r="R733" s="89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</row>
    <row r="734" spans="1:74" ht="12.75" x14ac:dyDescent="0.2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8"/>
      <c r="N734" s="88"/>
      <c r="O734" s="8"/>
      <c r="P734" s="8"/>
      <c r="Q734" s="89"/>
      <c r="R734" s="89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</row>
    <row r="735" spans="1:74" ht="12.75" x14ac:dyDescent="0.2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8"/>
      <c r="N735" s="88"/>
      <c r="O735" s="8"/>
      <c r="P735" s="8"/>
      <c r="Q735" s="89"/>
      <c r="R735" s="89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</row>
    <row r="736" spans="1:74" ht="12.75" x14ac:dyDescent="0.2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8"/>
      <c r="N736" s="88"/>
      <c r="O736" s="8"/>
      <c r="P736" s="8"/>
      <c r="Q736" s="89"/>
      <c r="R736" s="89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</row>
    <row r="737" spans="1:74" ht="12.75" x14ac:dyDescent="0.2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8"/>
      <c r="N737" s="88"/>
      <c r="O737" s="8"/>
      <c r="P737" s="8"/>
      <c r="Q737" s="89"/>
      <c r="R737" s="89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</row>
    <row r="738" spans="1:74" ht="12.75" x14ac:dyDescent="0.2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8"/>
      <c r="N738" s="88"/>
      <c r="O738" s="8"/>
      <c r="P738" s="8"/>
      <c r="Q738" s="89"/>
      <c r="R738" s="89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</row>
    <row r="739" spans="1:74" ht="12.75" x14ac:dyDescent="0.2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8"/>
      <c r="N739" s="88"/>
      <c r="O739" s="8"/>
      <c r="P739" s="8"/>
      <c r="Q739" s="89"/>
      <c r="R739" s="89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</row>
    <row r="740" spans="1:74" ht="12.75" x14ac:dyDescent="0.2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8"/>
      <c r="N740" s="88"/>
      <c r="O740" s="8"/>
      <c r="P740" s="8"/>
      <c r="Q740" s="89"/>
      <c r="R740" s="89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</row>
    <row r="741" spans="1:74" ht="12.75" x14ac:dyDescent="0.2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8"/>
      <c r="N741" s="88"/>
      <c r="O741" s="8"/>
      <c r="P741" s="8"/>
      <c r="Q741" s="89"/>
      <c r="R741" s="89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</row>
    <row r="742" spans="1:74" ht="12.75" x14ac:dyDescent="0.2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8"/>
      <c r="N742" s="88"/>
      <c r="O742" s="8"/>
      <c r="P742" s="8"/>
      <c r="Q742" s="89"/>
      <c r="R742" s="89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</row>
    <row r="743" spans="1:74" ht="12.75" x14ac:dyDescent="0.2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8"/>
      <c r="N743" s="88"/>
      <c r="O743" s="8"/>
      <c r="P743" s="8"/>
      <c r="Q743" s="89"/>
      <c r="R743" s="89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</row>
    <row r="744" spans="1:74" ht="12.75" x14ac:dyDescent="0.2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8"/>
      <c r="N744" s="88"/>
      <c r="O744" s="8"/>
      <c r="P744" s="8"/>
      <c r="Q744" s="89"/>
      <c r="R744" s="89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</row>
    <row r="745" spans="1:74" ht="12.75" x14ac:dyDescent="0.2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8"/>
      <c r="N745" s="88"/>
      <c r="O745" s="8"/>
      <c r="P745" s="8"/>
      <c r="Q745" s="89"/>
      <c r="R745" s="89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</row>
    <row r="746" spans="1:74" ht="12.75" x14ac:dyDescent="0.2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8"/>
      <c r="N746" s="88"/>
      <c r="O746" s="8"/>
      <c r="P746" s="8"/>
      <c r="Q746" s="89"/>
      <c r="R746" s="89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</row>
    <row r="747" spans="1:74" ht="12.75" x14ac:dyDescent="0.2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8"/>
      <c r="N747" s="88"/>
      <c r="O747" s="8"/>
      <c r="P747" s="8"/>
      <c r="Q747" s="89"/>
      <c r="R747" s="89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</row>
    <row r="748" spans="1:74" ht="12.75" x14ac:dyDescent="0.2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8"/>
      <c r="N748" s="88"/>
      <c r="O748" s="8"/>
      <c r="P748" s="8"/>
      <c r="Q748" s="89"/>
      <c r="R748" s="89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</row>
    <row r="749" spans="1:74" ht="12.75" x14ac:dyDescent="0.2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8"/>
      <c r="N749" s="88"/>
      <c r="O749" s="8"/>
      <c r="P749" s="8"/>
      <c r="Q749" s="89"/>
      <c r="R749" s="89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</row>
    <row r="750" spans="1:74" ht="12.75" x14ac:dyDescent="0.2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8"/>
      <c r="N750" s="88"/>
      <c r="O750" s="8"/>
      <c r="P750" s="8"/>
      <c r="Q750" s="89"/>
      <c r="R750" s="89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</row>
    <row r="751" spans="1:74" ht="12.75" x14ac:dyDescent="0.2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8"/>
      <c r="N751" s="88"/>
      <c r="O751" s="8"/>
      <c r="P751" s="8"/>
      <c r="Q751" s="89"/>
      <c r="R751" s="89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</row>
    <row r="752" spans="1:74" ht="12.75" x14ac:dyDescent="0.2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8"/>
      <c r="N752" s="88"/>
      <c r="O752" s="8"/>
      <c r="P752" s="8"/>
      <c r="Q752" s="89"/>
      <c r="R752" s="89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</row>
    <row r="753" spans="1:74" ht="12.75" x14ac:dyDescent="0.2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8"/>
      <c r="N753" s="88"/>
      <c r="O753" s="8"/>
      <c r="P753" s="8"/>
      <c r="Q753" s="89"/>
      <c r="R753" s="89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</row>
    <row r="754" spans="1:74" ht="12.75" x14ac:dyDescent="0.2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8"/>
      <c r="N754" s="88"/>
      <c r="O754" s="8"/>
      <c r="P754" s="8"/>
      <c r="Q754" s="89"/>
      <c r="R754" s="89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</row>
    <row r="755" spans="1:74" ht="12.75" x14ac:dyDescent="0.2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8"/>
      <c r="N755" s="88"/>
      <c r="O755" s="8"/>
      <c r="P755" s="8"/>
      <c r="Q755" s="89"/>
      <c r="R755" s="89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</row>
    <row r="756" spans="1:74" ht="12.75" x14ac:dyDescent="0.2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8"/>
      <c r="N756" s="88"/>
      <c r="O756" s="8"/>
      <c r="P756" s="8"/>
      <c r="Q756" s="89"/>
      <c r="R756" s="89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</row>
    <row r="757" spans="1:74" ht="12.75" x14ac:dyDescent="0.2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8"/>
      <c r="N757" s="88"/>
      <c r="O757" s="8"/>
      <c r="P757" s="8"/>
      <c r="Q757" s="89"/>
      <c r="R757" s="89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</row>
    <row r="758" spans="1:74" ht="12.75" x14ac:dyDescent="0.2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8"/>
      <c r="N758" s="88"/>
      <c r="O758" s="8"/>
      <c r="P758" s="8"/>
      <c r="Q758" s="89"/>
      <c r="R758" s="89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</row>
    <row r="759" spans="1:74" ht="12.75" x14ac:dyDescent="0.2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8"/>
      <c r="N759" s="88"/>
      <c r="O759" s="8"/>
      <c r="P759" s="8"/>
      <c r="Q759" s="89"/>
      <c r="R759" s="89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</row>
    <row r="760" spans="1:74" ht="12.75" x14ac:dyDescent="0.2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8"/>
      <c r="N760" s="88"/>
      <c r="O760" s="8"/>
      <c r="P760" s="8"/>
      <c r="Q760" s="89"/>
      <c r="R760" s="89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</row>
    <row r="761" spans="1:74" ht="12.75" x14ac:dyDescent="0.2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8"/>
      <c r="N761" s="88"/>
      <c r="O761" s="8"/>
      <c r="P761" s="8"/>
      <c r="Q761" s="89"/>
      <c r="R761" s="89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</row>
    <row r="762" spans="1:74" ht="12.75" x14ac:dyDescent="0.2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8"/>
      <c r="N762" s="88"/>
      <c r="O762" s="8"/>
      <c r="P762" s="8"/>
      <c r="Q762" s="89"/>
      <c r="R762" s="89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</row>
    <row r="763" spans="1:74" ht="12.75" x14ac:dyDescent="0.2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8"/>
      <c r="N763" s="88"/>
      <c r="O763" s="8"/>
      <c r="P763" s="8"/>
      <c r="Q763" s="89"/>
      <c r="R763" s="89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</row>
    <row r="764" spans="1:74" ht="12.75" x14ac:dyDescent="0.2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8"/>
      <c r="N764" s="88"/>
      <c r="O764" s="8"/>
      <c r="P764" s="8"/>
      <c r="Q764" s="89"/>
      <c r="R764" s="89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</row>
    <row r="765" spans="1:74" ht="12.75" x14ac:dyDescent="0.2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8"/>
      <c r="N765" s="88"/>
      <c r="O765" s="8"/>
      <c r="P765" s="8"/>
      <c r="Q765" s="89"/>
      <c r="R765" s="89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</row>
    <row r="766" spans="1:74" ht="12.75" x14ac:dyDescent="0.2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8"/>
      <c r="N766" s="88"/>
      <c r="O766" s="8"/>
      <c r="P766" s="8"/>
      <c r="Q766" s="89"/>
      <c r="R766" s="89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</row>
    <row r="767" spans="1:74" ht="12.75" x14ac:dyDescent="0.2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8"/>
      <c r="N767" s="88"/>
      <c r="O767" s="8"/>
      <c r="P767" s="8"/>
      <c r="Q767" s="89"/>
      <c r="R767" s="89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</row>
    <row r="768" spans="1:74" ht="12.75" x14ac:dyDescent="0.2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8"/>
      <c r="N768" s="88"/>
      <c r="O768" s="8"/>
      <c r="P768" s="8"/>
      <c r="Q768" s="89"/>
      <c r="R768" s="89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</row>
    <row r="769" spans="1:74" ht="12.75" x14ac:dyDescent="0.2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8"/>
      <c r="N769" s="88"/>
      <c r="O769" s="8"/>
      <c r="P769" s="8"/>
      <c r="Q769" s="89"/>
      <c r="R769" s="89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</row>
    <row r="770" spans="1:74" ht="12.75" x14ac:dyDescent="0.2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8"/>
      <c r="N770" s="88"/>
      <c r="O770" s="8"/>
      <c r="P770" s="8"/>
      <c r="Q770" s="89"/>
      <c r="R770" s="89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</row>
    <row r="771" spans="1:74" ht="12.75" x14ac:dyDescent="0.2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8"/>
      <c r="N771" s="88"/>
      <c r="O771" s="8"/>
      <c r="P771" s="8"/>
      <c r="Q771" s="89"/>
      <c r="R771" s="89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</row>
    <row r="772" spans="1:74" ht="12.75" x14ac:dyDescent="0.2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8"/>
      <c r="N772" s="88"/>
      <c r="O772" s="8"/>
      <c r="P772" s="8"/>
      <c r="Q772" s="89"/>
      <c r="R772" s="89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</row>
    <row r="773" spans="1:74" ht="12.75" x14ac:dyDescent="0.2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8"/>
      <c r="N773" s="88"/>
      <c r="O773" s="8"/>
      <c r="P773" s="8"/>
      <c r="Q773" s="89"/>
      <c r="R773" s="89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</row>
    <row r="774" spans="1:74" ht="12.75" x14ac:dyDescent="0.2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8"/>
      <c r="N774" s="88"/>
      <c r="O774" s="8"/>
      <c r="P774" s="8"/>
      <c r="Q774" s="89"/>
      <c r="R774" s="89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</row>
    <row r="775" spans="1:74" ht="12.75" x14ac:dyDescent="0.2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8"/>
      <c r="N775" s="88"/>
      <c r="O775" s="8"/>
      <c r="P775" s="8"/>
      <c r="Q775" s="89"/>
      <c r="R775" s="89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</row>
    <row r="776" spans="1:74" ht="12.75" x14ac:dyDescent="0.2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8"/>
      <c r="N776" s="88"/>
      <c r="O776" s="8"/>
      <c r="P776" s="8"/>
      <c r="Q776" s="89"/>
      <c r="R776" s="89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</row>
    <row r="777" spans="1:74" ht="12.75" x14ac:dyDescent="0.2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8"/>
      <c r="N777" s="88"/>
      <c r="O777" s="8"/>
      <c r="P777" s="8"/>
      <c r="Q777" s="89"/>
      <c r="R777" s="89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</row>
    <row r="778" spans="1:74" ht="12.75" x14ac:dyDescent="0.2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8"/>
      <c r="N778" s="88"/>
      <c r="O778" s="8"/>
      <c r="P778" s="8"/>
      <c r="Q778" s="89"/>
      <c r="R778" s="89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</row>
    <row r="779" spans="1:74" ht="12.75" x14ac:dyDescent="0.2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8"/>
      <c r="N779" s="88"/>
      <c r="O779" s="8"/>
      <c r="P779" s="8"/>
      <c r="Q779" s="89"/>
      <c r="R779" s="89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</row>
    <row r="780" spans="1:74" ht="12.75" x14ac:dyDescent="0.2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8"/>
      <c r="N780" s="88"/>
      <c r="O780" s="8"/>
      <c r="P780" s="8"/>
      <c r="Q780" s="89"/>
      <c r="R780" s="89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</row>
    <row r="781" spans="1:74" ht="12.75" x14ac:dyDescent="0.2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8"/>
      <c r="N781" s="88"/>
      <c r="O781" s="8"/>
      <c r="P781" s="8"/>
      <c r="Q781" s="89"/>
      <c r="R781" s="89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</row>
    <row r="782" spans="1:74" ht="12.75" x14ac:dyDescent="0.2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8"/>
      <c r="N782" s="88"/>
      <c r="O782" s="8"/>
      <c r="P782" s="8"/>
      <c r="Q782" s="89"/>
      <c r="R782" s="89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</row>
    <row r="783" spans="1:74" ht="12.75" x14ac:dyDescent="0.2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8"/>
      <c r="N783" s="88"/>
      <c r="O783" s="8"/>
      <c r="P783" s="8"/>
      <c r="Q783" s="89"/>
      <c r="R783" s="89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</row>
    <row r="784" spans="1:74" ht="12.75" x14ac:dyDescent="0.2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8"/>
      <c r="N784" s="88"/>
      <c r="O784" s="8"/>
      <c r="P784" s="8"/>
      <c r="Q784" s="89"/>
      <c r="R784" s="89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</row>
    <row r="785" spans="1:74" ht="12.75" x14ac:dyDescent="0.2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8"/>
      <c r="N785" s="88"/>
      <c r="O785" s="8"/>
      <c r="P785" s="8"/>
      <c r="Q785" s="89"/>
      <c r="R785" s="89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</row>
    <row r="786" spans="1:74" ht="12.75" x14ac:dyDescent="0.2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8"/>
      <c r="N786" s="88"/>
      <c r="O786" s="8"/>
      <c r="P786" s="8"/>
      <c r="Q786" s="89"/>
      <c r="R786" s="89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</row>
    <row r="787" spans="1:74" ht="12.75" x14ac:dyDescent="0.2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8"/>
      <c r="N787" s="88"/>
      <c r="O787" s="8"/>
      <c r="P787" s="8"/>
      <c r="Q787" s="89"/>
      <c r="R787" s="89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</row>
    <row r="788" spans="1:74" ht="12.75" x14ac:dyDescent="0.2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8"/>
      <c r="N788" s="88"/>
      <c r="O788" s="8"/>
      <c r="P788" s="8"/>
      <c r="Q788" s="89"/>
      <c r="R788" s="89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</row>
    <row r="789" spans="1:74" ht="12.75" x14ac:dyDescent="0.2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8"/>
      <c r="N789" s="88"/>
      <c r="O789" s="8"/>
      <c r="P789" s="8"/>
      <c r="Q789" s="89"/>
      <c r="R789" s="89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</row>
    <row r="790" spans="1:74" ht="12.75" x14ac:dyDescent="0.2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8"/>
      <c r="N790" s="88"/>
      <c r="O790" s="8"/>
      <c r="P790" s="8"/>
      <c r="Q790" s="89"/>
      <c r="R790" s="89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</row>
    <row r="791" spans="1:74" ht="12.75" x14ac:dyDescent="0.2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8"/>
      <c r="N791" s="88"/>
      <c r="O791" s="8"/>
      <c r="P791" s="8"/>
      <c r="Q791" s="89"/>
      <c r="R791" s="89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</row>
    <row r="792" spans="1:74" ht="12.75" x14ac:dyDescent="0.2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8"/>
      <c r="N792" s="88"/>
      <c r="O792" s="8"/>
      <c r="P792" s="8"/>
      <c r="Q792" s="89"/>
      <c r="R792" s="89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</row>
    <row r="793" spans="1:74" ht="12.75" x14ac:dyDescent="0.2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8"/>
      <c r="N793" s="88"/>
      <c r="O793" s="8"/>
      <c r="P793" s="8"/>
      <c r="Q793" s="89"/>
      <c r="R793" s="89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</row>
    <row r="794" spans="1:74" ht="12.75" x14ac:dyDescent="0.2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8"/>
      <c r="N794" s="88"/>
      <c r="O794" s="8"/>
      <c r="P794" s="8"/>
      <c r="Q794" s="89"/>
      <c r="R794" s="89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</row>
    <row r="795" spans="1:74" ht="12.75" x14ac:dyDescent="0.2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8"/>
      <c r="N795" s="88"/>
      <c r="O795" s="8"/>
      <c r="P795" s="8"/>
      <c r="Q795" s="89"/>
      <c r="R795" s="89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</row>
    <row r="796" spans="1:74" ht="12.75" x14ac:dyDescent="0.2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8"/>
      <c r="N796" s="88"/>
      <c r="O796" s="8"/>
      <c r="P796" s="8"/>
      <c r="Q796" s="89"/>
      <c r="R796" s="89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</row>
    <row r="797" spans="1:74" ht="12.75" x14ac:dyDescent="0.2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8"/>
      <c r="N797" s="88"/>
      <c r="O797" s="8"/>
      <c r="P797" s="8"/>
      <c r="Q797" s="89"/>
      <c r="R797" s="89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</row>
    <row r="798" spans="1:74" ht="12.75" x14ac:dyDescent="0.2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8"/>
      <c r="N798" s="88"/>
      <c r="O798" s="8"/>
      <c r="P798" s="8"/>
      <c r="Q798" s="89"/>
      <c r="R798" s="89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</row>
    <row r="799" spans="1:74" ht="12.75" x14ac:dyDescent="0.2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8"/>
      <c r="N799" s="88"/>
      <c r="O799" s="8"/>
      <c r="P799" s="8"/>
      <c r="Q799" s="89"/>
      <c r="R799" s="89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</row>
    <row r="800" spans="1:74" ht="12.75" x14ac:dyDescent="0.2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8"/>
      <c r="N800" s="88"/>
      <c r="O800" s="8"/>
      <c r="P800" s="8"/>
      <c r="Q800" s="89"/>
      <c r="R800" s="89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</row>
    <row r="801" spans="1:74" ht="12.75" x14ac:dyDescent="0.2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8"/>
      <c r="N801" s="88"/>
      <c r="O801" s="8"/>
      <c r="P801" s="8"/>
      <c r="Q801" s="89"/>
      <c r="R801" s="89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</row>
    <row r="802" spans="1:74" ht="12.75" x14ac:dyDescent="0.2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8"/>
      <c r="N802" s="88"/>
      <c r="O802" s="8"/>
      <c r="P802" s="8"/>
      <c r="Q802" s="89"/>
      <c r="R802" s="89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</row>
    <row r="803" spans="1:74" ht="12.75" x14ac:dyDescent="0.2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8"/>
      <c r="N803" s="88"/>
      <c r="O803" s="8"/>
      <c r="P803" s="8"/>
      <c r="Q803" s="89"/>
      <c r="R803" s="89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</row>
    <row r="804" spans="1:74" ht="12.75" x14ac:dyDescent="0.2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8"/>
      <c r="N804" s="88"/>
      <c r="O804" s="8"/>
      <c r="P804" s="8"/>
      <c r="Q804" s="89"/>
      <c r="R804" s="89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</row>
    <row r="805" spans="1:74" ht="12.75" x14ac:dyDescent="0.2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8"/>
      <c r="N805" s="88"/>
      <c r="O805" s="8"/>
      <c r="P805" s="8"/>
      <c r="Q805" s="89"/>
      <c r="R805" s="89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</row>
    <row r="806" spans="1:74" ht="12.75" x14ac:dyDescent="0.2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8"/>
      <c r="N806" s="88"/>
      <c r="O806" s="8"/>
      <c r="P806" s="8"/>
      <c r="Q806" s="89"/>
      <c r="R806" s="89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</row>
    <row r="807" spans="1:74" ht="12.75" x14ac:dyDescent="0.2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8"/>
      <c r="N807" s="88"/>
      <c r="O807" s="8"/>
      <c r="P807" s="8"/>
      <c r="Q807" s="89"/>
      <c r="R807" s="89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</row>
    <row r="808" spans="1:74" ht="12.75" x14ac:dyDescent="0.2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8"/>
      <c r="N808" s="88"/>
      <c r="O808" s="8"/>
      <c r="P808" s="8"/>
      <c r="Q808" s="89"/>
      <c r="R808" s="89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</row>
    <row r="809" spans="1:74" ht="12.75" x14ac:dyDescent="0.2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8"/>
      <c r="N809" s="88"/>
      <c r="O809" s="8"/>
      <c r="P809" s="8"/>
      <c r="Q809" s="89"/>
      <c r="R809" s="89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</row>
    <row r="810" spans="1:74" ht="12.75" x14ac:dyDescent="0.2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8"/>
      <c r="N810" s="88"/>
      <c r="O810" s="8"/>
      <c r="P810" s="8"/>
      <c r="Q810" s="89"/>
      <c r="R810" s="89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</row>
    <row r="811" spans="1:74" ht="12.75" x14ac:dyDescent="0.2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8"/>
      <c r="N811" s="88"/>
      <c r="O811" s="8"/>
      <c r="P811" s="8"/>
      <c r="Q811" s="89"/>
      <c r="R811" s="89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</row>
    <row r="812" spans="1:74" ht="12.75" x14ac:dyDescent="0.2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8"/>
      <c r="N812" s="88"/>
      <c r="O812" s="8"/>
      <c r="P812" s="8"/>
      <c r="Q812" s="89"/>
      <c r="R812" s="89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</row>
    <row r="813" spans="1:74" ht="12.75" x14ac:dyDescent="0.2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8"/>
      <c r="N813" s="88"/>
      <c r="O813" s="8"/>
      <c r="P813" s="8"/>
      <c r="Q813" s="89"/>
      <c r="R813" s="89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</row>
    <row r="814" spans="1:74" ht="12.75" x14ac:dyDescent="0.2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8"/>
      <c r="N814" s="88"/>
      <c r="O814" s="8"/>
      <c r="P814" s="8"/>
      <c r="Q814" s="89"/>
      <c r="R814" s="89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</row>
    <row r="815" spans="1:74" ht="12.75" x14ac:dyDescent="0.2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8"/>
      <c r="N815" s="88"/>
      <c r="O815" s="8"/>
      <c r="P815" s="8"/>
      <c r="Q815" s="89"/>
      <c r="R815" s="89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</row>
    <row r="816" spans="1:74" ht="12.75" x14ac:dyDescent="0.2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8"/>
      <c r="N816" s="88"/>
      <c r="O816" s="8"/>
      <c r="P816" s="8"/>
      <c r="Q816" s="89"/>
      <c r="R816" s="89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</row>
    <row r="817" spans="1:74" ht="12.75" x14ac:dyDescent="0.2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8"/>
      <c r="N817" s="88"/>
      <c r="O817" s="8"/>
      <c r="P817" s="8"/>
      <c r="Q817" s="89"/>
      <c r="R817" s="89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</row>
    <row r="818" spans="1:74" ht="12.75" x14ac:dyDescent="0.2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8"/>
      <c r="N818" s="88"/>
      <c r="O818" s="8"/>
      <c r="P818" s="8"/>
      <c r="Q818" s="89"/>
      <c r="R818" s="89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</row>
    <row r="819" spans="1:74" ht="12.75" x14ac:dyDescent="0.2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8"/>
      <c r="N819" s="88"/>
      <c r="O819" s="8"/>
      <c r="P819" s="8"/>
      <c r="Q819" s="89"/>
      <c r="R819" s="89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</row>
    <row r="820" spans="1:74" ht="12.75" x14ac:dyDescent="0.2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8"/>
      <c r="N820" s="88"/>
      <c r="O820" s="8"/>
      <c r="P820" s="8"/>
      <c r="Q820" s="89"/>
      <c r="R820" s="89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</row>
    <row r="821" spans="1:74" ht="12.75" x14ac:dyDescent="0.2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8"/>
      <c r="N821" s="88"/>
      <c r="O821" s="8"/>
      <c r="P821" s="8"/>
      <c r="Q821" s="89"/>
      <c r="R821" s="89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</row>
    <row r="822" spans="1:74" ht="12.75" x14ac:dyDescent="0.2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8"/>
      <c r="N822" s="88"/>
      <c r="O822" s="8"/>
      <c r="P822" s="8"/>
      <c r="Q822" s="89"/>
      <c r="R822" s="89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</row>
    <row r="823" spans="1:74" ht="12.75" x14ac:dyDescent="0.2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8"/>
      <c r="N823" s="88"/>
      <c r="O823" s="8"/>
      <c r="P823" s="8"/>
      <c r="Q823" s="89"/>
      <c r="R823" s="89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</row>
    <row r="824" spans="1:74" ht="12.75" x14ac:dyDescent="0.2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8"/>
      <c r="N824" s="88"/>
      <c r="O824" s="8"/>
      <c r="P824" s="8"/>
      <c r="Q824" s="89"/>
      <c r="R824" s="89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</row>
    <row r="825" spans="1:74" ht="12.75" x14ac:dyDescent="0.2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8"/>
      <c r="N825" s="88"/>
      <c r="O825" s="8"/>
      <c r="P825" s="8"/>
      <c r="Q825" s="89"/>
      <c r="R825" s="89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</row>
    <row r="826" spans="1:74" ht="12.75" x14ac:dyDescent="0.2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8"/>
      <c r="N826" s="88"/>
      <c r="O826" s="8"/>
      <c r="P826" s="8"/>
      <c r="Q826" s="89"/>
      <c r="R826" s="89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</row>
    <row r="827" spans="1:74" ht="12.75" x14ac:dyDescent="0.2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8"/>
      <c r="N827" s="88"/>
      <c r="O827" s="8"/>
      <c r="P827" s="8"/>
      <c r="Q827" s="89"/>
      <c r="R827" s="89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</row>
    <row r="828" spans="1:74" ht="12.75" x14ac:dyDescent="0.2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8"/>
      <c r="N828" s="88"/>
      <c r="O828" s="8"/>
      <c r="P828" s="8"/>
      <c r="Q828" s="89"/>
      <c r="R828" s="89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</row>
    <row r="829" spans="1:74" ht="12.75" x14ac:dyDescent="0.2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8"/>
      <c r="N829" s="88"/>
      <c r="O829" s="8"/>
      <c r="P829" s="8"/>
      <c r="Q829" s="89"/>
      <c r="R829" s="89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</row>
    <row r="830" spans="1:74" ht="12.75" x14ac:dyDescent="0.2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8"/>
      <c r="N830" s="88"/>
      <c r="O830" s="8"/>
      <c r="P830" s="8"/>
      <c r="Q830" s="89"/>
      <c r="R830" s="89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</row>
    <row r="831" spans="1:74" ht="12.75" x14ac:dyDescent="0.2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8"/>
      <c r="N831" s="88"/>
      <c r="O831" s="8"/>
      <c r="P831" s="8"/>
      <c r="Q831" s="89"/>
      <c r="R831" s="89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</row>
    <row r="832" spans="1:74" ht="12.75" x14ac:dyDescent="0.2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8"/>
      <c r="N832" s="88"/>
      <c r="O832" s="8"/>
      <c r="P832" s="8"/>
      <c r="Q832" s="89"/>
      <c r="R832" s="89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</row>
    <row r="833" spans="1:74" ht="12.75" x14ac:dyDescent="0.2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8"/>
      <c r="N833" s="88"/>
      <c r="O833" s="8"/>
      <c r="P833" s="8"/>
      <c r="Q833" s="89"/>
      <c r="R833" s="89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</row>
    <row r="834" spans="1:74" ht="12.75" x14ac:dyDescent="0.2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8"/>
      <c r="N834" s="88"/>
      <c r="O834" s="8"/>
      <c r="P834" s="8"/>
      <c r="Q834" s="89"/>
      <c r="R834" s="89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</row>
    <row r="835" spans="1:74" ht="12.75" x14ac:dyDescent="0.2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8"/>
      <c r="N835" s="88"/>
      <c r="O835" s="8"/>
      <c r="P835" s="8"/>
      <c r="Q835" s="89"/>
      <c r="R835" s="89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</row>
    <row r="836" spans="1:74" ht="12.75" x14ac:dyDescent="0.2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8"/>
      <c r="N836" s="88"/>
      <c r="O836" s="8"/>
      <c r="P836" s="8"/>
      <c r="Q836" s="89"/>
      <c r="R836" s="89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</row>
    <row r="837" spans="1:74" ht="12.75" x14ac:dyDescent="0.2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8"/>
      <c r="N837" s="88"/>
      <c r="O837" s="8"/>
      <c r="P837" s="8"/>
      <c r="Q837" s="89"/>
      <c r="R837" s="89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</row>
    <row r="838" spans="1:74" ht="12.75" x14ac:dyDescent="0.2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8"/>
      <c r="N838" s="88"/>
      <c r="O838" s="8"/>
      <c r="P838" s="8"/>
      <c r="Q838" s="89"/>
      <c r="R838" s="89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</row>
    <row r="839" spans="1:74" ht="12.75" x14ac:dyDescent="0.2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8"/>
      <c r="N839" s="88"/>
      <c r="O839" s="8"/>
      <c r="P839" s="8"/>
      <c r="Q839" s="89"/>
      <c r="R839" s="89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</row>
    <row r="840" spans="1:74" ht="12.75" x14ac:dyDescent="0.2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8"/>
      <c r="N840" s="88"/>
      <c r="O840" s="8"/>
      <c r="P840" s="8"/>
      <c r="Q840" s="89"/>
      <c r="R840" s="89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</row>
    <row r="841" spans="1:74" ht="12.75" x14ac:dyDescent="0.2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8"/>
      <c r="N841" s="88"/>
      <c r="O841" s="8"/>
      <c r="P841" s="8"/>
      <c r="Q841" s="89"/>
      <c r="R841" s="89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</row>
    <row r="842" spans="1:74" ht="12.75" x14ac:dyDescent="0.2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8"/>
      <c r="N842" s="88"/>
      <c r="O842" s="8"/>
      <c r="P842" s="8"/>
      <c r="Q842" s="89"/>
      <c r="R842" s="89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</row>
    <row r="843" spans="1:74" ht="12.75" x14ac:dyDescent="0.2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8"/>
      <c r="N843" s="88"/>
      <c r="O843" s="8"/>
      <c r="P843" s="8"/>
      <c r="Q843" s="89"/>
      <c r="R843" s="89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</row>
    <row r="844" spans="1:74" ht="12.75" x14ac:dyDescent="0.2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8"/>
      <c r="N844" s="88"/>
      <c r="O844" s="8"/>
      <c r="P844" s="8"/>
      <c r="Q844" s="89"/>
      <c r="R844" s="89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</row>
    <row r="845" spans="1:74" ht="12.75" x14ac:dyDescent="0.2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8"/>
      <c r="N845" s="88"/>
      <c r="O845" s="8"/>
      <c r="P845" s="8"/>
      <c r="Q845" s="89"/>
      <c r="R845" s="89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</row>
    <row r="846" spans="1:74" ht="12.75" x14ac:dyDescent="0.2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8"/>
      <c r="N846" s="88"/>
      <c r="O846" s="8"/>
      <c r="P846" s="8"/>
      <c r="Q846" s="89"/>
      <c r="R846" s="89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</row>
    <row r="847" spans="1:74" ht="12.75" x14ac:dyDescent="0.2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8"/>
      <c r="N847" s="88"/>
      <c r="O847" s="8"/>
      <c r="P847" s="8"/>
      <c r="Q847" s="89"/>
      <c r="R847" s="89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</row>
    <row r="848" spans="1:74" ht="12.75" x14ac:dyDescent="0.2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8"/>
      <c r="N848" s="88"/>
      <c r="O848" s="8"/>
      <c r="P848" s="8"/>
      <c r="Q848" s="89"/>
      <c r="R848" s="89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</row>
    <row r="849" spans="1:74" ht="12.75" x14ac:dyDescent="0.2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8"/>
      <c r="N849" s="88"/>
      <c r="O849" s="8"/>
      <c r="P849" s="8"/>
      <c r="Q849" s="89"/>
      <c r="R849" s="89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</row>
    <row r="850" spans="1:74" ht="12.75" x14ac:dyDescent="0.2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8"/>
      <c r="N850" s="88"/>
      <c r="O850" s="8"/>
      <c r="P850" s="8"/>
      <c r="Q850" s="89"/>
      <c r="R850" s="89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</row>
    <row r="851" spans="1:74" ht="12.75" x14ac:dyDescent="0.2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8"/>
      <c r="N851" s="88"/>
      <c r="O851" s="8"/>
      <c r="P851" s="8"/>
      <c r="Q851" s="89"/>
      <c r="R851" s="89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</row>
    <row r="852" spans="1:74" ht="12.75" x14ac:dyDescent="0.2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8"/>
      <c r="N852" s="88"/>
      <c r="O852" s="8"/>
      <c r="P852" s="8"/>
      <c r="Q852" s="89"/>
      <c r="R852" s="89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</row>
    <row r="853" spans="1:74" ht="12.75" x14ac:dyDescent="0.2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8"/>
      <c r="N853" s="88"/>
      <c r="O853" s="8"/>
      <c r="P853" s="8"/>
      <c r="Q853" s="89"/>
      <c r="R853" s="89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</row>
    <row r="854" spans="1:74" ht="12.75" x14ac:dyDescent="0.2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8"/>
      <c r="N854" s="88"/>
      <c r="O854" s="8"/>
      <c r="P854" s="8"/>
      <c r="Q854" s="89"/>
      <c r="R854" s="89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</row>
    <row r="855" spans="1:74" ht="12.75" x14ac:dyDescent="0.2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8"/>
      <c r="N855" s="88"/>
      <c r="O855" s="8"/>
      <c r="P855" s="8"/>
      <c r="Q855" s="89"/>
      <c r="R855" s="89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</row>
    <row r="856" spans="1:74" ht="12.75" x14ac:dyDescent="0.2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8"/>
      <c r="N856" s="88"/>
      <c r="O856" s="8"/>
      <c r="P856" s="8"/>
      <c r="Q856" s="89"/>
      <c r="R856" s="89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</row>
    <row r="857" spans="1:74" ht="12.75" x14ac:dyDescent="0.2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8"/>
      <c r="N857" s="88"/>
      <c r="O857" s="8"/>
      <c r="P857" s="8"/>
      <c r="Q857" s="89"/>
      <c r="R857" s="89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</row>
    <row r="858" spans="1:74" ht="12.75" x14ac:dyDescent="0.2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8"/>
      <c r="N858" s="88"/>
      <c r="O858" s="8"/>
      <c r="P858" s="8"/>
      <c r="Q858" s="89"/>
      <c r="R858" s="89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</row>
    <row r="859" spans="1:74" ht="12.75" x14ac:dyDescent="0.2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8"/>
      <c r="N859" s="88"/>
      <c r="O859" s="8"/>
      <c r="P859" s="8"/>
      <c r="Q859" s="89"/>
      <c r="R859" s="89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</row>
    <row r="860" spans="1:74" ht="12.75" x14ac:dyDescent="0.2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8"/>
      <c r="N860" s="88"/>
      <c r="O860" s="8"/>
      <c r="P860" s="8"/>
      <c r="Q860" s="89"/>
      <c r="R860" s="89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</row>
    <row r="861" spans="1:74" ht="12.75" x14ac:dyDescent="0.2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8"/>
      <c r="N861" s="88"/>
      <c r="O861" s="8"/>
      <c r="P861" s="8"/>
      <c r="Q861" s="89"/>
      <c r="R861" s="89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</row>
    <row r="862" spans="1:74" ht="12.75" x14ac:dyDescent="0.2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8"/>
      <c r="N862" s="88"/>
      <c r="O862" s="8"/>
      <c r="P862" s="8"/>
      <c r="Q862" s="89"/>
      <c r="R862" s="89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</row>
    <row r="863" spans="1:74" ht="12.75" x14ac:dyDescent="0.2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8"/>
      <c r="N863" s="88"/>
      <c r="O863" s="8"/>
      <c r="P863" s="8"/>
      <c r="Q863" s="89"/>
      <c r="R863" s="89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</row>
    <row r="864" spans="1:74" ht="12.75" x14ac:dyDescent="0.2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8"/>
      <c r="N864" s="88"/>
      <c r="O864" s="8"/>
      <c r="P864" s="8"/>
      <c r="Q864" s="89"/>
      <c r="R864" s="89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</row>
    <row r="865" spans="1:74" ht="12.75" x14ac:dyDescent="0.2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8"/>
      <c r="N865" s="88"/>
      <c r="O865" s="8"/>
      <c r="P865" s="8"/>
      <c r="Q865" s="89"/>
      <c r="R865" s="89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</row>
    <row r="866" spans="1:74" ht="12.75" x14ac:dyDescent="0.2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8"/>
      <c r="N866" s="88"/>
      <c r="O866" s="8"/>
      <c r="P866" s="8"/>
      <c r="Q866" s="89"/>
      <c r="R866" s="89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</row>
    <row r="867" spans="1:74" ht="12.75" x14ac:dyDescent="0.2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8"/>
      <c r="N867" s="88"/>
      <c r="O867" s="8"/>
      <c r="P867" s="8"/>
      <c r="Q867" s="89"/>
      <c r="R867" s="89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</row>
    <row r="868" spans="1:74" ht="12.75" x14ac:dyDescent="0.2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8"/>
      <c r="N868" s="88"/>
      <c r="O868" s="8"/>
      <c r="P868" s="8"/>
      <c r="Q868" s="89"/>
      <c r="R868" s="89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</row>
    <row r="869" spans="1:74" ht="12.75" x14ac:dyDescent="0.2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8"/>
      <c r="N869" s="88"/>
      <c r="O869" s="8"/>
      <c r="P869" s="8"/>
      <c r="Q869" s="89"/>
      <c r="R869" s="89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</row>
    <row r="870" spans="1:74" ht="12.75" x14ac:dyDescent="0.2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8"/>
      <c r="N870" s="88"/>
      <c r="O870" s="8"/>
      <c r="P870" s="8"/>
      <c r="Q870" s="89"/>
      <c r="R870" s="89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</row>
    <row r="871" spans="1:74" ht="12.75" x14ac:dyDescent="0.2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8"/>
      <c r="N871" s="88"/>
      <c r="O871" s="8"/>
      <c r="P871" s="8"/>
      <c r="Q871" s="89"/>
      <c r="R871" s="89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</row>
    <row r="872" spans="1:74" ht="12.75" x14ac:dyDescent="0.2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8"/>
      <c r="N872" s="88"/>
      <c r="O872" s="8"/>
      <c r="P872" s="8"/>
      <c r="Q872" s="89"/>
      <c r="R872" s="89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</row>
    <row r="873" spans="1:74" ht="12.75" x14ac:dyDescent="0.2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8"/>
      <c r="N873" s="88"/>
      <c r="O873" s="8"/>
      <c r="P873" s="8"/>
      <c r="Q873" s="89"/>
      <c r="R873" s="89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</row>
    <row r="874" spans="1:74" ht="12.75" x14ac:dyDescent="0.2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8"/>
      <c r="N874" s="88"/>
      <c r="O874" s="8"/>
      <c r="P874" s="8"/>
      <c r="Q874" s="89"/>
      <c r="R874" s="89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</row>
    <row r="875" spans="1:74" ht="12.75" x14ac:dyDescent="0.2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8"/>
      <c r="N875" s="88"/>
      <c r="O875" s="8"/>
      <c r="P875" s="8"/>
      <c r="Q875" s="89"/>
      <c r="R875" s="89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</row>
    <row r="876" spans="1:74" ht="12.75" x14ac:dyDescent="0.2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8"/>
      <c r="N876" s="88"/>
      <c r="O876" s="8"/>
      <c r="P876" s="8"/>
      <c r="Q876" s="89"/>
      <c r="R876" s="89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</row>
    <row r="877" spans="1:74" ht="12.75" x14ac:dyDescent="0.2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8"/>
      <c r="N877" s="88"/>
      <c r="O877" s="8"/>
      <c r="P877" s="8"/>
      <c r="Q877" s="89"/>
      <c r="R877" s="89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</row>
    <row r="878" spans="1:74" ht="12.75" x14ac:dyDescent="0.2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8"/>
      <c r="N878" s="88"/>
      <c r="O878" s="8"/>
      <c r="P878" s="8"/>
      <c r="Q878" s="89"/>
      <c r="R878" s="89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</row>
    <row r="879" spans="1:74" ht="12.75" x14ac:dyDescent="0.2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8"/>
      <c r="N879" s="88"/>
      <c r="O879" s="8"/>
      <c r="P879" s="8"/>
      <c r="Q879" s="89"/>
      <c r="R879" s="89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</row>
    <row r="880" spans="1:74" ht="12.75" x14ac:dyDescent="0.2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8"/>
      <c r="N880" s="88"/>
      <c r="O880" s="8"/>
      <c r="P880" s="8"/>
      <c r="Q880" s="89"/>
      <c r="R880" s="89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</row>
    <row r="881" spans="1:74" ht="12.75" x14ac:dyDescent="0.2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8"/>
      <c r="N881" s="88"/>
      <c r="O881" s="8"/>
      <c r="P881" s="8"/>
      <c r="Q881" s="89"/>
      <c r="R881" s="89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</row>
    <row r="882" spans="1:74" ht="12.75" x14ac:dyDescent="0.2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8"/>
      <c r="N882" s="88"/>
      <c r="O882" s="8"/>
      <c r="P882" s="8"/>
      <c r="Q882" s="89"/>
      <c r="R882" s="89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</row>
    <row r="883" spans="1:74" ht="12.75" x14ac:dyDescent="0.2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8"/>
      <c r="N883" s="88"/>
      <c r="O883" s="8"/>
      <c r="P883" s="8"/>
      <c r="Q883" s="89"/>
      <c r="R883" s="89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</row>
    <row r="884" spans="1:74" ht="12.75" x14ac:dyDescent="0.2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8"/>
      <c r="N884" s="88"/>
      <c r="O884" s="8"/>
      <c r="P884" s="8"/>
      <c r="Q884" s="89"/>
      <c r="R884" s="89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</row>
    <row r="885" spans="1:74" ht="12.75" x14ac:dyDescent="0.2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8"/>
      <c r="N885" s="88"/>
      <c r="O885" s="8"/>
      <c r="P885" s="8"/>
      <c r="Q885" s="89"/>
      <c r="R885" s="89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</row>
    <row r="886" spans="1:74" ht="12.75" x14ac:dyDescent="0.2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8"/>
      <c r="N886" s="88"/>
      <c r="O886" s="8"/>
      <c r="P886" s="8"/>
      <c r="Q886" s="89"/>
      <c r="R886" s="89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</row>
    <row r="887" spans="1:74" ht="12.75" x14ac:dyDescent="0.2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8"/>
      <c r="N887" s="88"/>
      <c r="O887" s="8"/>
      <c r="P887" s="8"/>
      <c r="Q887" s="89"/>
      <c r="R887" s="89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</row>
    <row r="888" spans="1:74" ht="12.75" x14ac:dyDescent="0.2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8"/>
      <c r="N888" s="88"/>
      <c r="O888" s="8"/>
      <c r="P888" s="8"/>
      <c r="Q888" s="89"/>
      <c r="R888" s="89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</row>
    <row r="889" spans="1:74" ht="12.75" x14ac:dyDescent="0.2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8"/>
      <c r="N889" s="88"/>
      <c r="O889" s="8"/>
      <c r="P889" s="8"/>
      <c r="Q889" s="89"/>
      <c r="R889" s="89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</row>
    <row r="890" spans="1:74" ht="12.75" x14ac:dyDescent="0.2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8"/>
      <c r="N890" s="88"/>
      <c r="O890" s="8"/>
      <c r="P890" s="8"/>
      <c r="Q890" s="89"/>
      <c r="R890" s="89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</row>
    <row r="891" spans="1:74" ht="12.75" x14ac:dyDescent="0.2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8"/>
      <c r="N891" s="88"/>
      <c r="O891" s="8"/>
      <c r="P891" s="8"/>
      <c r="Q891" s="89"/>
      <c r="R891" s="89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</row>
    <row r="892" spans="1:74" ht="12.75" x14ac:dyDescent="0.2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8"/>
      <c r="N892" s="88"/>
      <c r="O892" s="8"/>
      <c r="P892" s="8"/>
      <c r="Q892" s="89"/>
      <c r="R892" s="89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</row>
    <row r="893" spans="1:74" ht="12.75" x14ac:dyDescent="0.2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8"/>
      <c r="N893" s="88"/>
      <c r="O893" s="8"/>
      <c r="P893" s="8"/>
      <c r="Q893" s="89"/>
      <c r="R893" s="89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</row>
    <row r="894" spans="1:74" ht="12.75" x14ac:dyDescent="0.2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8"/>
      <c r="N894" s="88"/>
      <c r="O894" s="8"/>
      <c r="P894" s="8"/>
      <c r="Q894" s="89"/>
      <c r="R894" s="89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</row>
    <row r="895" spans="1:74" ht="12.75" x14ac:dyDescent="0.2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8"/>
      <c r="N895" s="88"/>
      <c r="O895" s="8"/>
      <c r="P895" s="8"/>
      <c r="Q895" s="89"/>
      <c r="R895" s="89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</row>
    <row r="896" spans="1:74" ht="12.75" x14ac:dyDescent="0.2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8"/>
      <c r="N896" s="88"/>
      <c r="O896" s="8"/>
      <c r="P896" s="8"/>
      <c r="Q896" s="89"/>
      <c r="R896" s="89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</row>
    <row r="897" spans="1:74" ht="12.75" x14ac:dyDescent="0.2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8"/>
      <c r="N897" s="88"/>
      <c r="O897" s="8"/>
      <c r="P897" s="8"/>
      <c r="Q897" s="89"/>
      <c r="R897" s="89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</row>
    <row r="898" spans="1:74" ht="12.75" x14ac:dyDescent="0.2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8"/>
      <c r="N898" s="88"/>
      <c r="O898" s="8"/>
      <c r="P898" s="8"/>
      <c r="Q898" s="89"/>
      <c r="R898" s="89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</row>
    <row r="899" spans="1:74" ht="12.75" x14ac:dyDescent="0.2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8"/>
      <c r="N899" s="88"/>
      <c r="O899" s="8"/>
      <c r="P899" s="8"/>
      <c r="Q899" s="89"/>
      <c r="R899" s="89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</row>
    <row r="900" spans="1:74" ht="12.75" x14ac:dyDescent="0.2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8"/>
      <c r="N900" s="88"/>
      <c r="O900" s="8"/>
      <c r="P900" s="8"/>
      <c r="Q900" s="89"/>
      <c r="R900" s="89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</row>
    <row r="901" spans="1:74" ht="12.75" x14ac:dyDescent="0.2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8"/>
      <c r="N901" s="88"/>
      <c r="O901" s="8"/>
      <c r="P901" s="8"/>
      <c r="Q901" s="89"/>
      <c r="R901" s="89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</row>
    <row r="902" spans="1:74" ht="12.75" x14ac:dyDescent="0.2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8"/>
      <c r="N902" s="88"/>
      <c r="O902" s="8"/>
      <c r="P902" s="8"/>
      <c r="Q902" s="89"/>
      <c r="R902" s="89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</row>
    <row r="903" spans="1:74" ht="12.75" x14ac:dyDescent="0.2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8"/>
      <c r="N903" s="88"/>
      <c r="O903" s="8"/>
      <c r="P903" s="8"/>
      <c r="Q903" s="89"/>
      <c r="R903" s="89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</row>
    <row r="904" spans="1:74" ht="12.75" x14ac:dyDescent="0.2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8"/>
      <c r="N904" s="88"/>
      <c r="O904" s="8"/>
      <c r="P904" s="8"/>
      <c r="Q904" s="89"/>
      <c r="R904" s="89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</row>
    <row r="905" spans="1:74" ht="12.75" x14ac:dyDescent="0.2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8"/>
      <c r="N905" s="88"/>
      <c r="O905" s="8"/>
      <c r="P905" s="8"/>
      <c r="Q905" s="89"/>
      <c r="R905" s="89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</row>
    <row r="906" spans="1:74" ht="12.75" x14ac:dyDescent="0.2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8"/>
      <c r="N906" s="88"/>
      <c r="O906" s="8"/>
      <c r="P906" s="8"/>
      <c r="Q906" s="89"/>
      <c r="R906" s="89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</row>
    <row r="907" spans="1:74" ht="12.75" x14ac:dyDescent="0.2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8"/>
      <c r="N907" s="88"/>
      <c r="O907" s="8"/>
      <c r="P907" s="8"/>
      <c r="Q907" s="89"/>
      <c r="R907" s="89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</row>
    <row r="908" spans="1:74" ht="12.75" x14ac:dyDescent="0.2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8"/>
      <c r="N908" s="88"/>
      <c r="O908" s="8"/>
      <c r="P908" s="8"/>
      <c r="Q908" s="89"/>
      <c r="R908" s="89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</row>
    <row r="909" spans="1:74" ht="12.75" x14ac:dyDescent="0.2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8"/>
      <c r="N909" s="88"/>
      <c r="O909" s="8"/>
      <c r="P909" s="8"/>
      <c r="Q909" s="89"/>
      <c r="R909" s="89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</row>
    <row r="910" spans="1:74" ht="12.75" x14ac:dyDescent="0.2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8"/>
      <c r="N910" s="88"/>
      <c r="O910" s="8"/>
      <c r="P910" s="8"/>
      <c r="Q910" s="89"/>
      <c r="R910" s="89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</row>
    <row r="911" spans="1:74" ht="12.75" x14ac:dyDescent="0.2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8"/>
      <c r="N911" s="88"/>
      <c r="O911" s="8"/>
      <c r="P911" s="8"/>
      <c r="Q911" s="89"/>
      <c r="R911" s="89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</row>
    <row r="912" spans="1:74" ht="12.75" x14ac:dyDescent="0.2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8"/>
      <c r="N912" s="88"/>
      <c r="O912" s="8"/>
      <c r="P912" s="8"/>
      <c r="Q912" s="89"/>
      <c r="R912" s="89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</row>
    <row r="913" spans="1:74" ht="12.75" x14ac:dyDescent="0.2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8"/>
      <c r="N913" s="88"/>
      <c r="O913" s="8"/>
      <c r="P913" s="8"/>
      <c r="Q913" s="89"/>
      <c r="R913" s="89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</row>
    <row r="914" spans="1:74" ht="12.75" x14ac:dyDescent="0.2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8"/>
      <c r="N914" s="88"/>
      <c r="O914" s="8"/>
      <c r="P914" s="8"/>
      <c r="Q914" s="89"/>
      <c r="R914" s="89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</row>
    <row r="915" spans="1:74" ht="12.75" x14ac:dyDescent="0.2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8"/>
      <c r="N915" s="88"/>
      <c r="O915" s="8"/>
      <c r="P915" s="8"/>
      <c r="Q915" s="89"/>
      <c r="R915" s="89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</row>
    <row r="916" spans="1:74" ht="12.75" x14ac:dyDescent="0.2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8"/>
      <c r="N916" s="88"/>
      <c r="O916" s="8"/>
      <c r="P916" s="8"/>
      <c r="Q916" s="89"/>
      <c r="R916" s="89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</row>
    <row r="917" spans="1:74" ht="12.75" x14ac:dyDescent="0.2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8"/>
      <c r="N917" s="88"/>
      <c r="O917" s="8"/>
      <c r="P917" s="8"/>
      <c r="Q917" s="89"/>
      <c r="R917" s="89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</row>
    <row r="918" spans="1:74" ht="12.75" x14ac:dyDescent="0.2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8"/>
      <c r="N918" s="88"/>
      <c r="O918" s="8"/>
      <c r="P918" s="8"/>
      <c r="Q918" s="89"/>
      <c r="R918" s="89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</row>
    <row r="919" spans="1:74" ht="12.75" x14ac:dyDescent="0.2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8"/>
      <c r="N919" s="88"/>
      <c r="O919" s="8"/>
      <c r="P919" s="8"/>
      <c r="Q919" s="89"/>
      <c r="R919" s="89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</row>
    <row r="920" spans="1:74" ht="12.75" x14ac:dyDescent="0.2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8"/>
      <c r="N920" s="88"/>
      <c r="O920" s="8"/>
      <c r="P920" s="8"/>
      <c r="Q920" s="89"/>
      <c r="R920" s="89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</row>
    <row r="921" spans="1:74" ht="12.75" x14ac:dyDescent="0.2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8"/>
      <c r="N921" s="88"/>
      <c r="O921" s="8"/>
      <c r="P921" s="8"/>
      <c r="Q921" s="89"/>
      <c r="R921" s="89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</row>
    <row r="922" spans="1:74" ht="12.75" x14ac:dyDescent="0.2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8"/>
      <c r="N922" s="88"/>
      <c r="O922" s="8"/>
      <c r="P922" s="8"/>
      <c r="Q922" s="89"/>
      <c r="R922" s="89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</row>
    <row r="923" spans="1:74" ht="12.75" x14ac:dyDescent="0.2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8"/>
      <c r="N923" s="88"/>
      <c r="O923" s="8"/>
      <c r="P923" s="8"/>
      <c r="Q923" s="89"/>
      <c r="R923" s="89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</row>
    <row r="924" spans="1:74" ht="12.75" x14ac:dyDescent="0.2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8"/>
      <c r="N924" s="88"/>
      <c r="O924" s="8"/>
      <c r="P924" s="8"/>
      <c r="Q924" s="89"/>
      <c r="R924" s="89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</row>
    <row r="925" spans="1:74" ht="12.75" x14ac:dyDescent="0.2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8"/>
      <c r="N925" s="88"/>
      <c r="O925" s="8"/>
      <c r="P925" s="8"/>
      <c r="Q925" s="89"/>
      <c r="R925" s="89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</row>
    <row r="926" spans="1:74" ht="12.75" x14ac:dyDescent="0.2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8"/>
      <c r="N926" s="88"/>
      <c r="O926" s="8"/>
      <c r="P926" s="8"/>
      <c r="Q926" s="89"/>
      <c r="R926" s="89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</row>
    <row r="927" spans="1:74" ht="12.75" x14ac:dyDescent="0.2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8"/>
      <c r="N927" s="88"/>
      <c r="O927" s="8"/>
      <c r="P927" s="8"/>
      <c r="Q927" s="89"/>
      <c r="R927" s="89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</row>
    <row r="928" spans="1:74" ht="12.75" x14ac:dyDescent="0.2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8"/>
      <c r="N928" s="88"/>
      <c r="O928" s="8"/>
      <c r="P928" s="8"/>
      <c r="Q928" s="89"/>
      <c r="R928" s="89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</row>
    <row r="929" spans="1:74" ht="12.75" x14ac:dyDescent="0.2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8"/>
      <c r="N929" s="88"/>
      <c r="O929" s="8"/>
      <c r="P929" s="8"/>
      <c r="Q929" s="89"/>
      <c r="R929" s="89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</row>
    <row r="930" spans="1:74" ht="12.75" x14ac:dyDescent="0.2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8"/>
      <c r="N930" s="88"/>
      <c r="O930" s="8"/>
      <c r="P930" s="8"/>
      <c r="Q930" s="89"/>
      <c r="R930" s="89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</row>
    <row r="931" spans="1:74" ht="12.75" x14ac:dyDescent="0.2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8"/>
      <c r="N931" s="88"/>
      <c r="O931" s="8"/>
      <c r="P931" s="8"/>
      <c r="Q931" s="89"/>
      <c r="R931" s="89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</row>
    <row r="932" spans="1:74" ht="12.75" x14ac:dyDescent="0.2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8"/>
      <c r="N932" s="88"/>
      <c r="O932" s="8"/>
      <c r="P932" s="8"/>
      <c r="Q932" s="89"/>
      <c r="R932" s="89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</row>
    <row r="933" spans="1:74" ht="12.75" x14ac:dyDescent="0.2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8"/>
      <c r="N933" s="88"/>
      <c r="O933" s="8"/>
      <c r="P933" s="8"/>
      <c r="Q933" s="89"/>
      <c r="R933" s="89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</row>
    <row r="934" spans="1:74" ht="12.75" x14ac:dyDescent="0.2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8"/>
      <c r="N934" s="88"/>
      <c r="O934" s="8"/>
      <c r="P934" s="8"/>
      <c r="Q934" s="89"/>
      <c r="R934" s="89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</row>
    <row r="935" spans="1:74" ht="12.75" x14ac:dyDescent="0.2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8"/>
      <c r="N935" s="88"/>
      <c r="O935" s="8"/>
      <c r="P935" s="8"/>
      <c r="Q935" s="89"/>
      <c r="R935" s="89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</row>
    <row r="936" spans="1:74" ht="12.75" x14ac:dyDescent="0.2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8"/>
      <c r="N936" s="88"/>
      <c r="O936" s="8"/>
      <c r="P936" s="8"/>
      <c r="Q936" s="89"/>
      <c r="R936" s="89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</row>
    <row r="937" spans="1:74" ht="12.75" x14ac:dyDescent="0.2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8"/>
      <c r="N937" s="88"/>
      <c r="O937" s="8"/>
      <c r="P937" s="8"/>
      <c r="Q937" s="89"/>
      <c r="R937" s="89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</row>
    <row r="938" spans="1:74" ht="12.75" x14ac:dyDescent="0.2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8"/>
      <c r="N938" s="88"/>
      <c r="O938" s="8"/>
      <c r="P938" s="8"/>
      <c r="Q938" s="89"/>
      <c r="R938" s="89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</row>
    <row r="939" spans="1:74" ht="12.75" x14ac:dyDescent="0.2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8"/>
      <c r="N939" s="88"/>
      <c r="O939" s="8"/>
      <c r="P939" s="8"/>
      <c r="Q939" s="89"/>
      <c r="R939" s="89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</row>
    <row r="940" spans="1:74" ht="12.75" x14ac:dyDescent="0.2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8"/>
      <c r="N940" s="88"/>
      <c r="O940" s="8"/>
      <c r="P940" s="8"/>
      <c r="Q940" s="89"/>
      <c r="R940" s="89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</row>
    <row r="941" spans="1:74" ht="12.75" x14ac:dyDescent="0.2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8"/>
      <c r="N941" s="88"/>
      <c r="O941" s="8"/>
      <c r="P941" s="8"/>
      <c r="Q941" s="89"/>
      <c r="R941" s="89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</row>
    <row r="942" spans="1:74" ht="12.75" x14ac:dyDescent="0.2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8"/>
      <c r="N942" s="88"/>
      <c r="O942" s="8"/>
      <c r="P942" s="8"/>
      <c r="Q942" s="89"/>
      <c r="R942" s="89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</row>
    <row r="943" spans="1:74" ht="12.75" x14ac:dyDescent="0.2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8"/>
      <c r="N943" s="88"/>
      <c r="O943" s="8"/>
      <c r="P943" s="8"/>
      <c r="Q943" s="89"/>
      <c r="R943" s="89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</row>
    <row r="944" spans="1:74" ht="12.75" x14ac:dyDescent="0.2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8"/>
      <c r="N944" s="88"/>
      <c r="O944" s="8"/>
      <c r="P944" s="8"/>
      <c r="Q944" s="89"/>
      <c r="R944" s="89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</row>
    <row r="945" spans="1:74" ht="12.75" x14ac:dyDescent="0.2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8"/>
      <c r="N945" s="88"/>
      <c r="O945" s="8"/>
      <c r="P945" s="8"/>
      <c r="Q945" s="89"/>
      <c r="R945" s="89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</row>
    <row r="946" spans="1:74" ht="12.75" x14ac:dyDescent="0.2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8"/>
      <c r="N946" s="88"/>
      <c r="O946" s="8"/>
      <c r="P946" s="8"/>
      <c r="Q946" s="89"/>
      <c r="R946" s="89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</row>
    <row r="947" spans="1:74" ht="12.75" x14ac:dyDescent="0.2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8"/>
      <c r="N947" s="88"/>
      <c r="O947" s="8"/>
      <c r="P947" s="8"/>
      <c r="Q947" s="89"/>
      <c r="R947" s="89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</row>
    <row r="948" spans="1:74" ht="12.75" x14ac:dyDescent="0.2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8"/>
      <c r="N948" s="88"/>
      <c r="O948" s="8"/>
      <c r="P948" s="8"/>
      <c r="Q948" s="89"/>
      <c r="R948" s="89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</row>
    <row r="949" spans="1:74" ht="12.75" x14ac:dyDescent="0.2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8"/>
      <c r="N949" s="88"/>
      <c r="O949" s="8"/>
      <c r="P949" s="8"/>
      <c r="Q949" s="89"/>
      <c r="R949" s="89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</row>
    <row r="950" spans="1:74" ht="12.75" x14ac:dyDescent="0.2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8"/>
      <c r="N950" s="88"/>
      <c r="O950" s="8"/>
      <c r="P950" s="8"/>
      <c r="Q950" s="89"/>
      <c r="R950" s="89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</row>
    <row r="951" spans="1:74" ht="12.75" x14ac:dyDescent="0.2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8"/>
      <c r="N951" s="88"/>
      <c r="O951" s="8"/>
      <c r="P951" s="8"/>
      <c r="Q951" s="89"/>
      <c r="R951" s="89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</row>
    <row r="952" spans="1:74" ht="12.75" x14ac:dyDescent="0.2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8"/>
      <c r="N952" s="88"/>
      <c r="O952" s="8"/>
      <c r="P952" s="8"/>
      <c r="Q952" s="89"/>
      <c r="R952" s="89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</row>
    <row r="953" spans="1:74" ht="12.75" x14ac:dyDescent="0.2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8"/>
      <c r="N953" s="88"/>
      <c r="O953" s="8"/>
      <c r="P953" s="8"/>
      <c r="Q953" s="89"/>
      <c r="R953" s="89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</row>
    <row r="954" spans="1:74" ht="12.75" x14ac:dyDescent="0.2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8"/>
      <c r="N954" s="88"/>
      <c r="O954" s="8"/>
      <c r="P954" s="8"/>
      <c r="Q954" s="89"/>
      <c r="R954" s="89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</row>
    <row r="955" spans="1:74" ht="12.75" x14ac:dyDescent="0.2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8"/>
      <c r="N955" s="88"/>
      <c r="O955" s="8"/>
      <c r="P955" s="8"/>
      <c r="Q955" s="89"/>
      <c r="R955" s="89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</row>
    <row r="956" spans="1:74" ht="12.75" x14ac:dyDescent="0.2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8"/>
      <c r="N956" s="88"/>
      <c r="O956" s="8"/>
      <c r="P956" s="8"/>
      <c r="Q956" s="89"/>
      <c r="R956" s="89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</row>
    <row r="957" spans="1:74" ht="12.75" x14ac:dyDescent="0.2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8"/>
      <c r="N957" s="88"/>
      <c r="O957" s="8"/>
      <c r="P957" s="8"/>
      <c r="Q957" s="89"/>
      <c r="R957" s="89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</row>
    <row r="958" spans="1:74" ht="12.75" x14ac:dyDescent="0.2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8"/>
      <c r="N958" s="88"/>
      <c r="O958" s="8"/>
      <c r="P958" s="8"/>
      <c r="Q958" s="89"/>
      <c r="R958" s="89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</row>
    <row r="959" spans="1:74" ht="12.75" x14ac:dyDescent="0.2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8"/>
      <c r="N959" s="88"/>
      <c r="O959" s="8"/>
      <c r="P959" s="8"/>
      <c r="Q959" s="89"/>
      <c r="R959" s="89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</row>
    <row r="960" spans="1:74" ht="12.75" x14ac:dyDescent="0.2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8"/>
      <c r="N960" s="88"/>
      <c r="O960" s="8"/>
      <c r="P960" s="8"/>
      <c r="Q960" s="89"/>
      <c r="R960" s="89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</row>
    <row r="961" spans="1:74" ht="12.75" x14ac:dyDescent="0.2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8"/>
      <c r="N961" s="88"/>
      <c r="O961" s="8"/>
      <c r="P961" s="8"/>
      <c r="Q961" s="89"/>
      <c r="R961" s="89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</row>
    <row r="962" spans="1:74" ht="12.75" x14ac:dyDescent="0.2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8"/>
      <c r="N962" s="88"/>
      <c r="O962" s="8"/>
      <c r="P962" s="8"/>
      <c r="Q962" s="89"/>
      <c r="R962" s="89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</row>
    <row r="963" spans="1:74" ht="12.75" x14ac:dyDescent="0.2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8"/>
      <c r="N963" s="88"/>
      <c r="O963" s="8"/>
      <c r="P963" s="8"/>
      <c r="Q963" s="89"/>
      <c r="R963" s="89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</row>
    <row r="964" spans="1:74" ht="12.75" x14ac:dyDescent="0.2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8"/>
      <c r="N964" s="88"/>
      <c r="O964" s="8"/>
      <c r="P964" s="8"/>
      <c r="Q964" s="89"/>
      <c r="R964" s="89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</row>
    <row r="965" spans="1:74" ht="12.75" x14ac:dyDescent="0.2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8"/>
      <c r="N965" s="88"/>
      <c r="O965" s="8"/>
      <c r="P965" s="8"/>
      <c r="Q965" s="89"/>
      <c r="R965" s="89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</row>
    <row r="966" spans="1:74" ht="12.75" x14ac:dyDescent="0.2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8"/>
      <c r="N966" s="88"/>
      <c r="O966" s="8"/>
      <c r="P966" s="8"/>
      <c r="Q966" s="89"/>
      <c r="R966" s="89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</row>
    <row r="967" spans="1:74" ht="12.75" x14ac:dyDescent="0.2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8"/>
      <c r="N967" s="88"/>
      <c r="O967" s="8"/>
      <c r="P967" s="8"/>
      <c r="Q967" s="89"/>
      <c r="R967" s="89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</row>
    <row r="968" spans="1:74" ht="12.75" x14ac:dyDescent="0.2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8"/>
      <c r="N968" s="88"/>
      <c r="O968" s="8"/>
      <c r="P968" s="8"/>
      <c r="Q968" s="89"/>
      <c r="R968" s="89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</row>
    <row r="969" spans="1:74" ht="12.75" x14ac:dyDescent="0.2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8"/>
      <c r="N969" s="88"/>
      <c r="O969" s="8"/>
      <c r="P969" s="8"/>
      <c r="Q969" s="89"/>
      <c r="R969" s="89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</row>
    <row r="970" spans="1:74" ht="12.75" x14ac:dyDescent="0.2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8"/>
      <c r="N970" s="88"/>
      <c r="O970" s="8"/>
      <c r="P970" s="8"/>
      <c r="Q970" s="89"/>
      <c r="R970" s="89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</row>
    <row r="971" spans="1:74" ht="12.75" x14ac:dyDescent="0.2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8"/>
      <c r="N971" s="88"/>
      <c r="O971" s="8"/>
      <c r="P971" s="8"/>
      <c r="Q971" s="89"/>
      <c r="R971" s="89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</row>
    <row r="972" spans="1:74" ht="12.75" x14ac:dyDescent="0.2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8"/>
      <c r="N972" s="88"/>
      <c r="O972" s="8"/>
      <c r="P972" s="8"/>
      <c r="Q972" s="89"/>
      <c r="R972" s="89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</row>
    <row r="973" spans="1:74" ht="12.75" x14ac:dyDescent="0.2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8"/>
      <c r="N973" s="88"/>
      <c r="O973" s="8"/>
      <c r="P973" s="8"/>
      <c r="Q973" s="89"/>
      <c r="R973" s="89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</row>
    <row r="974" spans="1:74" ht="12.75" x14ac:dyDescent="0.2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8"/>
      <c r="N974" s="88"/>
      <c r="O974" s="8"/>
      <c r="P974" s="8"/>
      <c r="Q974" s="89"/>
      <c r="R974" s="89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</row>
    <row r="975" spans="1:74" ht="12.75" x14ac:dyDescent="0.2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8"/>
      <c r="N975" s="88"/>
      <c r="O975" s="8"/>
      <c r="P975" s="8"/>
      <c r="Q975" s="89"/>
      <c r="R975" s="89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</row>
    <row r="976" spans="1:74" ht="12.75" x14ac:dyDescent="0.2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8"/>
      <c r="N976" s="88"/>
      <c r="O976" s="8"/>
      <c r="P976" s="8"/>
      <c r="Q976" s="89"/>
      <c r="R976" s="89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</row>
    <row r="977" spans="1:74" ht="12.75" x14ac:dyDescent="0.2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8"/>
      <c r="N977" s="88"/>
      <c r="O977" s="8"/>
      <c r="P977" s="8"/>
      <c r="Q977" s="89"/>
      <c r="R977" s="89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</row>
    <row r="978" spans="1:74" ht="12.75" x14ac:dyDescent="0.2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8"/>
      <c r="N978" s="88"/>
      <c r="O978" s="8"/>
      <c r="P978" s="8"/>
      <c r="Q978" s="89"/>
      <c r="R978" s="89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</row>
    <row r="979" spans="1:74" ht="12.75" x14ac:dyDescent="0.2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8"/>
      <c r="N979" s="88"/>
      <c r="O979" s="8"/>
      <c r="P979" s="8"/>
      <c r="Q979" s="89"/>
      <c r="R979" s="89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</row>
    <row r="980" spans="1:74" ht="12.75" x14ac:dyDescent="0.2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8"/>
      <c r="N980" s="88"/>
      <c r="O980" s="8"/>
      <c r="P980" s="8"/>
      <c r="Q980" s="89"/>
      <c r="R980" s="89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</row>
    <row r="981" spans="1:74" ht="12.75" x14ac:dyDescent="0.2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8"/>
      <c r="N981" s="88"/>
      <c r="O981" s="8"/>
      <c r="P981" s="8"/>
      <c r="Q981" s="89"/>
      <c r="R981" s="89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</row>
    <row r="982" spans="1:74" ht="12.75" x14ac:dyDescent="0.2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8"/>
      <c r="N982" s="88"/>
      <c r="O982" s="8"/>
      <c r="P982" s="8"/>
      <c r="Q982" s="89"/>
      <c r="R982" s="89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</row>
    <row r="983" spans="1:74" ht="12.75" x14ac:dyDescent="0.2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8"/>
      <c r="N983" s="88"/>
      <c r="O983" s="8"/>
      <c r="P983" s="8"/>
      <c r="Q983" s="89"/>
      <c r="R983" s="89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</row>
    <row r="984" spans="1:74" ht="12.75" x14ac:dyDescent="0.2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8"/>
      <c r="N984" s="88"/>
      <c r="O984" s="8"/>
      <c r="P984" s="8"/>
      <c r="Q984" s="89"/>
      <c r="R984" s="89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</row>
    <row r="985" spans="1:74" ht="12.75" x14ac:dyDescent="0.2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8"/>
      <c r="N985" s="88"/>
      <c r="O985" s="8"/>
      <c r="P985" s="8"/>
      <c r="Q985" s="89"/>
      <c r="R985" s="89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</row>
    <row r="986" spans="1:74" ht="12.75" x14ac:dyDescent="0.2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8"/>
      <c r="N986" s="88"/>
      <c r="O986" s="8"/>
      <c r="P986" s="8"/>
      <c r="Q986" s="89"/>
      <c r="R986" s="89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</row>
    <row r="987" spans="1:74" ht="12.75" x14ac:dyDescent="0.2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8"/>
      <c r="N987" s="88"/>
      <c r="O987" s="8"/>
      <c r="P987" s="8"/>
      <c r="Q987" s="89"/>
      <c r="R987" s="89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</row>
    <row r="988" spans="1:74" ht="12.75" x14ac:dyDescent="0.2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8"/>
      <c r="N988" s="88"/>
      <c r="O988" s="8"/>
      <c r="P988" s="8"/>
      <c r="Q988" s="89"/>
      <c r="R988" s="89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</row>
    <row r="989" spans="1:74" ht="12.75" x14ac:dyDescent="0.2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8"/>
      <c r="N989" s="88"/>
      <c r="O989" s="8"/>
      <c r="P989" s="8"/>
      <c r="Q989" s="89"/>
      <c r="R989" s="89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</row>
    <row r="990" spans="1:74" ht="12.75" x14ac:dyDescent="0.2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8"/>
      <c r="N990" s="88"/>
      <c r="O990" s="8"/>
      <c r="P990" s="8"/>
      <c r="Q990" s="89"/>
      <c r="R990" s="89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</row>
    <row r="991" spans="1:74" ht="12.75" x14ac:dyDescent="0.2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8"/>
      <c r="N991" s="88"/>
      <c r="O991" s="8"/>
      <c r="P991" s="8"/>
      <c r="Q991" s="89"/>
      <c r="R991" s="89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</row>
    <row r="992" spans="1:74" ht="12.75" x14ac:dyDescent="0.2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8"/>
      <c r="N992" s="88"/>
      <c r="O992" s="8"/>
      <c r="P992" s="8"/>
      <c r="Q992" s="89"/>
      <c r="R992" s="89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</row>
    <row r="993" spans="1:74" ht="12.75" x14ac:dyDescent="0.2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8"/>
      <c r="N993" s="88"/>
      <c r="O993" s="8"/>
      <c r="P993" s="8"/>
      <c r="Q993" s="89"/>
      <c r="R993" s="89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</row>
    <row r="994" spans="1:74" ht="12.75" x14ac:dyDescent="0.2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8"/>
      <c r="N994" s="88"/>
      <c r="O994" s="8"/>
      <c r="P994" s="8"/>
      <c r="Q994" s="89"/>
      <c r="R994" s="89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</row>
    <row r="995" spans="1:74" ht="12.75" x14ac:dyDescent="0.2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8"/>
      <c r="N995" s="88"/>
      <c r="O995" s="8"/>
      <c r="P995" s="8"/>
      <c r="Q995" s="89"/>
      <c r="R995" s="89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</row>
    <row r="996" spans="1:74" ht="12.75" x14ac:dyDescent="0.2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8"/>
      <c r="N996" s="88"/>
      <c r="O996" s="8"/>
      <c r="P996" s="8"/>
      <c r="Q996" s="89"/>
      <c r="R996" s="89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</row>
    <row r="997" spans="1:74" ht="12.75" x14ac:dyDescent="0.2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8"/>
      <c r="N997" s="88"/>
      <c r="O997" s="8"/>
      <c r="P997" s="8"/>
      <c r="Q997" s="89"/>
      <c r="R997" s="89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</row>
    <row r="998" spans="1:74" ht="12.75" x14ac:dyDescent="0.2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8"/>
      <c r="N998" s="88"/>
      <c r="O998" s="8"/>
      <c r="P998" s="8"/>
      <c r="Q998" s="89"/>
      <c r="R998" s="89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</row>
    <row r="999" spans="1:74" ht="12.75" x14ac:dyDescent="0.2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8"/>
      <c r="N999" s="88"/>
      <c r="O999" s="8"/>
      <c r="P999" s="8"/>
      <c r="Q999" s="89"/>
      <c r="R999" s="89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</row>
    <row r="1000" spans="1:74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</row>
  </sheetData>
  <mergeCells count="58">
    <mergeCell ref="AH3:AR3"/>
    <mergeCell ref="AX3:BM3"/>
    <mergeCell ref="BN3:BV3"/>
    <mergeCell ref="C2:BM2"/>
    <mergeCell ref="C3:R3"/>
    <mergeCell ref="S3:U4"/>
    <mergeCell ref="Y3:AG3"/>
    <mergeCell ref="AS3:AW4"/>
    <mergeCell ref="H4:R4"/>
    <mergeCell ref="BI4:BM4"/>
    <mergeCell ref="C4:E4"/>
    <mergeCell ref="F4:G4"/>
    <mergeCell ref="Y4:AA4"/>
    <mergeCell ref="AH4:AJ4"/>
    <mergeCell ref="AK4:AL4"/>
    <mergeCell ref="BQ4:BS4"/>
    <mergeCell ref="A52:B52"/>
    <mergeCell ref="A74:B74"/>
    <mergeCell ref="A89:B89"/>
    <mergeCell ref="A104:B104"/>
    <mergeCell ref="A2:B6"/>
    <mergeCell ref="A31:B31"/>
    <mergeCell ref="C5:C6"/>
    <mergeCell ref="D5:D6"/>
    <mergeCell ref="E5:E6"/>
    <mergeCell ref="A7:B7"/>
    <mergeCell ref="A13:B13"/>
    <mergeCell ref="H5:I5"/>
    <mergeCell ref="J5:L5"/>
    <mergeCell ref="Q5:R5"/>
    <mergeCell ref="T5:U5"/>
    <mergeCell ref="V3:X4"/>
    <mergeCell ref="W5:X5"/>
    <mergeCell ref="Z5:AA5"/>
    <mergeCell ref="AB4:AD4"/>
    <mergeCell ref="AE4:AG4"/>
    <mergeCell ref="AB5:AD5"/>
    <mergeCell ref="AE5:AG5"/>
    <mergeCell ref="AI5:AJ5"/>
    <mergeCell ref="AK5:AL5"/>
    <mergeCell ref="AX4:BC4"/>
    <mergeCell ref="BD4:BH4"/>
    <mergeCell ref="BN4:BP4"/>
    <mergeCell ref="AM4:AO4"/>
    <mergeCell ref="AP4:AR4"/>
    <mergeCell ref="AM5:AO5"/>
    <mergeCell ref="AP5:AR5"/>
    <mergeCell ref="AT5:AW5"/>
    <mergeCell ref="AX5:AY5"/>
    <mergeCell ref="AZ5:BC5"/>
    <mergeCell ref="BT4:BV4"/>
    <mergeCell ref="BD5:BE5"/>
    <mergeCell ref="BF5:BH5"/>
    <mergeCell ref="BI5:BJ5"/>
    <mergeCell ref="BK5:BM5"/>
    <mergeCell ref="BO5:BP5"/>
    <mergeCell ref="BQ5:BS5"/>
    <mergeCell ref="BT5:BV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0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4" manualBreakCount="4">
    <brk id="18" max="1048575" man="1"/>
    <brk id="33" max="1048575" man="1"/>
    <brk id="49" max="1048575" man="1"/>
    <brk id="65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  <pageSetUpPr fitToPage="1"/>
  </sheetPr>
  <dimension ref="A1:Y1000"/>
  <sheetViews>
    <sheetView view="pageBreakPreview" zoomScale="60" zoomScaleNormal="70" workbookViewId="0">
      <pane xSplit="2" ySplit="7" topLeftCell="D8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22.5703125" bestFit="1" customWidth="1"/>
    <col min="4" max="4" width="19.7109375" bestFit="1" customWidth="1"/>
    <col min="5" max="5" width="17.5703125" customWidth="1"/>
    <col min="6" max="6" width="19.85546875" bestFit="1" customWidth="1"/>
    <col min="7" max="7" width="16.85546875" bestFit="1" customWidth="1"/>
    <col min="8" max="8" width="17.5703125" customWidth="1"/>
    <col min="9" max="9" width="16.42578125" customWidth="1"/>
    <col min="10" max="10" width="16.7109375" bestFit="1" customWidth="1"/>
    <col min="11" max="12" width="15.140625" customWidth="1"/>
    <col min="13" max="13" width="11.5703125" bestFit="1" customWidth="1"/>
    <col min="14" max="14" width="15.140625" customWidth="1"/>
    <col min="15" max="15" width="13.85546875" customWidth="1"/>
    <col min="16" max="16" width="16.85546875" bestFit="1" customWidth="1"/>
    <col min="17" max="17" width="8" bestFit="1" customWidth="1"/>
    <col min="18" max="18" width="10.85546875" bestFit="1" customWidth="1"/>
    <col min="19" max="19" width="15.140625" customWidth="1"/>
    <col min="20" max="22" width="12.5703125" bestFit="1" customWidth="1"/>
    <col min="23" max="23" width="10.85546875" bestFit="1" customWidth="1"/>
    <col min="24" max="24" width="12.5703125" bestFit="1" customWidth="1"/>
    <col min="25" max="25" width="10.85546875" bestFit="1" customWidth="1"/>
  </cols>
  <sheetData>
    <row r="1" spans="1:25" ht="24" customHeight="1" x14ac:dyDescent="0.3">
      <c r="A1" s="1" t="s">
        <v>247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</row>
    <row r="2" spans="1:25" ht="24" customHeight="1" x14ac:dyDescent="0.2">
      <c r="A2" s="198" t="s">
        <v>1</v>
      </c>
      <c r="B2" s="199"/>
      <c r="C2" s="193" t="s">
        <v>248</v>
      </c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3"/>
    </row>
    <row r="3" spans="1:25" ht="30" customHeight="1" x14ac:dyDescent="0.2">
      <c r="A3" s="200"/>
      <c r="B3" s="199"/>
      <c r="C3" s="194" t="s">
        <v>3</v>
      </c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3"/>
      <c r="S3" s="206" t="s">
        <v>249</v>
      </c>
      <c r="T3" s="185"/>
      <c r="U3" s="185"/>
      <c r="V3" s="185"/>
      <c r="W3" s="185"/>
      <c r="X3" s="185"/>
      <c r="Y3" s="183"/>
    </row>
    <row r="4" spans="1:25" ht="60" customHeight="1" x14ac:dyDescent="0.3">
      <c r="A4" s="200"/>
      <c r="B4" s="199"/>
      <c r="C4" s="184" t="s">
        <v>8</v>
      </c>
      <c r="D4" s="185"/>
      <c r="E4" s="183"/>
      <c r="F4" s="195" t="s">
        <v>9</v>
      </c>
      <c r="G4" s="183"/>
      <c r="H4" s="196" t="s">
        <v>10</v>
      </c>
      <c r="I4" s="185"/>
      <c r="J4" s="185"/>
      <c r="K4" s="185"/>
      <c r="L4" s="185"/>
      <c r="M4" s="185"/>
      <c r="N4" s="185"/>
      <c r="O4" s="185"/>
      <c r="P4" s="185"/>
      <c r="Q4" s="185"/>
      <c r="R4" s="183"/>
      <c r="S4" s="208" t="s">
        <v>164</v>
      </c>
      <c r="T4" s="185"/>
      <c r="U4" s="183"/>
      <c r="V4" s="205" t="s">
        <v>250</v>
      </c>
      <c r="W4" s="183"/>
      <c r="X4" s="205" t="s">
        <v>251</v>
      </c>
      <c r="Y4" s="183"/>
    </row>
    <row r="5" spans="1:25" ht="37.5" customHeight="1" x14ac:dyDescent="0.3">
      <c r="A5" s="200"/>
      <c r="B5" s="199"/>
      <c r="C5" s="242" t="s">
        <v>11</v>
      </c>
      <c r="D5" s="243" t="s">
        <v>12</v>
      </c>
      <c r="E5" s="244" t="s">
        <v>13</v>
      </c>
      <c r="F5" s="92" t="s">
        <v>14</v>
      </c>
      <c r="G5" s="92" t="s">
        <v>15</v>
      </c>
      <c r="H5" s="246" t="s">
        <v>16</v>
      </c>
      <c r="I5" s="245"/>
      <c r="J5" s="247" t="s">
        <v>202</v>
      </c>
      <c r="K5" s="248"/>
      <c r="L5" s="245"/>
      <c r="M5" s="249" t="s">
        <v>18</v>
      </c>
      <c r="N5" s="249" t="s">
        <v>19</v>
      </c>
      <c r="O5" s="249" t="s">
        <v>20</v>
      </c>
      <c r="P5" s="249" t="s">
        <v>21</v>
      </c>
      <c r="Q5" s="250" t="s">
        <v>15</v>
      </c>
      <c r="R5" s="245"/>
      <c r="S5" s="118" t="s">
        <v>22</v>
      </c>
      <c r="T5" s="189" t="s">
        <v>23</v>
      </c>
      <c r="U5" s="183"/>
      <c r="V5" s="241" t="s">
        <v>23</v>
      </c>
      <c r="W5" s="183"/>
      <c r="X5" s="241" t="s">
        <v>23</v>
      </c>
      <c r="Y5" s="183"/>
    </row>
    <row r="6" spans="1:25" ht="40.5" customHeight="1" x14ac:dyDescent="0.3">
      <c r="A6" s="201"/>
      <c r="B6" s="202"/>
      <c r="C6" s="245"/>
      <c r="D6" s="245"/>
      <c r="E6" s="245"/>
      <c r="F6" s="161"/>
      <c r="G6" s="161"/>
      <c r="H6" s="102" t="s">
        <v>24</v>
      </c>
      <c r="I6" s="103" t="s">
        <v>27</v>
      </c>
      <c r="J6" s="93" t="s">
        <v>24</v>
      </c>
      <c r="K6" s="255" t="s">
        <v>25</v>
      </c>
      <c r="L6" s="255" t="s">
        <v>26</v>
      </c>
      <c r="M6" s="104" t="s">
        <v>24</v>
      </c>
      <c r="N6" s="104" t="s">
        <v>24</v>
      </c>
      <c r="O6" s="104" t="s">
        <v>24</v>
      </c>
      <c r="P6" s="104" t="s">
        <v>24</v>
      </c>
      <c r="Q6" s="105" t="s">
        <v>24</v>
      </c>
      <c r="R6" s="106" t="s">
        <v>27</v>
      </c>
      <c r="S6" s="122" t="s">
        <v>143</v>
      </c>
      <c r="T6" s="21" t="s">
        <v>143</v>
      </c>
      <c r="U6" s="22" t="s">
        <v>27</v>
      </c>
      <c r="V6" s="173" t="s">
        <v>143</v>
      </c>
      <c r="W6" s="21" t="s">
        <v>204</v>
      </c>
      <c r="X6" s="173" t="s">
        <v>143</v>
      </c>
      <c r="Y6" s="21" t="s">
        <v>204</v>
      </c>
    </row>
    <row r="7" spans="1:25" ht="24" customHeight="1" x14ac:dyDescent="0.3">
      <c r="A7" s="175" t="s">
        <v>252</v>
      </c>
      <c r="B7" s="176"/>
      <c r="C7" s="164">
        <f t="shared" ref="C7:H7" ca="1" si="0">C8+C9</f>
        <v>26253900</v>
      </c>
      <c r="D7" s="165">
        <f t="shared" ca="1" si="0"/>
        <v>16433900</v>
      </c>
      <c r="E7" s="166">
        <f t="shared" ca="1" si="0"/>
        <v>9820000</v>
      </c>
      <c r="F7" s="166">
        <f t="shared" ca="1" si="0"/>
        <v>16433900</v>
      </c>
      <c r="G7" s="166">
        <f t="shared" ca="1" si="0"/>
        <v>0</v>
      </c>
      <c r="H7" s="167">
        <f t="shared" ca="1" si="0"/>
        <v>7414046.1100000003</v>
      </c>
      <c r="I7" s="168">
        <f t="shared" ref="I7:I116" ca="1" si="1">IF(D7&gt;0,H7*100/D7,0)</f>
        <v>45.114343582472813</v>
      </c>
      <c r="J7" s="167">
        <f ca="1">J8+J9</f>
        <v>7414046.1100000003</v>
      </c>
      <c r="K7" s="168">
        <f t="shared" ref="K7:K10" ca="1" si="2">IF(D7&gt;0,J7*100/D7,0)</f>
        <v>45.114343582472813</v>
      </c>
      <c r="L7" s="168">
        <f t="shared" ref="L7:L10" ca="1" si="3">IF(F7&gt;0,J7*100/F7,0)</f>
        <v>45.114343582472813</v>
      </c>
      <c r="M7" s="167">
        <f t="shared" ref="M7:Q7" ca="1" si="4">M8+M9</f>
        <v>0</v>
      </c>
      <c r="N7" s="167">
        <f t="shared" ca="1" si="4"/>
        <v>75440</v>
      </c>
      <c r="O7" s="167">
        <f t="shared" ca="1" si="4"/>
        <v>825326.17999999993</v>
      </c>
      <c r="P7" s="167">
        <f t="shared" ca="1" si="4"/>
        <v>6513279.9299999997</v>
      </c>
      <c r="Q7" s="112">
        <f t="shared" ca="1" si="4"/>
        <v>0</v>
      </c>
      <c r="R7" s="112">
        <f ca="1">IF(E7&gt;0,Q7*100/E7,0)</f>
        <v>0</v>
      </c>
      <c r="S7" s="128">
        <f t="shared" ref="S7:T7" ca="1" si="5">S8</f>
        <v>200000</v>
      </c>
      <c r="T7" s="30">
        <f t="shared" ca="1" si="5"/>
        <v>82725</v>
      </c>
      <c r="U7" s="31">
        <f t="shared" ref="U7:U8" ca="1" si="6">IF(S7&gt;0,T7*100/S7,0)</f>
        <v>41.362499999999997</v>
      </c>
      <c r="V7" s="174">
        <f t="shared" ref="V7:Y7" ca="1" si="7">V8</f>
        <v>22620</v>
      </c>
      <c r="W7" s="30">
        <f t="shared" ca="1" si="7"/>
        <v>1820</v>
      </c>
      <c r="X7" s="174">
        <f t="shared" ca="1" si="7"/>
        <v>60105</v>
      </c>
      <c r="Y7" s="30">
        <f t="shared" ca="1" si="7"/>
        <v>4260</v>
      </c>
    </row>
    <row r="8" spans="1:25" ht="28.5" customHeight="1" x14ac:dyDescent="0.3">
      <c r="A8" s="32" t="s">
        <v>30</v>
      </c>
      <c r="B8" s="33"/>
      <c r="C8" s="113">
        <f t="shared" ref="C8:H8" ca="1" si="8">+C13+C31+C52+C74</f>
        <v>4159680</v>
      </c>
      <c r="D8" s="113">
        <f t="shared" ca="1" si="8"/>
        <v>4159680</v>
      </c>
      <c r="E8" s="113">
        <f t="shared" ca="1" si="8"/>
        <v>0</v>
      </c>
      <c r="F8" s="113">
        <f t="shared" ca="1" si="8"/>
        <v>4159680</v>
      </c>
      <c r="G8" s="113">
        <f t="shared" ca="1" si="8"/>
        <v>0</v>
      </c>
      <c r="H8" s="113">
        <f t="shared" ca="1" si="8"/>
        <v>2184013.37</v>
      </c>
      <c r="I8" s="114">
        <f t="shared" ca="1" si="1"/>
        <v>52.504360191168551</v>
      </c>
      <c r="J8" s="113">
        <f ca="1">+J13+J31+J52+J74</f>
        <v>2184013.37</v>
      </c>
      <c r="K8" s="114">
        <f t="shared" ca="1" si="2"/>
        <v>52.504360191168551</v>
      </c>
      <c r="L8" s="114">
        <f t="shared" ca="1" si="3"/>
        <v>52.504360191168551</v>
      </c>
      <c r="M8" s="113">
        <f t="shared" ref="M8:T8" ca="1" si="9">+M13+M31+M52+M74</f>
        <v>0</v>
      </c>
      <c r="N8" s="113">
        <f t="shared" ca="1" si="9"/>
        <v>75440</v>
      </c>
      <c r="O8" s="113">
        <f t="shared" ca="1" si="9"/>
        <v>825326.17999999993</v>
      </c>
      <c r="P8" s="113">
        <f t="shared" ca="1" si="9"/>
        <v>1283247.19</v>
      </c>
      <c r="Q8" s="115">
        <f t="shared" ca="1" si="9"/>
        <v>0</v>
      </c>
      <c r="R8" s="115">
        <f t="shared" ca="1" si="9"/>
        <v>0</v>
      </c>
      <c r="S8" s="34">
        <f t="shared" ca="1" si="9"/>
        <v>200000</v>
      </c>
      <c r="T8" s="34">
        <f t="shared" ca="1" si="9"/>
        <v>82725</v>
      </c>
      <c r="U8" s="37">
        <f t="shared" ca="1" si="6"/>
        <v>41.362499999999997</v>
      </c>
      <c r="V8" s="34">
        <f t="shared" ref="V8:Y8" ca="1" si="10">+V13+V31+V52+V74</f>
        <v>22620</v>
      </c>
      <c r="W8" s="34">
        <f t="shared" ca="1" si="10"/>
        <v>1820</v>
      </c>
      <c r="X8" s="34">
        <f t="shared" ca="1" si="10"/>
        <v>60105</v>
      </c>
      <c r="Y8" s="34">
        <f t="shared" ca="1" si="10"/>
        <v>4260</v>
      </c>
    </row>
    <row r="9" spans="1:25" ht="28.5" customHeight="1" x14ac:dyDescent="0.3">
      <c r="A9" s="38" t="s">
        <v>253</v>
      </c>
      <c r="B9" s="45"/>
      <c r="C9" s="94">
        <f t="shared" ref="C9:F9" ca="1" si="11">+C10+C11</f>
        <v>22094220</v>
      </c>
      <c r="D9" s="94">
        <f t="shared" ca="1" si="11"/>
        <v>12274220</v>
      </c>
      <c r="E9" s="94">
        <f t="shared" ca="1" si="11"/>
        <v>9820000</v>
      </c>
      <c r="F9" s="94">
        <f t="shared" ca="1" si="11"/>
        <v>12274220</v>
      </c>
      <c r="G9" s="94">
        <v>0</v>
      </c>
      <c r="H9" s="94">
        <f ca="1">H10+H11</f>
        <v>5230032.74</v>
      </c>
      <c r="I9" s="95">
        <f t="shared" ca="1" si="1"/>
        <v>42.609898958956251</v>
      </c>
      <c r="J9" s="94">
        <f ca="1">J10+J11</f>
        <v>5230032.74</v>
      </c>
      <c r="K9" s="95">
        <f t="shared" ca="1" si="2"/>
        <v>42.609898958956251</v>
      </c>
      <c r="L9" s="95">
        <f t="shared" ca="1" si="3"/>
        <v>42.609898958956251</v>
      </c>
      <c r="M9" s="94">
        <v>0</v>
      </c>
      <c r="N9" s="94">
        <v>0</v>
      </c>
      <c r="O9" s="94">
        <v>0</v>
      </c>
      <c r="P9" s="94">
        <f t="shared" ref="P9:Q9" ca="1" si="12">P10+P11</f>
        <v>5230032.74</v>
      </c>
      <c r="Q9" s="96">
        <f t="shared" ca="1" si="12"/>
        <v>0</v>
      </c>
      <c r="R9" s="96">
        <f t="shared" ref="R9:R11" ca="1" si="13">IF(E9&gt;0,Q9*100/E9,0)</f>
        <v>0</v>
      </c>
      <c r="S9" s="43"/>
      <c r="T9" s="43"/>
      <c r="U9" s="44"/>
      <c r="V9" s="43"/>
      <c r="W9" s="43"/>
      <c r="X9" s="43"/>
      <c r="Y9" s="43"/>
    </row>
    <row r="10" spans="1:25" ht="28.5" hidden="1" customHeight="1" x14ac:dyDescent="0.3">
      <c r="A10" s="38" t="s">
        <v>31</v>
      </c>
      <c r="B10" s="45"/>
      <c r="C10" s="94">
        <f t="shared" ref="C10:C11" ca="1" si="14">D10+E10</f>
        <v>22094220</v>
      </c>
      <c r="D10" s="94">
        <f ca="1">IFERROR(__xludf.DUMMYFUNCTION("IMPORTRANGE(""https://docs.google.com/spreadsheets/d/1QqKyyYR6Q21VydFLVH3TRQUabQu_ym0Zz7PgGX0-kHA/edit?usp=sharing"",""แผน!JJ11"")"),12274220)</f>
        <v>12274220</v>
      </c>
      <c r="E10" s="94">
        <f ca="1">IFERROR(__xludf.DUMMYFUNCTION("IMPORTRANGE(""https://docs.google.com/spreadsheets/d/1QqKyyYR6Q21VydFLVH3TRQUabQu_ym0Zz7PgGX0-kHA/edit?usp=sharing"",""แผน!JM11"")"),9820000)</f>
        <v>9820000</v>
      </c>
      <c r="F10" s="94">
        <f ca="1">IFERROR(__xludf.DUMMYFUNCTION("IMPORTRANGE(""https://docs.google.com/spreadsheets/d/1vlyYR5_sXdhqA0JyobsBDu7xVmIqJT30I2qHLqWgZQ4/edit?usp=sharing"",""ทั้งประเทศ!M790"")"),12274220)</f>
        <v>12274220</v>
      </c>
      <c r="G10" s="94">
        <f ca="1">IFERROR(__xludf.DUMMYFUNCTION("IMPORTRANGE(""https://docs.google.com/spreadsheets/d/1vlyYR5_sXdhqA0JyobsBDu7xVmIqJT30I2qHLqWgZQ4/edit?usp=sharing"",""ทั้งประเทศ!M797"")"),9820000)</f>
        <v>9820000</v>
      </c>
      <c r="H10" s="94">
        <f t="shared" ref="H10:H116" ca="1" si="15">J10+Q10</f>
        <v>5230032.74</v>
      </c>
      <c r="I10" s="95">
        <f t="shared" ca="1" si="1"/>
        <v>42.609898958956251</v>
      </c>
      <c r="J10" s="94">
        <f ca="1">M10+N10+O10+P10</f>
        <v>5230032.74</v>
      </c>
      <c r="K10" s="95">
        <f t="shared" ca="1" si="2"/>
        <v>42.609898958956251</v>
      </c>
      <c r="L10" s="95">
        <f t="shared" ca="1" si="3"/>
        <v>42.609898958956251</v>
      </c>
      <c r="M10" s="94">
        <v>0</v>
      </c>
      <c r="N10" s="94">
        <v>0</v>
      </c>
      <c r="O10" s="94">
        <v>0</v>
      </c>
      <c r="P10" s="94">
        <f ca="1">IFERROR(__xludf.DUMMYFUNCTION("IMPORTRANGE(""https://docs.google.com/spreadsheets/d/1WhzDrMlrZfqSjGYJh0xYjRtGVhp5LiCqlO7EaAHfOOk/edit?usp=sharing"",""sheet1!CO6"")"),5230032.74)</f>
        <v>5230032.74</v>
      </c>
      <c r="Q10" s="96">
        <f ca="1">IFERROR(__xludf.DUMMYFUNCTION("IMPORTRANGE(""https://docs.google.com/spreadsheets/d/1WhzDrMlrZfqSjGYJh0xYjRtGVhp5LiCqlO7EaAHfOOk/edit?usp=sharing"",""sheet1!CQ6"")"),0)</f>
        <v>0</v>
      </c>
      <c r="R10" s="96">
        <f t="shared" ca="1" si="13"/>
        <v>0</v>
      </c>
      <c r="S10" s="43"/>
      <c r="T10" s="43"/>
      <c r="U10" s="44"/>
      <c r="V10" s="43"/>
      <c r="W10" s="43"/>
      <c r="X10" s="43"/>
      <c r="Y10" s="43"/>
    </row>
    <row r="11" spans="1:25" ht="28.5" hidden="1" customHeight="1" x14ac:dyDescent="0.3">
      <c r="A11" s="46" t="s">
        <v>32</v>
      </c>
      <c r="B11" s="45"/>
      <c r="C11" s="94">
        <f t="shared" ca="1" si="14"/>
        <v>0</v>
      </c>
      <c r="D11" s="94">
        <f ca="1">IFERROR(__xludf.DUMMYFUNCTION("IMPORTRANGE(""https://docs.google.com/spreadsheets/d/1QqKyyYR6Q21VydFLVH3TRQUabQu_ym0Zz7PgGX0-kHA/edit?usp=sharing"",""แผน!JJ10"")"),0)</f>
        <v>0</v>
      </c>
      <c r="E11" s="94">
        <v>0</v>
      </c>
      <c r="F11" s="94">
        <v>0</v>
      </c>
      <c r="G11" s="94">
        <v>0</v>
      </c>
      <c r="H11" s="94">
        <f t="shared" si="15"/>
        <v>0</v>
      </c>
      <c r="I11" s="95">
        <f t="shared" ca="1" si="1"/>
        <v>0</v>
      </c>
      <c r="J11" s="94">
        <v>0</v>
      </c>
      <c r="K11" s="95">
        <v>0</v>
      </c>
      <c r="L11" s="95">
        <v>0</v>
      </c>
      <c r="M11" s="94">
        <v>0</v>
      </c>
      <c r="N11" s="94">
        <v>0</v>
      </c>
      <c r="O11" s="94">
        <v>0</v>
      </c>
      <c r="P11" s="94">
        <v>0</v>
      </c>
      <c r="Q11" s="96">
        <v>0</v>
      </c>
      <c r="R11" s="96">
        <f t="shared" si="13"/>
        <v>0</v>
      </c>
      <c r="S11" s="43"/>
      <c r="T11" s="43"/>
      <c r="U11" s="44"/>
      <c r="V11" s="43"/>
      <c r="W11" s="43"/>
      <c r="X11" s="43"/>
      <c r="Y11" s="43"/>
    </row>
    <row r="12" spans="1:25" ht="28.5" hidden="1" customHeight="1" x14ac:dyDescent="0.3">
      <c r="A12" s="47" t="s">
        <v>33</v>
      </c>
      <c r="B12" s="48"/>
      <c r="C12" s="49">
        <v>0</v>
      </c>
      <c r="D12" s="49">
        <v>0</v>
      </c>
      <c r="E12" s="49">
        <v>0</v>
      </c>
      <c r="F12" s="50"/>
      <c r="G12" s="50"/>
      <c r="H12" s="49">
        <f t="shared" si="15"/>
        <v>0</v>
      </c>
      <c r="I12" s="51">
        <f t="shared" si="1"/>
        <v>0</v>
      </c>
      <c r="J12" s="49">
        <v>0</v>
      </c>
      <c r="K12" s="50"/>
      <c r="L12" s="50"/>
      <c r="M12" s="49">
        <v>0</v>
      </c>
      <c r="N12" s="49">
        <v>0</v>
      </c>
      <c r="O12" s="49">
        <v>0</v>
      </c>
      <c r="P12" s="49">
        <v>0</v>
      </c>
      <c r="Q12" s="52">
        <v>0</v>
      </c>
      <c r="R12" s="52"/>
      <c r="S12" s="49">
        <v>0</v>
      </c>
      <c r="T12" s="49">
        <v>0</v>
      </c>
      <c r="U12" s="53">
        <f t="shared" ref="U12:U88" si="16">IF(S12&gt;0,T12*100/S12,0)</f>
        <v>0</v>
      </c>
      <c r="V12" s="49">
        <v>0</v>
      </c>
      <c r="W12" s="49">
        <v>0</v>
      </c>
      <c r="X12" s="49">
        <v>0</v>
      </c>
      <c r="Y12" s="49">
        <v>0</v>
      </c>
    </row>
    <row r="13" spans="1:25" ht="28.5" customHeight="1" x14ac:dyDescent="0.3">
      <c r="A13" s="177" t="s">
        <v>34</v>
      </c>
      <c r="B13" s="178"/>
      <c r="C13" s="34">
        <f t="shared" ref="C13:G13" ca="1" si="17">SUM(C14:C30)</f>
        <v>1668000</v>
      </c>
      <c r="D13" s="34">
        <f t="shared" ca="1" si="17"/>
        <v>1668000</v>
      </c>
      <c r="E13" s="34">
        <f t="shared" ca="1" si="17"/>
        <v>0</v>
      </c>
      <c r="F13" s="34">
        <f t="shared" ca="1" si="17"/>
        <v>1668000</v>
      </c>
      <c r="G13" s="34">
        <f t="shared" ca="1" si="17"/>
        <v>0</v>
      </c>
      <c r="H13" s="34">
        <f t="shared" ca="1" si="15"/>
        <v>841708.91</v>
      </c>
      <c r="I13" s="35">
        <f t="shared" ca="1" si="1"/>
        <v>50.462164868105518</v>
      </c>
      <c r="J13" s="34">
        <f ca="1">SUM(J14:J30)</f>
        <v>841708.91</v>
      </c>
      <c r="K13" s="35">
        <f t="shared" ref="K13:K88" ca="1" si="18">IF(D13&gt;0,J13*100/D13,0)</f>
        <v>50.462164868105518</v>
      </c>
      <c r="L13" s="35">
        <f t="shared" ref="L13:L88" ca="1" si="19">IF(F13&gt;0,J13*100/F13,0)</f>
        <v>50.462164868105518</v>
      </c>
      <c r="M13" s="34">
        <f t="shared" ref="M13:Q13" ca="1" si="20">SUM(M14:M30)</f>
        <v>0</v>
      </c>
      <c r="N13" s="34">
        <f t="shared" ca="1" si="20"/>
        <v>33440</v>
      </c>
      <c r="O13" s="34">
        <f t="shared" ca="1" si="20"/>
        <v>363244.95999999996</v>
      </c>
      <c r="P13" s="34">
        <f t="shared" ca="1" si="20"/>
        <v>445023.95</v>
      </c>
      <c r="Q13" s="36">
        <f t="shared" ca="1" si="20"/>
        <v>0</v>
      </c>
      <c r="R13" s="36">
        <f t="shared" ref="R13:R116" ca="1" si="21">IF(E13&gt;0,Q13*100/E13,0)</f>
        <v>0</v>
      </c>
      <c r="S13" s="34">
        <f t="shared" ref="S13:T13" ca="1" si="22">SUM(S14:S30)</f>
        <v>148000</v>
      </c>
      <c r="T13" s="34">
        <f t="shared" ca="1" si="22"/>
        <v>54384</v>
      </c>
      <c r="U13" s="37">
        <f t="shared" ca="1" si="16"/>
        <v>36.745945945945948</v>
      </c>
      <c r="V13" s="34">
        <f t="shared" ref="V13:Y13" ca="1" si="23">SUM(V14:V30)</f>
        <v>9298</v>
      </c>
      <c r="W13" s="34">
        <f t="shared" ca="1" si="23"/>
        <v>839</v>
      </c>
      <c r="X13" s="34">
        <f t="shared" ca="1" si="23"/>
        <v>45086</v>
      </c>
      <c r="Y13" s="34">
        <f t="shared" ca="1" si="23"/>
        <v>3047</v>
      </c>
    </row>
    <row r="14" spans="1:25" ht="24" customHeight="1" x14ac:dyDescent="0.3">
      <c r="A14" s="54">
        <v>1</v>
      </c>
      <c r="B14" s="55" t="s">
        <v>35</v>
      </c>
      <c r="C14" s="56">
        <f t="shared" ref="C14:C30" ca="1" si="24">D14+E14</f>
        <v>335200</v>
      </c>
      <c r="D14" s="57">
        <f ca="1">IFERROR(__xludf.DUMMYFUNCTION("IMPORTRANGE(""https://docs.google.com/spreadsheets/d/1KxicF4apzSqm0-jIpmueT4kyZtE-Cwn5zskl7GD4loQ/edit?usp=sharing"",""กำแพงเพชร!L791"")"),335200)</f>
        <v>335200</v>
      </c>
      <c r="E14" s="57">
        <f ca="1">IFERROR(__xludf.DUMMYFUNCTION("IMPORTRANGE(""https://docs.google.com/spreadsheets/d/1KxicF4apzSqm0-jIpmueT4kyZtE-Cwn5zskl7GD4loQ/edit?usp=sharing"",""กำแพงเพชร!L798"")"),0)</f>
        <v>0</v>
      </c>
      <c r="F14" s="57">
        <f ca="1">IFERROR(__xludf.DUMMYFUNCTION("IMPORTRANGE(""https://docs.google.com/spreadsheets/d/1KxicF4apzSqm0-jIpmueT4kyZtE-Cwn5zskl7GD4loQ/edit?usp=sharing"",""กำแพงเพชร!M791"")"),335200)</f>
        <v>335200</v>
      </c>
      <c r="G14" s="57">
        <f ca="1">IFERROR(__xludf.DUMMYFUNCTION("IMPORTRANGE(""https://docs.google.com/spreadsheets/d/1KxicF4apzSqm0-jIpmueT4kyZtE-Cwn5zskl7GD4loQ/edit?usp=sharing"",""กำแพงเพชร!M798"")"),0)</f>
        <v>0</v>
      </c>
      <c r="H14" s="58">
        <f t="shared" ca="1" si="15"/>
        <v>212738.72</v>
      </c>
      <c r="I14" s="59">
        <f t="shared" ca="1" si="1"/>
        <v>63.466205250596659</v>
      </c>
      <c r="J14" s="60">
        <f t="shared" ref="J14:J30" ca="1" si="25">M14+N14+O14+P14</f>
        <v>212738.72</v>
      </c>
      <c r="K14" s="61">
        <f t="shared" ca="1" si="18"/>
        <v>63.466205250596659</v>
      </c>
      <c r="L14" s="61">
        <f t="shared" ca="1" si="19"/>
        <v>63.466205250596659</v>
      </c>
      <c r="M14" s="57">
        <f ca="1">IFERROR(__xludf.DUMMYFUNCTION("IMPORTRANGE(""https://docs.google.com/spreadsheets/d/1KxicF4apzSqm0-jIpmueT4kyZtE-Cwn5zskl7GD4loQ/edit?usp=sharing"",""กำแพงเพชร!N792"")"),0)</f>
        <v>0</v>
      </c>
      <c r="N14" s="57">
        <f ca="1">IFERROR(__xludf.DUMMYFUNCTION("IMPORTRANGE(""https://docs.google.com/spreadsheets/d/1KxicF4apzSqm0-jIpmueT4kyZtE-Cwn5zskl7GD4loQ/edit?usp=sharing"",""กำแพงเพชร!N793"")"),0)</f>
        <v>0</v>
      </c>
      <c r="O14" s="57">
        <f ca="1">IFERROR(__xludf.DUMMYFUNCTION("IMPORTRANGE(""https://docs.google.com/spreadsheets/d/1KxicF4apzSqm0-jIpmueT4kyZtE-Cwn5zskl7GD4loQ/edit?usp=sharing"",""กำแพงเพชร!N794"")"),94500)</f>
        <v>94500</v>
      </c>
      <c r="P14" s="57">
        <f ca="1">IFERROR(__xludf.DUMMYFUNCTION("IMPORTRANGE(""https://docs.google.com/spreadsheets/d/1KxicF4apzSqm0-jIpmueT4kyZtE-Cwn5zskl7GD4loQ/edit?usp=sharing"",""กำแพงเพชร!N795"")"),118238.72)</f>
        <v>118238.72</v>
      </c>
      <c r="Q14" s="62">
        <f ca="1">IFERROR(__xludf.DUMMYFUNCTION("IMPORTRANGE(""https://docs.google.com/spreadsheets/d/1KxicF4apzSqm0-jIpmueT4kyZtE-Cwn5zskl7GD4loQ/edit?usp=sharing"",""กำแพงเพชร!N798"")"),0)</f>
        <v>0</v>
      </c>
      <c r="R14" s="62">
        <f t="shared" ca="1" si="21"/>
        <v>0</v>
      </c>
      <c r="S14" s="57">
        <f ca="1">IFERROR(__xludf.DUMMYFUNCTION("IMPORTRANGE(""https://docs.google.com/spreadsheets/d/1KxicF4apzSqm0-jIpmueT4kyZtE-Cwn5zskl7GD4loQ/edit?usp=sharing"",""กำแพงเพชร!I785"")"),79000)</f>
        <v>79000</v>
      </c>
      <c r="T14" s="57">
        <f t="shared" ref="T14:T30" ca="1" si="26">V14+X14</f>
        <v>15042</v>
      </c>
      <c r="U14" s="63">
        <f t="shared" ca="1" si="16"/>
        <v>19.040506329113924</v>
      </c>
      <c r="V14" s="57">
        <f ca="1">IFERROR(__xludf.DUMMYFUNCTION("IMPORTRANGE(""https://docs.google.com/spreadsheets/d/1KxicF4apzSqm0-jIpmueT4kyZtE-Cwn5zskl7GD4loQ/edit?usp=sharing"",""กำแพงเพชร!J801"")"),0)</f>
        <v>0</v>
      </c>
      <c r="W14" s="57">
        <f ca="1">IFERROR(__xludf.DUMMYFUNCTION("IMPORTRANGE(""https://docs.google.com/spreadsheets/d/1KxicF4apzSqm0-jIpmueT4kyZtE-Cwn5zskl7GD4loQ/edit?usp=sharing"",""กำแพงเพชร!J800"")"),0)</f>
        <v>0</v>
      </c>
      <c r="X14" s="57">
        <f ca="1">IFERROR(__xludf.DUMMYFUNCTION("IMPORTRANGE(""https://docs.google.com/spreadsheets/d/1KxicF4apzSqm0-jIpmueT4kyZtE-Cwn5zskl7GD4loQ/edit?usp=sharing"",""กำแพงเพชร!J803"")"),15042)</f>
        <v>15042</v>
      </c>
      <c r="Y14" s="57">
        <f ca="1">IFERROR(__xludf.DUMMYFUNCTION("IMPORTRANGE(""https://docs.google.com/spreadsheets/d/1KxicF4apzSqm0-jIpmueT4kyZtE-Cwn5zskl7GD4loQ/edit?usp=sharing"",""กำแพงเพชร!J802"")"),1137)</f>
        <v>1137</v>
      </c>
    </row>
    <row r="15" spans="1:25" ht="24" customHeight="1" x14ac:dyDescent="0.3">
      <c r="A15" s="54">
        <v>2</v>
      </c>
      <c r="B15" s="55" t="s">
        <v>36</v>
      </c>
      <c r="C15" s="56">
        <f t="shared" ca="1" si="24"/>
        <v>0</v>
      </c>
      <c r="D15" s="57">
        <f ca="1">IFERROR(__xludf.DUMMYFUNCTION("IMPORTRANGE(""https://docs.google.com/spreadsheets/d/1ZNYWeiFoFA1K1U4xKWqRX29MBvEyRHXORjo734Gnq_c/edit?usp=sharing"",""เชียงราย!L791"")"),0)</f>
        <v>0</v>
      </c>
      <c r="E15" s="64">
        <f ca="1">IFERROR(__xludf.DUMMYFUNCTION("IMPORTRANGE(""https://docs.google.com/spreadsheets/d/1ZNYWeiFoFA1K1U4xKWqRX29MBvEyRHXORjo734Gnq_c/edit?usp=sharing"",""เชียงราย!L798"")"),0)</f>
        <v>0</v>
      </c>
      <c r="F15" s="64">
        <f ca="1">IFERROR(__xludf.DUMMYFUNCTION("IMPORTRANGE(""https://docs.google.com/spreadsheets/d/1ZNYWeiFoFA1K1U4xKWqRX29MBvEyRHXORjo734Gnq_c/edit?usp=sharing"",""เชียงราย!M791"")"),0)</f>
        <v>0</v>
      </c>
      <c r="G15" s="64">
        <f ca="1">IFERROR(__xludf.DUMMYFUNCTION("IMPORTRANGE(""https://docs.google.com/spreadsheets/d/1ZNYWeiFoFA1K1U4xKWqRX29MBvEyRHXORjo734Gnq_c/edit?usp=sharing"",""เชียงราย!M798"")"),0)</f>
        <v>0</v>
      </c>
      <c r="H15" s="58">
        <f t="shared" ca="1" si="15"/>
        <v>0</v>
      </c>
      <c r="I15" s="59">
        <f t="shared" ca="1" si="1"/>
        <v>0</v>
      </c>
      <c r="J15" s="60">
        <f t="shared" ca="1" si="25"/>
        <v>0</v>
      </c>
      <c r="K15" s="61">
        <f t="shared" ca="1" si="18"/>
        <v>0</v>
      </c>
      <c r="L15" s="61">
        <f t="shared" ca="1" si="19"/>
        <v>0</v>
      </c>
      <c r="M15" s="64">
        <f ca="1">IFERROR(__xludf.DUMMYFUNCTION("IMPORTRANGE(""https://docs.google.com/spreadsheets/d/1ZNYWeiFoFA1K1U4xKWqRX29MBvEyRHXORjo734Gnq_c/edit?usp=sharing"",""เชียงราย!N792"")"),0)</f>
        <v>0</v>
      </c>
      <c r="N15" s="64">
        <f ca="1">IFERROR(__xludf.DUMMYFUNCTION("IMPORTRANGE(""https://docs.google.com/spreadsheets/d/1ZNYWeiFoFA1K1U4xKWqRX29MBvEyRHXORjo734Gnq_c/edit?usp=sharing"",""เชียงราย!N793"")"),0)</f>
        <v>0</v>
      </c>
      <c r="O15" s="64">
        <f ca="1">IFERROR(__xludf.DUMMYFUNCTION("IMPORTRANGE(""https://docs.google.com/spreadsheets/d/1ZNYWeiFoFA1K1U4xKWqRX29MBvEyRHXORjo734Gnq_c/edit?usp=sharing"",""เชียงราย!N794"")"),0)</f>
        <v>0</v>
      </c>
      <c r="P15" s="64">
        <f ca="1">IFERROR(__xludf.DUMMYFUNCTION("IMPORTRANGE(""https://docs.google.com/spreadsheets/d/1ZNYWeiFoFA1K1U4xKWqRX29MBvEyRHXORjo734Gnq_c/edit?usp=sharing"",""เชียงราย!N795"")"),0)</f>
        <v>0</v>
      </c>
      <c r="Q15" s="62">
        <f ca="1">IFERROR(__xludf.DUMMYFUNCTION("IMPORTRANGE(""https://docs.google.com/spreadsheets/d/1ZNYWeiFoFA1K1U4xKWqRX29MBvEyRHXORjo734Gnq_c/edit?usp=sharing"",""เชียงราย!N798"")"),0)</f>
        <v>0</v>
      </c>
      <c r="R15" s="62">
        <f t="shared" ca="1" si="21"/>
        <v>0</v>
      </c>
      <c r="S15" s="57">
        <f ca="1">IFERROR(__xludf.DUMMYFUNCTION("IMPORTRANGE(""https://docs.google.com/spreadsheets/d/1ZNYWeiFoFA1K1U4xKWqRX29MBvEyRHXORjo734Gnq_c/edit?usp=sharing"",""เชียงราย!I785"")"),0)</f>
        <v>0</v>
      </c>
      <c r="T15" s="57">
        <f t="shared" ca="1" si="26"/>
        <v>0</v>
      </c>
      <c r="U15" s="63">
        <f t="shared" ca="1" si="16"/>
        <v>0</v>
      </c>
      <c r="V15" s="57">
        <f ca="1">IFERROR(__xludf.DUMMYFUNCTION("IMPORTRANGE(""https://docs.google.com/spreadsheets/d/1ZNYWeiFoFA1K1U4xKWqRX29MBvEyRHXORjo734Gnq_c/edit?usp=sharing"",""เชียงราย!J801"")"),0)</f>
        <v>0</v>
      </c>
      <c r="W15" s="57">
        <f ca="1">IFERROR(__xludf.DUMMYFUNCTION("IMPORTRANGE(""https://docs.google.com/spreadsheets/d/1ZNYWeiFoFA1K1U4xKWqRX29MBvEyRHXORjo734Gnq_c/edit?usp=sharing"",""เชียงราย!J800"")"),0)</f>
        <v>0</v>
      </c>
      <c r="X15" s="57">
        <f ca="1">IFERROR(__xludf.DUMMYFUNCTION("IMPORTRANGE(""https://docs.google.com/spreadsheets/d/1ZNYWeiFoFA1K1U4xKWqRX29MBvEyRHXORjo734Gnq_c/edit?usp=sharing"",""เชียงราย!J803"")"),0)</f>
        <v>0</v>
      </c>
      <c r="Y15" s="57">
        <f ca="1">IFERROR(__xludf.DUMMYFUNCTION("IMPORTRANGE(""https://docs.google.com/spreadsheets/d/1ZNYWeiFoFA1K1U4xKWqRX29MBvEyRHXORjo734Gnq_c/edit?usp=sharing"",""เชียงราย!J802"")"),0)</f>
        <v>0</v>
      </c>
    </row>
    <row r="16" spans="1:25" ht="24" customHeight="1" x14ac:dyDescent="0.3">
      <c r="A16" s="54">
        <v>3</v>
      </c>
      <c r="B16" s="55" t="s">
        <v>37</v>
      </c>
      <c r="C16" s="56">
        <f t="shared" ca="1" si="24"/>
        <v>137280</v>
      </c>
      <c r="D16" s="57">
        <f ca="1">IFERROR(__xludf.DUMMYFUNCTION("IMPORTRANGE(""https://docs.google.com/spreadsheets/d/1Jgv0Y7YlHDtsiDawwp-uvifEJ8HVaSn0k2aGHG8-hwM/edit?usp=sharing"",""เชียงใหม่!L791"")"),137280)</f>
        <v>137280</v>
      </c>
      <c r="E16" s="64">
        <f ca="1">IFERROR(__xludf.DUMMYFUNCTION("IMPORTRANGE(""https://docs.google.com/spreadsheets/d/1Jgv0Y7YlHDtsiDawwp-uvifEJ8HVaSn0k2aGHG8-hwM/edit?usp=sharing"",""เชียงใหม่!L798"")"),0)</f>
        <v>0</v>
      </c>
      <c r="F16" s="64">
        <f ca="1">IFERROR(__xludf.DUMMYFUNCTION("IMPORTRANGE(""https://docs.google.com/spreadsheets/d/1Jgv0Y7YlHDtsiDawwp-uvifEJ8HVaSn0k2aGHG8-hwM/edit?usp=sharing"",""เชียงใหม่!M791"")"),137280)</f>
        <v>137280</v>
      </c>
      <c r="G16" s="64">
        <f ca="1">IFERROR(__xludf.DUMMYFUNCTION("IMPORTRANGE(""https://docs.google.com/spreadsheets/d/1Jgv0Y7YlHDtsiDawwp-uvifEJ8HVaSn0k2aGHG8-hwM/edit?usp=sharing"",""เชียงใหม่!M798"")"),0)</f>
        <v>0</v>
      </c>
      <c r="H16" s="58">
        <f t="shared" ca="1" si="15"/>
        <v>51387.16</v>
      </c>
      <c r="I16" s="59">
        <f t="shared" ca="1" si="1"/>
        <v>37.432371794871791</v>
      </c>
      <c r="J16" s="60">
        <f t="shared" ca="1" si="25"/>
        <v>51387.16</v>
      </c>
      <c r="K16" s="61">
        <f t="shared" ca="1" si="18"/>
        <v>37.432371794871791</v>
      </c>
      <c r="L16" s="61">
        <f t="shared" ca="1" si="19"/>
        <v>37.432371794871791</v>
      </c>
      <c r="M16" s="64">
        <f ca="1">IFERROR(__xludf.DUMMYFUNCTION("IMPORTRANGE(""https://docs.google.com/spreadsheets/d/1Jgv0Y7YlHDtsiDawwp-uvifEJ8HVaSn0k2aGHG8-hwM/edit?usp=sharing"",""เชียงใหม่!N792"")"),0)</f>
        <v>0</v>
      </c>
      <c r="N16" s="64">
        <f ca="1">IFERROR(__xludf.DUMMYFUNCTION("IMPORTRANGE(""https://docs.google.com/spreadsheets/d/1Jgv0Y7YlHDtsiDawwp-uvifEJ8HVaSn0k2aGHG8-hwM/edit?usp=sharing"",""เชียงใหม่!N793"")"),0)</f>
        <v>0</v>
      </c>
      <c r="O16" s="64">
        <f ca="1">IFERROR(__xludf.DUMMYFUNCTION("IMPORTRANGE(""https://docs.google.com/spreadsheets/d/1Jgv0Y7YlHDtsiDawwp-uvifEJ8HVaSn0k2aGHG8-hwM/edit?usp=sharing"",""เชียงใหม่!N794"")"),17000)</f>
        <v>17000</v>
      </c>
      <c r="P16" s="64">
        <f ca="1">IFERROR(__xludf.DUMMYFUNCTION("IMPORTRANGE(""https://docs.google.com/spreadsheets/d/1Jgv0Y7YlHDtsiDawwp-uvifEJ8HVaSn0k2aGHG8-hwM/edit?usp=sharing"",""เชียงใหม่!N795"")"),34387.16)</f>
        <v>34387.160000000003</v>
      </c>
      <c r="Q16" s="62">
        <f ca="1">IFERROR(__xludf.DUMMYFUNCTION("IMPORTRANGE(""https://docs.google.com/spreadsheets/d/1Jgv0Y7YlHDtsiDawwp-uvifEJ8HVaSn0k2aGHG8-hwM/edit?usp=sharing"",""เชียงใหม่!N798"")"),0)</f>
        <v>0</v>
      </c>
      <c r="R16" s="62">
        <f t="shared" ca="1" si="21"/>
        <v>0</v>
      </c>
      <c r="S16" s="57">
        <f ca="1">IFERROR(__xludf.DUMMYFUNCTION("IMPORTRANGE(""https://docs.google.com/spreadsheets/d/1Jgv0Y7YlHDtsiDawwp-uvifEJ8HVaSn0k2aGHG8-hwM/edit?usp=sharing"",""เชียงใหม่!I785"")"),2000)</f>
        <v>2000</v>
      </c>
      <c r="T16" s="57">
        <f t="shared" ca="1" si="26"/>
        <v>624</v>
      </c>
      <c r="U16" s="63">
        <f t="shared" ca="1" si="16"/>
        <v>31.2</v>
      </c>
      <c r="V16" s="57">
        <f ca="1">IFERROR(__xludf.DUMMYFUNCTION("IMPORTRANGE(""https://docs.google.com/spreadsheets/d/1Jgv0Y7YlHDtsiDawwp-uvifEJ8HVaSn0k2aGHG8-hwM/edit?usp=sharing"",""เชียงใหม่!J801"")"),624)</f>
        <v>624</v>
      </c>
      <c r="W16" s="57">
        <f ca="1">IFERROR(__xludf.DUMMYFUNCTION("IMPORTRANGE(""https://docs.google.com/spreadsheets/d/1Jgv0Y7YlHDtsiDawwp-uvifEJ8HVaSn0k2aGHG8-hwM/edit?usp=sharing"",""เชียงใหม่!J800"")"),123)</f>
        <v>123</v>
      </c>
      <c r="X16" s="57">
        <f ca="1">IFERROR(__xludf.DUMMYFUNCTION("IMPORTRANGE(""https://docs.google.com/spreadsheets/d/1Jgv0Y7YlHDtsiDawwp-uvifEJ8HVaSn0k2aGHG8-hwM/edit?usp=sharing"",""เชียงใหม่!J803"")"),0)</f>
        <v>0</v>
      </c>
      <c r="Y16" s="57">
        <f ca="1">IFERROR(__xludf.DUMMYFUNCTION("IMPORTRANGE(""https://docs.google.com/spreadsheets/d/1Jgv0Y7YlHDtsiDawwp-uvifEJ8HVaSn0k2aGHG8-hwM/edit?usp=sharing"",""เชียงใหม่!J802"")"),0)</f>
        <v>0</v>
      </c>
    </row>
    <row r="17" spans="1:25" ht="24" customHeight="1" x14ac:dyDescent="0.3">
      <c r="A17" s="54">
        <v>4</v>
      </c>
      <c r="B17" s="55" t="s">
        <v>38</v>
      </c>
      <c r="C17" s="56">
        <f t="shared" ca="1" si="24"/>
        <v>0</v>
      </c>
      <c r="D17" s="57">
        <f ca="1">IFERROR(__xludf.DUMMYFUNCTION("IMPORTRANGE(""https://docs.google.com/spreadsheets/d/1JWG2rZePOz9pe-f-ObA-yDr0VoOX2kSb0qIix2mTUo8/edit?usp=sharing"",""ตาก!L791"")"),0)</f>
        <v>0</v>
      </c>
      <c r="E17" s="64">
        <f ca="1">IFERROR(__xludf.DUMMYFUNCTION("IMPORTRANGE(""https://docs.google.com/spreadsheets/d/1JWG2rZePOz9pe-f-ObA-yDr0VoOX2kSb0qIix2mTUo8/edit?usp=sharing"",""ตาก!L798"")"),0)</f>
        <v>0</v>
      </c>
      <c r="F17" s="64">
        <f ca="1">IFERROR(__xludf.DUMMYFUNCTION("IMPORTRANGE(""https://docs.google.com/spreadsheets/d/1JWG2rZePOz9pe-f-ObA-yDr0VoOX2kSb0qIix2mTUo8/edit?usp=sharing"",""ตาก!M791"")"),0)</f>
        <v>0</v>
      </c>
      <c r="G17" s="64">
        <f ca="1">IFERROR(__xludf.DUMMYFUNCTION("IMPORTRANGE(""https://docs.google.com/spreadsheets/d/1JWG2rZePOz9pe-f-ObA-yDr0VoOX2kSb0qIix2mTUo8/edit?usp=sharing"",""ตาก!M798"")"),0)</f>
        <v>0</v>
      </c>
      <c r="H17" s="58">
        <f t="shared" ca="1" si="15"/>
        <v>0</v>
      </c>
      <c r="I17" s="59">
        <f t="shared" ca="1" si="1"/>
        <v>0</v>
      </c>
      <c r="J17" s="60">
        <f t="shared" ca="1" si="25"/>
        <v>0</v>
      </c>
      <c r="K17" s="61">
        <f t="shared" ca="1" si="18"/>
        <v>0</v>
      </c>
      <c r="L17" s="61">
        <f t="shared" ca="1" si="19"/>
        <v>0</v>
      </c>
      <c r="M17" s="64">
        <f ca="1">IFERROR(__xludf.DUMMYFUNCTION("IMPORTRANGE(""https://docs.google.com/spreadsheets/d/1JWG2rZePOz9pe-f-ObA-yDr0VoOX2kSb0qIix2mTUo8/edit?usp=sharing"",""ตาก!N792"")"),0)</f>
        <v>0</v>
      </c>
      <c r="N17" s="64">
        <f ca="1">IFERROR(__xludf.DUMMYFUNCTION("IMPORTRANGE(""https://docs.google.com/spreadsheets/d/1JWG2rZePOz9pe-f-ObA-yDr0VoOX2kSb0qIix2mTUo8/edit?usp=sharing"",""ตาก!N793"")"),0)</f>
        <v>0</v>
      </c>
      <c r="O17" s="64">
        <f ca="1">IFERROR(__xludf.DUMMYFUNCTION("IMPORTRANGE(""https://docs.google.com/spreadsheets/d/1JWG2rZePOz9pe-f-ObA-yDr0VoOX2kSb0qIix2mTUo8/edit?usp=sharing"",""ตาก!N794"")"),0)</f>
        <v>0</v>
      </c>
      <c r="P17" s="64">
        <f ca="1">IFERROR(__xludf.DUMMYFUNCTION("IMPORTRANGE(""https://docs.google.com/spreadsheets/d/1JWG2rZePOz9pe-f-ObA-yDr0VoOX2kSb0qIix2mTUo8/edit?usp=sharing"",""ตาก!N795"")"),0)</f>
        <v>0</v>
      </c>
      <c r="Q17" s="62">
        <f ca="1">IFERROR(__xludf.DUMMYFUNCTION("IMPORTRANGE(""https://docs.google.com/spreadsheets/d/1JWG2rZePOz9pe-f-ObA-yDr0VoOX2kSb0qIix2mTUo8/edit?usp=sharing"",""ตาก!N798"")"),0)</f>
        <v>0</v>
      </c>
      <c r="R17" s="62">
        <f t="shared" ca="1" si="21"/>
        <v>0</v>
      </c>
      <c r="S17" s="57">
        <f ca="1">IFERROR(__xludf.DUMMYFUNCTION("IMPORTRANGE(""https://docs.google.com/spreadsheets/d/1JWG2rZePOz9pe-f-ObA-yDr0VoOX2kSb0qIix2mTUo8/edit?usp=sharing"",""ตาก!I785"")"),0)</f>
        <v>0</v>
      </c>
      <c r="T17" s="57">
        <f t="shared" ca="1" si="26"/>
        <v>0</v>
      </c>
      <c r="U17" s="63">
        <f t="shared" ca="1" si="16"/>
        <v>0</v>
      </c>
      <c r="V17" s="57">
        <f ca="1">IFERROR(__xludf.DUMMYFUNCTION("IMPORTRANGE(""https://docs.google.com/spreadsheets/d/1JWG2rZePOz9pe-f-ObA-yDr0VoOX2kSb0qIix2mTUo8/edit?usp=sharing"",""ตาก!J801"")"),0)</f>
        <v>0</v>
      </c>
      <c r="W17" s="57">
        <f ca="1">IFERROR(__xludf.DUMMYFUNCTION("IMPORTRANGE(""https://docs.google.com/spreadsheets/d/1JWG2rZePOz9pe-f-ObA-yDr0VoOX2kSb0qIix2mTUo8/edit?usp=sharing"",""ตาก!J800"")"),0)</f>
        <v>0</v>
      </c>
      <c r="X17" s="57">
        <f ca="1">IFERROR(__xludf.DUMMYFUNCTION("IMPORTRANGE(""https://docs.google.com/spreadsheets/d/1JWG2rZePOz9pe-f-ObA-yDr0VoOX2kSb0qIix2mTUo8/edit?usp=sharing"",""ตาก!J803"")"),0)</f>
        <v>0</v>
      </c>
      <c r="Y17" s="57">
        <f ca="1">IFERROR(__xludf.DUMMYFUNCTION("IMPORTRANGE(""https://docs.google.com/spreadsheets/d/1JWG2rZePOz9pe-f-ObA-yDr0VoOX2kSb0qIix2mTUo8/edit?usp=sharing"",""ตาก!J802"")"),0)</f>
        <v>0</v>
      </c>
    </row>
    <row r="18" spans="1:25" ht="24" customHeight="1" x14ac:dyDescent="0.3">
      <c r="A18" s="54">
        <v>5</v>
      </c>
      <c r="B18" s="55" t="s">
        <v>39</v>
      </c>
      <c r="C18" s="56">
        <f t="shared" ca="1" si="24"/>
        <v>0</v>
      </c>
      <c r="D18" s="57">
        <f ca="1">IFERROR(__xludf.DUMMYFUNCTION("IMPORTRANGE(""https://docs.google.com/spreadsheets/d/10nSRjK08hx8Y6HgSOQKNw81lyY46Zc7U_Cj72hBMp9U/edit?usp=sharing"",""นครสวรรค์!L791"")"),0)</f>
        <v>0</v>
      </c>
      <c r="E18" s="64">
        <f ca="1">IFERROR(__xludf.DUMMYFUNCTION("IMPORTRANGE(""https://docs.google.com/spreadsheets/d/10nSRjK08hx8Y6HgSOQKNw81lyY46Zc7U_Cj72hBMp9U/edit?usp=sharing"",""นครสวรรค์!L798"")"),0)</f>
        <v>0</v>
      </c>
      <c r="F18" s="64">
        <f ca="1">IFERROR(__xludf.DUMMYFUNCTION("IMPORTRANGE(""https://docs.google.com/spreadsheets/d/10nSRjK08hx8Y6HgSOQKNw81lyY46Zc7U_Cj72hBMp9U/edit?usp=sharing"",""นครสวรรค์!M791"")"),0)</f>
        <v>0</v>
      </c>
      <c r="G18" s="64">
        <f ca="1">IFERROR(__xludf.DUMMYFUNCTION("IMPORTRANGE(""https://docs.google.com/spreadsheets/d/10nSRjK08hx8Y6HgSOQKNw81lyY46Zc7U_Cj72hBMp9U/edit?usp=sharing"",""นครสวรรค์!M798"")"),0)</f>
        <v>0</v>
      </c>
      <c r="H18" s="58">
        <f t="shared" ca="1" si="15"/>
        <v>0</v>
      </c>
      <c r="I18" s="59">
        <f t="shared" ca="1" si="1"/>
        <v>0</v>
      </c>
      <c r="J18" s="60">
        <f t="shared" ca="1" si="25"/>
        <v>0</v>
      </c>
      <c r="K18" s="61">
        <f t="shared" ca="1" si="18"/>
        <v>0</v>
      </c>
      <c r="L18" s="61">
        <f t="shared" ca="1" si="19"/>
        <v>0</v>
      </c>
      <c r="M18" s="64">
        <f ca="1">IFERROR(__xludf.DUMMYFUNCTION("IMPORTRANGE(""https://docs.google.com/spreadsheets/d/10nSRjK08hx8Y6HgSOQKNw81lyY46Zc7U_Cj72hBMp9U/edit?usp=sharing"",""นครสวรรค์!N792"")"),0)</f>
        <v>0</v>
      </c>
      <c r="N18" s="64">
        <f ca="1">IFERROR(__xludf.DUMMYFUNCTION("IMPORTRANGE(""https://docs.google.com/spreadsheets/d/10nSRjK08hx8Y6HgSOQKNw81lyY46Zc7U_Cj72hBMp9U/edit?usp=sharing"",""นครสวรรค์!N793"")"),0)</f>
        <v>0</v>
      </c>
      <c r="O18" s="64">
        <f ca="1">IFERROR(__xludf.DUMMYFUNCTION("IMPORTRANGE(""https://docs.google.com/spreadsheets/d/10nSRjK08hx8Y6HgSOQKNw81lyY46Zc7U_Cj72hBMp9U/edit?usp=sharing"",""นครสวรรค์!N794"")"),0)</f>
        <v>0</v>
      </c>
      <c r="P18" s="64">
        <f ca="1">IFERROR(__xludf.DUMMYFUNCTION("IMPORTRANGE(""https://docs.google.com/spreadsheets/d/10nSRjK08hx8Y6HgSOQKNw81lyY46Zc7U_Cj72hBMp9U/edit?usp=sharing"",""นครสวรรค์!N795"")"),0)</f>
        <v>0</v>
      </c>
      <c r="Q18" s="62">
        <f ca="1">IFERROR(__xludf.DUMMYFUNCTION("IMPORTRANGE(""https://docs.google.com/spreadsheets/d/10nSRjK08hx8Y6HgSOQKNw81lyY46Zc7U_Cj72hBMp9U/edit?usp=sharing"",""นครสวรรค์!N798"")"),0)</f>
        <v>0</v>
      </c>
      <c r="R18" s="62">
        <f t="shared" ca="1" si="21"/>
        <v>0</v>
      </c>
      <c r="S18" s="57">
        <f ca="1">IFERROR(__xludf.DUMMYFUNCTION("IMPORTRANGE(""https://docs.google.com/spreadsheets/d/10nSRjK08hx8Y6HgSOQKNw81lyY46Zc7U_Cj72hBMp9U/edit?usp=sharing"",""นครสวรรค์!I785"")"),15000)</f>
        <v>15000</v>
      </c>
      <c r="T18" s="57">
        <f t="shared" ca="1" si="26"/>
        <v>15025</v>
      </c>
      <c r="U18" s="63">
        <f t="shared" ca="1" si="16"/>
        <v>100.16666666666667</v>
      </c>
      <c r="V18" s="57">
        <f ca="1">IFERROR(__xludf.DUMMYFUNCTION("IMPORTRANGE(""https://docs.google.com/spreadsheets/d/10nSRjK08hx8Y6HgSOQKNw81lyY46Zc7U_Cj72hBMp9U/edit?usp=sharing"",""นครสวรรค์!J801"")"),0)</f>
        <v>0</v>
      </c>
      <c r="W18" s="57">
        <f ca="1">IFERROR(__xludf.DUMMYFUNCTION("IMPORTRANGE(""https://docs.google.com/spreadsheets/d/10nSRjK08hx8Y6HgSOQKNw81lyY46Zc7U_Cj72hBMp9U/edit?usp=sharing"",""นครสวรรค์!J800"")"),0)</f>
        <v>0</v>
      </c>
      <c r="X18" s="57">
        <f ca="1">IFERROR(__xludf.DUMMYFUNCTION("IMPORTRANGE(""https://docs.google.com/spreadsheets/d/10nSRjK08hx8Y6HgSOQKNw81lyY46Zc7U_Cj72hBMp9U/edit?usp=sharing"",""นครสวรรค์!J803"")"),15025)</f>
        <v>15025</v>
      </c>
      <c r="Y18" s="57">
        <f ca="1">IFERROR(__xludf.DUMMYFUNCTION("IMPORTRANGE(""https://docs.google.com/spreadsheets/d/10nSRjK08hx8Y6HgSOQKNw81lyY46Zc7U_Cj72hBMp9U/edit?usp=sharing"",""นครสวรรค์!J802"")"),1126)</f>
        <v>1126</v>
      </c>
    </row>
    <row r="19" spans="1:25" ht="24" customHeight="1" x14ac:dyDescent="0.3">
      <c r="A19" s="54">
        <v>6</v>
      </c>
      <c r="B19" s="55" t="s">
        <v>40</v>
      </c>
      <c r="C19" s="56">
        <f t="shared" ca="1" si="24"/>
        <v>0</v>
      </c>
      <c r="D19" s="57">
        <f ca="1">IFERROR(__xludf.DUMMYFUNCTION("IMPORTRANGE(""https://docs.google.com/spreadsheets/d/1gFVb7qd7amutrIxAAoM7lcy35hllxznovot8lyOfvDo/edit?usp=sharing"",""น่าน!L791"")"),0)</f>
        <v>0</v>
      </c>
      <c r="E19" s="64">
        <f ca="1">IFERROR(__xludf.DUMMYFUNCTION("IMPORTRANGE(""https://docs.google.com/spreadsheets/d/1gFVb7qd7amutrIxAAoM7lcy35hllxznovot8lyOfvDo/edit?usp=sharing"",""น่าน!L798"")"),0)</f>
        <v>0</v>
      </c>
      <c r="F19" s="64">
        <f ca="1">IFERROR(__xludf.DUMMYFUNCTION("IMPORTRANGE(""https://docs.google.com/spreadsheets/d/1gFVb7qd7amutrIxAAoM7lcy35hllxznovot8lyOfvDo/edit?usp=sharing"",""น่าน!M791"")"),0)</f>
        <v>0</v>
      </c>
      <c r="G19" s="64">
        <f ca="1">IFERROR(__xludf.DUMMYFUNCTION("IMPORTRANGE(""https://docs.google.com/spreadsheets/d/1gFVb7qd7amutrIxAAoM7lcy35hllxznovot8lyOfvDo/edit?usp=sharing"",""น่าน!M798"")"),0)</f>
        <v>0</v>
      </c>
      <c r="H19" s="58">
        <f t="shared" ca="1" si="15"/>
        <v>0</v>
      </c>
      <c r="I19" s="59">
        <f t="shared" ca="1" si="1"/>
        <v>0</v>
      </c>
      <c r="J19" s="60">
        <f t="shared" ca="1" si="25"/>
        <v>0</v>
      </c>
      <c r="K19" s="61">
        <f t="shared" ca="1" si="18"/>
        <v>0</v>
      </c>
      <c r="L19" s="61">
        <f t="shared" ca="1" si="19"/>
        <v>0</v>
      </c>
      <c r="M19" s="64">
        <f ca="1">IFERROR(__xludf.DUMMYFUNCTION("IMPORTRANGE(""https://docs.google.com/spreadsheets/d/1gFVb7qd7amutrIxAAoM7lcy35hllxznovot8lyOfvDo/edit?usp=sharing"",""น่าน!N792"")"),0)</f>
        <v>0</v>
      </c>
      <c r="N19" s="64">
        <f ca="1">IFERROR(__xludf.DUMMYFUNCTION("IMPORTRANGE(""https://docs.google.com/spreadsheets/d/1gFVb7qd7amutrIxAAoM7lcy35hllxznovot8lyOfvDo/edit?usp=sharing"",""น่าน!N793"")"),0)</f>
        <v>0</v>
      </c>
      <c r="O19" s="64">
        <f ca="1">IFERROR(__xludf.DUMMYFUNCTION("IMPORTRANGE(""https://docs.google.com/spreadsheets/d/1gFVb7qd7amutrIxAAoM7lcy35hllxznovot8lyOfvDo/edit?usp=sharing"",""น่าน!N794"")"),0)</f>
        <v>0</v>
      </c>
      <c r="P19" s="64">
        <f ca="1">IFERROR(__xludf.DUMMYFUNCTION("IMPORTRANGE(""https://docs.google.com/spreadsheets/d/1gFVb7qd7amutrIxAAoM7lcy35hllxznovot8lyOfvDo/edit?usp=sharing"",""น่าน!N795"")"),0)</f>
        <v>0</v>
      </c>
      <c r="Q19" s="62">
        <f ca="1">IFERROR(__xludf.DUMMYFUNCTION("IMPORTRANGE(""https://docs.google.com/spreadsheets/d/1gFVb7qd7amutrIxAAoM7lcy35hllxznovot8lyOfvDo/edit?usp=sharing"",""น่าน!N798"")"),0)</f>
        <v>0</v>
      </c>
      <c r="R19" s="62">
        <f t="shared" ca="1" si="21"/>
        <v>0</v>
      </c>
      <c r="S19" s="57">
        <f ca="1">IFERROR(__xludf.DUMMYFUNCTION("IMPORTRANGE(""https://docs.google.com/spreadsheets/d/1gFVb7qd7amutrIxAAoM7lcy35hllxznovot8lyOfvDo/edit?usp=sharing"",""น่าน!I785"")"),0)</f>
        <v>0</v>
      </c>
      <c r="T19" s="57">
        <f t="shared" ca="1" si="26"/>
        <v>0</v>
      </c>
      <c r="U19" s="63">
        <f t="shared" ca="1" si="16"/>
        <v>0</v>
      </c>
      <c r="V19" s="57">
        <f ca="1">IFERROR(__xludf.DUMMYFUNCTION("IMPORTRANGE(""https://docs.google.com/spreadsheets/d/1gFVb7qd7amutrIxAAoM7lcy35hllxznovot8lyOfvDo/edit?usp=sharing"",""น่าน!J801"")"),0)</f>
        <v>0</v>
      </c>
      <c r="W19" s="57">
        <f ca="1">IFERROR(__xludf.DUMMYFUNCTION("IMPORTRANGE(""https://docs.google.com/spreadsheets/d/1gFVb7qd7amutrIxAAoM7lcy35hllxznovot8lyOfvDo/edit?usp=sharing"",""น่าน!J800"")"),0)</f>
        <v>0</v>
      </c>
      <c r="X19" s="57">
        <f ca="1">IFERROR(__xludf.DUMMYFUNCTION("IMPORTRANGE(""https://docs.google.com/spreadsheets/d/1gFVb7qd7amutrIxAAoM7lcy35hllxznovot8lyOfvDo/edit?usp=sharing"",""น่าน!J803"")"),0)</f>
        <v>0</v>
      </c>
      <c r="Y19" s="57">
        <f ca="1">IFERROR(__xludf.DUMMYFUNCTION("IMPORTRANGE(""https://docs.google.com/spreadsheets/d/1gFVb7qd7amutrIxAAoM7lcy35hllxznovot8lyOfvDo/edit?usp=sharing"",""น่าน!J802"")"),0)</f>
        <v>0</v>
      </c>
    </row>
    <row r="20" spans="1:25" ht="24" customHeight="1" x14ac:dyDescent="0.3">
      <c r="A20" s="54">
        <v>7</v>
      </c>
      <c r="B20" s="55" t="s">
        <v>41</v>
      </c>
      <c r="C20" s="56">
        <f t="shared" ca="1" si="24"/>
        <v>0</v>
      </c>
      <c r="D20" s="57">
        <f ca="1">IFERROR(__xludf.DUMMYFUNCTION("IMPORTRANGE(""https://docs.google.com/spreadsheets/d/1K0Aa9s-6EuHE5M0FG1F9aHLXRCOV917xvycTdLdct0w/edit?usp=sharing"",""พะเยา!L791"")"),0)</f>
        <v>0</v>
      </c>
      <c r="E20" s="64">
        <f ca="1">IFERROR(__xludf.DUMMYFUNCTION("IMPORTRANGE(""https://docs.google.com/spreadsheets/d/1K0Aa9s-6EuHE5M0FG1F9aHLXRCOV917xvycTdLdct0w/edit?usp=sharing"",""พะเยา!L798"")"),0)</f>
        <v>0</v>
      </c>
      <c r="F20" s="64">
        <f ca="1">IFERROR(__xludf.DUMMYFUNCTION("IMPORTRANGE(""https://docs.google.com/spreadsheets/d/1K0Aa9s-6EuHE5M0FG1F9aHLXRCOV917xvycTdLdct0w/edit?usp=sharing"",""พะเยา!M791"")"),0)</f>
        <v>0</v>
      </c>
      <c r="G20" s="64">
        <f ca="1">IFERROR(__xludf.DUMMYFUNCTION("IMPORTRANGE(""https://docs.google.com/spreadsheets/d/1K0Aa9s-6EuHE5M0FG1F9aHLXRCOV917xvycTdLdct0w/edit?usp=sharing"",""พะเยา!M798"")"),0)</f>
        <v>0</v>
      </c>
      <c r="H20" s="58">
        <f t="shared" ca="1" si="15"/>
        <v>0</v>
      </c>
      <c r="I20" s="59">
        <f t="shared" ca="1" si="1"/>
        <v>0</v>
      </c>
      <c r="J20" s="60">
        <f t="shared" ca="1" si="25"/>
        <v>0</v>
      </c>
      <c r="K20" s="61">
        <f t="shared" ca="1" si="18"/>
        <v>0</v>
      </c>
      <c r="L20" s="61">
        <f t="shared" ca="1" si="19"/>
        <v>0</v>
      </c>
      <c r="M20" s="64">
        <f ca="1">IFERROR(__xludf.DUMMYFUNCTION("IMPORTRANGE(""https://docs.google.com/spreadsheets/d/1K0Aa9s-6EuHE5M0FG1F9aHLXRCOV917xvycTdLdct0w/edit?usp=sharing"",""พะเยา!N792"")"),0)</f>
        <v>0</v>
      </c>
      <c r="N20" s="64">
        <f ca="1">IFERROR(__xludf.DUMMYFUNCTION("IMPORTRANGE(""https://docs.google.com/spreadsheets/d/1K0Aa9s-6EuHE5M0FG1F9aHLXRCOV917xvycTdLdct0w/edit?usp=sharing"",""พะเยา!N793"")"),0)</f>
        <v>0</v>
      </c>
      <c r="O20" s="64">
        <f ca="1">IFERROR(__xludf.DUMMYFUNCTION("IMPORTRANGE(""https://docs.google.com/spreadsheets/d/1K0Aa9s-6EuHE5M0FG1F9aHLXRCOV917xvycTdLdct0w/edit?usp=sharing"",""พะเยา!N794"")"),0)</f>
        <v>0</v>
      </c>
      <c r="P20" s="64">
        <f ca="1">IFERROR(__xludf.DUMMYFUNCTION("IMPORTRANGE(""https://docs.google.com/spreadsheets/d/1K0Aa9s-6EuHE5M0FG1F9aHLXRCOV917xvycTdLdct0w/edit?usp=sharing"",""พะเยา!N795"")"),0)</f>
        <v>0</v>
      </c>
      <c r="Q20" s="62">
        <f ca="1">IFERROR(__xludf.DUMMYFUNCTION("IMPORTRANGE(""https://docs.google.com/spreadsheets/d/1K0Aa9s-6EuHE5M0FG1F9aHLXRCOV917xvycTdLdct0w/edit?usp=sharing"",""พะเยา!N798"")"),0)</f>
        <v>0</v>
      </c>
      <c r="R20" s="62">
        <f t="shared" ca="1" si="21"/>
        <v>0</v>
      </c>
      <c r="S20" s="57">
        <f ca="1">IFERROR(__xludf.DUMMYFUNCTION("IMPORTRANGE(""https://docs.google.com/spreadsheets/d/1K0Aa9s-6EuHE5M0FG1F9aHLXRCOV917xvycTdLdct0w/edit?usp=sharing"",""พะเยา!I785"")"),0)</f>
        <v>0</v>
      </c>
      <c r="T20" s="57">
        <f t="shared" ca="1" si="26"/>
        <v>0</v>
      </c>
      <c r="U20" s="63">
        <f t="shared" ca="1" si="16"/>
        <v>0</v>
      </c>
      <c r="V20" s="57">
        <f ca="1">IFERROR(__xludf.DUMMYFUNCTION("IMPORTRANGE(""https://docs.google.com/spreadsheets/d/1K0Aa9s-6EuHE5M0FG1F9aHLXRCOV917xvycTdLdct0w/edit?usp=sharing"",""พะเยา!J801"")"),0)</f>
        <v>0</v>
      </c>
      <c r="W20" s="57">
        <f ca="1">IFERROR(__xludf.DUMMYFUNCTION("IMPORTRANGE(""https://docs.google.com/spreadsheets/d/1K0Aa9s-6EuHE5M0FG1F9aHLXRCOV917xvycTdLdct0w/edit?usp=sharing"",""พะเยา!J800"")"),0)</f>
        <v>0</v>
      </c>
      <c r="X20" s="57">
        <f ca="1">IFERROR(__xludf.DUMMYFUNCTION("IMPORTRANGE(""https://docs.google.com/spreadsheets/d/1K0Aa9s-6EuHE5M0FG1F9aHLXRCOV917xvycTdLdct0w/edit?usp=sharing"",""พะเยา!J803"")"),0)</f>
        <v>0</v>
      </c>
      <c r="Y20" s="57">
        <f ca="1">IFERROR(__xludf.DUMMYFUNCTION("IMPORTRANGE(""https://docs.google.com/spreadsheets/d/1K0Aa9s-6EuHE5M0FG1F9aHLXRCOV917xvycTdLdct0w/edit?usp=sharing"",""พะเยา!J802"")"),0)</f>
        <v>0</v>
      </c>
    </row>
    <row r="21" spans="1:25" ht="24" customHeight="1" x14ac:dyDescent="0.3">
      <c r="A21" s="54">
        <v>8</v>
      </c>
      <c r="B21" s="55" t="s">
        <v>42</v>
      </c>
      <c r="C21" s="56">
        <f t="shared" ca="1" si="24"/>
        <v>137280</v>
      </c>
      <c r="D21" s="57">
        <f ca="1">IFERROR(__xludf.DUMMYFUNCTION("IMPORTRANGE(""https://docs.google.com/spreadsheets/d/1Y9LPKx95PyL5OKy09d-KbKJSuuEZCFdkhYjwC0XQjBA/edit?usp=sharing"",""พิจิตร!L791"")"),137280)</f>
        <v>137280</v>
      </c>
      <c r="E21" s="64">
        <f ca="1">IFERROR(__xludf.DUMMYFUNCTION("IMPORTRANGE(""https://docs.google.com/spreadsheets/d/1Y9LPKx95PyL5OKy09d-KbKJSuuEZCFdkhYjwC0XQjBA/edit?usp=sharing"",""พิจิตร!L798"")"),0)</f>
        <v>0</v>
      </c>
      <c r="F21" s="64">
        <f ca="1">IFERROR(__xludf.DUMMYFUNCTION("IMPORTRANGE(""https://docs.google.com/spreadsheets/d/1Y9LPKx95PyL5OKy09d-KbKJSuuEZCFdkhYjwC0XQjBA/edit?usp=sharing"",""พิจิตร!M791"")"),137280)</f>
        <v>137280</v>
      </c>
      <c r="G21" s="64">
        <f ca="1">IFERROR(__xludf.DUMMYFUNCTION("IMPORTRANGE(""https://docs.google.com/spreadsheets/d/1Y9LPKx95PyL5OKy09d-KbKJSuuEZCFdkhYjwC0XQjBA/edit?usp=sharing"",""พิจิตร!M798"")"),0)</f>
        <v>0</v>
      </c>
      <c r="H21" s="58">
        <f t="shared" ca="1" si="15"/>
        <v>86553.25</v>
      </c>
      <c r="I21" s="59">
        <f t="shared" ca="1" si="1"/>
        <v>63.048696095571096</v>
      </c>
      <c r="J21" s="60">
        <f t="shared" ca="1" si="25"/>
        <v>86553.25</v>
      </c>
      <c r="K21" s="61">
        <f t="shared" ca="1" si="18"/>
        <v>63.048696095571096</v>
      </c>
      <c r="L21" s="61">
        <f t="shared" ca="1" si="19"/>
        <v>63.048696095571096</v>
      </c>
      <c r="M21" s="64">
        <f ca="1">IFERROR(__xludf.DUMMYFUNCTION("IMPORTRANGE(""https://docs.google.com/spreadsheets/d/1Y9LPKx95PyL5OKy09d-KbKJSuuEZCFdkhYjwC0XQjBA/edit?usp=sharing"",""พิจิตร!N792"")"),0)</f>
        <v>0</v>
      </c>
      <c r="N21" s="64">
        <f ca="1">IFERROR(__xludf.DUMMYFUNCTION("IMPORTRANGE(""https://docs.google.com/spreadsheets/d/1Y9LPKx95PyL5OKy09d-KbKJSuuEZCFdkhYjwC0XQjBA/edit?usp=sharing"",""พิจิตร!N793"")"),0)</f>
        <v>0</v>
      </c>
      <c r="O21" s="64">
        <f ca="1">IFERROR(__xludf.DUMMYFUNCTION("IMPORTRANGE(""https://docs.google.com/spreadsheets/d/1Y9LPKx95PyL5OKy09d-KbKJSuuEZCFdkhYjwC0XQjBA/edit?usp=sharing"",""พิจิตร!N794"")"),48333.25)</f>
        <v>48333.25</v>
      </c>
      <c r="P21" s="64">
        <f ca="1">IFERROR(__xludf.DUMMYFUNCTION("IMPORTRANGE(""https://docs.google.com/spreadsheets/d/1Y9LPKx95PyL5OKy09d-KbKJSuuEZCFdkhYjwC0XQjBA/edit?usp=sharing"",""พิจิตร!N795"")"),38220)</f>
        <v>38220</v>
      </c>
      <c r="Q21" s="62">
        <f ca="1">IFERROR(__xludf.DUMMYFUNCTION("IMPORTRANGE(""https://docs.google.com/spreadsheets/d/1Y9LPKx95PyL5OKy09d-KbKJSuuEZCFdkhYjwC0XQjBA/edit?usp=sharing"",""พิจิตร!N798"")"),0)</f>
        <v>0</v>
      </c>
      <c r="R21" s="62">
        <f t="shared" ca="1" si="21"/>
        <v>0</v>
      </c>
      <c r="S21" s="57">
        <f ca="1">IFERROR(__xludf.DUMMYFUNCTION("IMPORTRANGE(""https://docs.google.com/spreadsheets/d/1Y9LPKx95PyL5OKy09d-KbKJSuuEZCFdkhYjwC0XQjBA/edit?usp=sharing"",""พิจิตร!I785"")"),2000)</f>
        <v>2000</v>
      </c>
      <c r="T21" s="57">
        <f t="shared" ca="1" si="26"/>
        <v>2089</v>
      </c>
      <c r="U21" s="63">
        <f t="shared" ca="1" si="16"/>
        <v>104.45</v>
      </c>
      <c r="V21" s="57">
        <f ca="1">IFERROR(__xludf.DUMMYFUNCTION("IMPORTRANGE(""https://docs.google.com/spreadsheets/d/1Y9LPKx95PyL5OKy09d-KbKJSuuEZCFdkhYjwC0XQjBA/edit?usp=sharing"",""พิจิตร!J801"")"),2089)</f>
        <v>2089</v>
      </c>
      <c r="W21" s="57">
        <f ca="1">IFERROR(__xludf.DUMMYFUNCTION("IMPORTRANGE(""https://docs.google.com/spreadsheets/d/1Y9LPKx95PyL5OKy09d-KbKJSuuEZCFdkhYjwC0XQjBA/edit?usp=sharing"",""พิจิตร!J800"")"),89)</f>
        <v>89</v>
      </c>
      <c r="X21" s="57">
        <f ca="1">IFERROR(__xludf.DUMMYFUNCTION("IMPORTRANGE(""https://docs.google.com/spreadsheets/d/1Y9LPKx95PyL5OKy09d-KbKJSuuEZCFdkhYjwC0XQjBA/edit?usp=sharing"",""พิจิตร!J803"")"),0)</f>
        <v>0</v>
      </c>
      <c r="Y21" s="57">
        <f ca="1">IFERROR(__xludf.DUMMYFUNCTION("IMPORTRANGE(""https://docs.google.com/spreadsheets/d/1Y9LPKx95PyL5OKy09d-KbKJSuuEZCFdkhYjwC0XQjBA/edit?usp=sharing"",""พิจิตร!J802"")"),0)</f>
        <v>0</v>
      </c>
    </row>
    <row r="22" spans="1:25" ht="24" customHeight="1" x14ac:dyDescent="0.3">
      <c r="A22" s="54">
        <v>9</v>
      </c>
      <c r="B22" s="55" t="s">
        <v>43</v>
      </c>
      <c r="C22" s="56">
        <f t="shared" ca="1" si="24"/>
        <v>266560</v>
      </c>
      <c r="D22" s="57">
        <f ca="1">IFERROR(__xludf.DUMMYFUNCTION("IMPORTRANGE(""https://docs.google.com/spreadsheets/d/16OMuOwy2eVqZcYWOouQtTpa8X1L23h4660uVHc0C8os/edit?usp=sharing"",""พิษณุโลก!L791"")"),266560)</f>
        <v>266560</v>
      </c>
      <c r="E22" s="64">
        <f ca="1">IFERROR(__xludf.DUMMYFUNCTION("IMPORTRANGE(""https://docs.google.com/spreadsheets/d/16OMuOwy2eVqZcYWOouQtTpa8X1L23h4660uVHc0C8os/edit?usp=sharing"",""พิษณุโลก!L798"")"),0)</f>
        <v>0</v>
      </c>
      <c r="F22" s="64">
        <f ca="1">IFERROR(__xludf.DUMMYFUNCTION("IMPORTRANGE(""https://docs.google.com/spreadsheets/d/16OMuOwy2eVqZcYWOouQtTpa8X1L23h4660uVHc0C8os/edit?usp=sharing"",""พิษณุโลก!M791"")"),266560)</f>
        <v>266560</v>
      </c>
      <c r="G22" s="64">
        <f ca="1">IFERROR(__xludf.DUMMYFUNCTION("IMPORTRANGE(""https://docs.google.com/spreadsheets/d/16OMuOwy2eVqZcYWOouQtTpa8X1L23h4660uVHc0C8os/edit?usp=sharing"",""พิษณุโลก!M798"")"),0)</f>
        <v>0</v>
      </c>
      <c r="H22" s="58">
        <f t="shared" ca="1" si="15"/>
        <v>113927.36</v>
      </c>
      <c r="I22" s="59">
        <f t="shared" ca="1" si="1"/>
        <v>42.739855942376948</v>
      </c>
      <c r="J22" s="60">
        <f t="shared" ca="1" si="25"/>
        <v>113927.36</v>
      </c>
      <c r="K22" s="61">
        <f t="shared" ca="1" si="18"/>
        <v>42.739855942376948</v>
      </c>
      <c r="L22" s="61">
        <f t="shared" ca="1" si="19"/>
        <v>42.739855942376948</v>
      </c>
      <c r="M22" s="64">
        <f ca="1">IFERROR(__xludf.DUMMYFUNCTION("IMPORTRANGE(""https://docs.google.com/spreadsheets/d/16OMuOwy2eVqZcYWOouQtTpa8X1L23h4660uVHc0C8os/edit?usp=sharing"",""พิษณุโลก!N792"")"),0)</f>
        <v>0</v>
      </c>
      <c r="N22" s="64">
        <f ca="1">IFERROR(__xludf.DUMMYFUNCTION("IMPORTRANGE(""https://docs.google.com/spreadsheets/d/16OMuOwy2eVqZcYWOouQtTpa8X1L23h4660uVHc0C8os/edit?usp=sharing"",""พิษณุโลก!N793"")"),0)</f>
        <v>0</v>
      </c>
      <c r="O22" s="64">
        <f ca="1">IFERROR(__xludf.DUMMYFUNCTION("IMPORTRANGE(""https://docs.google.com/spreadsheets/d/16OMuOwy2eVqZcYWOouQtTpa8X1L23h4660uVHc0C8os/edit?usp=sharing"",""พิษณุโลก!N794"")"),60783.36)</f>
        <v>60783.360000000001</v>
      </c>
      <c r="P22" s="64">
        <f ca="1">IFERROR(__xludf.DUMMYFUNCTION("IMPORTRANGE(""https://docs.google.com/spreadsheets/d/16OMuOwy2eVqZcYWOouQtTpa8X1L23h4660uVHc0C8os/edit?usp=sharing"",""พิษณุโลก!N795"")"),53144)</f>
        <v>53144</v>
      </c>
      <c r="Q22" s="62">
        <f ca="1">IFERROR(__xludf.DUMMYFUNCTION("IMPORTRANGE(""https://docs.google.com/spreadsheets/d/16OMuOwy2eVqZcYWOouQtTpa8X1L23h4660uVHc0C8os/edit?usp=sharing"",""พิษณุโลก!N798"")"),0)</f>
        <v>0</v>
      </c>
      <c r="R22" s="62">
        <f t="shared" ca="1" si="21"/>
        <v>0</v>
      </c>
      <c r="S22" s="57">
        <f ca="1">IFERROR(__xludf.DUMMYFUNCTION("IMPORTRANGE(""https://docs.google.com/spreadsheets/d/16OMuOwy2eVqZcYWOouQtTpa8X1L23h4660uVHc0C8os/edit?usp=sharing"",""พิษณุโลก!I785"")"),4000)</f>
        <v>4000</v>
      </c>
      <c r="T22" s="57">
        <f t="shared" ca="1" si="26"/>
        <v>1835</v>
      </c>
      <c r="U22" s="63">
        <f t="shared" ca="1" si="16"/>
        <v>45.875</v>
      </c>
      <c r="V22" s="57">
        <f ca="1">IFERROR(__xludf.DUMMYFUNCTION("IMPORTRANGE(""https://docs.google.com/spreadsheets/d/16OMuOwy2eVqZcYWOouQtTpa8X1L23h4660uVHc0C8os/edit?usp=sharing"",""พิษณุโลก!J801"")"),1835)</f>
        <v>1835</v>
      </c>
      <c r="W22" s="57">
        <f ca="1">IFERROR(__xludf.DUMMYFUNCTION("IMPORTRANGE(""https://docs.google.com/spreadsheets/d/16OMuOwy2eVqZcYWOouQtTpa8X1L23h4660uVHc0C8os/edit?usp=sharing"",""พิษณุโลก!J800"")"),138)</f>
        <v>138</v>
      </c>
      <c r="X22" s="57">
        <f ca="1">IFERROR(__xludf.DUMMYFUNCTION("IMPORTRANGE(""https://docs.google.com/spreadsheets/d/16OMuOwy2eVqZcYWOouQtTpa8X1L23h4660uVHc0C8os/edit?usp=sharing"",""พิษณุโลก!J803"")"),0)</f>
        <v>0</v>
      </c>
      <c r="Y22" s="57">
        <f ca="1">IFERROR(__xludf.DUMMYFUNCTION("IMPORTRANGE(""https://docs.google.com/spreadsheets/d/16OMuOwy2eVqZcYWOouQtTpa8X1L23h4660uVHc0C8os/edit?usp=sharing"",""พิษณุโลก!J802"")"),0)</f>
        <v>0</v>
      </c>
    </row>
    <row r="23" spans="1:25" ht="24" customHeight="1" x14ac:dyDescent="0.3">
      <c r="A23" s="54">
        <v>10</v>
      </c>
      <c r="B23" s="55" t="s">
        <v>44</v>
      </c>
      <c r="C23" s="56">
        <f t="shared" ca="1" si="24"/>
        <v>274560</v>
      </c>
      <c r="D23" s="57">
        <f ca="1">IFERROR(__xludf.DUMMYFUNCTION("IMPORTRANGE(""https://docs.google.com/spreadsheets/d/1GfgTldLG6k77HXaMQzaafODklYuucJZQNs_GAPEfZyY/edit?usp=sharing"",""เพชรบูรณ์!L791"")"),274560)</f>
        <v>274560</v>
      </c>
      <c r="E23" s="64">
        <f ca="1">IFERROR(__xludf.DUMMYFUNCTION("IMPORTRANGE(""https://docs.google.com/spreadsheets/d/1GfgTldLG6k77HXaMQzaafODklYuucJZQNs_GAPEfZyY/edit?usp=sharing"",""เพชรบูรณ์!L798"")"),0)</f>
        <v>0</v>
      </c>
      <c r="F23" s="64">
        <f ca="1">IFERROR(__xludf.DUMMYFUNCTION("IMPORTRANGE(""https://docs.google.com/spreadsheets/d/1GfgTldLG6k77HXaMQzaafODklYuucJZQNs_GAPEfZyY/edit?usp=sharing"",""เพชรบูรณ์!M791"")"),274560)</f>
        <v>274560</v>
      </c>
      <c r="G23" s="64">
        <f ca="1">IFERROR(__xludf.DUMMYFUNCTION("IMPORTRANGE(""https://docs.google.com/spreadsheets/d/1GfgTldLG6k77HXaMQzaafODklYuucJZQNs_GAPEfZyY/edit?usp=sharing"",""เพชรบูรณ์!M798"")"),0)</f>
        <v>0</v>
      </c>
      <c r="H23" s="58">
        <f t="shared" ca="1" si="15"/>
        <v>37720</v>
      </c>
      <c r="I23" s="59">
        <f t="shared" ca="1" si="1"/>
        <v>13.738344988344988</v>
      </c>
      <c r="J23" s="60">
        <f t="shared" ca="1" si="25"/>
        <v>37720</v>
      </c>
      <c r="K23" s="61">
        <f t="shared" ca="1" si="18"/>
        <v>13.738344988344988</v>
      </c>
      <c r="L23" s="61">
        <f t="shared" ca="1" si="19"/>
        <v>13.738344988344988</v>
      </c>
      <c r="M23" s="64">
        <f ca="1">IFERROR(__xludf.DUMMYFUNCTION("IMPORTRANGE(""https://docs.google.com/spreadsheets/d/1GfgTldLG6k77HXaMQzaafODklYuucJZQNs_GAPEfZyY/edit?usp=sharing"",""เพชรบูรณ์!N792"")"),0)</f>
        <v>0</v>
      </c>
      <c r="N23" s="64">
        <f ca="1">IFERROR(__xludf.DUMMYFUNCTION("IMPORTRANGE(""https://docs.google.com/spreadsheets/d/1GfgTldLG6k77HXaMQzaafODklYuucJZQNs_GAPEfZyY/edit?usp=sharing"",""เพชรบูรณ์!N793"")"),33440)</f>
        <v>33440</v>
      </c>
      <c r="O23" s="64">
        <f ca="1">IFERROR(__xludf.DUMMYFUNCTION("IMPORTRANGE(""https://docs.google.com/spreadsheets/d/1GfgTldLG6k77HXaMQzaafODklYuucJZQNs_GAPEfZyY/edit?usp=sharing"",""เพชรบูรณ์!N794"")"),0)</f>
        <v>0</v>
      </c>
      <c r="P23" s="64">
        <f ca="1">IFERROR(__xludf.DUMMYFUNCTION("IMPORTRANGE(""https://docs.google.com/spreadsheets/d/1GfgTldLG6k77HXaMQzaafODklYuucJZQNs_GAPEfZyY/edit?usp=sharing"",""เพชรบูรณ์!N795"")"),4280)</f>
        <v>4280</v>
      </c>
      <c r="Q23" s="62">
        <f ca="1">IFERROR(__xludf.DUMMYFUNCTION("IMPORTRANGE(""https://docs.google.com/spreadsheets/d/1GfgTldLG6k77HXaMQzaafODklYuucJZQNs_GAPEfZyY/edit?usp=sharing"",""เพชรบูรณ์!N798"")"),0)</f>
        <v>0</v>
      </c>
      <c r="R23" s="62">
        <f t="shared" ca="1" si="21"/>
        <v>0</v>
      </c>
      <c r="S23" s="57">
        <f ca="1">IFERROR(__xludf.DUMMYFUNCTION("IMPORTRANGE(""https://docs.google.com/spreadsheets/d/1GfgTldLG6k77HXaMQzaafODklYuucJZQNs_GAPEfZyY/edit?usp=sharing"",""เพชรบูรณ์!I785"")"),38000)</f>
        <v>38000</v>
      </c>
      <c r="T23" s="57">
        <f t="shared" ca="1" si="26"/>
        <v>15118</v>
      </c>
      <c r="U23" s="63">
        <f t="shared" ca="1" si="16"/>
        <v>39.784210526315789</v>
      </c>
      <c r="V23" s="57">
        <f ca="1">IFERROR(__xludf.DUMMYFUNCTION("IMPORTRANGE(""https://docs.google.com/spreadsheets/d/1GfgTldLG6k77HXaMQzaafODklYuucJZQNs_GAPEfZyY/edit?usp=sharing"",""เพชรบูรณ์!J801"")"),99)</f>
        <v>99</v>
      </c>
      <c r="W23" s="57">
        <f ca="1">IFERROR(__xludf.DUMMYFUNCTION("IMPORTRANGE(""https://docs.google.com/spreadsheets/d/1GfgTldLG6k77HXaMQzaafODklYuucJZQNs_GAPEfZyY/edit?usp=sharing"",""เพชรบูรณ์!J800"")"),8)</f>
        <v>8</v>
      </c>
      <c r="X23" s="57">
        <f ca="1">IFERROR(__xludf.DUMMYFUNCTION("IMPORTRANGE(""https://docs.google.com/spreadsheets/d/1GfgTldLG6k77HXaMQzaafODklYuucJZQNs_GAPEfZyY/edit?usp=sharing"",""เพชรบูรณ์!J803"")"),15019)</f>
        <v>15019</v>
      </c>
      <c r="Y23" s="57">
        <f ca="1">IFERROR(__xludf.DUMMYFUNCTION("IMPORTRANGE(""https://docs.google.com/spreadsheets/d/1GfgTldLG6k77HXaMQzaafODklYuucJZQNs_GAPEfZyY/edit?usp=sharing"",""เพชรบูรณ์!J802"")"),784)</f>
        <v>784</v>
      </c>
    </row>
    <row r="24" spans="1:25" ht="24" customHeight="1" x14ac:dyDescent="0.3">
      <c r="A24" s="54">
        <v>11</v>
      </c>
      <c r="B24" s="55" t="s">
        <v>45</v>
      </c>
      <c r="C24" s="56">
        <f t="shared" ca="1" si="24"/>
        <v>0</v>
      </c>
      <c r="D24" s="57">
        <f ca="1">IFERROR(__xludf.DUMMYFUNCTION("IMPORTRANGE(""https://docs.google.com/spreadsheets/d/1gvTMYAnm7v1yG1BKWFtr0DnaTsq59oW9dwWvFgq6hs0/edit?usp=sharing"",""แพร่!L791"")"),0)</f>
        <v>0</v>
      </c>
      <c r="E24" s="64">
        <f ca="1">IFERROR(__xludf.DUMMYFUNCTION("IMPORTRANGE(""https://docs.google.com/spreadsheets/d/1gvTMYAnm7v1yG1BKWFtr0DnaTsq59oW9dwWvFgq6hs0/edit?usp=sharing"",""แพร่!L798"")"),0)</f>
        <v>0</v>
      </c>
      <c r="F24" s="64">
        <f ca="1">IFERROR(__xludf.DUMMYFUNCTION("IMPORTRANGE(""https://docs.google.com/spreadsheets/d/1gvTMYAnm7v1yG1BKWFtr0DnaTsq59oW9dwWvFgq6hs0/edit?usp=sharing"",""แพร่!M791"")"),0)</f>
        <v>0</v>
      </c>
      <c r="G24" s="64">
        <f ca="1">IFERROR(__xludf.DUMMYFUNCTION("IMPORTRANGE(""https://docs.google.com/spreadsheets/d/1gvTMYAnm7v1yG1BKWFtr0DnaTsq59oW9dwWvFgq6hs0/edit?usp=sharing"",""แพร่!M798"")"),0)</f>
        <v>0</v>
      </c>
      <c r="H24" s="58">
        <f t="shared" ca="1" si="15"/>
        <v>0</v>
      </c>
      <c r="I24" s="59">
        <f t="shared" ca="1" si="1"/>
        <v>0</v>
      </c>
      <c r="J24" s="60">
        <f t="shared" ca="1" si="25"/>
        <v>0</v>
      </c>
      <c r="K24" s="61">
        <f t="shared" ca="1" si="18"/>
        <v>0</v>
      </c>
      <c r="L24" s="61">
        <f t="shared" ca="1" si="19"/>
        <v>0</v>
      </c>
      <c r="M24" s="64">
        <f ca="1">IFERROR(__xludf.DUMMYFUNCTION("IMPORTRANGE(""https://docs.google.com/spreadsheets/d/1gvTMYAnm7v1yG1BKWFtr0DnaTsq59oW9dwWvFgq6hs0/edit?usp=sharing"",""แพร่!N792"")"),0)</f>
        <v>0</v>
      </c>
      <c r="N24" s="64">
        <f ca="1">IFERROR(__xludf.DUMMYFUNCTION("IMPORTRANGE(""https://docs.google.com/spreadsheets/d/1gvTMYAnm7v1yG1BKWFtr0DnaTsq59oW9dwWvFgq6hs0/edit?usp=sharing"",""แพร่!N793"")"),0)</f>
        <v>0</v>
      </c>
      <c r="O24" s="64">
        <f ca="1">IFERROR(__xludf.DUMMYFUNCTION("IMPORTRANGE(""https://docs.google.com/spreadsheets/d/1gvTMYAnm7v1yG1BKWFtr0DnaTsq59oW9dwWvFgq6hs0/edit?usp=sharing"",""แพร่!N794"")"),0)</f>
        <v>0</v>
      </c>
      <c r="P24" s="64">
        <f ca="1">IFERROR(__xludf.DUMMYFUNCTION("IMPORTRANGE(""https://docs.google.com/spreadsheets/d/1gvTMYAnm7v1yG1BKWFtr0DnaTsq59oW9dwWvFgq6hs0/edit?usp=sharing"",""แพร่!N795"")"),0)</f>
        <v>0</v>
      </c>
      <c r="Q24" s="62">
        <f ca="1">IFERROR(__xludf.DUMMYFUNCTION("IMPORTRANGE(""https://docs.google.com/spreadsheets/d/1gvTMYAnm7v1yG1BKWFtr0DnaTsq59oW9dwWvFgq6hs0/edit?usp=sharing"",""แพร่!N798"")"),0)</f>
        <v>0</v>
      </c>
      <c r="R24" s="62">
        <f t="shared" ca="1" si="21"/>
        <v>0</v>
      </c>
      <c r="S24" s="57">
        <f ca="1">IFERROR(__xludf.DUMMYFUNCTION("IMPORTRANGE(""https://docs.google.com/spreadsheets/d/1gvTMYAnm7v1yG1BKWFtr0DnaTsq59oW9dwWvFgq6hs0/edit?usp=sharing"",""แพร่!I785"")"),0)</f>
        <v>0</v>
      </c>
      <c r="T24" s="57">
        <f t="shared" ca="1" si="26"/>
        <v>0</v>
      </c>
      <c r="U24" s="63">
        <f t="shared" ca="1" si="16"/>
        <v>0</v>
      </c>
      <c r="V24" s="57">
        <f ca="1">IFERROR(__xludf.DUMMYFUNCTION("IMPORTRANGE(""https://docs.google.com/spreadsheets/d/1gvTMYAnm7v1yG1BKWFtr0DnaTsq59oW9dwWvFgq6hs0/edit?usp=sharing"",""แพร่!J801"")"),0)</f>
        <v>0</v>
      </c>
      <c r="W24" s="57">
        <f ca="1">IFERROR(__xludf.DUMMYFUNCTION("IMPORTRANGE(""https://docs.google.com/spreadsheets/d/1gvTMYAnm7v1yG1BKWFtr0DnaTsq59oW9dwWvFgq6hs0/edit?usp=sharing"",""แพร่!J800"")"),0)</f>
        <v>0</v>
      </c>
      <c r="X24" s="57">
        <f ca="1">IFERROR(__xludf.DUMMYFUNCTION("IMPORTRANGE(""https://docs.google.com/spreadsheets/d/1gvTMYAnm7v1yG1BKWFtr0DnaTsq59oW9dwWvFgq6hs0/edit?usp=sharing"",""แพร่!J803"")"),0)</f>
        <v>0</v>
      </c>
      <c r="Y24" s="57">
        <f ca="1">IFERROR(__xludf.DUMMYFUNCTION("IMPORTRANGE(""https://docs.google.com/spreadsheets/d/1gvTMYAnm7v1yG1BKWFtr0DnaTsq59oW9dwWvFgq6hs0/edit?usp=sharing"",""แพร่!J802"")"),0)</f>
        <v>0</v>
      </c>
    </row>
    <row r="25" spans="1:25" ht="24" customHeight="1" x14ac:dyDescent="0.3">
      <c r="A25" s="54">
        <v>12</v>
      </c>
      <c r="B25" s="55" t="s">
        <v>46</v>
      </c>
      <c r="C25" s="56">
        <f t="shared" ca="1" si="24"/>
        <v>0</v>
      </c>
      <c r="D25" s="57">
        <f ca="1">IFERROR(__xludf.DUMMYFUNCTION("IMPORTRANGE(""https://docs.google.com/spreadsheets/d/1Wbcosgy-Xa1xXUArJSOenub6EfZHUSzc_bpJFWwQUf0/edit?usp=sharing"",""แม่ฮ่องสอน!L791"")"),0)</f>
        <v>0</v>
      </c>
      <c r="E25" s="64">
        <f ca="1">IFERROR(__xludf.DUMMYFUNCTION("IMPORTRANGE(""https://docs.google.com/spreadsheets/d/1Wbcosgy-Xa1xXUArJSOenub6EfZHUSzc_bpJFWwQUf0/edit?usp=sharing"",""แม่ฮ่องสอน!L798"")"),0)</f>
        <v>0</v>
      </c>
      <c r="F25" s="64">
        <f ca="1">IFERROR(__xludf.DUMMYFUNCTION("IMPORTRANGE(""https://docs.google.com/spreadsheets/d/1Wbcosgy-Xa1xXUArJSOenub6EfZHUSzc_bpJFWwQUf0/edit?usp=sharing"",""แม่ฮ่องสอน!M791"")"),0)</f>
        <v>0</v>
      </c>
      <c r="G25" s="64">
        <f ca="1">IFERROR(__xludf.DUMMYFUNCTION("IMPORTRANGE(""https://docs.google.com/spreadsheets/d/1Wbcosgy-Xa1xXUArJSOenub6EfZHUSzc_bpJFWwQUf0/edit?usp=sharing"",""แม่ฮ่องสอน!M798"")"),0)</f>
        <v>0</v>
      </c>
      <c r="H25" s="58">
        <f t="shared" ca="1" si="15"/>
        <v>0</v>
      </c>
      <c r="I25" s="59">
        <f t="shared" ca="1" si="1"/>
        <v>0</v>
      </c>
      <c r="J25" s="60">
        <f t="shared" ca="1" si="25"/>
        <v>0</v>
      </c>
      <c r="K25" s="61">
        <f t="shared" ca="1" si="18"/>
        <v>0</v>
      </c>
      <c r="L25" s="61">
        <f t="shared" ca="1" si="19"/>
        <v>0</v>
      </c>
      <c r="M25" s="64">
        <f ca="1">IFERROR(__xludf.DUMMYFUNCTION("IMPORTRANGE(""https://docs.google.com/spreadsheets/d/1Wbcosgy-Xa1xXUArJSOenub6EfZHUSzc_bpJFWwQUf0/edit?usp=sharing"",""แม่ฮ่องสอน!N792"")"),0)</f>
        <v>0</v>
      </c>
      <c r="N25" s="64">
        <f ca="1">IFERROR(__xludf.DUMMYFUNCTION("IMPORTRANGE(""https://docs.google.com/spreadsheets/d/1Wbcosgy-Xa1xXUArJSOenub6EfZHUSzc_bpJFWwQUf0/edit?usp=sharing"",""แม่ฮ่องสอน!N793"")"),0)</f>
        <v>0</v>
      </c>
      <c r="O25" s="64">
        <f ca="1">IFERROR(__xludf.DUMMYFUNCTION("IMPORTRANGE(""https://docs.google.com/spreadsheets/d/1Wbcosgy-Xa1xXUArJSOenub6EfZHUSzc_bpJFWwQUf0/edit?usp=sharing"",""แม่ฮ่องสอน!N794"")"),0)</f>
        <v>0</v>
      </c>
      <c r="P25" s="64">
        <f ca="1">IFERROR(__xludf.DUMMYFUNCTION("IMPORTRANGE(""https://docs.google.com/spreadsheets/d/1Wbcosgy-Xa1xXUArJSOenub6EfZHUSzc_bpJFWwQUf0/edit?usp=sharing"",""แม่ฮ่องสอน!N795"")"),0)</f>
        <v>0</v>
      </c>
      <c r="Q25" s="62">
        <f ca="1">IFERROR(__xludf.DUMMYFUNCTION("IMPORTRANGE(""https://docs.google.com/spreadsheets/d/1Wbcosgy-Xa1xXUArJSOenub6EfZHUSzc_bpJFWwQUf0/edit?usp=sharing"",""แม่ฮ่องสอน!N798"")"),0)</f>
        <v>0</v>
      </c>
      <c r="R25" s="62">
        <f t="shared" ca="1" si="21"/>
        <v>0</v>
      </c>
      <c r="S25" s="57">
        <f ca="1">IFERROR(__xludf.DUMMYFUNCTION("IMPORTRANGE(""https://docs.google.com/spreadsheets/d/1Wbcosgy-Xa1xXUArJSOenub6EfZHUSzc_bpJFWwQUf0/edit?usp=sharing"",""แม่ฮ่องสอน!I785"")"),0)</f>
        <v>0</v>
      </c>
      <c r="T25" s="57">
        <f t="shared" ca="1" si="26"/>
        <v>0</v>
      </c>
      <c r="U25" s="63">
        <f t="shared" ca="1" si="16"/>
        <v>0</v>
      </c>
      <c r="V25" s="57">
        <f ca="1">IFERROR(__xludf.DUMMYFUNCTION("IMPORTRANGE(""https://docs.google.com/spreadsheets/d/1Wbcosgy-Xa1xXUArJSOenub6EfZHUSzc_bpJFWwQUf0/edit?usp=sharing"",""แม่ฮ่องสอน!J801"")"),0)</f>
        <v>0</v>
      </c>
      <c r="W25" s="57">
        <f ca="1">IFERROR(__xludf.DUMMYFUNCTION("IMPORTRANGE(""https://docs.google.com/spreadsheets/d/1Wbcosgy-Xa1xXUArJSOenub6EfZHUSzc_bpJFWwQUf0/edit?usp=sharing"",""แม่ฮ่องสอน!J800"")"),0)</f>
        <v>0</v>
      </c>
      <c r="X25" s="57">
        <f ca="1">IFERROR(__xludf.DUMMYFUNCTION("IMPORTRANGE(""https://docs.google.com/spreadsheets/d/1Wbcosgy-Xa1xXUArJSOenub6EfZHUSzc_bpJFWwQUf0/edit?usp=sharing"",""แม่ฮ่องสอน!J803"")"),0)</f>
        <v>0</v>
      </c>
      <c r="Y25" s="57">
        <f ca="1">IFERROR(__xludf.DUMMYFUNCTION("IMPORTRANGE(""https://docs.google.com/spreadsheets/d/1Wbcosgy-Xa1xXUArJSOenub6EfZHUSzc_bpJFWwQUf0/edit?usp=sharing"",""แม่ฮ่องสอน!J802"")"),0)</f>
        <v>0</v>
      </c>
    </row>
    <row r="26" spans="1:25" ht="24" customHeight="1" x14ac:dyDescent="0.3">
      <c r="A26" s="54">
        <v>13</v>
      </c>
      <c r="B26" s="55" t="s">
        <v>47</v>
      </c>
      <c r="C26" s="56">
        <f t="shared" ca="1" si="24"/>
        <v>197920</v>
      </c>
      <c r="D26" s="57">
        <f ca="1">IFERROR(__xludf.DUMMYFUNCTION("IMPORTRANGE(""https://docs.google.com/spreadsheets/d/1p7ERhsr0qZeSn-KSOdeHS9r0heI-lHtkcn2OH7hP0jQ/edit?usp=sharing"",""ลำปาง!L791"")"),197920)</f>
        <v>197920</v>
      </c>
      <c r="E26" s="64">
        <f ca="1">IFERROR(__xludf.DUMMYFUNCTION("IMPORTRANGE(""https://docs.google.com/spreadsheets/d/1p7ERhsr0qZeSn-KSOdeHS9r0heI-lHtkcn2OH7hP0jQ/edit?usp=sharing"",""ลำปาง!L798"")"),0)</f>
        <v>0</v>
      </c>
      <c r="F26" s="64">
        <f ca="1">IFERROR(__xludf.DUMMYFUNCTION("IMPORTRANGE(""https://docs.google.com/spreadsheets/d/1p7ERhsr0qZeSn-KSOdeHS9r0heI-lHtkcn2OH7hP0jQ/edit?usp=sharing"",""ลำปาง!M791"")"),197920)</f>
        <v>197920</v>
      </c>
      <c r="G26" s="64">
        <f ca="1">IFERROR(__xludf.DUMMYFUNCTION("IMPORTRANGE(""https://docs.google.com/spreadsheets/d/1p7ERhsr0qZeSn-KSOdeHS9r0heI-lHtkcn2OH7hP0jQ/edit?usp=sharing"",""ลำปาง!M798"")"),0)</f>
        <v>0</v>
      </c>
      <c r="H26" s="58">
        <f t="shared" ca="1" si="15"/>
        <v>108901.42</v>
      </c>
      <c r="I26" s="59">
        <f t="shared" ca="1" si="1"/>
        <v>55.022948666127725</v>
      </c>
      <c r="J26" s="60">
        <f t="shared" ca="1" si="25"/>
        <v>108901.42</v>
      </c>
      <c r="K26" s="61">
        <f t="shared" ca="1" si="18"/>
        <v>55.022948666127725</v>
      </c>
      <c r="L26" s="61">
        <f t="shared" ca="1" si="19"/>
        <v>55.022948666127725</v>
      </c>
      <c r="M26" s="64">
        <f ca="1">IFERROR(__xludf.DUMMYFUNCTION("IMPORTRANGE(""https://docs.google.com/spreadsheets/d/1p7ERhsr0qZeSn-KSOdeHS9r0heI-lHtkcn2OH7hP0jQ/edit?usp=sharing"",""ลำปาง!N792"")"),0)</f>
        <v>0</v>
      </c>
      <c r="N26" s="64">
        <f ca="1">IFERROR(__xludf.DUMMYFUNCTION("IMPORTRANGE(""https://docs.google.com/spreadsheets/d/1p7ERhsr0qZeSn-KSOdeHS9r0heI-lHtkcn2OH7hP0jQ/edit?usp=sharing"",""ลำปาง!N793"")"),0)</f>
        <v>0</v>
      </c>
      <c r="O26" s="64">
        <f ca="1">IFERROR(__xludf.DUMMYFUNCTION("IMPORTRANGE(""https://docs.google.com/spreadsheets/d/1p7ERhsr0qZeSn-KSOdeHS9r0heI-lHtkcn2OH7hP0jQ/edit?usp=sharing"",""ลำปาง!N794"")"),49833.35)</f>
        <v>49833.35</v>
      </c>
      <c r="P26" s="64">
        <f ca="1">IFERROR(__xludf.DUMMYFUNCTION("IMPORTRANGE(""https://docs.google.com/spreadsheets/d/1p7ERhsr0qZeSn-KSOdeHS9r0heI-lHtkcn2OH7hP0jQ/edit?usp=sharing"",""ลำปาง!N795"")"),59068.07)</f>
        <v>59068.07</v>
      </c>
      <c r="Q26" s="62">
        <f ca="1">IFERROR(__xludf.DUMMYFUNCTION("IMPORTRANGE(""https://docs.google.com/spreadsheets/d/1p7ERhsr0qZeSn-KSOdeHS9r0heI-lHtkcn2OH7hP0jQ/edit?usp=sharing"",""ลำปาง!N798"")"),0)</f>
        <v>0</v>
      </c>
      <c r="R26" s="62">
        <f t="shared" ca="1" si="21"/>
        <v>0</v>
      </c>
      <c r="S26" s="57">
        <f ca="1">IFERROR(__xludf.DUMMYFUNCTION("IMPORTRANGE(""https://docs.google.com/spreadsheets/d/1p7ERhsr0qZeSn-KSOdeHS9r0heI-lHtkcn2OH7hP0jQ/edit?usp=sharing"",""ลำปาง!I785"")"),3000)</f>
        <v>3000</v>
      </c>
      <c r="T26" s="57">
        <f t="shared" ca="1" si="26"/>
        <v>1694</v>
      </c>
      <c r="U26" s="63">
        <f t="shared" ca="1" si="16"/>
        <v>56.466666666666669</v>
      </c>
      <c r="V26" s="57">
        <f ca="1">IFERROR(__xludf.DUMMYFUNCTION("IMPORTRANGE(""https://docs.google.com/spreadsheets/d/1p7ERhsr0qZeSn-KSOdeHS9r0heI-lHtkcn2OH7hP0jQ/edit?usp=sharing"",""ลำปาง!J801"")"),1694)</f>
        <v>1694</v>
      </c>
      <c r="W26" s="57">
        <f ca="1">IFERROR(__xludf.DUMMYFUNCTION("IMPORTRANGE(""https://docs.google.com/spreadsheets/d/1p7ERhsr0qZeSn-KSOdeHS9r0heI-lHtkcn2OH7hP0jQ/edit?usp=sharing"",""ลำปาง!J800"")"),151)</f>
        <v>151</v>
      </c>
      <c r="X26" s="57">
        <f ca="1">IFERROR(__xludf.DUMMYFUNCTION("IMPORTRANGE(""https://docs.google.com/spreadsheets/d/1p7ERhsr0qZeSn-KSOdeHS9r0heI-lHtkcn2OH7hP0jQ/edit?usp=sharing"",""ลำปาง!J803"")"),0)</f>
        <v>0</v>
      </c>
      <c r="Y26" s="57">
        <f ca="1">IFERROR(__xludf.DUMMYFUNCTION("IMPORTRANGE(""https://docs.google.com/spreadsheets/d/1p7ERhsr0qZeSn-KSOdeHS9r0heI-lHtkcn2OH7hP0jQ/edit?usp=sharing"",""ลำปาง!J802"")"),0)</f>
        <v>0</v>
      </c>
    </row>
    <row r="27" spans="1:25" ht="24" customHeight="1" x14ac:dyDescent="0.3">
      <c r="A27" s="54">
        <v>14</v>
      </c>
      <c r="B27" s="55" t="s">
        <v>48</v>
      </c>
      <c r="C27" s="56">
        <f t="shared" ca="1" si="24"/>
        <v>0</v>
      </c>
      <c r="D27" s="57">
        <f ca="1">IFERROR(__xludf.DUMMYFUNCTION("IMPORTRANGE(""https://docs.google.com/spreadsheets/d/1-uUXvimVhiU2U0bMN-xi2te0tS4X7DI2GLPnMjzl8cA/edit?usp=sharing"",""ลำพูน!L791"")"),0)</f>
        <v>0</v>
      </c>
      <c r="E27" s="64">
        <f ca="1">IFERROR(__xludf.DUMMYFUNCTION("IMPORTRANGE(""https://docs.google.com/spreadsheets/d/1-uUXvimVhiU2U0bMN-xi2te0tS4X7DI2GLPnMjzl8cA/edit?usp=sharing"",""ลำพูน!L798"")"),0)</f>
        <v>0</v>
      </c>
      <c r="F27" s="64">
        <f ca="1">IFERROR(__xludf.DUMMYFUNCTION("IMPORTRANGE(""https://docs.google.com/spreadsheets/d/1-uUXvimVhiU2U0bMN-xi2te0tS4X7DI2GLPnMjzl8cA/edit?usp=sharing"",""ลำพูน!M791"")"),0)</f>
        <v>0</v>
      </c>
      <c r="G27" s="64">
        <f ca="1">IFERROR(__xludf.DUMMYFUNCTION("IMPORTRANGE(""https://docs.google.com/spreadsheets/d/1-uUXvimVhiU2U0bMN-xi2te0tS4X7DI2GLPnMjzl8cA/edit?usp=sharing"",""ลำพูน!M798"")"),0)</f>
        <v>0</v>
      </c>
      <c r="H27" s="58">
        <f t="shared" ca="1" si="15"/>
        <v>0</v>
      </c>
      <c r="I27" s="59">
        <f t="shared" ca="1" si="1"/>
        <v>0</v>
      </c>
      <c r="J27" s="60">
        <f t="shared" ca="1" si="25"/>
        <v>0</v>
      </c>
      <c r="K27" s="61">
        <f t="shared" ca="1" si="18"/>
        <v>0</v>
      </c>
      <c r="L27" s="61">
        <f t="shared" ca="1" si="19"/>
        <v>0</v>
      </c>
      <c r="M27" s="64">
        <f ca="1">IFERROR(__xludf.DUMMYFUNCTION("IMPORTRANGE(""https://docs.google.com/spreadsheets/d/1-uUXvimVhiU2U0bMN-xi2te0tS4X7DI2GLPnMjzl8cA/edit?usp=sharing"",""ลำพูน!N792"")"),0)</f>
        <v>0</v>
      </c>
      <c r="N27" s="64">
        <f ca="1">IFERROR(__xludf.DUMMYFUNCTION("IMPORTRANGE(""https://docs.google.com/spreadsheets/d/1-uUXvimVhiU2U0bMN-xi2te0tS4X7DI2GLPnMjzl8cA/edit?usp=sharing"",""ลำพูน!N793"")"),0)</f>
        <v>0</v>
      </c>
      <c r="O27" s="64">
        <f ca="1">IFERROR(__xludf.DUMMYFUNCTION("IMPORTRANGE(""https://docs.google.com/spreadsheets/d/1-uUXvimVhiU2U0bMN-xi2te0tS4X7DI2GLPnMjzl8cA/edit?usp=sharing"",""ลำพูน!N794"")"),0)</f>
        <v>0</v>
      </c>
      <c r="P27" s="64">
        <f ca="1">IFERROR(__xludf.DUMMYFUNCTION("IMPORTRANGE(""https://docs.google.com/spreadsheets/d/1-uUXvimVhiU2U0bMN-xi2te0tS4X7DI2GLPnMjzl8cA/edit?usp=sharing"",""ลำพูน!N795"")"),0)</f>
        <v>0</v>
      </c>
      <c r="Q27" s="62">
        <f ca="1">IFERROR(__xludf.DUMMYFUNCTION("IMPORTRANGE(""https://docs.google.com/spreadsheets/d/1-uUXvimVhiU2U0bMN-xi2te0tS4X7DI2GLPnMjzl8cA/edit?usp=sharing"",""ลำพูน!N798"")"),0)</f>
        <v>0</v>
      </c>
      <c r="R27" s="62">
        <f t="shared" ca="1" si="21"/>
        <v>0</v>
      </c>
      <c r="S27" s="57">
        <f ca="1">IFERROR(__xludf.DUMMYFUNCTION("IMPORTRANGE(""https://docs.google.com/spreadsheets/d/1-uUXvimVhiU2U0bMN-xi2te0tS4X7DI2GLPnMjzl8cA/edit?usp=sharing"",""ลำพูน!I785"")"),0)</f>
        <v>0</v>
      </c>
      <c r="T27" s="57">
        <f t="shared" ca="1" si="26"/>
        <v>0</v>
      </c>
      <c r="U27" s="63">
        <f t="shared" ca="1" si="16"/>
        <v>0</v>
      </c>
      <c r="V27" s="57">
        <f ca="1">IFERROR(__xludf.DUMMYFUNCTION("IMPORTRANGE(""https://docs.google.com/spreadsheets/d/1-uUXvimVhiU2U0bMN-xi2te0tS4X7DI2GLPnMjzl8cA/edit?usp=sharing"",""ลำพูน!J801"")"),0)</f>
        <v>0</v>
      </c>
      <c r="W27" s="57">
        <f ca="1">IFERROR(__xludf.DUMMYFUNCTION("IMPORTRANGE(""https://docs.google.com/spreadsheets/d/1-uUXvimVhiU2U0bMN-xi2te0tS4X7DI2GLPnMjzl8cA/edit?usp=sharing"",""ลำพูน!J800"")"),0)</f>
        <v>0</v>
      </c>
      <c r="X27" s="57">
        <f ca="1">IFERROR(__xludf.DUMMYFUNCTION("IMPORTRANGE(""https://docs.google.com/spreadsheets/d/1-uUXvimVhiU2U0bMN-xi2te0tS4X7DI2GLPnMjzl8cA/edit?usp=sharing"",""ลำพูน!J803"")"),0)</f>
        <v>0</v>
      </c>
      <c r="Y27" s="57">
        <f ca="1">IFERROR(__xludf.DUMMYFUNCTION("IMPORTRANGE(""https://docs.google.com/spreadsheets/d/1-uUXvimVhiU2U0bMN-xi2te0tS4X7DI2GLPnMjzl8cA/edit?usp=sharing"",""ลำพูน!J802"")"),0)</f>
        <v>0</v>
      </c>
    </row>
    <row r="28" spans="1:25" ht="24" customHeight="1" x14ac:dyDescent="0.3">
      <c r="A28" s="54">
        <v>15</v>
      </c>
      <c r="B28" s="55" t="s">
        <v>49</v>
      </c>
      <c r="C28" s="56">
        <f t="shared" ca="1" si="24"/>
        <v>0</v>
      </c>
      <c r="D28" s="57">
        <f ca="1">IFERROR(__xludf.DUMMYFUNCTION("IMPORTRANGE(""https://docs.google.com/spreadsheets/d/17HrOaa5pBUI1onckFfumXB8xlg35qb2uBAFfF1D-Myo/edit?usp=sharing"",""สุโขทัย!L791"")"),0)</f>
        <v>0</v>
      </c>
      <c r="E28" s="64">
        <f ca="1">IFERROR(__xludf.DUMMYFUNCTION("IMPORTRANGE(""https://docs.google.com/spreadsheets/d/17HrOaa5pBUI1onckFfumXB8xlg35qb2uBAFfF1D-Myo/edit?usp=sharing"",""สุโขทัย!L798"")"),0)</f>
        <v>0</v>
      </c>
      <c r="F28" s="64">
        <f ca="1">IFERROR(__xludf.DUMMYFUNCTION("IMPORTRANGE(""https://docs.google.com/spreadsheets/d/17HrOaa5pBUI1onckFfumXB8xlg35qb2uBAFfF1D-Myo/edit?usp=sharing"",""สุโขทัย!M791"")"),0)</f>
        <v>0</v>
      </c>
      <c r="G28" s="64">
        <f ca="1">IFERROR(__xludf.DUMMYFUNCTION("IMPORTRANGE(""https://docs.google.com/spreadsheets/d/17HrOaa5pBUI1onckFfumXB8xlg35qb2uBAFfF1D-Myo/edit?usp=sharing"",""สุโขทัย!M798"")"),0)</f>
        <v>0</v>
      </c>
      <c r="H28" s="58">
        <f t="shared" ca="1" si="15"/>
        <v>0</v>
      </c>
      <c r="I28" s="59">
        <f t="shared" ca="1" si="1"/>
        <v>0</v>
      </c>
      <c r="J28" s="60">
        <f t="shared" ca="1" si="25"/>
        <v>0</v>
      </c>
      <c r="K28" s="61">
        <f t="shared" ca="1" si="18"/>
        <v>0</v>
      </c>
      <c r="L28" s="61">
        <f t="shared" ca="1" si="19"/>
        <v>0</v>
      </c>
      <c r="M28" s="64">
        <f ca="1">IFERROR(__xludf.DUMMYFUNCTION("IMPORTRANGE(""https://docs.google.com/spreadsheets/d/17HrOaa5pBUI1onckFfumXB8xlg35qb2uBAFfF1D-Myo/edit?usp=sharing"",""สุโขทัย!N792"")"),0)</f>
        <v>0</v>
      </c>
      <c r="N28" s="64">
        <f ca="1">IFERROR(__xludf.DUMMYFUNCTION("IMPORTRANGE(""https://docs.google.com/spreadsheets/d/17HrOaa5pBUI1onckFfumXB8xlg35qb2uBAFfF1D-Myo/edit?usp=sharing"",""สุโขทัย!N793"")"),0)</f>
        <v>0</v>
      </c>
      <c r="O28" s="64">
        <f ca="1">IFERROR(__xludf.DUMMYFUNCTION("IMPORTRANGE(""https://docs.google.com/spreadsheets/d/17HrOaa5pBUI1onckFfumXB8xlg35qb2uBAFfF1D-Myo/edit?usp=sharing"",""สุโขทัย!N794"")"),0)</f>
        <v>0</v>
      </c>
      <c r="P28" s="64">
        <f ca="1">IFERROR(__xludf.DUMMYFUNCTION("IMPORTRANGE(""https://docs.google.com/spreadsheets/d/17HrOaa5pBUI1onckFfumXB8xlg35qb2uBAFfF1D-Myo/edit?usp=sharing"",""สุโขทัย!N795"")"),0)</f>
        <v>0</v>
      </c>
      <c r="Q28" s="62">
        <f ca="1">IFERROR(__xludf.DUMMYFUNCTION("IMPORTRANGE(""https://docs.google.com/spreadsheets/d/17HrOaa5pBUI1onckFfumXB8xlg35qb2uBAFfF1D-Myo/edit?usp=sharing"",""สุโขทัย!N798"")"),0)</f>
        <v>0</v>
      </c>
      <c r="R28" s="62">
        <f t="shared" ca="1" si="21"/>
        <v>0</v>
      </c>
      <c r="S28" s="57">
        <f ca="1">IFERROR(__xludf.DUMMYFUNCTION("IMPORTRANGE(""https://docs.google.com/spreadsheets/d/17HrOaa5pBUI1onckFfumXB8xlg35qb2uBAFfF1D-Myo/edit?usp=sharing"",""สุโขทัย!I785"")"),0)</f>
        <v>0</v>
      </c>
      <c r="T28" s="57">
        <f t="shared" ca="1" si="26"/>
        <v>0</v>
      </c>
      <c r="U28" s="63">
        <f t="shared" ca="1" si="16"/>
        <v>0</v>
      </c>
      <c r="V28" s="57">
        <f ca="1">IFERROR(__xludf.DUMMYFUNCTION("IMPORTRANGE(""https://docs.google.com/spreadsheets/d/17HrOaa5pBUI1onckFfumXB8xlg35qb2uBAFfF1D-Myo/edit?usp=sharing"",""สุโขทัย!J801"")"),0)</f>
        <v>0</v>
      </c>
      <c r="W28" s="57">
        <f ca="1">IFERROR(__xludf.DUMMYFUNCTION("IMPORTRANGE(""https://docs.google.com/spreadsheets/d/17HrOaa5pBUI1onckFfumXB8xlg35qb2uBAFfF1D-Myo/edit?usp=sharing"",""สุโขทัย!J800"")"),0)</f>
        <v>0</v>
      </c>
      <c r="X28" s="57">
        <f ca="1">IFERROR(__xludf.DUMMYFUNCTION("IMPORTRANGE(""https://docs.google.com/spreadsheets/d/17HrOaa5pBUI1onckFfumXB8xlg35qb2uBAFfF1D-Myo/edit?usp=sharing"",""สุโขทัย!J803"")"),0)</f>
        <v>0</v>
      </c>
      <c r="Y28" s="57">
        <f ca="1">IFERROR(__xludf.DUMMYFUNCTION("IMPORTRANGE(""https://docs.google.com/spreadsheets/d/17HrOaa5pBUI1onckFfumXB8xlg35qb2uBAFfF1D-Myo/edit?usp=sharing"",""สุโขทัย!J802"")"),0)</f>
        <v>0</v>
      </c>
    </row>
    <row r="29" spans="1:25" ht="24" customHeight="1" x14ac:dyDescent="0.3">
      <c r="A29" s="54">
        <v>16</v>
      </c>
      <c r="B29" s="55" t="s">
        <v>50</v>
      </c>
      <c r="C29" s="56">
        <f t="shared" ca="1" si="24"/>
        <v>319200</v>
      </c>
      <c r="D29" s="57">
        <f ca="1">IFERROR(__xludf.DUMMYFUNCTION("IMPORTRANGE(""https://docs.google.com/spreadsheets/d/1ubs5cl16eYL9gHbdHTJtmtYb9MGzHBs7CAphn8kNCgM/edit?usp=sharing"",""อุตรดิตถ์!L791"")"),319200)</f>
        <v>319200</v>
      </c>
      <c r="E29" s="64">
        <f ca="1">IFERROR(__xludf.DUMMYFUNCTION("IMPORTRANGE(""https://docs.google.com/spreadsheets/d/1ubs5cl16eYL9gHbdHTJtmtYb9MGzHBs7CAphn8kNCgM/edit?usp=sharing"",""อุตรดิตถ์!L798"")"),0)</f>
        <v>0</v>
      </c>
      <c r="F29" s="64">
        <f ca="1">IFERROR(__xludf.DUMMYFUNCTION("IMPORTRANGE(""https://docs.google.com/spreadsheets/d/1ubs5cl16eYL9gHbdHTJtmtYb9MGzHBs7CAphn8kNCgM/edit?usp=sharing"",""อุตรดิตถ์!M791"")"),319200)</f>
        <v>319200</v>
      </c>
      <c r="G29" s="64">
        <f ca="1">IFERROR(__xludf.DUMMYFUNCTION("IMPORTRANGE(""https://docs.google.com/spreadsheets/d/1ubs5cl16eYL9gHbdHTJtmtYb9MGzHBs7CAphn8kNCgM/edit?usp=sharing"",""อุตรดิตถ์!M798"")"),0)</f>
        <v>0</v>
      </c>
      <c r="H29" s="58">
        <f t="shared" ca="1" si="15"/>
        <v>230481</v>
      </c>
      <c r="I29" s="59">
        <f t="shared" ca="1" si="1"/>
        <v>72.205827067669176</v>
      </c>
      <c r="J29" s="60">
        <f t="shared" ca="1" si="25"/>
        <v>230481</v>
      </c>
      <c r="K29" s="61">
        <f t="shared" ca="1" si="18"/>
        <v>72.205827067669176</v>
      </c>
      <c r="L29" s="61">
        <f t="shared" ca="1" si="19"/>
        <v>72.205827067669176</v>
      </c>
      <c r="M29" s="64">
        <f ca="1">IFERROR(__xludf.DUMMYFUNCTION("IMPORTRANGE(""https://docs.google.com/spreadsheets/d/1ubs5cl16eYL9gHbdHTJtmtYb9MGzHBs7CAphn8kNCgM/edit?usp=sharing"",""อุตรดิตถ์!N792"")"),0)</f>
        <v>0</v>
      </c>
      <c r="N29" s="64">
        <f ca="1">IFERROR(__xludf.DUMMYFUNCTION("IMPORTRANGE(""https://docs.google.com/spreadsheets/d/1ubs5cl16eYL9gHbdHTJtmtYb9MGzHBs7CAphn8kNCgM/edit?usp=sharing"",""อุตรดิตถ์!N793"")"),0)</f>
        <v>0</v>
      </c>
      <c r="O29" s="64">
        <f ca="1">IFERROR(__xludf.DUMMYFUNCTION("IMPORTRANGE(""https://docs.google.com/spreadsheets/d/1ubs5cl16eYL9gHbdHTJtmtYb9MGzHBs7CAphn8kNCgM/edit?usp=sharing"",""อุตรดิตถ์!N794"")"),92795)</f>
        <v>92795</v>
      </c>
      <c r="P29" s="64">
        <f ca="1">IFERROR(__xludf.DUMMYFUNCTION("IMPORTRANGE(""https://docs.google.com/spreadsheets/d/1ubs5cl16eYL9gHbdHTJtmtYb9MGzHBs7CAphn8kNCgM/edit?usp=sharing"",""อุตรดิตถ์!N795"")"),137686)</f>
        <v>137686</v>
      </c>
      <c r="Q29" s="62">
        <f ca="1">IFERROR(__xludf.DUMMYFUNCTION("IMPORTRANGE(""https://docs.google.com/spreadsheets/d/1ubs5cl16eYL9gHbdHTJtmtYb9MGzHBs7CAphn8kNCgM/edit?usp=sharing"",""อุตรดิตถ์!N798"")"),0)</f>
        <v>0</v>
      </c>
      <c r="R29" s="62">
        <f t="shared" ca="1" si="21"/>
        <v>0</v>
      </c>
      <c r="S29" s="57">
        <f ca="1">IFERROR(__xludf.DUMMYFUNCTION("IMPORTRANGE(""https://docs.google.com/spreadsheets/d/1ubs5cl16eYL9gHbdHTJtmtYb9MGzHBs7CAphn8kNCgM/edit?usp=sharing"",""อุตรดิตถ์!I785"")"),5000)</f>
        <v>5000</v>
      </c>
      <c r="T29" s="57">
        <f t="shared" ca="1" si="26"/>
        <v>2957</v>
      </c>
      <c r="U29" s="63">
        <f t="shared" ca="1" si="16"/>
        <v>59.14</v>
      </c>
      <c r="V29" s="57">
        <f ca="1">IFERROR(__xludf.DUMMYFUNCTION("IMPORTRANGE(""https://docs.google.com/spreadsheets/d/1ubs5cl16eYL9gHbdHTJtmtYb9MGzHBs7CAphn8kNCgM/edit?usp=sharing"",""อุตรดิตถ์!J801"")"),2957)</f>
        <v>2957</v>
      </c>
      <c r="W29" s="57">
        <f ca="1">IFERROR(__xludf.DUMMYFUNCTION("IMPORTRANGE(""https://docs.google.com/spreadsheets/d/1ubs5cl16eYL9gHbdHTJtmtYb9MGzHBs7CAphn8kNCgM/edit?usp=sharing"",""อุตรดิตถ์!J800"")"),330)</f>
        <v>330</v>
      </c>
      <c r="X29" s="57">
        <f ca="1">IFERROR(__xludf.DUMMYFUNCTION("IMPORTRANGE(""https://docs.google.com/spreadsheets/d/1ubs5cl16eYL9gHbdHTJtmtYb9MGzHBs7CAphn8kNCgM/edit?usp=sharing"",""อุตรดิตถ์!J803"")"),0)</f>
        <v>0</v>
      </c>
      <c r="Y29" s="57">
        <f ca="1">IFERROR(__xludf.DUMMYFUNCTION("IMPORTRANGE(""https://docs.google.com/spreadsheets/d/1ubs5cl16eYL9gHbdHTJtmtYb9MGzHBs7CAphn8kNCgM/edit?usp=sharing"",""อุตรดิตถ์!J802"")"),0)</f>
        <v>0</v>
      </c>
    </row>
    <row r="30" spans="1:25" ht="24" customHeight="1" x14ac:dyDescent="0.3">
      <c r="A30" s="65">
        <v>17</v>
      </c>
      <c r="B30" s="66" t="s">
        <v>51</v>
      </c>
      <c r="C30" s="67">
        <f t="shared" ca="1" si="24"/>
        <v>0</v>
      </c>
      <c r="D30" s="68">
        <f ca="1">IFERROR(__xludf.DUMMYFUNCTION("IMPORTRANGE(""https://docs.google.com/spreadsheets/d/1kII0BjS6CtVrBvI8IrytgPdxDrlyQDyigzMsohRtDMs/edit?usp=sharing"",""อุทัยธานี!L791"")"),0)</f>
        <v>0</v>
      </c>
      <c r="E30" s="69">
        <f ca="1">IFERROR(__xludf.DUMMYFUNCTION("IMPORTRANGE(""https://docs.google.com/spreadsheets/d/1kII0BjS6CtVrBvI8IrytgPdxDrlyQDyigzMsohRtDMs/edit?usp=sharing"",""อุทัยธานี!L798"")"),0)</f>
        <v>0</v>
      </c>
      <c r="F30" s="69">
        <f ca="1">IFERROR(__xludf.DUMMYFUNCTION("IMPORTRANGE(""https://docs.google.com/spreadsheets/d/1kII0BjS6CtVrBvI8IrytgPdxDrlyQDyigzMsohRtDMs/edit?usp=sharing"",""อุทัยธานี!M791"")"),0)</f>
        <v>0</v>
      </c>
      <c r="G30" s="69">
        <f ca="1">IFERROR(__xludf.DUMMYFUNCTION("IMPORTRANGE(""https://docs.google.com/spreadsheets/d/1kII0BjS6CtVrBvI8IrytgPdxDrlyQDyigzMsohRtDMs/edit?usp=sharing"",""อุทัยธานี!M798"")"),0)</f>
        <v>0</v>
      </c>
      <c r="H30" s="70">
        <f t="shared" ca="1" si="15"/>
        <v>0</v>
      </c>
      <c r="I30" s="71">
        <f t="shared" ca="1" si="1"/>
        <v>0</v>
      </c>
      <c r="J30" s="72">
        <f t="shared" ca="1" si="25"/>
        <v>0</v>
      </c>
      <c r="K30" s="73">
        <f t="shared" ca="1" si="18"/>
        <v>0</v>
      </c>
      <c r="L30" s="73">
        <f t="shared" ca="1" si="19"/>
        <v>0</v>
      </c>
      <c r="M30" s="69">
        <f ca="1">IFERROR(__xludf.DUMMYFUNCTION("IMPORTRANGE(""https://docs.google.com/spreadsheets/d/1kII0BjS6CtVrBvI8IrytgPdxDrlyQDyigzMsohRtDMs/edit?usp=sharing"",""อุทัยธานี!N792"")"),0)</f>
        <v>0</v>
      </c>
      <c r="N30" s="69">
        <f ca="1">IFERROR(__xludf.DUMMYFUNCTION("IMPORTRANGE(""https://docs.google.com/spreadsheets/d/1kII0BjS6CtVrBvI8IrytgPdxDrlyQDyigzMsohRtDMs/edit?usp=sharing"",""อุทัยธานี!N793"")"),0)</f>
        <v>0</v>
      </c>
      <c r="O30" s="69">
        <f ca="1">IFERROR(__xludf.DUMMYFUNCTION("IMPORTRANGE(""https://docs.google.com/spreadsheets/d/1kII0BjS6CtVrBvI8IrytgPdxDrlyQDyigzMsohRtDMs/edit?usp=sharing"",""อุทัยธานี!N794"")"),0)</f>
        <v>0</v>
      </c>
      <c r="P30" s="69">
        <f ca="1">IFERROR(__xludf.DUMMYFUNCTION("IMPORTRANGE(""https://docs.google.com/spreadsheets/d/1kII0BjS6CtVrBvI8IrytgPdxDrlyQDyigzMsohRtDMs/edit?usp=sharing"",""อุทัยธานี!N795"")"),0)</f>
        <v>0</v>
      </c>
      <c r="Q30" s="74">
        <f ca="1">IFERROR(__xludf.DUMMYFUNCTION("IMPORTRANGE(""https://docs.google.com/spreadsheets/d/1kII0BjS6CtVrBvI8IrytgPdxDrlyQDyigzMsohRtDMs/edit?usp=sharing"",""อุทัยธานี!N798"")"),0)</f>
        <v>0</v>
      </c>
      <c r="R30" s="74">
        <f t="shared" ca="1" si="21"/>
        <v>0</v>
      </c>
      <c r="S30" s="68">
        <f ca="1">IFERROR(__xludf.DUMMYFUNCTION("IMPORTRANGE(""https://docs.google.com/spreadsheets/d/1kII0BjS6CtVrBvI8IrytgPdxDrlyQDyigzMsohRtDMs/edit?usp=sharing"",""อุทัยธานี!I785"")"),0)</f>
        <v>0</v>
      </c>
      <c r="T30" s="68">
        <f t="shared" ca="1" si="26"/>
        <v>0</v>
      </c>
      <c r="U30" s="75">
        <f t="shared" ca="1" si="16"/>
        <v>0</v>
      </c>
      <c r="V30" s="68">
        <f ca="1">IFERROR(__xludf.DUMMYFUNCTION("IMPORTRANGE(""https://docs.google.com/spreadsheets/d/1kII0BjS6CtVrBvI8IrytgPdxDrlyQDyigzMsohRtDMs/edit?usp=sharing"",""อุทัยธานี!J801"")"),0)</f>
        <v>0</v>
      </c>
      <c r="W30" s="68">
        <f ca="1">IFERROR(__xludf.DUMMYFUNCTION("IMPORTRANGE(""https://docs.google.com/spreadsheets/d/1kII0BjS6CtVrBvI8IrytgPdxDrlyQDyigzMsohRtDMs/edit?usp=sharing"",""อุทัยธานี!J800"")"),0)</f>
        <v>0</v>
      </c>
      <c r="X30" s="68">
        <f ca="1">IFERROR(__xludf.DUMMYFUNCTION("IMPORTRANGE(""https://docs.google.com/spreadsheets/d/1kII0BjS6CtVrBvI8IrytgPdxDrlyQDyigzMsohRtDMs/edit?usp=sharing"",""อุทัยธานี!J803"")"),0)</f>
        <v>0</v>
      </c>
      <c r="Y30" s="68">
        <f ca="1">IFERROR(__xludf.DUMMYFUNCTION("IMPORTRANGE(""https://docs.google.com/spreadsheets/d/1kII0BjS6CtVrBvI8IrytgPdxDrlyQDyigzMsohRtDMs/edit?usp=sharing"",""อุทัยธานี!J802"")"),0)</f>
        <v>0</v>
      </c>
    </row>
    <row r="31" spans="1:25" ht="21" customHeight="1" x14ac:dyDescent="0.3">
      <c r="A31" s="177" t="s">
        <v>52</v>
      </c>
      <c r="B31" s="178"/>
      <c r="C31" s="76">
        <f t="shared" ref="C31:G31" ca="1" si="27">SUM(C32:C51)</f>
        <v>2156480</v>
      </c>
      <c r="D31" s="34">
        <f t="shared" ca="1" si="27"/>
        <v>2156480</v>
      </c>
      <c r="E31" s="34">
        <f t="shared" ca="1" si="27"/>
        <v>0</v>
      </c>
      <c r="F31" s="34">
        <f t="shared" ca="1" si="27"/>
        <v>2156480</v>
      </c>
      <c r="G31" s="34">
        <f t="shared" ca="1" si="27"/>
        <v>0</v>
      </c>
      <c r="H31" s="34">
        <f t="shared" ca="1" si="15"/>
        <v>1242504.46</v>
      </c>
      <c r="I31" s="35">
        <f t="shared" ca="1" si="1"/>
        <v>57.617249406440123</v>
      </c>
      <c r="J31" s="34">
        <f ca="1">SUM(J32:J51)</f>
        <v>1242504.46</v>
      </c>
      <c r="K31" s="35">
        <f t="shared" ca="1" si="18"/>
        <v>57.617249406440123</v>
      </c>
      <c r="L31" s="35">
        <f t="shared" ca="1" si="19"/>
        <v>57.617249406440123</v>
      </c>
      <c r="M31" s="34">
        <f t="shared" ref="M31:Q31" ca="1" si="28">SUM(M32:M51)</f>
        <v>0</v>
      </c>
      <c r="N31" s="34">
        <f t="shared" ca="1" si="28"/>
        <v>42000</v>
      </c>
      <c r="O31" s="34">
        <f t="shared" ca="1" si="28"/>
        <v>397081.22</v>
      </c>
      <c r="P31" s="34">
        <f t="shared" ca="1" si="28"/>
        <v>803423.24</v>
      </c>
      <c r="Q31" s="36">
        <f t="shared" ca="1" si="28"/>
        <v>0</v>
      </c>
      <c r="R31" s="36">
        <f t="shared" ca="1" si="21"/>
        <v>0</v>
      </c>
      <c r="S31" s="34">
        <f t="shared" ref="S31:T31" ca="1" si="29">SUM(S32:S51)</f>
        <v>47000</v>
      </c>
      <c r="T31" s="34">
        <f t="shared" ca="1" si="29"/>
        <v>26545</v>
      </c>
      <c r="U31" s="37">
        <f t="shared" ca="1" si="16"/>
        <v>56.478723404255319</v>
      </c>
      <c r="V31" s="34">
        <f t="shared" ref="V31:Y31" ca="1" si="30">SUM(V32:V51)</f>
        <v>11526</v>
      </c>
      <c r="W31" s="34">
        <f t="shared" ca="1" si="30"/>
        <v>890</v>
      </c>
      <c r="X31" s="34">
        <f t="shared" ca="1" si="30"/>
        <v>15019</v>
      </c>
      <c r="Y31" s="34">
        <f t="shared" ca="1" si="30"/>
        <v>1213</v>
      </c>
    </row>
    <row r="32" spans="1:25" ht="21" customHeight="1" x14ac:dyDescent="0.3">
      <c r="A32" s="54">
        <v>1</v>
      </c>
      <c r="B32" s="55" t="s">
        <v>53</v>
      </c>
      <c r="C32" s="56">
        <f t="shared" ref="C32:C51" ca="1" si="31">D32+E32</f>
        <v>0</v>
      </c>
      <c r="D32" s="57">
        <f ca="1">IFERROR(__xludf.DUMMYFUNCTION("IMPORTRANGE(""https://docs.google.com/spreadsheets/d/1fb2B9NLcpJgjIieIJvenUTNPn0TimZDUi0OtYeiSQ_s/edit?usp=sharing"",""กาฬสินธุ์!L791"")"),0)</f>
        <v>0</v>
      </c>
      <c r="E32" s="57">
        <f ca="1">IFERROR(__xludf.DUMMYFUNCTION("IMPORTRANGE(""https://docs.google.com/spreadsheets/d/1fb2B9NLcpJgjIieIJvenUTNPn0TimZDUi0OtYeiSQ_s/edit?usp=sharing"",""กาฬสินธุ์!L798"")"),0)</f>
        <v>0</v>
      </c>
      <c r="F32" s="57">
        <f ca="1">IFERROR(__xludf.DUMMYFUNCTION("IMPORTRANGE(""https://docs.google.com/spreadsheets/d/1fb2B9NLcpJgjIieIJvenUTNPn0TimZDUi0OtYeiSQ_s/edit?usp=sharing"",""กาฬสินธุ์!M791"")"),0)</f>
        <v>0</v>
      </c>
      <c r="G32" s="57">
        <f ca="1">IFERROR(__xludf.DUMMYFUNCTION("IMPORTRANGE(""https://docs.google.com/spreadsheets/d/1fb2B9NLcpJgjIieIJvenUTNPn0TimZDUi0OtYeiSQ_s/edit?usp=sharing"",""กาฬสินธุ์!M798"")"),0)</f>
        <v>0</v>
      </c>
      <c r="H32" s="58">
        <f t="shared" ca="1" si="15"/>
        <v>0</v>
      </c>
      <c r="I32" s="59">
        <f t="shared" ca="1" si="1"/>
        <v>0</v>
      </c>
      <c r="J32" s="60">
        <f t="shared" ref="J32:J51" ca="1" si="32">M32+N32+O32+P32</f>
        <v>0</v>
      </c>
      <c r="K32" s="61">
        <f t="shared" ca="1" si="18"/>
        <v>0</v>
      </c>
      <c r="L32" s="61">
        <f t="shared" ca="1" si="19"/>
        <v>0</v>
      </c>
      <c r="M32" s="57">
        <f ca="1">IFERROR(__xludf.DUMMYFUNCTION("IMPORTRANGE(""https://docs.google.com/spreadsheets/d/1fb2B9NLcpJgjIieIJvenUTNPn0TimZDUi0OtYeiSQ_s/edit?usp=sharing"",""กาฬสินธุ์!N792"")"),0)</f>
        <v>0</v>
      </c>
      <c r="N32" s="57">
        <f ca="1">IFERROR(__xludf.DUMMYFUNCTION("IMPORTRANGE(""https://docs.google.com/spreadsheets/d/1fb2B9NLcpJgjIieIJvenUTNPn0TimZDUi0OtYeiSQ_s/edit?usp=sharing"",""กาฬสินธุ์!N793"")"),0)</f>
        <v>0</v>
      </c>
      <c r="O32" s="57">
        <f ca="1">IFERROR(__xludf.DUMMYFUNCTION("IMPORTRANGE(""https://docs.google.com/spreadsheets/d/1fb2B9NLcpJgjIieIJvenUTNPn0TimZDUi0OtYeiSQ_s/edit?usp=sharing"",""กาฬสินธุ์!N794"")"),0)</f>
        <v>0</v>
      </c>
      <c r="P32" s="57">
        <f ca="1">IFERROR(__xludf.DUMMYFUNCTION("IMPORTRANGE(""https://docs.google.com/spreadsheets/d/1fb2B9NLcpJgjIieIJvenUTNPn0TimZDUi0OtYeiSQ_s/edit?usp=sharing"",""กาฬสินธุ์!N795"")"),0)</f>
        <v>0</v>
      </c>
      <c r="Q32" s="62">
        <f ca="1">IFERROR(__xludf.DUMMYFUNCTION("IMPORTRANGE(""https://docs.google.com/spreadsheets/d/1fb2B9NLcpJgjIieIJvenUTNPn0TimZDUi0OtYeiSQ_s/edit?usp=sharing"",""กาฬสินธุ์!N798"")"),0)</f>
        <v>0</v>
      </c>
      <c r="R32" s="62">
        <f t="shared" ca="1" si="21"/>
        <v>0</v>
      </c>
      <c r="S32" s="57">
        <f ca="1">IFERROR(__xludf.DUMMYFUNCTION("IMPORTRANGE(""https://docs.google.com/spreadsheets/d/1fb2B9NLcpJgjIieIJvenUTNPn0TimZDUi0OtYeiSQ_s/edit?usp=sharing"",""กาฬสินธุ์!I785"")"),0)</f>
        <v>0</v>
      </c>
      <c r="T32" s="57">
        <f t="shared" ref="T32:T51" ca="1" si="33">V32+X32</f>
        <v>0</v>
      </c>
      <c r="U32" s="63">
        <f t="shared" ca="1" si="16"/>
        <v>0</v>
      </c>
      <c r="V32" s="57">
        <f ca="1">IFERROR(__xludf.DUMMYFUNCTION("IMPORTRANGE(""https://docs.google.com/spreadsheets/d/1fb2B9NLcpJgjIieIJvenUTNPn0TimZDUi0OtYeiSQ_s/edit?usp=sharing"",""กาฬสินธุ์!J801"")"),0)</f>
        <v>0</v>
      </c>
      <c r="W32" s="57">
        <f ca="1">IFERROR(__xludf.DUMMYFUNCTION("IMPORTRANGE(""https://docs.google.com/spreadsheets/d/1fb2B9NLcpJgjIieIJvenUTNPn0TimZDUi0OtYeiSQ_s/edit?usp=sharing"",""กาฬสินธุ์!J800"")"),0)</f>
        <v>0</v>
      </c>
      <c r="X32" s="57">
        <f ca="1">IFERROR(__xludf.DUMMYFUNCTION("IMPORTRANGE(""https://docs.google.com/spreadsheets/d/1fb2B9NLcpJgjIieIJvenUTNPn0TimZDUi0OtYeiSQ_s/edit?usp=sharing"",""กาฬสินธุ์!J803"")"),0)</f>
        <v>0</v>
      </c>
      <c r="Y32" s="57">
        <f ca="1">IFERROR(__xludf.DUMMYFUNCTION("IMPORTRANGE(""https://docs.google.com/spreadsheets/d/1fb2B9NLcpJgjIieIJvenUTNPn0TimZDUi0OtYeiSQ_s/edit?usp=sharing"",""กาฬสินธุ์!J802"")"),0)</f>
        <v>0</v>
      </c>
    </row>
    <row r="33" spans="1:25" ht="21" customHeight="1" x14ac:dyDescent="0.3">
      <c r="A33" s="54">
        <v>2</v>
      </c>
      <c r="B33" s="55" t="s">
        <v>54</v>
      </c>
      <c r="C33" s="56">
        <f t="shared" ca="1" si="31"/>
        <v>0</v>
      </c>
      <c r="D33" s="57">
        <f ca="1">IFERROR(__xludf.DUMMYFUNCTION("IMPORTRANGE(""https://docs.google.com/spreadsheets/d/1SaMnqrwRGmFYNR0MhpWmHuL5niYUd5E7vDq8X7whAlI/edit?usp=sharing"",""ขอนแก่น!L791"")"),0)</f>
        <v>0</v>
      </c>
      <c r="E33" s="64">
        <f ca="1">IFERROR(__xludf.DUMMYFUNCTION("IMPORTRANGE(""https://docs.google.com/spreadsheets/d/1SaMnqrwRGmFYNR0MhpWmHuL5niYUd5E7vDq8X7whAlI/edit?usp=sharing"",""ขอนแก่น!L798"")"),0)</f>
        <v>0</v>
      </c>
      <c r="F33" s="64">
        <f ca="1">IFERROR(__xludf.DUMMYFUNCTION("IMPORTRANGE(""https://docs.google.com/spreadsheets/d/1SaMnqrwRGmFYNR0MhpWmHuL5niYUd5E7vDq8X7whAlI/edit?usp=sharing"",""ขอนแก่น!M791"")"),0)</f>
        <v>0</v>
      </c>
      <c r="G33" s="64">
        <f ca="1">IFERROR(__xludf.DUMMYFUNCTION("IMPORTRANGE(""https://docs.google.com/spreadsheets/d/1SaMnqrwRGmFYNR0MhpWmHuL5niYUd5E7vDq8X7whAlI/edit?usp=sharing"",""ขอนแก่น!M798"")"),0)</f>
        <v>0</v>
      </c>
      <c r="H33" s="58">
        <f t="shared" ca="1" si="15"/>
        <v>0</v>
      </c>
      <c r="I33" s="59">
        <f t="shared" ca="1" si="1"/>
        <v>0</v>
      </c>
      <c r="J33" s="60">
        <f t="shared" ca="1" si="32"/>
        <v>0</v>
      </c>
      <c r="K33" s="61">
        <f t="shared" ca="1" si="18"/>
        <v>0</v>
      </c>
      <c r="L33" s="61">
        <f t="shared" ca="1" si="19"/>
        <v>0</v>
      </c>
      <c r="M33" s="64">
        <f ca="1">IFERROR(__xludf.DUMMYFUNCTION("IMPORTRANGE(""https://docs.google.com/spreadsheets/d/1SaMnqrwRGmFYNR0MhpWmHuL5niYUd5E7vDq8X7whAlI/edit?usp=sharing"",""ขอนแก่น!N792"")"),0)</f>
        <v>0</v>
      </c>
      <c r="N33" s="64">
        <f ca="1">IFERROR(__xludf.DUMMYFUNCTION("IMPORTRANGE(""https://docs.google.com/spreadsheets/d/1SaMnqrwRGmFYNR0MhpWmHuL5niYUd5E7vDq8X7whAlI/edit?usp=sharing"",""ขอนแก่น!N793"")"),0)</f>
        <v>0</v>
      </c>
      <c r="O33" s="64">
        <f ca="1">IFERROR(__xludf.DUMMYFUNCTION("IMPORTRANGE(""https://docs.google.com/spreadsheets/d/1SaMnqrwRGmFYNR0MhpWmHuL5niYUd5E7vDq8X7whAlI/edit?usp=sharing"",""ขอนแก่น!N794"")"),0)</f>
        <v>0</v>
      </c>
      <c r="P33" s="64">
        <f ca="1">IFERROR(__xludf.DUMMYFUNCTION("IMPORTRANGE(""https://docs.google.com/spreadsheets/d/1SaMnqrwRGmFYNR0MhpWmHuL5niYUd5E7vDq8X7whAlI/edit?usp=sharing"",""ขอนแก่น!N795"")"),0)</f>
        <v>0</v>
      </c>
      <c r="Q33" s="62">
        <f ca="1">IFERROR(__xludf.DUMMYFUNCTION("IMPORTRANGE(""https://docs.google.com/spreadsheets/d/1SaMnqrwRGmFYNR0MhpWmHuL5niYUd5E7vDq8X7whAlI/edit?usp=sharing"",""ขอนแก่น!N798"")"),0)</f>
        <v>0</v>
      </c>
      <c r="R33" s="62">
        <f t="shared" ca="1" si="21"/>
        <v>0</v>
      </c>
      <c r="S33" s="57">
        <f ca="1">IFERROR(__xludf.DUMMYFUNCTION("IMPORTRANGE(""https://docs.google.com/spreadsheets/d/1SaMnqrwRGmFYNR0MhpWmHuL5niYUd5E7vDq8X7whAlI/edit?usp=sharing"",""ขอนแก่น!I785"")"),0)</f>
        <v>0</v>
      </c>
      <c r="T33" s="57">
        <f t="shared" ca="1" si="33"/>
        <v>0</v>
      </c>
      <c r="U33" s="63">
        <f t="shared" ca="1" si="16"/>
        <v>0</v>
      </c>
      <c r="V33" s="57">
        <f ca="1">IFERROR(__xludf.DUMMYFUNCTION("IMPORTRANGE(""https://docs.google.com/spreadsheets/d/1SaMnqrwRGmFYNR0MhpWmHuL5niYUd5E7vDq8X7whAlI/edit?usp=sharing"",""ขอนแก่น!J801"")"),0)</f>
        <v>0</v>
      </c>
      <c r="W33" s="57">
        <f ca="1">IFERROR(__xludf.DUMMYFUNCTION("IMPORTRANGE(""https://docs.google.com/spreadsheets/d/1SaMnqrwRGmFYNR0MhpWmHuL5niYUd5E7vDq8X7whAlI/edit?usp=sharing"",""ขอนแก่น!J800"")"),0)</f>
        <v>0</v>
      </c>
      <c r="X33" s="57">
        <f ca="1">IFERROR(__xludf.DUMMYFUNCTION("IMPORTRANGE(""https://docs.google.com/spreadsheets/d/1SaMnqrwRGmFYNR0MhpWmHuL5niYUd5E7vDq8X7whAlI/edit?usp=sharing"",""ขอนแก่น!J803"")"),0)</f>
        <v>0</v>
      </c>
      <c r="Y33" s="57">
        <f ca="1">IFERROR(__xludf.DUMMYFUNCTION("IMPORTRANGE(""https://docs.google.com/spreadsheets/d/1SaMnqrwRGmFYNR0MhpWmHuL5niYUd5E7vDq8X7whAlI/edit?usp=sharing"",""ขอนแก่น!J802"")"),0)</f>
        <v>0</v>
      </c>
    </row>
    <row r="34" spans="1:25" ht="21" customHeight="1" x14ac:dyDescent="0.3">
      <c r="A34" s="54">
        <v>3</v>
      </c>
      <c r="B34" s="55" t="s">
        <v>55</v>
      </c>
      <c r="C34" s="56">
        <f t="shared" ca="1" si="31"/>
        <v>0</v>
      </c>
      <c r="D34" s="57">
        <f ca="1">IFERROR(__xludf.DUMMYFUNCTION("IMPORTRANGE(""https://docs.google.com/spreadsheets/d/1xQzEtGHhTTgxHh6YUkKY1P4dRyjVhS74dGswLfAASA4/edit?usp=sharing"",""ชัยภูมิ!L791"")"),0)</f>
        <v>0</v>
      </c>
      <c r="E34" s="64">
        <f ca="1">IFERROR(__xludf.DUMMYFUNCTION("IMPORTRANGE(""https://docs.google.com/spreadsheets/d/1xQzEtGHhTTgxHh6YUkKY1P4dRyjVhS74dGswLfAASA4/edit?usp=sharing"",""ชัยภูมิ!L798"")"),0)</f>
        <v>0</v>
      </c>
      <c r="F34" s="64">
        <f ca="1">IFERROR(__xludf.DUMMYFUNCTION("IMPORTRANGE(""https://docs.google.com/spreadsheets/d/1xQzEtGHhTTgxHh6YUkKY1P4dRyjVhS74dGswLfAASA4/edit?usp=sharing"",""ชัยภูมิ!M791"")"),0)</f>
        <v>0</v>
      </c>
      <c r="G34" s="64">
        <f ca="1">IFERROR(__xludf.DUMMYFUNCTION("IMPORTRANGE(""https://docs.google.com/spreadsheets/d/1xQzEtGHhTTgxHh6YUkKY1P4dRyjVhS74dGswLfAASA4/edit?usp=sharing"",""ชัยภูมิ!M798"")"),0)</f>
        <v>0</v>
      </c>
      <c r="H34" s="58">
        <f t="shared" ca="1" si="15"/>
        <v>0</v>
      </c>
      <c r="I34" s="59">
        <f t="shared" ca="1" si="1"/>
        <v>0</v>
      </c>
      <c r="J34" s="60">
        <f t="shared" ca="1" si="32"/>
        <v>0</v>
      </c>
      <c r="K34" s="61">
        <f t="shared" ca="1" si="18"/>
        <v>0</v>
      </c>
      <c r="L34" s="61">
        <f t="shared" ca="1" si="19"/>
        <v>0</v>
      </c>
      <c r="M34" s="64">
        <f ca="1">IFERROR(__xludf.DUMMYFUNCTION("IMPORTRANGE(""https://docs.google.com/spreadsheets/d/1xQzEtGHhTTgxHh6YUkKY1P4dRyjVhS74dGswLfAASA4/edit?usp=sharing"",""ชัยภูมิ!N792"")"),0)</f>
        <v>0</v>
      </c>
      <c r="N34" s="64">
        <f ca="1">IFERROR(__xludf.DUMMYFUNCTION("IMPORTRANGE(""https://docs.google.com/spreadsheets/d/1xQzEtGHhTTgxHh6YUkKY1P4dRyjVhS74dGswLfAASA4/edit?usp=sharing"",""ชัยภูมิ!N793"")"),0)</f>
        <v>0</v>
      </c>
      <c r="O34" s="64">
        <f ca="1">IFERROR(__xludf.DUMMYFUNCTION("IMPORTRANGE(""https://docs.google.com/spreadsheets/d/1xQzEtGHhTTgxHh6YUkKY1P4dRyjVhS74dGswLfAASA4/edit?usp=sharing"",""ชัยภูมิ!N794"")"),0)</f>
        <v>0</v>
      </c>
      <c r="P34" s="64">
        <f ca="1">IFERROR(__xludf.DUMMYFUNCTION("IMPORTRANGE(""https://docs.google.com/spreadsheets/d/1xQzEtGHhTTgxHh6YUkKY1P4dRyjVhS74dGswLfAASA4/edit?usp=sharing"",""ชัยภูมิ!N795"")"),0)</f>
        <v>0</v>
      </c>
      <c r="Q34" s="62">
        <f ca="1">IFERROR(__xludf.DUMMYFUNCTION("IMPORTRANGE(""https://docs.google.com/spreadsheets/d/1xQzEtGHhTTgxHh6YUkKY1P4dRyjVhS74dGswLfAASA4/edit?usp=sharing"",""ชัยภูมิ!N798"")"),0)</f>
        <v>0</v>
      </c>
      <c r="R34" s="62">
        <f t="shared" ca="1" si="21"/>
        <v>0</v>
      </c>
      <c r="S34" s="57">
        <f ca="1">IFERROR(__xludf.DUMMYFUNCTION("IMPORTRANGE(""https://docs.google.com/spreadsheets/d/1xQzEtGHhTTgxHh6YUkKY1P4dRyjVhS74dGswLfAASA4/edit?usp=sharing"",""ชัยภูมิ!I785"")"),0)</f>
        <v>0</v>
      </c>
      <c r="T34" s="57">
        <f t="shared" ca="1" si="33"/>
        <v>0</v>
      </c>
      <c r="U34" s="63">
        <f t="shared" ca="1" si="16"/>
        <v>0</v>
      </c>
      <c r="V34" s="57">
        <f ca="1">IFERROR(__xludf.DUMMYFUNCTION("IMPORTRANGE(""https://docs.google.com/spreadsheets/d/1xQzEtGHhTTgxHh6YUkKY1P4dRyjVhS74dGswLfAASA4/edit?usp=sharing"",""ชัยภูมิ!J801"")"),0)</f>
        <v>0</v>
      </c>
      <c r="W34" s="57">
        <f ca="1">IFERROR(__xludf.DUMMYFUNCTION("IMPORTRANGE(""https://docs.google.com/spreadsheets/d/1xQzEtGHhTTgxHh6YUkKY1P4dRyjVhS74dGswLfAASA4/edit?usp=sharing"",""ชัยภูมิ!J800"")"),0)</f>
        <v>0</v>
      </c>
      <c r="X34" s="57">
        <f ca="1">IFERROR(__xludf.DUMMYFUNCTION("IMPORTRANGE(""https://docs.google.com/spreadsheets/d/1xQzEtGHhTTgxHh6YUkKY1P4dRyjVhS74dGswLfAASA4/edit?usp=sharing"",""ชัยภูมิ!J803"")"),0)</f>
        <v>0</v>
      </c>
      <c r="Y34" s="57">
        <f ca="1">IFERROR(__xludf.DUMMYFUNCTION("IMPORTRANGE(""https://docs.google.com/spreadsheets/d/1xQzEtGHhTTgxHh6YUkKY1P4dRyjVhS74dGswLfAASA4/edit?usp=sharing"",""ชัยภูมิ!J802"")"),0)</f>
        <v>0</v>
      </c>
    </row>
    <row r="35" spans="1:25" ht="21" customHeight="1" x14ac:dyDescent="0.3">
      <c r="A35" s="54">
        <v>4</v>
      </c>
      <c r="B35" s="55" t="s">
        <v>56</v>
      </c>
      <c r="C35" s="56">
        <f t="shared" ca="1" si="31"/>
        <v>0</v>
      </c>
      <c r="D35" s="57">
        <f ca="1">IFERROR(__xludf.DUMMYFUNCTION("IMPORTRANGE(""https://docs.google.com/spreadsheets/d/1EXMBoBxU3OFbjT2TRpneM33qFjqDzrKmn9ydcflfI0o/edit?usp=sharing"",""นครพนม!L791"")"),0)</f>
        <v>0</v>
      </c>
      <c r="E35" s="64">
        <f ca="1">IFERROR(__xludf.DUMMYFUNCTION("IMPORTRANGE(""https://docs.google.com/spreadsheets/d/1EXMBoBxU3OFbjT2TRpneM33qFjqDzrKmn9ydcflfI0o/edit?usp=sharing"",""นครพนม!L798"")"),0)</f>
        <v>0</v>
      </c>
      <c r="F35" s="64">
        <f ca="1">IFERROR(__xludf.DUMMYFUNCTION("IMPORTRANGE(""https://docs.google.com/spreadsheets/d/1EXMBoBxU3OFbjT2TRpneM33qFjqDzrKmn9ydcflfI0o/edit?usp=sharing"",""นครพนม!M791"")"),0)</f>
        <v>0</v>
      </c>
      <c r="G35" s="64">
        <f ca="1">IFERROR(__xludf.DUMMYFUNCTION("IMPORTRANGE(""https://docs.google.com/spreadsheets/d/1EXMBoBxU3OFbjT2TRpneM33qFjqDzrKmn9ydcflfI0o/edit?usp=sharing"",""นครพนม!M798"")"),0)</f>
        <v>0</v>
      </c>
      <c r="H35" s="58">
        <f t="shared" ca="1" si="15"/>
        <v>0</v>
      </c>
      <c r="I35" s="59">
        <f t="shared" ca="1" si="1"/>
        <v>0</v>
      </c>
      <c r="J35" s="60">
        <f t="shared" ca="1" si="32"/>
        <v>0</v>
      </c>
      <c r="K35" s="61">
        <f t="shared" ca="1" si="18"/>
        <v>0</v>
      </c>
      <c r="L35" s="61">
        <f t="shared" ca="1" si="19"/>
        <v>0</v>
      </c>
      <c r="M35" s="64">
        <f ca="1">IFERROR(__xludf.DUMMYFUNCTION("IMPORTRANGE(""https://docs.google.com/spreadsheets/d/1EXMBoBxU3OFbjT2TRpneM33qFjqDzrKmn9ydcflfI0o/edit?usp=sharing"",""นครพนม!N792"")"),0)</f>
        <v>0</v>
      </c>
      <c r="N35" s="64">
        <f ca="1">IFERROR(__xludf.DUMMYFUNCTION("IMPORTRANGE(""https://docs.google.com/spreadsheets/d/1EXMBoBxU3OFbjT2TRpneM33qFjqDzrKmn9ydcflfI0o/edit?usp=sharing"",""นครพนม!N793"")"),0)</f>
        <v>0</v>
      </c>
      <c r="O35" s="64">
        <f ca="1">IFERROR(__xludf.DUMMYFUNCTION("IMPORTRANGE(""https://docs.google.com/spreadsheets/d/1EXMBoBxU3OFbjT2TRpneM33qFjqDzrKmn9ydcflfI0o/edit?usp=sharing"",""นครพนม!N794"")"),0)</f>
        <v>0</v>
      </c>
      <c r="P35" s="64">
        <f ca="1">IFERROR(__xludf.DUMMYFUNCTION("IMPORTRANGE(""https://docs.google.com/spreadsheets/d/1EXMBoBxU3OFbjT2TRpneM33qFjqDzrKmn9ydcflfI0o/edit?usp=sharing"",""นครพนม!N795"")"),0)</f>
        <v>0</v>
      </c>
      <c r="Q35" s="62">
        <f ca="1">IFERROR(__xludf.DUMMYFUNCTION("IMPORTRANGE(""https://docs.google.com/spreadsheets/d/1EXMBoBxU3OFbjT2TRpneM33qFjqDzrKmn9ydcflfI0o/edit?usp=sharing"",""นครพนม!N798"")"),0)</f>
        <v>0</v>
      </c>
      <c r="R35" s="62">
        <f t="shared" ca="1" si="21"/>
        <v>0</v>
      </c>
      <c r="S35" s="57">
        <f ca="1">IFERROR(__xludf.DUMMYFUNCTION("IMPORTRANGE(""https://docs.google.com/spreadsheets/d/1EXMBoBxU3OFbjT2TRpneM33qFjqDzrKmn9ydcflfI0o/edit?usp=sharing"",""นครพนม!I785"")"),0)</f>
        <v>0</v>
      </c>
      <c r="T35" s="57">
        <f t="shared" ca="1" si="33"/>
        <v>0</v>
      </c>
      <c r="U35" s="63">
        <f t="shared" ca="1" si="16"/>
        <v>0</v>
      </c>
      <c r="V35" s="57">
        <f ca="1">IFERROR(__xludf.DUMMYFUNCTION("IMPORTRANGE(""https://docs.google.com/spreadsheets/d/1EXMBoBxU3OFbjT2TRpneM33qFjqDzrKmn9ydcflfI0o/edit?usp=sharing"",""นครพนม!J801"")"),0)</f>
        <v>0</v>
      </c>
      <c r="W35" s="57">
        <f ca="1">IFERROR(__xludf.DUMMYFUNCTION("IMPORTRANGE(""https://docs.google.com/spreadsheets/d/1EXMBoBxU3OFbjT2TRpneM33qFjqDzrKmn9ydcflfI0o/edit?usp=sharing"",""นครพนม!J800"")"),0)</f>
        <v>0</v>
      </c>
      <c r="X35" s="57">
        <f ca="1">IFERROR(__xludf.DUMMYFUNCTION("IMPORTRANGE(""https://docs.google.com/spreadsheets/d/1EXMBoBxU3OFbjT2TRpneM33qFjqDzrKmn9ydcflfI0o/edit?usp=sharing"",""นครพนม!J803"")"),0)</f>
        <v>0</v>
      </c>
      <c r="Y35" s="57">
        <f ca="1">IFERROR(__xludf.DUMMYFUNCTION("IMPORTRANGE(""https://docs.google.com/spreadsheets/d/1EXMBoBxU3OFbjT2TRpneM33qFjqDzrKmn9ydcflfI0o/edit?usp=sharing"",""นครพนม!J802"")"),0)</f>
        <v>0</v>
      </c>
    </row>
    <row r="36" spans="1:25" ht="21" customHeight="1" x14ac:dyDescent="0.3">
      <c r="A36" s="54">
        <v>5</v>
      </c>
      <c r="B36" s="55" t="s">
        <v>57</v>
      </c>
      <c r="C36" s="56">
        <f t="shared" ca="1" si="31"/>
        <v>335200</v>
      </c>
      <c r="D36" s="57">
        <f ca="1">IFERROR(__xludf.DUMMYFUNCTION("IMPORTRANGE(""https://docs.google.com/spreadsheets/d/1bDQrolntRWtHumK8W-x-HXKntwxB9S3sF5aDeRS66Ko/edit?usp=sharing"",""นครราชสีมา!L791"")"),335200)</f>
        <v>335200</v>
      </c>
      <c r="E36" s="64">
        <f ca="1">IFERROR(__xludf.DUMMYFUNCTION("IMPORTRANGE(""https://docs.google.com/spreadsheets/d/1bDQrolntRWtHumK8W-x-HXKntwxB9S3sF5aDeRS66Ko/edit?usp=sharing"",""นครราชสีมา!L798"")"),0)</f>
        <v>0</v>
      </c>
      <c r="F36" s="64">
        <f ca="1">IFERROR(__xludf.DUMMYFUNCTION("IMPORTRANGE(""https://docs.google.com/spreadsheets/d/1bDQrolntRWtHumK8W-x-HXKntwxB9S3sF5aDeRS66Ko/edit?usp=sharing"",""นครราชสีมา!M791"")"),335200)</f>
        <v>335200</v>
      </c>
      <c r="G36" s="64">
        <f ca="1">IFERROR(__xludf.DUMMYFUNCTION("IMPORTRANGE(""https://docs.google.com/spreadsheets/d/1bDQrolntRWtHumK8W-x-HXKntwxB9S3sF5aDeRS66Ko/edit?usp=sharing"",""นครราชสีมา!M798"")"),0)</f>
        <v>0</v>
      </c>
      <c r="H36" s="58">
        <f t="shared" ca="1" si="15"/>
        <v>231736.57</v>
      </c>
      <c r="I36" s="59">
        <f t="shared" ca="1" si="1"/>
        <v>69.133821599045348</v>
      </c>
      <c r="J36" s="60">
        <f t="shared" ca="1" si="32"/>
        <v>231736.57</v>
      </c>
      <c r="K36" s="61">
        <f t="shared" ca="1" si="18"/>
        <v>69.133821599045348</v>
      </c>
      <c r="L36" s="61">
        <f t="shared" ca="1" si="19"/>
        <v>69.133821599045348</v>
      </c>
      <c r="M36" s="64">
        <f ca="1">IFERROR(__xludf.DUMMYFUNCTION("IMPORTRANGE(""https://docs.google.com/spreadsheets/d/1bDQrolntRWtHumK8W-x-HXKntwxB9S3sF5aDeRS66Ko/edit?usp=sharing"",""นครราชสีมา!N792"")"),0)</f>
        <v>0</v>
      </c>
      <c r="N36" s="64">
        <f ca="1">IFERROR(__xludf.DUMMYFUNCTION("IMPORTRANGE(""https://docs.google.com/spreadsheets/d/1bDQrolntRWtHumK8W-x-HXKntwxB9S3sF5aDeRS66Ko/edit?usp=sharing"",""นครราชสีมา!N793"")"),0)</f>
        <v>0</v>
      </c>
      <c r="O36" s="64">
        <f ca="1">IFERROR(__xludf.DUMMYFUNCTION("IMPORTRANGE(""https://docs.google.com/spreadsheets/d/1bDQrolntRWtHumK8W-x-HXKntwxB9S3sF5aDeRS66Ko/edit?usp=sharing"",""นครราชสีมา!N794"")"),64566.57)</f>
        <v>64566.57</v>
      </c>
      <c r="P36" s="64">
        <f ca="1">IFERROR(__xludf.DUMMYFUNCTION("IMPORTRANGE(""https://docs.google.com/spreadsheets/d/1bDQrolntRWtHumK8W-x-HXKntwxB9S3sF5aDeRS66Ko/edit?usp=sharing"",""นครราชสีมา!N795"")"),167170)</f>
        <v>167170</v>
      </c>
      <c r="Q36" s="62">
        <f ca="1">IFERROR(__xludf.DUMMYFUNCTION("IMPORTRANGE(""https://docs.google.com/spreadsheets/d/1bDQrolntRWtHumK8W-x-HXKntwxB9S3sF5aDeRS66Ko/edit?usp=sharing"",""นครราชสีมา!N798"")"),0)</f>
        <v>0</v>
      </c>
      <c r="R36" s="62">
        <f t="shared" ca="1" si="21"/>
        <v>0</v>
      </c>
      <c r="S36" s="57">
        <f ca="1">IFERROR(__xludf.DUMMYFUNCTION("IMPORTRANGE(""https://docs.google.com/spreadsheets/d/1bDQrolntRWtHumK8W-x-HXKntwxB9S3sF5aDeRS66Ko/edit?usp=sharing"",""นครราชสีมา!I785"")"),5000)</f>
        <v>5000</v>
      </c>
      <c r="T36" s="57">
        <f t="shared" ca="1" si="33"/>
        <v>1760</v>
      </c>
      <c r="U36" s="63">
        <f t="shared" ca="1" si="16"/>
        <v>35.200000000000003</v>
      </c>
      <c r="V36" s="57">
        <f ca="1">IFERROR(__xludf.DUMMYFUNCTION("IMPORTRANGE(""https://docs.google.com/spreadsheets/d/1bDQrolntRWtHumK8W-x-HXKntwxB9S3sF5aDeRS66Ko/edit?usp=sharing"",""นครราชสีมา!J801"")"),1760)</f>
        <v>1760</v>
      </c>
      <c r="W36" s="57">
        <f ca="1">IFERROR(__xludf.DUMMYFUNCTION("IMPORTRANGE(""https://docs.google.com/spreadsheets/d/1bDQrolntRWtHumK8W-x-HXKntwxB9S3sF5aDeRS66Ko/edit?usp=sharing"",""นครราชสีมา!J800"")"),76)</f>
        <v>76</v>
      </c>
      <c r="X36" s="57">
        <f ca="1">IFERROR(__xludf.DUMMYFUNCTION("IMPORTRANGE(""https://docs.google.com/spreadsheets/d/1bDQrolntRWtHumK8W-x-HXKntwxB9S3sF5aDeRS66Ko/edit?usp=sharing"",""นครราชสีมา!J803"")"),0)</f>
        <v>0</v>
      </c>
      <c r="Y36" s="57">
        <f ca="1">IFERROR(__xludf.DUMMYFUNCTION("IMPORTRANGE(""https://docs.google.com/spreadsheets/d/1bDQrolntRWtHumK8W-x-HXKntwxB9S3sF5aDeRS66Ko/edit?usp=sharing"",""นครราชสีมา!J802"")"),0)</f>
        <v>0</v>
      </c>
    </row>
    <row r="37" spans="1:25" ht="21" customHeight="1" x14ac:dyDescent="0.3">
      <c r="A37" s="54">
        <v>6</v>
      </c>
      <c r="B37" s="55" t="s">
        <v>58</v>
      </c>
      <c r="C37" s="56">
        <f t="shared" ca="1" si="31"/>
        <v>213920</v>
      </c>
      <c r="D37" s="57">
        <f ca="1">IFERROR(__xludf.DUMMYFUNCTION("IMPORTRANGE(""https://docs.google.com/spreadsheets/d/1_MzZ-2gVPiCW-d2VcafoCmFJQTSrZ6SQyFcMqRRQQ2w/edit?usp=sharing"",""บึงกาฬ!L791"")"),213920)</f>
        <v>213920</v>
      </c>
      <c r="E37" s="64">
        <f ca="1">IFERROR(__xludf.DUMMYFUNCTION("IMPORTRANGE(""https://docs.google.com/spreadsheets/d/1_MzZ-2gVPiCW-d2VcafoCmFJQTSrZ6SQyFcMqRRQQ2w/edit?usp=sharing"",""บึงกาฬ!L798"")"),0)</f>
        <v>0</v>
      </c>
      <c r="F37" s="64">
        <f ca="1">IFERROR(__xludf.DUMMYFUNCTION("IMPORTRANGE(""https://docs.google.com/spreadsheets/d/1_MzZ-2gVPiCW-d2VcafoCmFJQTSrZ6SQyFcMqRRQQ2w/edit?usp=sharing"",""บึงกาฬ!M791"")"),213920)</f>
        <v>213920</v>
      </c>
      <c r="G37" s="64">
        <f ca="1">IFERROR(__xludf.DUMMYFUNCTION("IMPORTRANGE(""https://docs.google.com/spreadsheets/d/1_MzZ-2gVPiCW-d2VcafoCmFJQTSrZ6SQyFcMqRRQQ2w/edit?usp=sharing"",""บึงกาฬ!M798"")"),0)</f>
        <v>0</v>
      </c>
      <c r="H37" s="58">
        <f t="shared" ca="1" si="15"/>
        <v>12000</v>
      </c>
      <c r="I37" s="59">
        <f t="shared" ca="1" si="1"/>
        <v>5.6095736724008978</v>
      </c>
      <c r="J37" s="60">
        <f t="shared" ca="1" si="32"/>
        <v>12000</v>
      </c>
      <c r="K37" s="61">
        <f t="shared" ca="1" si="18"/>
        <v>5.6095736724008978</v>
      </c>
      <c r="L37" s="61">
        <f t="shared" ca="1" si="19"/>
        <v>5.6095736724008978</v>
      </c>
      <c r="M37" s="64">
        <f ca="1">IFERROR(__xludf.DUMMYFUNCTION("IMPORTRANGE(""https://docs.google.com/spreadsheets/d/1_MzZ-2gVPiCW-d2VcafoCmFJQTSrZ6SQyFcMqRRQQ2w/edit?usp=sharing"",""บึงกาฬ!N792"")"),0)</f>
        <v>0</v>
      </c>
      <c r="N37" s="64">
        <f ca="1">IFERROR(__xludf.DUMMYFUNCTION("IMPORTRANGE(""https://docs.google.com/spreadsheets/d/1_MzZ-2gVPiCW-d2VcafoCmFJQTSrZ6SQyFcMqRRQQ2w/edit?usp=sharing"",""บึงกาฬ!N793"")"),0)</f>
        <v>0</v>
      </c>
      <c r="O37" s="64">
        <f ca="1">IFERROR(__xludf.DUMMYFUNCTION("IMPORTRANGE(""https://docs.google.com/spreadsheets/d/1_MzZ-2gVPiCW-d2VcafoCmFJQTSrZ6SQyFcMqRRQQ2w/edit?usp=sharing"",""บึงกาฬ!N794"")"),0)</f>
        <v>0</v>
      </c>
      <c r="P37" s="64">
        <f ca="1">IFERROR(__xludf.DUMMYFUNCTION("IMPORTRANGE(""https://docs.google.com/spreadsheets/d/1_MzZ-2gVPiCW-d2VcafoCmFJQTSrZ6SQyFcMqRRQQ2w/edit?usp=sharing"",""บึงกาฬ!N795"")"),12000)</f>
        <v>12000</v>
      </c>
      <c r="Q37" s="62">
        <f ca="1">IFERROR(__xludf.DUMMYFUNCTION("IMPORTRANGE(""https://docs.google.com/spreadsheets/d/1_MzZ-2gVPiCW-d2VcafoCmFJQTSrZ6SQyFcMqRRQQ2w/edit?usp=sharing"",""บึงกาฬ!N798"")"),0)</f>
        <v>0</v>
      </c>
      <c r="R37" s="62">
        <f t="shared" ca="1" si="21"/>
        <v>0</v>
      </c>
      <c r="S37" s="57">
        <f ca="1">IFERROR(__xludf.DUMMYFUNCTION("IMPORTRANGE(""https://docs.google.com/spreadsheets/d/1_MzZ-2gVPiCW-d2VcafoCmFJQTSrZ6SQyFcMqRRQQ2w/edit?usp=sharing"",""บึงกาฬ!I785"")"),3000)</f>
        <v>3000</v>
      </c>
      <c r="T37" s="57">
        <f t="shared" ca="1" si="33"/>
        <v>0</v>
      </c>
      <c r="U37" s="63">
        <f t="shared" ca="1" si="16"/>
        <v>0</v>
      </c>
      <c r="V37" s="57">
        <f ca="1">IFERROR(__xludf.DUMMYFUNCTION("IMPORTRANGE(""https://docs.google.com/spreadsheets/d/1_MzZ-2gVPiCW-d2VcafoCmFJQTSrZ6SQyFcMqRRQQ2w/edit?usp=sharing"",""บึงกาฬ!J801"")"),0)</f>
        <v>0</v>
      </c>
      <c r="W37" s="57">
        <f ca="1">IFERROR(__xludf.DUMMYFUNCTION("IMPORTRANGE(""https://docs.google.com/spreadsheets/d/1_MzZ-2gVPiCW-d2VcafoCmFJQTSrZ6SQyFcMqRRQQ2w/edit?usp=sharing"",""บึงกาฬ!J800"")"),0)</f>
        <v>0</v>
      </c>
      <c r="X37" s="57">
        <f ca="1">IFERROR(__xludf.DUMMYFUNCTION("IMPORTRANGE(""https://docs.google.com/spreadsheets/d/1_MzZ-2gVPiCW-d2VcafoCmFJQTSrZ6SQyFcMqRRQQ2w/edit?usp=sharing"",""บึงกาฬ!J803"")"),0)</f>
        <v>0</v>
      </c>
      <c r="Y37" s="57">
        <f ca="1">IFERROR(__xludf.DUMMYFUNCTION("IMPORTRANGE(""https://docs.google.com/spreadsheets/d/1_MzZ-2gVPiCW-d2VcafoCmFJQTSrZ6SQyFcMqRRQQ2w/edit?usp=sharing"",""บึงกาฬ!J802"")"),0)</f>
        <v>0</v>
      </c>
    </row>
    <row r="38" spans="1:25" ht="21" customHeight="1" x14ac:dyDescent="0.3">
      <c r="A38" s="54">
        <v>7</v>
      </c>
      <c r="B38" s="55" t="s">
        <v>59</v>
      </c>
      <c r="C38" s="56">
        <f t="shared" ca="1" si="31"/>
        <v>0</v>
      </c>
      <c r="D38" s="57">
        <f ca="1">IFERROR(__xludf.DUMMYFUNCTION("IMPORTRANGE(""https://docs.google.com/spreadsheets/d/1B3lPpzOuaNwVItLwLEZYl_qEblfcx7dRnbRkAw0l-pE/edit?usp=sharing"",""บุรีรัมย์!L791"")"),0)</f>
        <v>0</v>
      </c>
      <c r="E38" s="64">
        <f ca="1">IFERROR(__xludf.DUMMYFUNCTION("IMPORTRANGE(""https://docs.google.com/spreadsheets/d/1B3lPpzOuaNwVItLwLEZYl_qEblfcx7dRnbRkAw0l-pE/edit?usp=sharing"",""บุรีรัมย์!L798"")"),0)</f>
        <v>0</v>
      </c>
      <c r="F38" s="64">
        <f ca="1">IFERROR(__xludf.DUMMYFUNCTION("IMPORTRANGE(""https://docs.google.com/spreadsheets/d/1B3lPpzOuaNwVItLwLEZYl_qEblfcx7dRnbRkAw0l-pE/edit?usp=sharing"",""บุรีรัมย์!M791"")"),0)</f>
        <v>0</v>
      </c>
      <c r="G38" s="64">
        <f ca="1">IFERROR(__xludf.DUMMYFUNCTION("IMPORTRANGE(""https://docs.google.com/spreadsheets/d/1B3lPpzOuaNwVItLwLEZYl_qEblfcx7dRnbRkAw0l-pE/edit?usp=sharing"",""บุรีรัมย์!M798"")"),0)</f>
        <v>0</v>
      </c>
      <c r="H38" s="58">
        <f t="shared" ca="1" si="15"/>
        <v>0</v>
      </c>
      <c r="I38" s="59">
        <f t="shared" ca="1" si="1"/>
        <v>0</v>
      </c>
      <c r="J38" s="60">
        <f t="shared" ca="1" si="32"/>
        <v>0</v>
      </c>
      <c r="K38" s="61">
        <f t="shared" ca="1" si="18"/>
        <v>0</v>
      </c>
      <c r="L38" s="61">
        <f t="shared" ca="1" si="19"/>
        <v>0</v>
      </c>
      <c r="M38" s="64">
        <f ca="1">IFERROR(__xludf.DUMMYFUNCTION("IMPORTRANGE(""https://docs.google.com/spreadsheets/d/1B3lPpzOuaNwVItLwLEZYl_qEblfcx7dRnbRkAw0l-pE/edit?usp=sharing"",""บุรีรัมย์!N792"")"),0)</f>
        <v>0</v>
      </c>
      <c r="N38" s="64">
        <f ca="1">IFERROR(__xludf.DUMMYFUNCTION("IMPORTRANGE(""https://docs.google.com/spreadsheets/d/1B3lPpzOuaNwVItLwLEZYl_qEblfcx7dRnbRkAw0l-pE/edit?usp=sharing"",""บุรีรัมย์!N793"")"),0)</f>
        <v>0</v>
      </c>
      <c r="O38" s="64">
        <f ca="1">IFERROR(__xludf.DUMMYFUNCTION("IMPORTRANGE(""https://docs.google.com/spreadsheets/d/1B3lPpzOuaNwVItLwLEZYl_qEblfcx7dRnbRkAw0l-pE/edit?usp=sharing"",""บุรีรัมย์!N794"")"),0)</f>
        <v>0</v>
      </c>
      <c r="P38" s="64">
        <f ca="1">IFERROR(__xludf.DUMMYFUNCTION("IMPORTRANGE(""https://docs.google.com/spreadsheets/d/1B3lPpzOuaNwVItLwLEZYl_qEblfcx7dRnbRkAw0l-pE/edit?usp=sharing"",""บุรีรัมย์!N795"")"),0)</f>
        <v>0</v>
      </c>
      <c r="Q38" s="62">
        <f ca="1">IFERROR(__xludf.DUMMYFUNCTION("IMPORTRANGE(""https://docs.google.com/spreadsheets/d/1B3lPpzOuaNwVItLwLEZYl_qEblfcx7dRnbRkAw0l-pE/edit?usp=sharing"",""บุรีรัมย์!N798"")"),0)</f>
        <v>0</v>
      </c>
      <c r="R38" s="62">
        <f t="shared" ca="1" si="21"/>
        <v>0</v>
      </c>
      <c r="S38" s="57">
        <f ca="1">IFERROR(__xludf.DUMMYFUNCTION("IMPORTRANGE(""https://docs.google.com/spreadsheets/d/1B3lPpzOuaNwVItLwLEZYl_qEblfcx7dRnbRkAw0l-pE/edit?usp=sharing"",""บุรีรัมย์!I785"")"),0)</f>
        <v>0</v>
      </c>
      <c r="T38" s="57">
        <f t="shared" ca="1" si="33"/>
        <v>0</v>
      </c>
      <c r="U38" s="63">
        <f t="shared" ca="1" si="16"/>
        <v>0</v>
      </c>
      <c r="V38" s="57">
        <f ca="1">IFERROR(__xludf.DUMMYFUNCTION("IMPORTRANGE(""https://docs.google.com/spreadsheets/d/1B3lPpzOuaNwVItLwLEZYl_qEblfcx7dRnbRkAw0l-pE/edit?usp=sharing"",""บุรีรัมย์!J801"")"),0)</f>
        <v>0</v>
      </c>
      <c r="W38" s="57">
        <f ca="1">IFERROR(__xludf.DUMMYFUNCTION("IMPORTRANGE(""https://docs.google.com/spreadsheets/d/1B3lPpzOuaNwVItLwLEZYl_qEblfcx7dRnbRkAw0l-pE/edit?usp=sharing"",""บุรีรัมย์!J800"")"),0)</f>
        <v>0</v>
      </c>
      <c r="X38" s="57">
        <f ca="1">IFERROR(__xludf.DUMMYFUNCTION("IMPORTRANGE(""https://docs.google.com/spreadsheets/d/1B3lPpzOuaNwVItLwLEZYl_qEblfcx7dRnbRkAw0l-pE/edit?usp=sharing"",""บุรีรัมย์!J803"")"),0)</f>
        <v>0</v>
      </c>
      <c r="Y38" s="57">
        <f ca="1">IFERROR(__xludf.DUMMYFUNCTION("IMPORTRANGE(""https://docs.google.com/spreadsheets/d/1B3lPpzOuaNwVItLwLEZYl_qEblfcx7dRnbRkAw0l-pE/edit?usp=sharing"",""บุรีรัมย์!J802"")"),0)</f>
        <v>0</v>
      </c>
    </row>
    <row r="39" spans="1:25" ht="21" customHeight="1" x14ac:dyDescent="0.3">
      <c r="A39" s="54">
        <v>8</v>
      </c>
      <c r="B39" s="55" t="s">
        <v>60</v>
      </c>
      <c r="C39" s="56">
        <f t="shared" ca="1" si="31"/>
        <v>0</v>
      </c>
      <c r="D39" s="57">
        <f ca="1">IFERROR(__xludf.DUMMYFUNCTION("IMPORTRANGE(""https://docs.google.com/spreadsheets/d/19GOkiOqnzYbevLYWrMk4qFOXe3rX14BkSA8X-mq-a40/edit?usp=sharing"",""มหาสารคาม!L791"")"),0)</f>
        <v>0</v>
      </c>
      <c r="E39" s="64">
        <f ca="1">IFERROR(__xludf.DUMMYFUNCTION("IMPORTRANGE(""https://docs.google.com/spreadsheets/d/19GOkiOqnzYbevLYWrMk4qFOXe3rX14BkSA8X-mq-a40/edit?usp=sharing"",""มหาสารคาม!L798"")"),0)</f>
        <v>0</v>
      </c>
      <c r="F39" s="64">
        <f ca="1">IFERROR(__xludf.DUMMYFUNCTION("IMPORTRANGE(""https://docs.google.com/spreadsheets/d/19GOkiOqnzYbevLYWrMk4qFOXe3rX14BkSA8X-mq-a40/edit?usp=sharing"",""มหาสารคาม!M791"")"),0)</f>
        <v>0</v>
      </c>
      <c r="G39" s="64">
        <f ca="1">IFERROR(__xludf.DUMMYFUNCTION("IMPORTRANGE(""https://docs.google.com/spreadsheets/d/19GOkiOqnzYbevLYWrMk4qFOXe3rX14BkSA8X-mq-a40/edit?usp=sharing"",""มหาสารคาม!M798"")"),0)</f>
        <v>0</v>
      </c>
      <c r="H39" s="58">
        <f t="shared" ca="1" si="15"/>
        <v>0</v>
      </c>
      <c r="I39" s="59">
        <f t="shared" ca="1" si="1"/>
        <v>0</v>
      </c>
      <c r="J39" s="60">
        <f t="shared" ca="1" si="32"/>
        <v>0</v>
      </c>
      <c r="K39" s="61">
        <f t="shared" ca="1" si="18"/>
        <v>0</v>
      </c>
      <c r="L39" s="61">
        <f t="shared" ca="1" si="19"/>
        <v>0</v>
      </c>
      <c r="M39" s="64">
        <f ca="1">IFERROR(__xludf.DUMMYFUNCTION("IMPORTRANGE(""https://docs.google.com/spreadsheets/d/19GOkiOqnzYbevLYWrMk4qFOXe3rX14BkSA8X-mq-a40/edit?usp=sharing"",""มหาสารคาม!N792"")"),0)</f>
        <v>0</v>
      </c>
      <c r="N39" s="64">
        <f ca="1">IFERROR(__xludf.DUMMYFUNCTION("IMPORTRANGE(""https://docs.google.com/spreadsheets/d/19GOkiOqnzYbevLYWrMk4qFOXe3rX14BkSA8X-mq-a40/edit?usp=sharing"",""มหาสารคาม!N793"")"),0)</f>
        <v>0</v>
      </c>
      <c r="O39" s="64">
        <f ca="1">IFERROR(__xludf.DUMMYFUNCTION("IMPORTRANGE(""https://docs.google.com/spreadsheets/d/19GOkiOqnzYbevLYWrMk4qFOXe3rX14BkSA8X-mq-a40/edit?usp=sharing"",""มหาสารคาม!N794"")"),0)</f>
        <v>0</v>
      </c>
      <c r="P39" s="64">
        <f ca="1">IFERROR(__xludf.DUMMYFUNCTION("IMPORTRANGE(""https://docs.google.com/spreadsheets/d/19GOkiOqnzYbevLYWrMk4qFOXe3rX14BkSA8X-mq-a40/edit?usp=sharing"",""มหาสารคาม!N795"")"),0)</f>
        <v>0</v>
      </c>
      <c r="Q39" s="62">
        <f ca="1">IFERROR(__xludf.DUMMYFUNCTION("IMPORTRANGE(""https://docs.google.com/spreadsheets/d/19GOkiOqnzYbevLYWrMk4qFOXe3rX14BkSA8X-mq-a40/edit?usp=sharing"",""มหาสารคาม!N798"")"),0)</f>
        <v>0</v>
      </c>
      <c r="R39" s="62">
        <f t="shared" ca="1" si="21"/>
        <v>0</v>
      </c>
      <c r="S39" s="57">
        <f ca="1">IFERROR(__xludf.DUMMYFUNCTION("IMPORTRANGE(""https://docs.google.com/spreadsheets/d/19GOkiOqnzYbevLYWrMk4qFOXe3rX14BkSA8X-mq-a40/edit?usp=sharing"",""มหาสารคาม!I785"")"),0)</f>
        <v>0</v>
      </c>
      <c r="T39" s="57">
        <f t="shared" ca="1" si="33"/>
        <v>0</v>
      </c>
      <c r="U39" s="63">
        <f t="shared" ca="1" si="16"/>
        <v>0</v>
      </c>
      <c r="V39" s="57">
        <f ca="1">IFERROR(__xludf.DUMMYFUNCTION("IMPORTRANGE(""https://docs.google.com/spreadsheets/d/19GOkiOqnzYbevLYWrMk4qFOXe3rX14BkSA8X-mq-a40/edit?usp=sharing"",""มหาสารคาม!J801"")"),0)</f>
        <v>0</v>
      </c>
      <c r="W39" s="57">
        <f ca="1">IFERROR(__xludf.DUMMYFUNCTION("IMPORTRANGE(""https://docs.google.com/spreadsheets/d/19GOkiOqnzYbevLYWrMk4qFOXe3rX14BkSA8X-mq-a40/edit?usp=sharing"",""มหาสารคาม!J800"")"),0)</f>
        <v>0</v>
      </c>
      <c r="X39" s="57">
        <f ca="1">IFERROR(__xludf.DUMMYFUNCTION("IMPORTRANGE(""https://docs.google.com/spreadsheets/d/19GOkiOqnzYbevLYWrMk4qFOXe3rX14BkSA8X-mq-a40/edit?usp=sharing"",""มหาสารคาม!J803"")"),0)</f>
        <v>0</v>
      </c>
      <c r="Y39" s="57">
        <f ca="1">IFERROR(__xludf.DUMMYFUNCTION("IMPORTRANGE(""https://docs.google.com/spreadsheets/d/19GOkiOqnzYbevLYWrMk4qFOXe3rX14BkSA8X-mq-a40/edit?usp=sharing"",""มหาสารคาม!J802"")"),0)</f>
        <v>0</v>
      </c>
    </row>
    <row r="40" spans="1:25" ht="21" customHeight="1" x14ac:dyDescent="0.3">
      <c r="A40" s="54">
        <v>9</v>
      </c>
      <c r="B40" s="55" t="s">
        <v>61</v>
      </c>
      <c r="C40" s="56">
        <f t="shared" ca="1" si="31"/>
        <v>0</v>
      </c>
      <c r="D40" s="57">
        <f ca="1">IFERROR(__xludf.DUMMYFUNCTION("IMPORTRANGE(""https://docs.google.com/spreadsheets/d/1uMKqWwuNQ-TCKboGA3Bb1qXb5uj2-faACNUINCz8PN4/edit?usp=sharing"",""มุกดาหาร!L791"")"),0)</f>
        <v>0</v>
      </c>
      <c r="E40" s="64">
        <f ca="1">IFERROR(__xludf.DUMMYFUNCTION("IMPORTRANGE(""https://docs.google.com/spreadsheets/d/1uMKqWwuNQ-TCKboGA3Bb1qXb5uj2-faACNUINCz8PN4/edit?usp=sharing"",""มุกดาหาร!L798"")"),0)</f>
        <v>0</v>
      </c>
      <c r="F40" s="64">
        <f ca="1">IFERROR(__xludf.DUMMYFUNCTION("IMPORTRANGE(""https://docs.google.com/spreadsheets/d/1uMKqWwuNQ-TCKboGA3Bb1qXb5uj2-faACNUINCz8PN4/edit?usp=sharing"",""มุกดาหาร!M791"")"),0)</f>
        <v>0</v>
      </c>
      <c r="G40" s="64">
        <f ca="1">IFERROR(__xludf.DUMMYFUNCTION("IMPORTRANGE(""https://docs.google.com/spreadsheets/d/1uMKqWwuNQ-TCKboGA3Bb1qXb5uj2-faACNUINCz8PN4/edit?usp=sharing"",""มุกดาหาร!M798"")"),0)</f>
        <v>0</v>
      </c>
      <c r="H40" s="58">
        <f t="shared" ca="1" si="15"/>
        <v>0</v>
      </c>
      <c r="I40" s="59">
        <f t="shared" ca="1" si="1"/>
        <v>0</v>
      </c>
      <c r="J40" s="60">
        <f t="shared" ca="1" si="32"/>
        <v>0</v>
      </c>
      <c r="K40" s="61">
        <f t="shared" ca="1" si="18"/>
        <v>0</v>
      </c>
      <c r="L40" s="61">
        <f t="shared" ca="1" si="19"/>
        <v>0</v>
      </c>
      <c r="M40" s="64">
        <f ca="1">IFERROR(__xludf.DUMMYFUNCTION("IMPORTRANGE(""https://docs.google.com/spreadsheets/d/1uMKqWwuNQ-TCKboGA3Bb1qXb5uj2-faACNUINCz8PN4/edit?usp=sharing"",""มุกดาหาร!N792"")"),0)</f>
        <v>0</v>
      </c>
      <c r="N40" s="64">
        <f ca="1">IFERROR(__xludf.DUMMYFUNCTION("IMPORTRANGE(""https://docs.google.com/spreadsheets/d/1uMKqWwuNQ-TCKboGA3Bb1qXb5uj2-faACNUINCz8PN4/edit?usp=sharing"",""มุกดาหาร!N793"")"),0)</f>
        <v>0</v>
      </c>
      <c r="O40" s="64">
        <f ca="1">IFERROR(__xludf.DUMMYFUNCTION("IMPORTRANGE(""https://docs.google.com/spreadsheets/d/1uMKqWwuNQ-TCKboGA3Bb1qXb5uj2-faACNUINCz8PN4/edit?usp=sharing"",""มุกดาหาร!N794"")"),0)</f>
        <v>0</v>
      </c>
      <c r="P40" s="64">
        <f ca="1">IFERROR(__xludf.DUMMYFUNCTION("IMPORTRANGE(""https://docs.google.com/spreadsheets/d/1uMKqWwuNQ-TCKboGA3Bb1qXb5uj2-faACNUINCz8PN4/edit?usp=sharing"",""มุกดาหาร!N795"")"),0)</f>
        <v>0</v>
      </c>
      <c r="Q40" s="62">
        <f ca="1">IFERROR(__xludf.DUMMYFUNCTION("IMPORTRANGE(""https://docs.google.com/spreadsheets/d/1uMKqWwuNQ-TCKboGA3Bb1qXb5uj2-faACNUINCz8PN4/edit?usp=sharing"",""มุกดาหาร!N798"")"),0)</f>
        <v>0</v>
      </c>
      <c r="R40" s="62">
        <f t="shared" ca="1" si="21"/>
        <v>0</v>
      </c>
      <c r="S40" s="57">
        <f ca="1">IFERROR(__xludf.DUMMYFUNCTION("IMPORTRANGE(""https://docs.google.com/spreadsheets/d/1uMKqWwuNQ-TCKboGA3Bb1qXb5uj2-faACNUINCz8PN4/edit?usp=sharing"",""มุกดาหาร!I785"")"),0)</f>
        <v>0</v>
      </c>
      <c r="T40" s="57">
        <f t="shared" ca="1" si="33"/>
        <v>0</v>
      </c>
      <c r="U40" s="63">
        <f t="shared" ca="1" si="16"/>
        <v>0</v>
      </c>
      <c r="V40" s="57">
        <f ca="1">IFERROR(__xludf.DUMMYFUNCTION("IMPORTRANGE(""https://docs.google.com/spreadsheets/d/1uMKqWwuNQ-TCKboGA3Bb1qXb5uj2-faACNUINCz8PN4/edit?usp=sharing"",""มุกดาหาร!J801"")"),0)</f>
        <v>0</v>
      </c>
      <c r="W40" s="57">
        <f ca="1">IFERROR(__xludf.DUMMYFUNCTION("IMPORTRANGE(""https://docs.google.com/spreadsheets/d/1uMKqWwuNQ-TCKboGA3Bb1qXb5uj2-faACNUINCz8PN4/edit?usp=sharing"",""มุกดาหาร!J800"")"),0)</f>
        <v>0</v>
      </c>
      <c r="X40" s="57">
        <f ca="1">IFERROR(__xludf.DUMMYFUNCTION("IMPORTRANGE(""https://docs.google.com/spreadsheets/d/1uMKqWwuNQ-TCKboGA3Bb1qXb5uj2-faACNUINCz8PN4/edit?usp=sharing"",""มุกดาหาร!J803"")"),0)</f>
        <v>0</v>
      </c>
      <c r="Y40" s="57">
        <f ca="1">IFERROR(__xludf.DUMMYFUNCTION("IMPORTRANGE(""https://docs.google.com/spreadsheets/d/1uMKqWwuNQ-TCKboGA3Bb1qXb5uj2-faACNUINCz8PN4/edit?usp=sharing"",""มุกดาหาร!J802"")"),0)</f>
        <v>0</v>
      </c>
    </row>
    <row r="41" spans="1:25" ht="21" customHeight="1" x14ac:dyDescent="0.3">
      <c r="A41" s="54">
        <v>10</v>
      </c>
      <c r="B41" s="55" t="s">
        <v>62</v>
      </c>
      <c r="C41" s="56">
        <f t="shared" ca="1" si="31"/>
        <v>0</v>
      </c>
      <c r="D41" s="57">
        <f ca="1">IFERROR(__xludf.DUMMYFUNCTION("IMPORTRANGE(""https://docs.google.com/spreadsheets/d/1oKaccgDdQABndOzGr688Dbfxb_V3YcF67VqEPBtdzsc/edit?usp=sharing"",""ยโสธร!L791"")"),0)</f>
        <v>0</v>
      </c>
      <c r="E41" s="64">
        <f ca="1">IFERROR(__xludf.DUMMYFUNCTION("IMPORTRANGE(""https://docs.google.com/spreadsheets/d/1oKaccgDdQABndOzGr688Dbfxb_V3YcF67VqEPBtdzsc/edit?usp=sharing"",""ยโสธร!L798"")"),0)</f>
        <v>0</v>
      </c>
      <c r="F41" s="64">
        <f ca="1">IFERROR(__xludf.DUMMYFUNCTION("IMPORTRANGE(""https://docs.google.com/spreadsheets/d/1oKaccgDdQABndOzGr688Dbfxb_V3YcF67VqEPBtdzsc/edit?usp=sharing"",""ยโสธร!M791"")"),0)</f>
        <v>0</v>
      </c>
      <c r="G41" s="64">
        <f ca="1">IFERROR(__xludf.DUMMYFUNCTION("IMPORTRANGE(""https://docs.google.com/spreadsheets/d/1oKaccgDdQABndOzGr688Dbfxb_V3YcF67VqEPBtdzsc/edit?usp=sharing"",""ยโสธร!M798"")"),0)</f>
        <v>0</v>
      </c>
      <c r="H41" s="58">
        <f t="shared" ca="1" si="15"/>
        <v>0</v>
      </c>
      <c r="I41" s="59">
        <f t="shared" ca="1" si="1"/>
        <v>0</v>
      </c>
      <c r="J41" s="60">
        <f t="shared" ca="1" si="32"/>
        <v>0</v>
      </c>
      <c r="K41" s="61">
        <f t="shared" ca="1" si="18"/>
        <v>0</v>
      </c>
      <c r="L41" s="61">
        <f t="shared" ca="1" si="19"/>
        <v>0</v>
      </c>
      <c r="M41" s="64">
        <f ca="1">IFERROR(__xludf.DUMMYFUNCTION("IMPORTRANGE(""https://docs.google.com/spreadsheets/d/1oKaccgDdQABndOzGr688Dbfxb_V3YcF67VqEPBtdzsc/edit?usp=sharing"",""ยโสธร!N792"")"),0)</f>
        <v>0</v>
      </c>
      <c r="N41" s="64">
        <f ca="1">IFERROR(__xludf.DUMMYFUNCTION("IMPORTRANGE(""https://docs.google.com/spreadsheets/d/1oKaccgDdQABndOzGr688Dbfxb_V3YcF67VqEPBtdzsc/edit?usp=sharing"",""ยโสธร!N793"")"),0)</f>
        <v>0</v>
      </c>
      <c r="O41" s="64">
        <f ca="1">IFERROR(__xludf.DUMMYFUNCTION("IMPORTRANGE(""https://docs.google.com/spreadsheets/d/1oKaccgDdQABndOzGr688Dbfxb_V3YcF67VqEPBtdzsc/edit?usp=sharing"",""ยโสธร!N794"")"),0)</f>
        <v>0</v>
      </c>
      <c r="P41" s="64">
        <f ca="1">IFERROR(__xludf.DUMMYFUNCTION("IMPORTRANGE(""https://docs.google.com/spreadsheets/d/1oKaccgDdQABndOzGr688Dbfxb_V3YcF67VqEPBtdzsc/edit?usp=sharing"",""ยโสธร!N795"")"),0)</f>
        <v>0</v>
      </c>
      <c r="Q41" s="62">
        <f ca="1">IFERROR(__xludf.DUMMYFUNCTION("IMPORTRANGE(""https://docs.google.com/spreadsheets/d/1oKaccgDdQABndOzGr688Dbfxb_V3YcF67VqEPBtdzsc/edit?usp=sharing"",""ยโสธร!N798"")"),0)</f>
        <v>0</v>
      </c>
      <c r="R41" s="62">
        <f t="shared" ca="1" si="21"/>
        <v>0</v>
      </c>
      <c r="S41" s="57">
        <f ca="1">IFERROR(__xludf.DUMMYFUNCTION("IMPORTRANGE(""https://docs.google.com/spreadsheets/d/1oKaccgDdQABndOzGr688Dbfxb_V3YcF67VqEPBtdzsc/edit?usp=sharing"",""ยโสธร!I785"")"),0)</f>
        <v>0</v>
      </c>
      <c r="T41" s="57">
        <f t="shared" ca="1" si="33"/>
        <v>0</v>
      </c>
      <c r="U41" s="63">
        <f t="shared" ca="1" si="16"/>
        <v>0</v>
      </c>
      <c r="V41" s="57">
        <f ca="1">IFERROR(__xludf.DUMMYFUNCTION("IMPORTRANGE(""https://docs.google.com/spreadsheets/d/1oKaccgDdQABndOzGr688Dbfxb_V3YcF67VqEPBtdzsc/edit?usp=sharing"",""ยโสธร!J801"")"),0)</f>
        <v>0</v>
      </c>
      <c r="W41" s="57">
        <f ca="1">IFERROR(__xludf.DUMMYFUNCTION("IMPORTRANGE(""https://docs.google.com/spreadsheets/d/1oKaccgDdQABndOzGr688Dbfxb_V3YcF67VqEPBtdzsc/edit?usp=sharing"",""ยโสธร!J800"")"),0)</f>
        <v>0</v>
      </c>
      <c r="X41" s="57">
        <f ca="1">IFERROR(__xludf.DUMMYFUNCTION("IMPORTRANGE(""https://docs.google.com/spreadsheets/d/1oKaccgDdQABndOzGr688Dbfxb_V3YcF67VqEPBtdzsc/edit?usp=sharing"",""ยโสธร!J803"")"),0)</f>
        <v>0</v>
      </c>
      <c r="Y41" s="57">
        <f ca="1">IFERROR(__xludf.DUMMYFUNCTION("IMPORTRANGE(""https://docs.google.com/spreadsheets/d/1oKaccgDdQABndOzGr688Dbfxb_V3YcF67VqEPBtdzsc/edit?usp=sharing"",""ยโสธร!J802"")"),0)</f>
        <v>0</v>
      </c>
    </row>
    <row r="42" spans="1:25" ht="21" customHeight="1" x14ac:dyDescent="0.3">
      <c r="A42" s="54">
        <v>11</v>
      </c>
      <c r="B42" s="55" t="s">
        <v>63</v>
      </c>
      <c r="C42" s="56">
        <f t="shared" ca="1" si="31"/>
        <v>266560</v>
      </c>
      <c r="D42" s="57">
        <f ca="1">IFERROR(__xludf.DUMMYFUNCTION("IMPORTRANGE(""https://docs.google.com/spreadsheets/d/1BRgc8xKpxZ0PX-gauieMVkV_IOxKSotf0yW8MabGprQ/edit?usp=sharing"",""ร้อยเอ็ด!L791"")"),266560)</f>
        <v>266560</v>
      </c>
      <c r="E42" s="64">
        <f ca="1">IFERROR(__xludf.DUMMYFUNCTION("IMPORTRANGE(""https://docs.google.com/spreadsheets/d/1BRgc8xKpxZ0PX-gauieMVkV_IOxKSotf0yW8MabGprQ/edit?usp=sharing"",""ร้อยเอ็ด!L798"")"),0)</f>
        <v>0</v>
      </c>
      <c r="F42" s="64">
        <f ca="1">IFERROR(__xludf.DUMMYFUNCTION("IMPORTRANGE(""https://docs.google.com/spreadsheets/d/1BRgc8xKpxZ0PX-gauieMVkV_IOxKSotf0yW8MabGprQ/edit?usp=sharing"",""ร้อยเอ็ด!M791"")"),266560)</f>
        <v>266560</v>
      </c>
      <c r="G42" s="64">
        <f ca="1">IFERROR(__xludf.DUMMYFUNCTION("IMPORTRANGE(""https://docs.google.com/spreadsheets/d/1BRgc8xKpxZ0PX-gauieMVkV_IOxKSotf0yW8MabGprQ/edit?usp=sharing"",""ร้อยเอ็ด!M798"")"),0)</f>
        <v>0</v>
      </c>
      <c r="H42" s="58">
        <f t="shared" ca="1" si="15"/>
        <v>157503.66</v>
      </c>
      <c r="I42" s="59">
        <f t="shared" ca="1" si="1"/>
        <v>59.087507503001198</v>
      </c>
      <c r="J42" s="60">
        <f t="shared" ca="1" si="32"/>
        <v>157503.66</v>
      </c>
      <c r="K42" s="61">
        <f t="shared" ca="1" si="18"/>
        <v>59.087507503001198</v>
      </c>
      <c r="L42" s="61">
        <f t="shared" ca="1" si="19"/>
        <v>59.087507503001198</v>
      </c>
      <c r="M42" s="64">
        <f ca="1">IFERROR(__xludf.DUMMYFUNCTION("IMPORTRANGE(""https://docs.google.com/spreadsheets/d/1BRgc8xKpxZ0PX-gauieMVkV_IOxKSotf0yW8MabGprQ/edit?usp=sharing"",""ร้อยเอ็ด!N792"")"),0)</f>
        <v>0</v>
      </c>
      <c r="N42" s="64">
        <f ca="1">IFERROR(__xludf.DUMMYFUNCTION("IMPORTRANGE(""https://docs.google.com/spreadsheets/d/1BRgc8xKpxZ0PX-gauieMVkV_IOxKSotf0yW8MabGprQ/edit?usp=sharing"",""ร้อยเอ็ด!N793"")"),0)</f>
        <v>0</v>
      </c>
      <c r="O42" s="64">
        <f ca="1">IFERROR(__xludf.DUMMYFUNCTION("IMPORTRANGE(""https://docs.google.com/spreadsheets/d/1BRgc8xKpxZ0PX-gauieMVkV_IOxKSotf0yW8MabGprQ/edit?usp=sharing"",""ร้อยเอ็ด!N794"")"),24300)</f>
        <v>24300</v>
      </c>
      <c r="P42" s="64">
        <f ca="1">IFERROR(__xludf.DUMMYFUNCTION("IMPORTRANGE(""https://docs.google.com/spreadsheets/d/1BRgc8xKpxZ0PX-gauieMVkV_IOxKSotf0yW8MabGprQ/edit?usp=sharing"",""ร้อยเอ็ด!N795"")"),133203.66)</f>
        <v>133203.66</v>
      </c>
      <c r="Q42" s="62">
        <f ca="1">IFERROR(__xludf.DUMMYFUNCTION("IMPORTRANGE(""https://docs.google.com/spreadsheets/d/1BRgc8xKpxZ0PX-gauieMVkV_IOxKSotf0yW8MabGprQ/edit?usp=sharing"",""ร้อยเอ็ด!N798"")"),0)</f>
        <v>0</v>
      </c>
      <c r="R42" s="62">
        <f t="shared" ca="1" si="21"/>
        <v>0</v>
      </c>
      <c r="S42" s="57">
        <f ca="1">IFERROR(__xludf.DUMMYFUNCTION("IMPORTRANGE(""https://docs.google.com/spreadsheets/d/1BRgc8xKpxZ0PX-gauieMVkV_IOxKSotf0yW8MabGprQ/edit?usp=sharing"",""ร้อยเอ็ด!I785"")"),19000)</f>
        <v>19000</v>
      </c>
      <c r="T42" s="57">
        <f t="shared" ca="1" si="33"/>
        <v>15893</v>
      </c>
      <c r="U42" s="63">
        <f t="shared" ca="1" si="16"/>
        <v>83.647368421052633</v>
      </c>
      <c r="V42" s="57">
        <f ca="1">IFERROR(__xludf.DUMMYFUNCTION("IMPORTRANGE(""https://docs.google.com/spreadsheets/d/1BRgc8xKpxZ0PX-gauieMVkV_IOxKSotf0yW8MabGprQ/edit?usp=sharing"",""ร้อยเอ็ด!J801"")"),874)</f>
        <v>874</v>
      </c>
      <c r="W42" s="57">
        <f ca="1">IFERROR(__xludf.DUMMYFUNCTION("IMPORTRANGE(""https://docs.google.com/spreadsheets/d/1BRgc8xKpxZ0PX-gauieMVkV_IOxKSotf0yW8MabGprQ/edit?usp=sharing"",""ร้อยเอ็ด!J800"")"),76)</f>
        <v>76</v>
      </c>
      <c r="X42" s="57">
        <f ca="1">IFERROR(__xludf.DUMMYFUNCTION("IMPORTRANGE(""https://docs.google.com/spreadsheets/d/1BRgc8xKpxZ0PX-gauieMVkV_IOxKSotf0yW8MabGprQ/edit?usp=sharing"",""ร้อยเอ็ด!J803"")"),15019)</f>
        <v>15019</v>
      </c>
      <c r="Y42" s="57">
        <f ca="1">IFERROR(__xludf.DUMMYFUNCTION("IMPORTRANGE(""https://docs.google.com/spreadsheets/d/1BRgc8xKpxZ0PX-gauieMVkV_IOxKSotf0yW8MabGprQ/edit?usp=sharing"",""ร้อยเอ็ด!J802"")"),1213)</f>
        <v>1213</v>
      </c>
    </row>
    <row r="43" spans="1:25" ht="21" customHeight="1" x14ac:dyDescent="0.3">
      <c r="A43" s="54">
        <v>12</v>
      </c>
      <c r="B43" s="55" t="s">
        <v>64</v>
      </c>
      <c r="C43" s="56">
        <f t="shared" ca="1" si="31"/>
        <v>327200</v>
      </c>
      <c r="D43" s="57">
        <f ca="1">IFERROR(__xludf.DUMMYFUNCTION("IMPORTRANGE(""https://docs.google.com/spreadsheets/d/1IdolZc-dfdgMwAm_KZxYJl1sUOcIgnbGQzbWOlddedo/edit?usp=sharing"",""เลย!L791"")"),327200)</f>
        <v>327200</v>
      </c>
      <c r="E43" s="64">
        <f ca="1">IFERROR(__xludf.DUMMYFUNCTION("IMPORTRANGE(""https://docs.google.com/spreadsheets/d/1IdolZc-dfdgMwAm_KZxYJl1sUOcIgnbGQzbWOlddedo/edit?usp=sharing"",""เลย!L798"")"),0)</f>
        <v>0</v>
      </c>
      <c r="F43" s="64">
        <f ca="1">IFERROR(__xludf.DUMMYFUNCTION("IMPORTRANGE(""https://docs.google.com/spreadsheets/d/1IdolZc-dfdgMwAm_KZxYJl1sUOcIgnbGQzbWOlddedo/edit?usp=sharing"",""เลย!M791"")"),327200)</f>
        <v>327200</v>
      </c>
      <c r="G43" s="64">
        <f ca="1">IFERROR(__xludf.DUMMYFUNCTION("IMPORTRANGE(""https://docs.google.com/spreadsheets/d/1IdolZc-dfdgMwAm_KZxYJl1sUOcIgnbGQzbWOlddedo/edit?usp=sharing"",""เลย!M798"")"),0)</f>
        <v>0</v>
      </c>
      <c r="H43" s="58">
        <f t="shared" ca="1" si="15"/>
        <v>157619.59</v>
      </c>
      <c r="I43" s="59">
        <f t="shared" ca="1" si="1"/>
        <v>48.172246332518334</v>
      </c>
      <c r="J43" s="60">
        <f t="shared" ca="1" si="32"/>
        <v>157619.59</v>
      </c>
      <c r="K43" s="61">
        <f t="shared" ca="1" si="18"/>
        <v>48.172246332518334</v>
      </c>
      <c r="L43" s="61">
        <f t="shared" ca="1" si="19"/>
        <v>48.172246332518334</v>
      </c>
      <c r="M43" s="64">
        <f ca="1">IFERROR(__xludf.DUMMYFUNCTION("IMPORTRANGE(""https://docs.google.com/spreadsheets/d/1IdolZc-dfdgMwAm_KZxYJl1sUOcIgnbGQzbWOlddedo/edit?usp=sharing"",""เลย!N792"")"),0)</f>
        <v>0</v>
      </c>
      <c r="N43" s="64">
        <f ca="1">IFERROR(__xludf.DUMMYFUNCTION("IMPORTRANGE(""https://docs.google.com/spreadsheets/d/1IdolZc-dfdgMwAm_KZxYJl1sUOcIgnbGQzbWOlddedo/edit?usp=sharing"",""เลย!N793"")"),0)</f>
        <v>0</v>
      </c>
      <c r="O43" s="64">
        <f ca="1">IFERROR(__xludf.DUMMYFUNCTION("IMPORTRANGE(""https://docs.google.com/spreadsheets/d/1IdolZc-dfdgMwAm_KZxYJl1sUOcIgnbGQzbWOlddedo/edit?usp=sharing"",""เลย!N794"")"),73247)</f>
        <v>73247</v>
      </c>
      <c r="P43" s="64">
        <f ca="1">IFERROR(__xludf.DUMMYFUNCTION("IMPORTRANGE(""https://docs.google.com/spreadsheets/d/1IdolZc-dfdgMwAm_KZxYJl1sUOcIgnbGQzbWOlddedo/edit?usp=sharing"",""เลย!N795"")"),84372.59)</f>
        <v>84372.59</v>
      </c>
      <c r="Q43" s="62">
        <f ca="1">IFERROR(__xludf.DUMMYFUNCTION("IMPORTRANGE(""https://docs.google.com/spreadsheets/d/1IdolZc-dfdgMwAm_KZxYJl1sUOcIgnbGQzbWOlddedo/edit?usp=sharing"",""เลย!N798"")"),0)</f>
        <v>0</v>
      </c>
      <c r="R43" s="62">
        <f t="shared" ca="1" si="21"/>
        <v>0</v>
      </c>
      <c r="S43" s="57">
        <f ca="1">IFERROR(__xludf.DUMMYFUNCTION("IMPORTRANGE(""https://docs.google.com/spreadsheets/d/1IdolZc-dfdgMwAm_KZxYJl1sUOcIgnbGQzbWOlddedo/edit?usp=sharing"",""เลย!I785"")"),5000)</f>
        <v>5000</v>
      </c>
      <c r="T43" s="57">
        <f t="shared" ca="1" si="33"/>
        <v>1105</v>
      </c>
      <c r="U43" s="63">
        <f t="shared" ca="1" si="16"/>
        <v>22.1</v>
      </c>
      <c r="V43" s="57">
        <f ca="1">IFERROR(__xludf.DUMMYFUNCTION("IMPORTRANGE(""https://docs.google.com/spreadsheets/d/1IdolZc-dfdgMwAm_KZxYJl1sUOcIgnbGQzbWOlddedo/edit?usp=sharing"",""เลย!J801"")"),1105)</f>
        <v>1105</v>
      </c>
      <c r="W43" s="57">
        <f ca="1">IFERROR(__xludf.DUMMYFUNCTION("IMPORTRANGE(""https://docs.google.com/spreadsheets/d/1IdolZc-dfdgMwAm_KZxYJl1sUOcIgnbGQzbWOlddedo/edit?usp=sharing"",""เลย!J800"")"),96)</f>
        <v>96</v>
      </c>
      <c r="X43" s="57">
        <f ca="1">IFERROR(__xludf.DUMMYFUNCTION("IMPORTRANGE(""https://docs.google.com/spreadsheets/d/1IdolZc-dfdgMwAm_KZxYJl1sUOcIgnbGQzbWOlddedo/edit?usp=sharing"",""เลย!J803"")"),0)</f>
        <v>0</v>
      </c>
      <c r="Y43" s="57">
        <f ca="1">IFERROR(__xludf.DUMMYFUNCTION("IMPORTRANGE(""https://docs.google.com/spreadsheets/d/1IdolZc-dfdgMwAm_KZxYJl1sUOcIgnbGQzbWOlddedo/edit?usp=sharing"",""เลย!J802"")"),0)</f>
        <v>0</v>
      </c>
    </row>
    <row r="44" spans="1:25" ht="21" customHeight="1" x14ac:dyDescent="0.3">
      <c r="A44" s="54">
        <v>13</v>
      </c>
      <c r="B44" s="55" t="s">
        <v>65</v>
      </c>
      <c r="C44" s="56">
        <f t="shared" ca="1" si="31"/>
        <v>0</v>
      </c>
      <c r="D44" s="57">
        <f ca="1">IFERROR(__xludf.DUMMYFUNCTION("IMPORTRANGE(""https://docs.google.com/spreadsheets/d/1tZ0nmtGuIRCaGAMXHlQU8EpR9LOAJvyKfc4f7EFmE34/edit?usp=sharing"",""ศรีสะเกษ!L791"")"),0)</f>
        <v>0</v>
      </c>
      <c r="E44" s="64">
        <f ca="1">IFERROR(__xludf.DUMMYFUNCTION("IMPORTRANGE(""https://docs.google.com/spreadsheets/d/1tZ0nmtGuIRCaGAMXHlQU8EpR9LOAJvyKfc4f7EFmE34/edit?usp=sharing"",""ศรีสะเกษ!L798"")"),0)</f>
        <v>0</v>
      </c>
      <c r="F44" s="64">
        <f ca="1">IFERROR(__xludf.DUMMYFUNCTION("IMPORTRANGE(""https://docs.google.com/spreadsheets/d/1tZ0nmtGuIRCaGAMXHlQU8EpR9LOAJvyKfc4f7EFmE34/edit?usp=sharing"",""ศรีสะเกษ!M791"")"),0)</f>
        <v>0</v>
      </c>
      <c r="G44" s="64">
        <f ca="1">IFERROR(__xludf.DUMMYFUNCTION("IMPORTRANGE(""https://docs.google.com/spreadsheets/d/1tZ0nmtGuIRCaGAMXHlQU8EpR9LOAJvyKfc4f7EFmE34/edit?usp=sharing"",""ศรีสะเกษ!M798"")"),0)</f>
        <v>0</v>
      </c>
      <c r="H44" s="58">
        <f t="shared" ca="1" si="15"/>
        <v>0</v>
      </c>
      <c r="I44" s="59">
        <f t="shared" ca="1" si="1"/>
        <v>0</v>
      </c>
      <c r="J44" s="60">
        <f t="shared" ca="1" si="32"/>
        <v>0</v>
      </c>
      <c r="K44" s="61">
        <f t="shared" ca="1" si="18"/>
        <v>0</v>
      </c>
      <c r="L44" s="61">
        <f t="shared" ca="1" si="19"/>
        <v>0</v>
      </c>
      <c r="M44" s="64">
        <f ca="1">IFERROR(__xludf.DUMMYFUNCTION("IMPORTRANGE(""https://docs.google.com/spreadsheets/d/1tZ0nmtGuIRCaGAMXHlQU8EpR9LOAJvyKfc4f7EFmE34/edit?usp=sharing"",""ศรีสะเกษ!N792"")"),0)</f>
        <v>0</v>
      </c>
      <c r="N44" s="64">
        <f ca="1">IFERROR(__xludf.DUMMYFUNCTION("IMPORTRANGE(""https://docs.google.com/spreadsheets/d/1tZ0nmtGuIRCaGAMXHlQU8EpR9LOAJvyKfc4f7EFmE34/edit?usp=sharing"",""ศรีสะเกษ!N793"")"),0)</f>
        <v>0</v>
      </c>
      <c r="O44" s="64">
        <f ca="1">IFERROR(__xludf.DUMMYFUNCTION("IMPORTRANGE(""https://docs.google.com/spreadsheets/d/1tZ0nmtGuIRCaGAMXHlQU8EpR9LOAJvyKfc4f7EFmE34/edit?usp=sharing"",""ศรีสะเกษ!N794"")"),0)</f>
        <v>0</v>
      </c>
      <c r="P44" s="64">
        <f ca="1">IFERROR(__xludf.DUMMYFUNCTION("IMPORTRANGE(""https://docs.google.com/spreadsheets/d/1tZ0nmtGuIRCaGAMXHlQU8EpR9LOAJvyKfc4f7EFmE34/edit?usp=sharing"",""ศรีสะเกษ!N795"")"),0)</f>
        <v>0</v>
      </c>
      <c r="Q44" s="62">
        <f ca="1">IFERROR(__xludf.DUMMYFUNCTION("IMPORTRANGE(""https://docs.google.com/spreadsheets/d/1tZ0nmtGuIRCaGAMXHlQU8EpR9LOAJvyKfc4f7EFmE34/edit?usp=sharing"",""ศรีสะเกษ!N798"")"),0)</f>
        <v>0</v>
      </c>
      <c r="R44" s="62">
        <f t="shared" ca="1" si="21"/>
        <v>0</v>
      </c>
      <c r="S44" s="57">
        <f ca="1">IFERROR(__xludf.DUMMYFUNCTION("IMPORTRANGE(""https://docs.google.com/spreadsheets/d/1tZ0nmtGuIRCaGAMXHlQU8EpR9LOAJvyKfc4f7EFmE34/edit?usp=sharing"",""ศรีสะเกษ!I785"")"),0)</f>
        <v>0</v>
      </c>
      <c r="T44" s="57">
        <f t="shared" ca="1" si="33"/>
        <v>0</v>
      </c>
      <c r="U44" s="63">
        <f t="shared" ca="1" si="16"/>
        <v>0</v>
      </c>
      <c r="V44" s="57">
        <f ca="1">IFERROR(__xludf.DUMMYFUNCTION("IMPORTRANGE(""https://docs.google.com/spreadsheets/d/1tZ0nmtGuIRCaGAMXHlQU8EpR9LOAJvyKfc4f7EFmE34/edit?usp=sharing"",""ศรีสะเกษ!J801"")"),0)</f>
        <v>0</v>
      </c>
      <c r="W44" s="57">
        <f ca="1">IFERROR(__xludf.DUMMYFUNCTION("IMPORTRANGE(""https://docs.google.com/spreadsheets/d/1tZ0nmtGuIRCaGAMXHlQU8EpR9LOAJvyKfc4f7EFmE34/edit?usp=sharing"",""ศรีสะเกษ!J800"")"),0)</f>
        <v>0</v>
      </c>
      <c r="X44" s="57">
        <f ca="1">IFERROR(__xludf.DUMMYFUNCTION("IMPORTRANGE(""https://docs.google.com/spreadsheets/d/1tZ0nmtGuIRCaGAMXHlQU8EpR9LOAJvyKfc4f7EFmE34/edit?usp=sharing"",""ศรีสะเกษ!J803"")"),0)</f>
        <v>0</v>
      </c>
      <c r="Y44" s="57">
        <f ca="1">IFERROR(__xludf.DUMMYFUNCTION("IMPORTRANGE(""https://docs.google.com/spreadsheets/d/1tZ0nmtGuIRCaGAMXHlQU8EpR9LOAJvyKfc4f7EFmE34/edit?usp=sharing"",""ศรีสะเกษ!J802"")"),0)</f>
        <v>0</v>
      </c>
    </row>
    <row r="45" spans="1:25" ht="21" customHeight="1" x14ac:dyDescent="0.3">
      <c r="A45" s="54">
        <v>14</v>
      </c>
      <c r="B45" s="55" t="s">
        <v>66</v>
      </c>
      <c r="C45" s="56">
        <f t="shared" ca="1" si="31"/>
        <v>197920</v>
      </c>
      <c r="D45" s="57">
        <f ca="1">IFERROR(__xludf.DUMMYFUNCTION("IMPORTRANGE(""https://docs.google.com/spreadsheets/d/1QC8psz9w0f9IVE9Xuc2FT_btkaOzZbbUSgYObpBuetM/edit?usp=sharing"",""สกลนคร!L791"")"),197920)</f>
        <v>197920</v>
      </c>
      <c r="E45" s="64">
        <f ca="1">IFERROR(__xludf.DUMMYFUNCTION("IMPORTRANGE(""https://docs.google.com/spreadsheets/d/1QC8psz9w0f9IVE9Xuc2FT_btkaOzZbbUSgYObpBuetM/edit?usp=sharing"",""สกลนคร!L798"")"),0)</f>
        <v>0</v>
      </c>
      <c r="F45" s="64">
        <f ca="1">IFERROR(__xludf.DUMMYFUNCTION("IMPORTRANGE(""https://docs.google.com/spreadsheets/d/1QC8psz9w0f9IVE9Xuc2FT_btkaOzZbbUSgYObpBuetM/edit?usp=sharing"",""สกลนคร!M791"")"),197920)</f>
        <v>197920</v>
      </c>
      <c r="G45" s="64">
        <f ca="1">IFERROR(__xludf.DUMMYFUNCTION("IMPORTRANGE(""https://docs.google.com/spreadsheets/d/1QC8psz9w0f9IVE9Xuc2FT_btkaOzZbbUSgYObpBuetM/edit?usp=sharing"",""สกลนคร!M798"")"),0)</f>
        <v>0</v>
      </c>
      <c r="H45" s="58">
        <f t="shared" ca="1" si="15"/>
        <v>174661.66</v>
      </c>
      <c r="I45" s="59">
        <f t="shared" ca="1" si="1"/>
        <v>88.248615602263541</v>
      </c>
      <c r="J45" s="60">
        <f t="shared" ca="1" si="32"/>
        <v>174661.66</v>
      </c>
      <c r="K45" s="61">
        <f t="shared" ca="1" si="18"/>
        <v>88.248615602263541</v>
      </c>
      <c r="L45" s="61">
        <f t="shared" ca="1" si="19"/>
        <v>88.248615602263541</v>
      </c>
      <c r="M45" s="64">
        <f ca="1">IFERROR(__xludf.DUMMYFUNCTION("IMPORTRANGE(""https://docs.google.com/spreadsheets/d/1QC8psz9w0f9IVE9Xuc2FT_btkaOzZbbUSgYObpBuetM/edit?usp=sharing"",""สกลนคร!N792"")"),0)</f>
        <v>0</v>
      </c>
      <c r="N45" s="64">
        <f ca="1">IFERROR(__xludf.DUMMYFUNCTION("IMPORTRANGE(""https://docs.google.com/spreadsheets/d/1QC8psz9w0f9IVE9Xuc2FT_btkaOzZbbUSgYObpBuetM/edit?usp=sharing"",""สกลนคร!N793"")"),42000)</f>
        <v>42000</v>
      </c>
      <c r="O45" s="64">
        <f ca="1">IFERROR(__xludf.DUMMYFUNCTION("IMPORTRANGE(""https://docs.google.com/spreadsheets/d/1QC8psz9w0f9IVE9Xuc2FT_btkaOzZbbUSgYObpBuetM/edit?usp=sharing"",""สกลนคร!N794"")"),80166.65)</f>
        <v>80166.649999999994</v>
      </c>
      <c r="P45" s="64">
        <f ca="1">IFERROR(__xludf.DUMMYFUNCTION("IMPORTRANGE(""https://docs.google.com/spreadsheets/d/1QC8psz9w0f9IVE9Xuc2FT_btkaOzZbbUSgYObpBuetM/edit?usp=sharing"",""สกลนคร!N795"")"),52495.01)</f>
        <v>52495.01</v>
      </c>
      <c r="Q45" s="62">
        <f ca="1">IFERROR(__xludf.DUMMYFUNCTION("IMPORTRANGE(""https://docs.google.com/spreadsheets/d/1QC8psz9w0f9IVE9Xuc2FT_btkaOzZbbUSgYObpBuetM/edit?usp=sharing"",""สกลนคร!N798"")"),0)</f>
        <v>0</v>
      </c>
      <c r="R45" s="62">
        <f t="shared" ca="1" si="21"/>
        <v>0</v>
      </c>
      <c r="S45" s="57">
        <f ca="1">IFERROR(__xludf.DUMMYFUNCTION("IMPORTRANGE(""https://docs.google.com/spreadsheets/d/1QC8psz9w0f9IVE9Xuc2FT_btkaOzZbbUSgYObpBuetM/edit?usp=sharing"",""สกลนคร!I785"")"),3000)</f>
        <v>3000</v>
      </c>
      <c r="T45" s="57">
        <f t="shared" ca="1" si="33"/>
        <v>3768</v>
      </c>
      <c r="U45" s="63">
        <f t="shared" ca="1" si="16"/>
        <v>125.6</v>
      </c>
      <c r="V45" s="57">
        <f ca="1">IFERROR(__xludf.DUMMYFUNCTION("IMPORTRANGE(""https://docs.google.com/spreadsheets/d/1QC8psz9w0f9IVE9Xuc2FT_btkaOzZbbUSgYObpBuetM/edit?usp=sharing"",""สกลนคร!J801"")"),3768)</f>
        <v>3768</v>
      </c>
      <c r="W45" s="57">
        <f ca="1">IFERROR(__xludf.DUMMYFUNCTION("IMPORTRANGE(""https://docs.google.com/spreadsheets/d/1QC8psz9w0f9IVE9Xuc2FT_btkaOzZbbUSgYObpBuetM/edit?usp=sharing"",""สกลนคร!J800"")"),343)</f>
        <v>343</v>
      </c>
      <c r="X45" s="57">
        <f ca="1">IFERROR(__xludf.DUMMYFUNCTION("IMPORTRANGE(""https://docs.google.com/spreadsheets/d/1QC8psz9w0f9IVE9Xuc2FT_btkaOzZbbUSgYObpBuetM/edit?usp=sharing"",""สกลนคร!J803"")"),0)</f>
        <v>0</v>
      </c>
      <c r="Y45" s="57">
        <f ca="1">IFERROR(__xludf.DUMMYFUNCTION("IMPORTRANGE(""https://docs.google.com/spreadsheets/d/1QC8psz9w0f9IVE9Xuc2FT_btkaOzZbbUSgYObpBuetM/edit?usp=sharing"",""สกลนคร!J802"")"),0)</f>
        <v>0</v>
      </c>
    </row>
    <row r="46" spans="1:25" ht="21" customHeight="1" x14ac:dyDescent="0.3">
      <c r="A46" s="54">
        <v>15</v>
      </c>
      <c r="B46" s="55" t="s">
        <v>67</v>
      </c>
      <c r="C46" s="56">
        <f t="shared" ca="1" si="31"/>
        <v>213920</v>
      </c>
      <c r="D46" s="57">
        <f ca="1">IFERROR(__xludf.DUMMYFUNCTION("IMPORTRANGE(""https://docs.google.com/spreadsheets/d/1wPdvRbu02d33MYVlbsCnyTiZpefEBs9NNktAnT1HZvw/edit?usp=sharing"",""สุรินทร์!L791"")"),213920)</f>
        <v>213920</v>
      </c>
      <c r="E46" s="64">
        <f ca="1">IFERROR(__xludf.DUMMYFUNCTION("IMPORTRANGE(""https://docs.google.com/spreadsheets/d/1wPdvRbu02d33MYVlbsCnyTiZpefEBs9NNktAnT1HZvw/edit?usp=sharing"",""สุรินทร์!L798"")"),0)</f>
        <v>0</v>
      </c>
      <c r="F46" s="64">
        <f ca="1">IFERROR(__xludf.DUMMYFUNCTION("IMPORTRANGE(""https://docs.google.com/spreadsheets/d/1wPdvRbu02d33MYVlbsCnyTiZpefEBs9NNktAnT1HZvw/edit?usp=sharing"",""สุรินทร์!M791"")"),213920)</f>
        <v>213920</v>
      </c>
      <c r="G46" s="64">
        <f ca="1">IFERROR(__xludf.DUMMYFUNCTION("IMPORTRANGE(""https://docs.google.com/spreadsheets/d/1wPdvRbu02d33MYVlbsCnyTiZpefEBs9NNktAnT1HZvw/edit?usp=sharing"",""สุรินทร์!M798"")"),0)</f>
        <v>0</v>
      </c>
      <c r="H46" s="58">
        <f t="shared" ca="1" si="15"/>
        <v>91379</v>
      </c>
      <c r="I46" s="59">
        <f t="shared" ca="1" si="1"/>
        <v>42.716436050860132</v>
      </c>
      <c r="J46" s="60">
        <f t="shared" ca="1" si="32"/>
        <v>91379</v>
      </c>
      <c r="K46" s="61">
        <f t="shared" ca="1" si="18"/>
        <v>42.716436050860132</v>
      </c>
      <c r="L46" s="61">
        <f t="shared" ca="1" si="19"/>
        <v>42.716436050860132</v>
      </c>
      <c r="M46" s="64">
        <f ca="1">IFERROR(__xludf.DUMMYFUNCTION("IMPORTRANGE(""https://docs.google.com/spreadsheets/d/1wPdvRbu02d33MYVlbsCnyTiZpefEBs9NNktAnT1HZvw/edit?usp=sharing"",""สุรินทร์!N792"")"),0)</f>
        <v>0</v>
      </c>
      <c r="N46" s="64">
        <f ca="1">IFERROR(__xludf.DUMMYFUNCTION("IMPORTRANGE(""https://docs.google.com/spreadsheets/d/1wPdvRbu02d33MYVlbsCnyTiZpefEBs9NNktAnT1HZvw/edit?usp=sharing"",""สุรินทร์!N793"")"),0)</f>
        <v>0</v>
      </c>
      <c r="O46" s="64">
        <f ca="1">IFERROR(__xludf.DUMMYFUNCTION("IMPORTRANGE(""https://docs.google.com/spreadsheets/d/1wPdvRbu02d33MYVlbsCnyTiZpefEBs9NNktAnT1HZvw/edit?usp=sharing"",""สุรินทร์!N794"")"),21341)</f>
        <v>21341</v>
      </c>
      <c r="P46" s="64">
        <f ca="1">IFERROR(__xludf.DUMMYFUNCTION("IMPORTRANGE(""https://docs.google.com/spreadsheets/d/1wPdvRbu02d33MYVlbsCnyTiZpefEBs9NNktAnT1HZvw/edit?usp=sharing"",""สุรินทร์!N795"")"),70038)</f>
        <v>70038</v>
      </c>
      <c r="Q46" s="62">
        <f ca="1">IFERROR(__xludf.DUMMYFUNCTION("IMPORTRANGE(""https://docs.google.com/spreadsheets/d/1wPdvRbu02d33MYVlbsCnyTiZpefEBs9NNktAnT1HZvw/edit?usp=sharing"",""สุรินทร์!N798"")"),0)</f>
        <v>0</v>
      </c>
      <c r="R46" s="62">
        <f t="shared" ca="1" si="21"/>
        <v>0</v>
      </c>
      <c r="S46" s="57">
        <f ca="1">IFERROR(__xludf.DUMMYFUNCTION("IMPORTRANGE(""https://docs.google.com/spreadsheets/d/1wPdvRbu02d33MYVlbsCnyTiZpefEBs9NNktAnT1HZvw/edit?usp=sharing"",""สุรินทร์!I785"")"),3000)</f>
        <v>3000</v>
      </c>
      <c r="T46" s="57">
        <f t="shared" ca="1" si="33"/>
        <v>730</v>
      </c>
      <c r="U46" s="63">
        <f t="shared" ca="1" si="16"/>
        <v>24.333333333333332</v>
      </c>
      <c r="V46" s="57">
        <f ca="1">IFERROR(__xludf.DUMMYFUNCTION("IMPORTRANGE(""https://docs.google.com/spreadsheets/d/1wPdvRbu02d33MYVlbsCnyTiZpefEBs9NNktAnT1HZvw/edit?usp=sharing"",""สุรินทร์!J801"")"),730)</f>
        <v>730</v>
      </c>
      <c r="W46" s="57">
        <f ca="1">IFERROR(__xludf.DUMMYFUNCTION("IMPORTRANGE(""https://docs.google.com/spreadsheets/d/1wPdvRbu02d33MYVlbsCnyTiZpefEBs9NNktAnT1HZvw/edit?usp=sharing"",""สุรินทร์!J800"")"),87)</f>
        <v>87</v>
      </c>
      <c r="X46" s="57">
        <f ca="1">IFERROR(__xludf.DUMMYFUNCTION("IMPORTRANGE(""https://docs.google.com/spreadsheets/d/1wPdvRbu02d33MYVlbsCnyTiZpefEBs9NNktAnT1HZvw/edit?usp=sharing"",""สุรินทร์!J803"")"),0)</f>
        <v>0</v>
      </c>
      <c r="Y46" s="57">
        <f ca="1">IFERROR(__xludf.DUMMYFUNCTION("IMPORTRANGE(""https://docs.google.com/spreadsheets/d/1wPdvRbu02d33MYVlbsCnyTiZpefEBs9NNktAnT1HZvw/edit?usp=sharing"",""สุรินทร์!J802"")"),0)</f>
        <v>0</v>
      </c>
    </row>
    <row r="47" spans="1:25" ht="21" customHeight="1" x14ac:dyDescent="0.3">
      <c r="A47" s="54">
        <v>16</v>
      </c>
      <c r="B47" s="55" t="s">
        <v>68</v>
      </c>
      <c r="C47" s="56">
        <f t="shared" ca="1" si="31"/>
        <v>0</v>
      </c>
      <c r="D47" s="57">
        <f ca="1">IFERROR(__xludf.DUMMYFUNCTION("IMPORTRANGE(""https://docs.google.com/spreadsheets/d/1GVExpf-Exi_2gmuqTYH28fseTB9MoKPXWcXCbSt_YrM/edit?usp=sharing"",""หนองคาย!L791"")"),0)</f>
        <v>0</v>
      </c>
      <c r="E47" s="64">
        <f ca="1">IFERROR(__xludf.DUMMYFUNCTION("IMPORTRANGE(""https://docs.google.com/spreadsheets/d/1GVExpf-Exi_2gmuqTYH28fseTB9MoKPXWcXCbSt_YrM/edit?usp=sharing"",""หนองคาย!L798"")"),0)</f>
        <v>0</v>
      </c>
      <c r="F47" s="64">
        <f ca="1">IFERROR(__xludf.DUMMYFUNCTION("IMPORTRANGE(""https://docs.google.com/spreadsheets/d/1GVExpf-Exi_2gmuqTYH28fseTB9MoKPXWcXCbSt_YrM/edit?usp=sharing"",""หนองคาย!M791"")"),0)</f>
        <v>0</v>
      </c>
      <c r="G47" s="64">
        <f ca="1">IFERROR(__xludf.DUMMYFUNCTION("IMPORTRANGE(""https://docs.google.com/spreadsheets/d/1GVExpf-Exi_2gmuqTYH28fseTB9MoKPXWcXCbSt_YrM/edit?usp=sharing"",""หนองคาย!M798"")"),0)</f>
        <v>0</v>
      </c>
      <c r="H47" s="58">
        <f t="shared" ca="1" si="15"/>
        <v>0</v>
      </c>
      <c r="I47" s="59">
        <f t="shared" ca="1" si="1"/>
        <v>0</v>
      </c>
      <c r="J47" s="60">
        <f t="shared" ca="1" si="32"/>
        <v>0</v>
      </c>
      <c r="K47" s="61">
        <f t="shared" ca="1" si="18"/>
        <v>0</v>
      </c>
      <c r="L47" s="61">
        <f t="shared" ca="1" si="19"/>
        <v>0</v>
      </c>
      <c r="M47" s="64">
        <f ca="1">IFERROR(__xludf.DUMMYFUNCTION("IMPORTRANGE(""https://docs.google.com/spreadsheets/d/1GVExpf-Exi_2gmuqTYH28fseTB9MoKPXWcXCbSt_YrM/edit?usp=sharing"",""หนองคาย!N792"")"),0)</f>
        <v>0</v>
      </c>
      <c r="N47" s="64">
        <f ca="1">IFERROR(__xludf.DUMMYFUNCTION("IMPORTRANGE(""https://docs.google.com/spreadsheets/d/1GVExpf-Exi_2gmuqTYH28fseTB9MoKPXWcXCbSt_YrM/edit?usp=sharing"",""หนองคาย!N793"")"),0)</f>
        <v>0</v>
      </c>
      <c r="O47" s="64">
        <f ca="1">IFERROR(__xludf.DUMMYFUNCTION("IMPORTRANGE(""https://docs.google.com/spreadsheets/d/1GVExpf-Exi_2gmuqTYH28fseTB9MoKPXWcXCbSt_YrM/edit?usp=sharing"",""หนองคาย!N794"")"),0)</f>
        <v>0</v>
      </c>
      <c r="P47" s="64">
        <f ca="1">IFERROR(__xludf.DUMMYFUNCTION("IMPORTRANGE(""https://docs.google.com/spreadsheets/d/1GVExpf-Exi_2gmuqTYH28fseTB9MoKPXWcXCbSt_YrM/edit?usp=sharing"",""หนองคาย!N795"")"),0)</f>
        <v>0</v>
      </c>
      <c r="Q47" s="62">
        <f ca="1">IFERROR(__xludf.DUMMYFUNCTION("IMPORTRANGE(""https://docs.google.com/spreadsheets/d/1GVExpf-Exi_2gmuqTYH28fseTB9MoKPXWcXCbSt_YrM/edit?usp=sharing"",""หนองคาย!N798"")"),0)</f>
        <v>0</v>
      </c>
      <c r="R47" s="62">
        <f t="shared" ca="1" si="21"/>
        <v>0</v>
      </c>
      <c r="S47" s="57">
        <f ca="1">IFERROR(__xludf.DUMMYFUNCTION("IMPORTRANGE(""https://docs.google.com/spreadsheets/d/1GVExpf-Exi_2gmuqTYH28fseTB9MoKPXWcXCbSt_YrM/edit?usp=sharing"",""หนองคาย!I785"")"),0)</f>
        <v>0</v>
      </c>
      <c r="T47" s="57">
        <f t="shared" ca="1" si="33"/>
        <v>0</v>
      </c>
      <c r="U47" s="63">
        <f t="shared" ca="1" si="16"/>
        <v>0</v>
      </c>
      <c r="V47" s="57">
        <f ca="1">IFERROR(__xludf.DUMMYFUNCTION("IMPORTRANGE(""https://docs.google.com/spreadsheets/d/1GVExpf-Exi_2gmuqTYH28fseTB9MoKPXWcXCbSt_YrM/edit?usp=sharing"",""หนองคาย!J801"")"),0)</f>
        <v>0</v>
      </c>
      <c r="W47" s="57">
        <f ca="1">IFERROR(__xludf.DUMMYFUNCTION("IMPORTRANGE(""https://docs.google.com/spreadsheets/d/1GVExpf-Exi_2gmuqTYH28fseTB9MoKPXWcXCbSt_YrM/edit?usp=sharing"",""หนองคาย!J800"")"),0)</f>
        <v>0</v>
      </c>
      <c r="X47" s="57">
        <f ca="1">IFERROR(__xludf.DUMMYFUNCTION("IMPORTRANGE(""https://docs.google.com/spreadsheets/d/1GVExpf-Exi_2gmuqTYH28fseTB9MoKPXWcXCbSt_YrM/edit?usp=sharing"",""หนองคาย!J803"")"),0)</f>
        <v>0</v>
      </c>
      <c r="Y47" s="57">
        <f ca="1">IFERROR(__xludf.DUMMYFUNCTION("IMPORTRANGE(""https://docs.google.com/spreadsheets/d/1GVExpf-Exi_2gmuqTYH28fseTB9MoKPXWcXCbSt_YrM/edit?usp=sharing"",""หนองคาย!J802"")"),0)</f>
        <v>0</v>
      </c>
    </row>
    <row r="48" spans="1:25" ht="21" customHeight="1" x14ac:dyDescent="0.3">
      <c r="A48" s="54">
        <v>17</v>
      </c>
      <c r="B48" s="55" t="s">
        <v>69</v>
      </c>
      <c r="C48" s="56">
        <f t="shared" ca="1" si="31"/>
        <v>266560</v>
      </c>
      <c r="D48" s="57">
        <f ca="1">IFERROR(__xludf.DUMMYFUNCTION("IMPORTRANGE(""https://docs.google.com/spreadsheets/d/16UeMz0UgOB5BZcoxP75eYGcLFtGYRn9GoesD4OX9m5U/edit?usp=sharing"",""หนองบัวลำภู!L791"")"),266560)</f>
        <v>266560</v>
      </c>
      <c r="E48" s="64">
        <f ca="1">IFERROR(__xludf.DUMMYFUNCTION("IMPORTRANGE(""https://docs.google.com/spreadsheets/d/16UeMz0UgOB5BZcoxP75eYGcLFtGYRn9GoesD4OX9m5U/edit?usp=sharing"",""หนองบัวลำภู!L798"")"),0)</f>
        <v>0</v>
      </c>
      <c r="F48" s="64">
        <f ca="1">IFERROR(__xludf.DUMMYFUNCTION("IMPORTRANGE(""https://docs.google.com/spreadsheets/d/16UeMz0UgOB5BZcoxP75eYGcLFtGYRn9GoesD4OX9m5U/edit?usp=sharing"",""หนองบัวลำภู!M791"")"),266560)</f>
        <v>266560</v>
      </c>
      <c r="G48" s="64">
        <f ca="1">IFERROR(__xludf.DUMMYFUNCTION("IMPORTRANGE(""https://docs.google.com/spreadsheets/d/16UeMz0UgOB5BZcoxP75eYGcLFtGYRn9GoesD4OX9m5U/edit?usp=sharing"",""หนองบัวลำภู!M798"")"),0)</f>
        <v>0</v>
      </c>
      <c r="H48" s="58">
        <f t="shared" ca="1" si="15"/>
        <v>191847.66999999998</v>
      </c>
      <c r="I48" s="59">
        <f t="shared" ca="1" si="1"/>
        <v>71.971664915966386</v>
      </c>
      <c r="J48" s="60">
        <f t="shared" ca="1" si="32"/>
        <v>191847.66999999998</v>
      </c>
      <c r="K48" s="61">
        <f t="shared" ca="1" si="18"/>
        <v>71.971664915966386</v>
      </c>
      <c r="L48" s="61">
        <f t="shared" ca="1" si="19"/>
        <v>71.971664915966386</v>
      </c>
      <c r="M48" s="64">
        <f ca="1">IFERROR(__xludf.DUMMYFUNCTION("IMPORTRANGE(""https://docs.google.com/spreadsheets/d/16UeMz0UgOB5BZcoxP75eYGcLFtGYRn9GoesD4OX9m5U/edit?usp=sharing"",""หนองบัวลำภู!N792"")"),0)</f>
        <v>0</v>
      </c>
      <c r="N48" s="64">
        <f ca="1">IFERROR(__xludf.DUMMYFUNCTION("IMPORTRANGE(""https://docs.google.com/spreadsheets/d/16UeMz0UgOB5BZcoxP75eYGcLFtGYRn9GoesD4OX9m5U/edit?usp=sharing"",""หนองบัวลำภู!N793"")"),0)</f>
        <v>0</v>
      </c>
      <c r="O48" s="64">
        <f ca="1">IFERROR(__xludf.DUMMYFUNCTION("IMPORTRANGE(""https://docs.google.com/spreadsheets/d/16UeMz0UgOB5BZcoxP75eYGcLFtGYRn9GoesD4OX9m5U/edit?usp=sharing"",""หนองบัวลำภู!N794"")"),78000)</f>
        <v>78000</v>
      </c>
      <c r="P48" s="64">
        <f ca="1">IFERROR(__xludf.DUMMYFUNCTION("IMPORTRANGE(""https://docs.google.com/spreadsheets/d/16UeMz0UgOB5BZcoxP75eYGcLFtGYRn9GoesD4OX9m5U/edit?usp=sharing"",""หนองบัวลำภู!N795"")"),113847.67)</f>
        <v>113847.67</v>
      </c>
      <c r="Q48" s="62">
        <f ca="1">IFERROR(__xludf.DUMMYFUNCTION("IMPORTRANGE(""https://docs.google.com/spreadsheets/d/16UeMz0UgOB5BZcoxP75eYGcLFtGYRn9GoesD4OX9m5U/edit?usp=sharing"",""หนองบัวลำภู!N798"")"),0)</f>
        <v>0</v>
      </c>
      <c r="R48" s="62">
        <f t="shared" ca="1" si="21"/>
        <v>0</v>
      </c>
      <c r="S48" s="57">
        <f ca="1">IFERROR(__xludf.DUMMYFUNCTION("IMPORTRANGE(""https://docs.google.com/spreadsheets/d/16UeMz0UgOB5BZcoxP75eYGcLFtGYRn9GoesD4OX9m5U/edit?usp=sharing"",""หนองบัวลำภู!I785"")"),4000)</f>
        <v>4000</v>
      </c>
      <c r="T48" s="57">
        <f t="shared" ca="1" si="33"/>
        <v>1085</v>
      </c>
      <c r="U48" s="63">
        <f t="shared" ca="1" si="16"/>
        <v>27.125</v>
      </c>
      <c r="V48" s="57">
        <f ca="1">IFERROR(__xludf.DUMMYFUNCTION("IMPORTRANGE(""https://docs.google.com/spreadsheets/d/16UeMz0UgOB5BZcoxP75eYGcLFtGYRn9GoesD4OX9m5U/edit?usp=sharing"",""หนองบัวลำภู!J801"")"),1085)</f>
        <v>1085</v>
      </c>
      <c r="W48" s="57">
        <f ca="1">IFERROR(__xludf.DUMMYFUNCTION("IMPORTRANGE(""https://docs.google.com/spreadsheets/d/16UeMz0UgOB5BZcoxP75eYGcLFtGYRn9GoesD4OX9m5U/edit?usp=sharing"",""หนองบัวลำภู!J800"")"),60)</f>
        <v>60</v>
      </c>
      <c r="X48" s="57">
        <f ca="1">IFERROR(__xludf.DUMMYFUNCTION("IMPORTRANGE(""https://docs.google.com/spreadsheets/d/16UeMz0UgOB5BZcoxP75eYGcLFtGYRn9GoesD4OX9m5U/edit?usp=sharing"",""หนองบัวลำภู!J803"")"),0)</f>
        <v>0</v>
      </c>
      <c r="Y48" s="57">
        <f ca="1">IFERROR(__xludf.DUMMYFUNCTION("IMPORTRANGE(""https://docs.google.com/spreadsheets/d/16UeMz0UgOB5BZcoxP75eYGcLFtGYRn9GoesD4OX9m5U/edit?usp=sharing"",""หนองบัวลำภู!J802"")"),0)</f>
        <v>0</v>
      </c>
    </row>
    <row r="49" spans="1:25" ht="21" customHeight="1" x14ac:dyDescent="0.3">
      <c r="A49" s="54">
        <v>18</v>
      </c>
      <c r="B49" s="55" t="s">
        <v>70</v>
      </c>
      <c r="C49" s="56">
        <f t="shared" ca="1" si="31"/>
        <v>0</v>
      </c>
      <c r="D49" s="57">
        <f ca="1">IFERROR(__xludf.DUMMYFUNCTION("IMPORTRANGE(""https://docs.google.com/spreadsheets/d/1uUP8Zo1-qaJLuIkRU0qlwLSE3DHkbdrrj2JGJiWBQZE/edit?usp=sharing"",""อำนาจเจริญ!L791"")"),0)</f>
        <v>0</v>
      </c>
      <c r="E49" s="64">
        <f ca="1">IFERROR(__xludf.DUMMYFUNCTION("IMPORTRANGE(""https://docs.google.com/spreadsheets/d/1uUP8Zo1-qaJLuIkRU0qlwLSE3DHkbdrrj2JGJiWBQZE/edit?usp=sharing"",""อำนาจเจริญ!L798"")"),0)</f>
        <v>0</v>
      </c>
      <c r="F49" s="64">
        <f ca="1">IFERROR(__xludf.DUMMYFUNCTION("IMPORTRANGE(""https://docs.google.com/spreadsheets/d/1uUP8Zo1-qaJLuIkRU0qlwLSE3DHkbdrrj2JGJiWBQZE/edit?usp=sharing"",""อำนาจเจริญ!M791"")"),0)</f>
        <v>0</v>
      </c>
      <c r="G49" s="64">
        <f ca="1">IFERROR(__xludf.DUMMYFUNCTION("IMPORTRANGE(""https://docs.google.com/spreadsheets/d/1uUP8Zo1-qaJLuIkRU0qlwLSE3DHkbdrrj2JGJiWBQZE/edit?usp=sharing"",""อำนาจเจริญ!M798"")"),0)</f>
        <v>0</v>
      </c>
      <c r="H49" s="58">
        <f t="shared" ca="1" si="15"/>
        <v>0</v>
      </c>
      <c r="I49" s="59">
        <f t="shared" ca="1" si="1"/>
        <v>0</v>
      </c>
      <c r="J49" s="60">
        <f t="shared" ca="1" si="32"/>
        <v>0</v>
      </c>
      <c r="K49" s="61">
        <f t="shared" ca="1" si="18"/>
        <v>0</v>
      </c>
      <c r="L49" s="61">
        <f t="shared" ca="1" si="19"/>
        <v>0</v>
      </c>
      <c r="M49" s="64">
        <f ca="1">IFERROR(__xludf.DUMMYFUNCTION("IMPORTRANGE(""https://docs.google.com/spreadsheets/d/1uUP8Zo1-qaJLuIkRU0qlwLSE3DHkbdrrj2JGJiWBQZE/edit?usp=sharing"",""อำนาจเจริญ!N792"")"),0)</f>
        <v>0</v>
      </c>
      <c r="N49" s="64">
        <f ca="1">IFERROR(__xludf.DUMMYFUNCTION("IMPORTRANGE(""https://docs.google.com/spreadsheets/d/1uUP8Zo1-qaJLuIkRU0qlwLSE3DHkbdrrj2JGJiWBQZE/edit?usp=sharing"",""อำนาจเจริญ!N793"")"),0)</f>
        <v>0</v>
      </c>
      <c r="O49" s="64">
        <f ca="1">IFERROR(__xludf.DUMMYFUNCTION("IMPORTRANGE(""https://docs.google.com/spreadsheets/d/1uUP8Zo1-qaJLuIkRU0qlwLSE3DHkbdrrj2JGJiWBQZE/edit?usp=sharing"",""อำนาจเจริญ!N794"")"),0)</f>
        <v>0</v>
      </c>
      <c r="P49" s="64">
        <f ca="1">IFERROR(__xludf.DUMMYFUNCTION("IMPORTRANGE(""https://docs.google.com/spreadsheets/d/1uUP8Zo1-qaJLuIkRU0qlwLSE3DHkbdrrj2JGJiWBQZE/edit?usp=sharing"",""อำนาจเจริญ!N795"")"),0)</f>
        <v>0</v>
      </c>
      <c r="Q49" s="62">
        <f ca="1">IFERROR(__xludf.DUMMYFUNCTION("IMPORTRANGE(""https://docs.google.com/spreadsheets/d/1uUP8Zo1-qaJLuIkRU0qlwLSE3DHkbdrrj2JGJiWBQZE/edit?usp=sharing"",""อำนาจเจริญ!N798"")"),0)</f>
        <v>0</v>
      </c>
      <c r="R49" s="62">
        <f t="shared" ca="1" si="21"/>
        <v>0</v>
      </c>
      <c r="S49" s="57">
        <f ca="1">IFERROR(__xludf.DUMMYFUNCTION("IMPORTRANGE(""https://docs.google.com/spreadsheets/d/1uUP8Zo1-qaJLuIkRU0qlwLSE3DHkbdrrj2JGJiWBQZE/edit?usp=sharing"",""อำนาจเจริญ!I785"")"),0)</f>
        <v>0</v>
      </c>
      <c r="T49" s="57">
        <f t="shared" ca="1" si="33"/>
        <v>0</v>
      </c>
      <c r="U49" s="63">
        <f t="shared" ca="1" si="16"/>
        <v>0</v>
      </c>
      <c r="V49" s="57">
        <f ca="1">IFERROR(__xludf.DUMMYFUNCTION("IMPORTRANGE(""https://docs.google.com/spreadsheets/d/1uUP8Zo1-qaJLuIkRU0qlwLSE3DHkbdrrj2JGJiWBQZE/edit?usp=sharing"",""อำนาจเจริญ!J801"")"),0)</f>
        <v>0</v>
      </c>
      <c r="W49" s="57">
        <f ca="1">IFERROR(__xludf.DUMMYFUNCTION("IMPORTRANGE(""https://docs.google.com/spreadsheets/d/1uUP8Zo1-qaJLuIkRU0qlwLSE3DHkbdrrj2JGJiWBQZE/edit?usp=sharing"",""อำนาจเจริญ!J800"")"),0)</f>
        <v>0</v>
      </c>
      <c r="X49" s="57">
        <f ca="1">IFERROR(__xludf.DUMMYFUNCTION("IMPORTRANGE(""https://docs.google.com/spreadsheets/d/1uUP8Zo1-qaJLuIkRU0qlwLSE3DHkbdrrj2JGJiWBQZE/edit?usp=sharing"",""อำนาจเจริญ!J803"")"),0)</f>
        <v>0</v>
      </c>
      <c r="Y49" s="57">
        <f ca="1">IFERROR(__xludf.DUMMYFUNCTION("IMPORTRANGE(""https://docs.google.com/spreadsheets/d/1uUP8Zo1-qaJLuIkRU0qlwLSE3DHkbdrrj2JGJiWBQZE/edit?usp=sharing"",""อำนาจเจริญ!J802"")"),0)</f>
        <v>0</v>
      </c>
    </row>
    <row r="50" spans="1:25" ht="21" customHeight="1" x14ac:dyDescent="0.3">
      <c r="A50" s="54">
        <v>19</v>
      </c>
      <c r="B50" s="55" t="s">
        <v>71</v>
      </c>
      <c r="C50" s="56">
        <f t="shared" ca="1" si="31"/>
        <v>0</v>
      </c>
      <c r="D50" s="57">
        <f ca="1">IFERROR(__xludf.DUMMYFUNCTION("IMPORTRANGE(""https://docs.google.com/spreadsheets/d/1hb_taSOHanzRjqfzWPiFo8yiT83VV1L7vvUCLhOiHKc/edit?usp=sharing"",""อุดรธานี!L791"")"),0)</f>
        <v>0</v>
      </c>
      <c r="E50" s="64">
        <f ca="1">IFERROR(__xludf.DUMMYFUNCTION("IMPORTRANGE(""https://docs.google.com/spreadsheets/d/1hb_taSOHanzRjqfzWPiFo8yiT83VV1L7vvUCLhOiHKc/edit?usp=sharing"",""อุดรธานี!L798"")"),0)</f>
        <v>0</v>
      </c>
      <c r="F50" s="64">
        <f ca="1">IFERROR(__xludf.DUMMYFUNCTION("IMPORTRANGE(""https://docs.google.com/spreadsheets/d/1hb_taSOHanzRjqfzWPiFo8yiT83VV1L7vvUCLhOiHKc/edit?usp=sharing"",""อุดรธานี!M791"")"),0)</f>
        <v>0</v>
      </c>
      <c r="G50" s="64">
        <f ca="1">IFERROR(__xludf.DUMMYFUNCTION("IMPORTRANGE(""https://docs.google.com/spreadsheets/d/1hb_taSOHanzRjqfzWPiFo8yiT83VV1L7vvUCLhOiHKc/edit?usp=sharing"",""อุดรธานี!M798"")"),0)</f>
        <v>0</v>
      </c>
      <c r="H50" s="58">
        <f t="shared" ca="1" si="15"/>
        <v>0</v>
      </c>
      <c r="I50" s="59">
        <f t="shared" ca="1" si="1"/>
        <v>0</v>
      </c>
      <c r="J50" s="60">
        <f t="shared" ca="1" si="32"/>
        <v>0</v>
      </c>
      <c r="K50" s="61">
        <f t="shared" ca="1" si="18"/>
        <v>0</v>
      </c>
      <c r="L50" s="61">
        <f t="shared" ca="1" si="19"/>
        <v>0</v>
      </c>
      <c r="M50" s="64">
        <f ca="1">IFERROR(__xludf.DUMMYFUNCTION("IMPORTRANGE(""https://docs.google.com/spreadsheets/d/1hb_taSOHanzRjqfzWPiFo8yiT83VV1L7vvUCLhOiHKc/edit?usp=sharing"",""อุดรธานี!N792"")"),0)</f>
        <v>0</v>
      </c>
      <c r="N50" s="64">
        <f ca="1">IFERROR(__xludf.DUMMYFUNCTION("IMPORTRANGE(""https://docs.google.com/spreadsheets/d/1hb_taSOHanzRjqfzWPiFo8yiT83VV1L7vvUCLhOiHKc/edit?usp=sharing"",""อุดรธานี!N793"")"),0)</f>
        <v>0</v>
      </c>
      <c r="O50" s="64">
        <f ca="1">IFERROR(__xludf.DUMMYFUNCTION("IMPORTRANGE(""https://docs.google.com/spreadsheets/d/1hb_taSOHanzRjqfzWPiFo8yiT83VV1L7vvUCLhOiHKc/edit?usp=sharing"",""อุดรธานี!N794"")"),0)</f>
        <v>0</v>
      </c>
      <c r="P50" s="64">
        <f ca="1">IFERROR(__xludf.DUMMYFUNCTION("IMPORTRANGE(""https://docs.google.com/spreadsheets/d/1hb_taSOHanzRjqfzWPiFo8yiT83VV1L7vvUCLhOiHKc/edit?usp=sharing"",""อุดรธานี!N795"")"),0)</f>
        <v>0</v>
      </c>
      <c r="Q50" s="62">
        <f ca="1">IFERROR(__xludf.DUMMYFUNCTION("IMPORTRANGE(""https://docs.google.com/spreadsheets/d/1hb_taSOHanzRjqfzWPiFo8yiT83VV1L7vvUCLhOiHKc/edit?usp=sharing"",""อุดรธานี!N798"")"),0)</f>
        <v>0</v>
      </c>
      <c r="R50" s="62">
        <f t="shared" ca="1" si="21"/>
        <v>0</v>
      </c>
      <c r="S50" s="57">
        <f ca="1">IFERROR(__xludf.DUMMYFUNCTION("IMPORTRANGE(""https://docs.google.com/spreadsheets/d/1hb_taSOHanzRjqfzWPiFo8yiT83VV1L7vvUCLhOiHKc/edit?usp=sharing"",""อุดรธานี!I785"")"),0)</f>
        <v>0</v>
      </c>
      <c r="T50" s="57">
        <f t="shared" ca="1" si="33"/>
        <v>0</v>
      </c>
      <c r="U50" s="63">
        <f t="shared" ca="1" si="16"/>
        <v>0</v>
      </c>
      <c r="V50" s="57">
        <f ca="1">IFERROR(__xludf.DUMMYFUNCTION("IMPORTRANGE(""https://docs.google.com/spreadsheets/d/1hb_taSOHanzRjqfzWPiFo8yiT83VV1L7vvUCLhOiHKc/edit?usp=sharing"",""อุดรธานี!J801"")"),0)</f>
        <v>0</v>
      </c>
      <c r="W50" s="57">
        <f ca="1">IFERROR(__xludf.DUMMYFUNCTION("IMPORTRANGE(""https://docs.google.com/spreadsheets/d/1hb_taSOHanzRjqfzWPiFo8yiT83VV1L7vvUCLhOiHKc/edit?usp=sharing"",""อุดรธานี!J800"")"),0)</f>
        <v>0</v>
      </c>
      <c r="X50" s="57">
        <f ca="1">IFERROR(__xludf.DUMMYFUNCTION("IMPORTRANGE(""https://docs.google.com/spreadsheets/d/1hb_taSOHanzRjqfzWPiFo8yiT83VV1L7vvUCLhOiHKc/edit?usp=sharing"",""อุดรธานี!J803"")"),0)</f>
        <v>0</v>
      </c>
      <c r="Y50" s="57">
        <f ca="1">IFERROR(__xludf.DUMMYFUNCTION("IMPORTRANGE(""https://docs.google.com/spreadsheets/d/1hb_taSOHanzRjqfzWPiFo8yiT83VV1L7vvUCLhOiHKc/edit?usp=sharing"",""อุดรธานี!J802"")"),0)</f>
        <v>0</v>
      </c>
    </row>
    <row r="51" spans="1:25" ht="21" customHeight="1" x14ac:dyDescent="0.3">
      <c r="A51" s="65">
        <v>20</v>
      </c>
      <c r="B51" s="66" t="s">
        <v>72</v>
      </c>
      <c r="C51" s="67">
        <f t="shared" ca="1" si="31"/>
        <v>335200</v>
      </c>
      <c r="D51" s="68">
        <f ca="1">IFERROR(__xludf.DUMMYFUNCTION("IMPORTRANGE(""https://docs.google.com/spreadsheets/d/17IOkEwkUd63EGNfyNDnM5de9YlZ7rwzTiW6-dokVjKI/edit?usp=sharing"",""อุบลราชธานี!L791"")"),335200)</f>
        <v>335200</v>
      </c>
      <c r="E51" s="69">
        <f ca="1">IFERROR(__xludf.DUMMYFUNCTION("IMPORTRANGE(""https://docs.google.com/spreadsheets/d/17IOkEwkUd63EGNfyNDnM5de9YlZ7rwzTiW6-dokVjKI/edit?usp=sharing"",""อุบลราชธานี!L798"")"),0)</f>
        <v>0</v>
      </c>
      <c r="F51" s="69">
        <f ca="1">IFERROR(__xludf.DUMMYFUNCTION("IMPORTRANGE(""https://docs.google.com/spreadsheets/d/17IOkEwkUd63EGNfyNDnM5de9YlZ7rwzTiW6-dokVjKI/edit?usp=sharing"",""อุบลราชธานี!M791"")"),335200)</f>
        <v>335200</v>
      </c>
      <c r="G51" s="69">
        <f ca="1">IFERROR(__xludf.DUMMYFUNCTION("IMPORTRANGE(""https://docs.google.com/spreadsheets/d/17IOkEwkUd63EGNfyNDnM5de9YlZ7rwzTiW6-dokVjKI/edit?usp=sharing"",""อุบลราชธานี!M798"")"),0)</f>
        <v>0</v>
      </c>
      <c r="H51" s="70">
        <f t="shared" ca="1" si="15"/>
        <v>225756.31</v>
      </c>
      <c r="I51" s="71">
        <f t="shared" ca="1" si="1"/>
        <v>67.349734486873501</v>
      </c>
      <c r="J51" s="72">
        <f t="shared" ca="1" si="32"/>
        <v>225756.31</v>
      </c>
      <c r="K51" s="73">
        <f t="shared" ca="1" si="18"/>
        <v>67.349734486873501</v>
      </c>
      <c r="L51" s="73">
        <f t="shared" ca="1" si="19"/>
        <v>67.349734486873501</v>
      </c>
      <c r="M51" s="69">
        <f ca="1">IFERROR(__xludf.DUMMYFUNCTION("IMPORTRANGE(""https://docs.google.com/spreadsheets/d/17IOkEwkUd63EGNfyNDnM5de9YlZ7rwzTiW6-dokVjKI/edit?usp=sharing"",""อุบลราชธานี!N792"")"),0)</f>
        <v>0</v>
      </c>
      <c r="N51" s="69">
        <f ca="1">IFERROR(__xludf.DUMMYFUNCTION("IMPORTRANGE(""https://docs.google.com/spreadsheets/d/17IOkEwkUd63EGNfyNDnM5de9YlZ7rwzTiW6-dokVjKI/edit?usp=sharing"",""อุบลราชธานี!N793"")"),0)</f>
        <v>0</v>
      </c>
      <c r="O51" s="69">
        <f ca="1">IFERROR(__xludf.DUMMYFUNCTION("IMPORTRANGE(""https://docs.google.com/spreadsheets/d/17IOkEwkUd63EGNfyNDnM5de9YlZ7rwzTiW6-dokVjKI/edit?usp=sharing"",""อุบลราชธานี!N794"")"),55460)</f>
        <v>55460</v>
      </c>
      <c r="P51" s="69">
        <f ca="1">IFERROR(__xludf.DUMMYFUNCTION("IMPORTRANGE(""https://docs.google.com/spreadsheets/d/17IOkEwkUd63EGNfyNDnM5de9YlZ7rwzTiW6-dokVjKI/edit?usp=sharing"",""อุบลราชธานี!N795"")"),170296.31)</f>
        <v>170296.31</v>
      </c>
      <c r="Q51" s="74">
        <f ca="1">IFERROR(__xludf.DUMMYFUNCTION("IMPORTRANGE(""https://docs.google.com/spreadsheets/d/17IOkEwkUd63EGNfyNDnM5de9YlZ7rwzTiW6-dokVjKI/edit?usp=sharing"",""อุบลราชธานี!N798"")"),0)</f>
        <v>0</v>
      </c>
      <c r="R51" s="74">
        <f t="shared" ca="1" si="21"/>
        <v>0</v>
      </c>
      <c r="S51" s="68">
        <f ca="1">IFERROR(__xludf.DUMMYFUNCTION("IMPORTRANGE(""https://docs.google.com/spreadsheets/d/17IOkEwkUd63EGNfyNDnM5de9YlZ7rwzTiW6-dokVjKI/edit?usp=sharing"",""อุบลราชธานี!I785"")"),5000)</f>
        <v>5000</v>
      </c>
      <c r="T51" s="68">
        <f t="shared" ca="1" si="33"/>
        <v>2204</v>
      </c>
      <c r="U51" s="75">
        <f t="shared" ca="1" si="16"/>
        <v>44.08</v>
      </c>
      <c r="V51" s="68">
        <f ca="1">IFERROR(__xludf.DUMMYFUNCTION("IMPORTRANGE(""https://docs.google.com/spreadsheets/d/17IOkEwkUd63EGNfyNDnM5de9YlZ7rwzTiW6-dokVjKI/edit?usp=sharing"",""อุบลราชธานี!J801"")"),2204)</f>
        <v>2204</v>
      </c>
      <c r="W51" s="68">
        <f ca="1">IFERROR(__xludf.DUMMYFUNCTION("IMPORTRANGE(""https://docs.google.com/spreadsheets/d/17IOkEwkUd63EGNfyNDnM5de9YlZ7rwzTiW6-dokVjKI/edit?usp=sharing"",""อุบลราชธานี!J800"")"),152)</f>
        <v>152</v>
      </c>
      <c r="X51" s="68">
        <f ca="1">IFERROR(__xludf.DUMMYFUNCTION("IMPORTRANGE(""https://docs.google.com/spreadsheets/d/17IOkEwkUd63EGNfyNDnM5de9YlZ7rwzTiW6-dokVjKI/edit?usp=sharing"",""อุบลราชธานี!J803"")"),0)</f>
        <v>0</v>
      </c>
      <c r="Y51" s="68">
        <f ca="1">IFERROR(__xludf.DUMMYFUNCTION("IMPORTRANGE(""https://docs.google.com/spreadsheets/d/17IOkEwkUd63EGNfyNDnM5de9YlZ7rwzTiW6-dokVjKI/edit?usp=sharing"",""อุบลราชธานี!J802"")"),0)</f>
        <v>0</v>
      </c>
    </row>
    <row r="52" spans="1:25" ht="21" customHeight="1" x14ac:dyDescent="0.3">
      <c r="A52" s="186" t="s">
        <v>73</v>
      </c>
      <c r="B52" s="178"/>
      <c r="C52" s="76">
        <f t="shared" ref="C52:G52" ca="1" si="34">SUM(C53:C73)</f>
        <v>335200</v>
      </c>
      <c r="D52" s="34">
        <f t="shared" ca="1" si="34"/>
        <v>335200</v>
      </c>
      <c r="E52" s="34">
        <f t="shared" ca="1" si="34"/>
        <v>0</v>
      </c>
      <c r="F52" s="34">
        <f t="shared" ca="1" si="34"/>
        <v>335200</v>
      </c>
      <c r="G52" s="34">
        <f t="shared" ca="1" si="34"/>
        <v>0</v>
      </c>
      <c r="H52" s="34">
        <f t="shared" ca="1" si="15"/>
        <v>99800</v>
      </c>
      <c r="I52" s="35">
        <f t="shared" ca="1" si="1"/>
        <v>29.773269689737472</v>
      </c>
      <c r="J52" s="34">
        <f ca="1">SUM(J53:J73)</f>
        <v>99800</v>
      </c>
      <c r="K52" s="35">
        <f t="shared" ca="1" si="18"/>
        <v>29.773269689737472</v>
      </c>
      <c r="L52" s="35">
        <f t="shared" ca="1" si="19"/>
        <v>29.773269689737472</v>
      </c>
      <c r="M52" s="34">
        <f t="shared" ref="M52:Q52" ca="1" si="35">SUM(M53:M73)</f>
        <v>0</v>
      </c>
      <c r="N52" s="34">
        <f t="shared" ca="1" si="35"/>
        <v>0</v>
      </c>
      <c r="O52" s="34">
        <f t="shared" ca="1" si="35"/>
        <v>65000</v>
      </c>
      <c r="P52" s="34">
        <f t="shared" ca="1" si="35"/>
        <v>34800</v>
      </c>
      <c r="Q52" s="36">
        <f t="shared" ca="1" si="35"/>
        <v>0</v>
      </c>
      <c r="R52" s="36">
        <f t="shared" ca="1" si="21"/>
        <v>0</v>
      </c>
      <c r="S52" s="34">
        <f t="shared" ref="S52:T52" ca="1" si="36">SUM(S53:S73)</f>
        <v>5000</v>
      </c>
      <c r="T52" s="34">
        <f t="shared" ca="1" si="36"/>
        <v>1796</v>
      </c>
      <c r="U52" s="37">
        <f t="shared" ca="1" si="16"/>
        <v>35.92</v>
      </c>
      <c r="V52" s="34">
        <f t="shared" ref="V52:Y52" ca="1" si="37">SUM(V53:V73)</f>
        <v>1796</v>
      </c>
      <c r="W52" s="34">
        <f t="shared" ca="1" si="37"/>
        <v>91</v>
      </c>
      <c r="X52" s="34">
        <f t="shared" ca="1" si="37"/>
        <v>0</v>
      </c>
      <c r="Y52" s="34">
        <f t="shared" ca="1" si="37"/>
        <v>0</v>
      </c>
    </row>
    <row r="53" spans="1:25" ht="21" customHeight="1" x14ac:dyDescent="0.3">
      <c r="A53" s="54">
        <v>1</v>
      </c>
      <c r="B53" s="55" t="s">
        <v>74</v>
      </c>
      <c r="C53" s="56">
        <f t="shared" ref="C53:C73" ca="1" si="38">D53+E53</f>
        <v>0</v>
      </c>
      <c r="D53" s="57">
        <f ca="1">IFERROR(__xludf.DUMMYFUNCTION("IMPORTRANGE(""https://docs.google.com/spreadsheets/d/1hKO5uv94SSRZWOvrh72HRcpyoEQF9TsE_Cvxl77XNU4/edit?usp=sharing"",""กาญจนบุรี!L791"")"),0)</f>
        <v>0</v>
      </c>
      <c r="E53" s="57">
        <f ca="1">IFERROR(__xludf.DUMMYFUNCTION("IMPORTRANGE(""https://docs.google.com/spreadsheets/d/1hKO5uv94SSRZWOvrh72HRcpyoEQF9TsE_Cvxl77XNU4/edit?usp=sharing"",""กาญจนบุรี!L798"")"),0)</f>
        <v>0</v>
      </c>
      <c r="F53" s="57">
        <f ca="1">IFERROR(__xludf.DUMMYFUNCTION("IMPORTRANGE(""https://docs.google.com/spreadsheets/d/1hKO5uv94SSRZWOvrh72HRcpyoEQF9TsE_Cvxl77XNU4/edit?usp=sharing"",""กาญจนบุรี!M791"")"),0)</f>
        <v>0</v>
      </c>
      <c r="G53" s="57">
        <f ca="1">IFERROR(__xludf.DUMMYFUNCTION("IMPORTRANGE(""https://docs.google.com/spreadsheets/d/1hKO5uv94SSRZWOvrh72HRcpyoEQF9TsE_Cvxl77XNU4/edit?usp=sharing"",""กาญจนบุรี!M798"")"),0)</f>
        <v>0</v>
      </c>
      <c r="H53" s="58">
        <f t="shared" ca="1" si="15"/>
        <v>0</v>
      </c>
      <c r="I53" s="59">
        <f t="shared" ca="1" si="1"/>
        <v>0</v>
      </c>
      <c r="J53" s="60">
        <f t="shared" ref="J53:J73" ca="1" si="39">M53+N53+O53+P53</f>
        <v>0</v>
      </c>
      <c r="K53" s="61">
        <f t="shared" ca="1" si="18"/>
        <v>0</v>
      </c>
      <c r="L53" s="61">
        <f t="shared" ca="1" si="19"/>
        <v>0</v>
      </c>
      <c r="M53" s="57">
        <f ca="1">IFERROR(__xludf.DUMMYFUNCTION("IMPORTRANGE(""https://docs.google.com/spreadsheets/d/1hKO5uv94SSRZWOvrh72HRcpyoEQF9TsE_Cvxl77XNU4/edit?usp=sharing"",""กาญจนบุรี!N792"")"),0)</f>
        <v>0</v>
      </c>
      <c r="N53" s="57">
        <f ca="1">IFERROR(__xludf.DUMMYFUNCTION("IMPORTRANGE(""https://docs.google.com/spreadsheets/d/1hKO5uv94SSRZWOvrh72HRcpyoEQF9TsE_Cvxl77XNU4/edit?usp=sharing"",""กาญจนบุรี!N793"")"),0)</f>
        <v>0</v>
      </c>
      <c r="O53" s="57">
        <f ca="1">IFERROR(__xludf.DUMMYFUNCTION("IMPORTRANGE(""https://docs.google.com/spreadsheets/d/1hKO5uv94SSRZWOvrh72HRcpyoEQF9TsE_Cvxl77XNU4/edit?usp=sharing"",""กาญจนบุรี!N794"")"),0)</f>
        <v>0</v>
      </c>
      <c r="P53" s="57">
        <f ca="1">IFERROR(__xludf.DUMMYFUNCTION("IMPORTRANGE(""https://docs.google.com/spreadsheets/d/1hKO5uv94SSRZWOvrh72HRcpyoEQF9TsE_Cvxl77XNU4/edit?usp=sharing"",""กาญจนบุรี!N795"")"),0)</f>
        <v>0</v>
      </c>
      <c r="Q53" s="62">
        <f ca="1">IFERROR(__xludf.DUMMYFUNCTION("IMPORTRANGE(""https://docs.google.com/spreadsheets/d/1hKO5uv94SSRZWOvrh72HRcpyoEQF9TsE_Cvxl77XNU4/edit?usp=sharing"",""กาญจนบุรี!N798"")"),0)</f>
        <v>0</v>
      </c>
      <c r="R53" s="62">
        <f t="shared" ca="1" si="21"/>
        <v>0</v>
      </c>
      <c r="S53" s="57">
        <f ca="1">IFERROR(__xludf.DUMMYFUNCTION("IMPORTRANGE(""https://docs.google.com/spreadsheets/d/1hKO5uv94SSRZWOvrh72HRcpyoEQF9TsE_Cvxl77XNU4/edit?usp=sharing"",""กาญจนบุรี!I785"")"),0)</f>
        <v>0</v>
      </c>
      <c r="T53" s="57">
        <f t="shared" ref="T53:T73" ca="1" si="40">V53+X53</f>
        <v>0</v>
      </c>
      <c r="U53" s="63">
        <f t="shared" ca="1" si="16"/>
        <v>0</v>
      </c>
      <c r="V53" s="57">
        <f ca="1">IFERROR(__xludf.DUMMYFUNCTION("IMPORTRANGE(""https://docs.google.com/spreadsheets/d/1hKO5uv94SSRZWOvrh72HRcpyoEQF9TsE_Cvxl77XNU4/edit?usp=sharing"",""กาญจนบุรี!J801"")"),0)</f>
        <v>0</v>
      </c>
      <c r="W53" s="57">
        <f ca="1">IFERROR(__xludf.DUMMYFUNCTION("IMPORTRANGE(""https://docs.google.com/spreadsheets/d/1hKO5uv94SSRZWOvrh72HRcpyoEQF9TsE_Cvxl77XNU4/edit?usp=sharing"",""กาญจนบุรี!J800"")"),0)</f>
        <v>0</v>
      </c>
      <c r="X53" s="57">
        <f ca="1">IFERROR(__xludf.DUMMYFUNCTION("IMPORTRANGE(""https://docs.google.com/spreadsheets/d/1hKO5uv94SSRZWOvrh72HRcpyoEQF9TsE_Cvxl77XNU4/edit?usp=sharing"",""กาญจนบุรี!J803"")"),0)</f>
        <v>0</v>
      </c>
      <c r="Y53" s="57">
        <f ca="1">IFERROR(__xludf.DUMMYFUNCTION("IMPORTRANGE(""https://docs.google.com/spreadsheets/d/1hKO5uv94SSRZWOvrh72HRcpyoEQF9TsE_Cvxl77XNU4/edit?usp=sharing"",""กาญจนบุรี!J802"")"),0)</f>
        <v>0</v>
      </c>
    </row>
    <row r="54" spans="1:25" ht="21" customHeight="1" x14ac:dyDescent="0.3">
      <c r="A54" s="54">
        <v>2</v>
      </c>
      <c r="B54" s="55" t="s">
        <v>75</v>
      </c>
      <c r="C54" s="56">
        <f t="shared" ca="1" si="38"/>
        <v>0</v>
      </c>
      <c r="D54" s="57">
        <f ca="1">IFERROR(__xludf.DUMMYFUNCTION("IMPORTRANGE(""https://docs.google.com/spreadsheets/d/1njBaP_xXd-Uotvo2D9zb01TTCFkLJLDK97Tk1l9Qux0/edit?usp=sharing"",""จันทบุรี!L791"")"),0)</f>
        <v>0</v>
      </c>
      <c r="E54" s="64">
        <f ca="1">IFERROR(__xludf.DUMMYFUNCTION("IMPORTRANGE(""https://docs.google.com/spreadsheets/d/1njBaP_xXd-Uotvo2D9zb01TTCFkLJLDK97Tk1l9Qux0/edit?usp=sharing"",""จันทบุรี!L798"")"),0)</f>
        <v>0</v>
      </c>
      <c r="F54" s="64">
        <f ca="1">IFERROR(__xludf.DUMMYFUNCTION("IMPORTRANGE(""https://docs.google.com/spreadsheets/d/1njBaP_xXd-Uotvo2D9zb01TTCFkLJLDK97Tk1l9Qux0/edit?usp=sharing"",""จันทบุรี!M791"")"),0)</f>
        <v>0</v>
      </c>
      <c r="G54" s="64">
        <f ca="1">IFERROR(__xludf.DUMMYFUNCTION("IMPORTRANGE(""https://docs.google.com/spreadsheets/d/1njBaP_xXd-Uotvo2D9zb01TTCFkLJLDK97Tk1l9Qux0/edit?usp=sharing"",""จันทบุรี!M798"")"),0)</f>
        <v>0</v>
      </c>
      <c r="H54" s="58">
        <f t="shared" ca="1" si="15"/>
        <v>0</v>
      </c>
      <c r="I54" s="59">
        <f t="shared" ca="1" si="1"/>
        <v>0</v>
      </c>
      <c r="J54" s="60">
        <f t="shared" ca="1" si="39"/>
        <v>0</v>
      </c>
      <c r="K54" s="61">
        <f t="shared" ca="1" si="18"/>
        <v>0</v>
      </c>
      <c r="L54" s="61">
        <f t="shared" ca="1" si="19"/>
        <v>0</v>
      </c>
      <c r="M54" s="64">
        <f ca="1">IFERROR(__xludf.DUMMYFUNCTION("IMPORTRANGE(""https://docs.google.com/spreadsheets/d/1njBaP_xXd-Uotvo2D9zb01TTCFkLJLDK97Tk1l9Qux0/edit?usp=sharing"",""จันทบุรี!N792"")"),0)</f>
        <v>0</v>
      </c>
      <c r="N54" s="64">
        <f ca="1">IFERROR(__xludf.DUMMYFUNCTION("IMPORTRANGE(""https://docs.google.com/spreadsheets/d/1njBaP_xXd-Uotvo2D9zb01TTCFkLJLDK97Tk1l9Qux0/edit?usp=sharing"",""จันทบุรี!N793"")"),0)</f>
        <v>0</v>
      </c>
      <c r="O54" s="64">
        <f ca="1">IFERROR(__xludf.DUMMYFUNCTION("IMPORTRANGE(""https://docs.google.com/spreadsheets/d/1njBaP_xXd-Uotvo2D9zb01TTCFkLJLDK97Tk1l9Qux0/edit?usp=sharing"",""จันทบุรี!N794"")"),0)</f>
        <v>0</v>
      </c>
      <c r="P54" s="64">
        <f ca="1">IFERROR(__xludf.DUMMYFUNCTION("IMPORTRANGE(""https://docs.google.com/spreadsheets/d/1njBaP_xXd-Uotvo2D9zb01TTCFkLJLDK97Tk1l9Qux0/edit?usp=sharing"",""จันทบุรี!N795"")"),0)</f>
        <v>0</v>
      </c>
      <c r="Q54" s="62">
        <f ca="1">IFERROR(__xludf.DUMMYFUNCTION("IMPORTRANGE(""https://docs.google.com/spreadsheets/d/1njBaP_xXd-Uotvo2D9zb01TTCFkLJLDK97Tk1l9Qux0/edit?usp=sharing"",""จันทบุรี!N798"")"),0)</f>
        <v>0</v>
      </c>
      <c r="R54" s="62">
        <f t="shared" ca="1" si="21"/>
        <v>0</v>
      </c>
      <c r="S54" s="57">
        <f ca="1">IFERROR(__xludf.DUMMYFUNCTION("IMPORTRANGE(""https://docs.google.com/spreadsheets/d/1njBaP_xXd-Uotvo2D9zb01TTCFkLJLDK97Tk1l9Qux0/edit?usp=sharing"",""จันทบุรี!I785"")"),0)</f>
        <v>0</v>
      </c>
      <c r="T54" s="57">
        <f t="shared" ca="1" si="40"/>
        <v>0</v>
      </c>
      <c r="U54" s="63">
        <f t="shared" ca="1" si="16"/>
        <v>0</v>
      </c>
      <c r="V54" s="57">
        <f ca="1">IFERROR(__xludf.DUMMYFUNCTION("IMPORTRANGE(""https://docs.google.com/spreadsheets/d/1njBaP_xXd-Uotvo2D9zb01TTCFkLJLDK97Tk1l9Qux0/edit?usp=sharing"",""จันทบุรี!J801"")"),0)</f>
        <v>0</v>
      </c>
      <c r="W54" s="57">
        <f ca="1">IFERROR(__xludf.DUMMYFUNCTION("IMPORTRANGE(""https://docs.google.com/spreadsheets/d/1njBaP_xXd-Uotvo2D9zb01TTCFkLJLDK97Tk1l9Qux0/edit?usp=sharing"",""จันทบุรี!J800"")"),0)</f>
        <v>0</v>
      </c>
      <c r="X54" s="57">
        <f ca="1">IFERROR(__xludf.DUMMYFUNCTION("IMPORTRANGE(""https://docs.google.com/spreadsheets/d/1njBaP_xXd-Uotvo2D9zb01TTCFkLJLDK97Tk1l9Qux0/edit?usp=sharing"",""จันทบุรี!J803"")"),0)</f>
        <v>0</v>
      </c>
      <c r="Y54" s="57">
        <f ca="1">IFERROR(__xludf.DUMMYFUNCTION("IMPORTRANGE(""https://docs.google.com/spreadsheets/d/1njBaP_xXd-Uotvo2D9zb01TTCFkLJLDK97Tk1l9Qux0/edit?usp=sharing"",""จันทบุรี!J802"")"),0)</f>
        <v>0</v>
      </c>
    </row>
    <row r="55" spans="1:25" ht="21" customHeight="1" x14ac:dyDescent="0.3">
      <c r="A55" s="54">
        <v>3</v>
      </c>
      <c r="B55" s="55" t="s">
        <v>76</v>
      </c>
      <c r="C55" s="56">
        <f t="shared" ca="1" si="38"/>
        <v>0</v>
      </c>
      <c r="D55" s="57">
        <f ca="1">IFERROR(__xludf.DUMMYFUNCTION("IMPORTRANGE(""https://docs.google.com/spreadsheets/d/14xp6qUzrGFnUk_qnc1eEmfiaNRd4_grkhpfQH_46fa8/edit?usp=sharing"",""ฉะเชิงเทรา!L791"")"),0)</f>
        <v>0</v>
      </c>
      <c r="E55" s="64">
        <f ca="1">IFERROR(__xludf.DUMMYFUNCTION("IMPORTRANGE(""https://docs.google.com/spreadsheets/d/14xp6qUzrGFnUk_qnc1eEmfiaNRd4_grkhpfQH_46fa8/edit?usp=sharing"",""ฉะเชิงเทรา!L798"")"),0)</f>
        <v>0</v>
      </c>
      <c r="F55" s="64">
        <f ca="1">IFERROR(__xludf.DUMMYFUNCTION("IMPORTRANGE(""https://docs.google.com/spreadsheets/d/14xp6qUzrGFnUk_qnc1eEmfiaNRd4_grkhpfQH_46fa8/edit?usp=sharing"",""ฉะเชิงเทรา!M791"")"),0)</f>
        <v>0</v>
      </c>
      <c r="G55" s="64">
        <f ca="1">IFERROR(__xludf.DUMMYFUNCTION("IMPORTRANGE(""https://docs.google.com/spreadsheets/d/14xp6qUzrGFnUk_qnc1eEmfiaNRd4_grkhpfQH_46fa8/edit?usp=sharing"",""ฉะเชิงเทรา!M798"")"),0)</f>
        <v>0</v>
      </c>
      <c r="H55" s="58">
        <f t="shared" ca="1" si="15"/>
        <v>0</v>
      </c>
      <c r="I55" s="59">
        <f t="shared" ca="1" si="1"/>
        <v>0</v>
      </c>
      <c r="J55" s="60">
        <f t="shared" ca="1" si="39"/>
        <v>0</v>
      </c>
      <c r="K55" s="61">
        <f t="shared" ca="1" si="18"/>
        <v>0</v>
      </c>
      <c r="L55" s="61">
        <f t="shared" ca="1" si="19"/>
        <v>0</v>
      </c>
      <c r="M55" s="64">
        <f ca="1">IFERROR(__xludf.DUMMYFUNCTION("IMPORTRANGE(""https://docs.google.com/spreadsheets/d/14xp6qUzrGFnUk_qnc1eEmfiaNRd4_grkhpfQH_46fa8/edit?usp=sharing"",""ฉะเชิงเทรา!N792"")"),0)</f>
        <v>0</v>
      </c>
      <c r="N55" s="64">
        <f ca="1">IFERROR(__xludf.DUMMYFUNCTION("IMPORTRANGE(""https://docs.google.com/spreadsheets/d/14xp6qUzrGFnUk_qnc1eEmfiaNRd4_grkhpfQH_46fa8/edit?usp=sharing"",""ฉะเชิงเทรา!N793"")"),0)</f>
        <v>0</v>
      </c>
      <c r="O55" s="64">
        <f ca="1">IFERROR(__xludf.DUMMYFUNCTION("IMPORTRANGE(""https://docs.google.com/spreadsheets/d/14xp6qUzrGFnUk_qnc1eEmfiaNRd4_grkhpfQH_46fa8/edit?usp=sharing"",""ฉะเชิงเทรา!N794"")"),0)</f>
        <v>0</v>
      </c>
      <c r="P55" s="64">
        <f ca="1">IFERROR(__xludf.DUMMYFUNCTION("IMPORTRANGE(""https://docs.google.com/spreadsheets/d/14xp6qUzrGFnUk_qnc1eEmfiaNRd4_grkhpfQH_46fa8/edit?usp=sharing"",""ฉะเชิงเทรา!N795"")"),0)</f>
        <v>0</v>
      </c>
      <c r="Q55" s="62">
        <f ca="1">IFERROR(__xludf.DUMMYFUNCTION("IMPORTRANGE(""https://docs.google.com/spreadsheets/d/14xp6qUzrGFnUk_qnc1eEmfiaNRd4_grkhpfQH_46fa8/edit?usp=sharing"",""ฉะเชิงเทรา!N798"")"),0)</f>
        <v>0</v>
      </c>
      <c r="R55" s="62">
        <f t="shared" ca="1" si="21"/>
        <v>0</v>
      </c>
      <c r="S55" s="57">
        <f ca="1">IFERROR(__xludf.DUMMYFUNCTION("IMPORTRANGE(""https://docs.google.com/spreadsheets/d/14xp6qUzrGFnUk_qnc1eEmfiaNRd4_grkhpfQH_46fa8/edit?usp=sharing"",""ฉะเชิงเทรา!I785"")"),0)</f>
        <v>0</v>
      </c>
      <c r="T55" s="57">
        <f t="shared" ca="1" si="40"/>
        <v>0</v>
      </c>
      <c r="U55" s="63">
        <f t="shared" ca="1" si="16"/>
        <v>0</v>
      </c>
      <c r="V55" s="57">
        <f ca="1">IFERROR(__xludf.DUMMYFUNCTION("IMPORTRANGE(""https://docs.google.com/spreadsheets/d/14xp6qUzrGFnUk_qnc1eEmfiaNRd4_grkhpfQH_46fa8/edit?usp=sharing"",""ฉะเชิงเทรา!J801"")"),0)</f>
        <v>0</v>
      </c>
      <c r="W55" s="57">
        <f ca="1">IFERROR(__xludf.DUMMYFUNCTION("IMPORTRANGE(""https://docs.google.com/spreadsheets/d/14xp6qUzrGFnUk_qnc1eEmfiaNRd4_grkhpfQH_46fa8/edit?usp=sharing"",""ฉะเชิงเทรา!J800"")"),0)</f>
        <v>0</v>
      </c>
      <c r="X55" s="57">
        <f ca="1">IFERROR(__xludf.DUMMYFUNCTION("IMPORTRANGE(""https://docs.google.com/spreadsheets/d/14xp6qUzrGFnUk_qnc1eEmfiaNRd4_grkhpfQH_46fa8/edit?usp=sharing"",""ฉะเชิงเทรา!J803"")"),0)</f>
        <v>0</v>
      </c>
      <c r="Y55" s="57">
        <f ca="1">IFERROR(__xludf.DUMMYFUNCTION("IMPORTRANGE(""https://docs.google.com/spreadsheets/d/14xp6qUzrGFnUk_qnc1eEmfiaNRd4_grkhpfQH_46fa8/edit?usp=sharing"",""ฉะเชิงเทรา!J802"")"),0)</f>
        <v>0</v>
      </c>
    </row>
    <row r="56" spans="1:25" ht="21" customHeight="1" x14ac:dyDescent="0.3">
      <c r="A56" s="54">
        <v>4</v>
      </c>
      <c r="B56" s="55" t="s">
        <v>77</v>
      </c>
      <c r="C56" s="56">
        <f t="shared" ca="1" si="38"/>
        <v>0</v>
      </c>
      <c r="D56" s="57">
        <f ca="1">IFERROR(__xludf.DUMMYFUNCTION("IMPORTRANGE(""https://docs.google.com/spreadsheets/d/1_Zwps30dlVa-pZFsorjVf1Pil6WXwzCsJU0U2whO3NI/edit?usp=sharing"",""ชลบุรี!L791"")"),0)</f>
        <v>0</v>
      </c>
      <c r="E56" s="64">
        <f ca="1">IFERROR(__xludf.DUMMYFUNCTION("IMPORTRANGE(""https://docs.google.com/spreadsheets/d/1_Zwps30dlVa-pZFsorjVf1Pil6WXwzCsJU0U2whO3NI/edit?usp=sharing"",""ชลบุรี!L798"")"),0)</f>
        <v>0</v>
      </c>
      <c r="F56" s="64">
        <f ca="1">IFERROR(__xludf.DUMMYFUNCTION("IMPORTRANGE(""https://docs.google.com/spreadsheets/d/1_Zwps30dlVa-pZFsorjVf1Pil6WXwzCsJU0U2whO3NI/edit?usp=sharing"",""ชลบุรี!M791"")"),0)</f>
        <v>0</v>
      </c>
      <c r="G56" s="64">
        <f ca="1">IFERROR(__xludf.DUMMYFUNCTION("IMPORTRANGE(""https://docs.google.com/spreadsheets/d/1_Zwps30dlVa-pZFsorjVf1Pil6WXwzCsJU0U2whO3NI/edit?usp=sharing"",""ชลบุรี!M798"")"),0)</f>
        <v>0</v>
      </c>
      <c r="H56" s="58">
        <f t="shared" ca="1" si="15"/>
        <v>0</v>
      </c>
      <c r="I56" s="59">
        <f t="shared" ca="1" si="1"/>
        <v>0</v>
      </c>
      <c r="J56" s="60">
        <f t="shared" ca="1" si="39"/>
        <v>0</v>
      </c>
      <c r="K56" s="61">
        <f t="shared" ca="1" si="18"/>
        <v>0</v>
      </c>
      <c r="L56" s="61">
        <f t="shared" ca="1" si="19"/>
        <v>0</v>
      </c>
      <c r="M56" s="64">
        <f ca="1">IFERROR(__xludf.DUMMYFUNCTION("IMPORTRANGE(""https://docs.google.com/spreadsheets/d/1_Zwps30dlVa-pZFsorjVf1Pil6WXwzCsJU0U2whO3NI/edit?usp=sharing"",""ชลบุรี!N792"")"),0)</f>
        <v>0</v>
      </c>
      <c r="N56" s="64">
        <f ca="1">IFERROR(__xludf.DUMMYFUNCTION("IMPORTRANGE(""https://docs.google.com/spreadsheets/d/1_Zwps30dlVa-pZFsorjVf1Pil6WXwzCsJU0U2whO3NI/edit?usp=sharing"",""ชลบุรี!N793"")"),0)</f>
        <v>0</v>
      </c>
      <c r="O56" s="64">
        <f ca="1">IFERROR(__xludf.DUMMYFUNCTION("IMPORTRANGE(""https://docs.google.com/spreadsheets/d/1_Zwps30dlVa-pZFsorjVf1Pil6WXwzCsJU0U2whO3NI/edit?usp=sharing"",""ชลบุรี!N794"")"),0)</f>
        <v>0</v>
      </c>
      <c r="P56" s="64">
        <f ca="1">IFERROR(__xludf.DUMMYFUNCTION("IMPORTRANGE(""https://docs.google.com/spreadsheets/d/1_Zwps30dlVa-pZFsorjVf1Pil6WXwzCsJU0U2whO3NI/edit?usp=sharing"",""ชลบุรี!N795"")"),0)</f>
        <v>0</v>
      </c>
      <c r="Q56" s="62">
        <f ca="1">IFERROR(__xludf.DUMMYFUNCTION("IMPORTRANGE(""https://docs.google.com/spreadsheets/d/1_Zwps30dlVa-pZFsorjVf1Pil6WXwzCsJU0U2whO3NI/edit?usp=sharing"",""ชลบุรี!N798"")"),0)</f>
        <v>0</v>
      </c>
      <c r="R56" s="62">
        <f t="shared" ca="1" si="21"/>
        <v>0</v>
      </c>
      <c r="S56" s="57">
        <f ca="1">IFERROR(__xludf.DUMMYFUNCTION("IMPORTRANGE(""https://docs.google.com/spreadsheets/d/1_Zwps30dlVa-pZFsorjVf1Pil6WXwzCsJU0U2whO3NI/edit?usp=sharing"",""ชลบุรี!I785"")"),0)</f>
        <v>0</v>
      </c>
      <c r="T56" s="57">
        <f t="shared" ca="1" si="40"/>
        <v>0</v>
      </c>
      <c r="U56" s="63">
        <f t="shared" ca="1" si="16"/>
        <v>0</v>
      </c>
      <c r="V56" s="57">
        <f ca="1">IFERROR(__xludf.DUMMYFUNCTION("IMPORTRANGE(""https://docs.google.com/spreadsheets/d/1_Zwps30dlVa-pZFsorjVf1Pil6WXwzCsJU0U2whO3NI/edit?usp=sharing"",""ชลบุรี!J801"")"),0)</f>
        <v>0</v>
      </c>
      <c r="W56" s="57">
        <f ca="1">IFERROR(__xludf.DUMMYFUNCTION("IMPORTRANGE(""https://docs.google.com/spreadsheets/d/1_Zwps30dlVa-pZFsorjVf1Pil6WXwzCsJU0U2whO3NI/edit?usp=sharing"",""ชลบุรี!J800"")"),0)</f>
        <v>0</v>
      </c>
      <c r="X56" s="57">
        <f ca="1">IFERROR(__xludf.DUMMYFUNCTION("IMPORTRANGE(""https://docs.google.com/spreadsheets/d/1_Zwps30dlVa-pZFsorjVf1Pil6WXwzCsJU0U2whO3NI/edit?usp=sharing"",""ชลบุรี!J803"")"),0)</f>
        <v>0</v>
      </c>
      <c r="Y56" s="57">
        <f ca="1">IFERROR(__xludf.DUMMYFUNCTION("IMPORTRANGE(""https://docs.google.com/spreadsheets/d/1_Zwps30dlVa-pZFsorjVf1Pil6WXwzCsJU0U2whO3NI/edit?usp=sharing"",""ชลบุรี!J802"")"),0)</f>
        <v>0</v>
      </c>
    </row>
    <row r="57" spans="1:25" ht="21" customHeight="1" x14ac:dyDescent="0.3">
      <c r="A57" s="54">
        <v>5</v>
      </c>
      <c r="B57" s="55" t="s">
        <v>78</v>
      </c>
      <c r="C57" s="56">
        <f t="shared" ca="1" si="38"/>
        <v>0</v>
      </c>
      <c r="D57" s="57">
        <f ca="1">IFERROR(__xludf.DUMMYFUNCTION("IMPORTRANGE(""https://docs.google.com/spreadsheets/d/1xAsT4sUbBlom7l0acStESh_15nvjZcXjZM7fK5uZSq8/edit?usp=sharing"",""ชัยนาท!L791"")"),0)</f>
        <v>0</v>
      </c>
      <c r="E57" s="64">
        <f ca="1">IFERROR(__xludf.DUMMYFUNCTION("IMPORTRANGE(""https://docs.google.com/spreadsheets/d/1xAsT4sUbBlom7l0acStESh_15nvjZcXjZM7fK5uZSq8/edit?usp=sharing"",""ชัยนาท!L798"")"),0)</f>
        <v>0</v>
      </c>
      <c r="F57" s="64">
        <f ca="1">IFERROR(__xludf.DUMMYFUNCTION("IMPORTRANGE(""https://docs.google.com/spreadsheets/d/1xAsT4sUbBlom7l0acStESh_15nvjZcXjZM7fK5uZSq8/edit?usp=sharing"",""ชัยนาท!M791"")"),0)</f>
        <v>0</v>
      </c>
      <c r="G57" s="64">
        <f ca="1">IFERROR(__xludf.DUMMYFUNCTION("IMPORTRANGE(""https://docs.google.com/spreadsheets/d/1xAsT4sUbBlom7l0acStESh_15nvjZcXjZM7fK5uZSq8/edit?usp=sharing"",""ชัยนาท!M798"")"),0)</f>
        <v>0</v>
      </c>
      <c r="H57" s="58">
        <f t="shared" ca="1" si="15"/>
        <v>0</v>
      </c>
      <c r="I57" s="59">
        <f t="shared" ca="1" si="1"/>
        <v>0</v>
      </c>
      <c r="J57" s="60">
        <f t="shared" ca="1" si="39"/>
        <v>0</v>
      </c>
      <c r="K57" s="61">
        <f t="shared" ca="1" si="18"/>
        <v>0</v>
      </c>
      <c r="L57" s="61">
        <f t="shared" ca="1" si="19"/>
        <v>0</v>
      </c>
      <c r="M57" s="64">
        <f ca="1">IFERROR(__xludf.DUMMYFUNCTION("IMPORTRANGE(""https://docs.google.com/spreadsheets/d/1xAsT4sUbBlom7l0acStESh_15nvjZcXjZM7fK5uZSq8/edit?usp=sharing"",""ชัยนาท!N792"")"),0)</f>
        <v>0</v>
      </c>
      <c r="N57" s="64">
        <f ca="1">IFERROR(__xludf.DUMMYFUNCTION("IMPORTRANGE(""https://docs.google.com/spreadsheets/d/1xAsT4sUbBlom7l0acStESh_15nvjZcXjZM7fK5uZSq8/edit?usp=sharing"",""ชัยนาท!N793"")"),0)</f>
        <v>0</v>
      </c>
      <c r="O57" s="64">
        <f ca="1">IFERROR(__xludf.DUMMYFUNCTION("IMPORTRANGE(""https://docs.google.com/spreadsheets/d/1xAsT4sUbBlom7l0acStESh_15nvjZcXjZM7fK5uZSq8/edit?usp=sharing"",""ชัยนาท!N794"")"),0)</f>
        <v>0</v>
      </c>
      <c r="P57" s="64">
        <f ca="1">IFERROR(__xludf.DUMMYFUNCTION("IMPORTRANGE(""https://docs.google.com/spreadsheets/d/1xAsT4sUbBlom7l0acStESh_15nvjZcXjZM7fK5uZSq8/edit?usp=sharing"",""ชัยนาท!N795"")"),0)</f>
        <v>0</v>
      </c>
      <c r="Q57" s="62">
        <f ca="1">IFERROR(__xludf.DUMMYFUNCTION("IMPORTRANGE(""https://docs.google.com/spreadsheets/d/1xAsT4sUbBlom7l0acStESh_15nvjZcXjZM7fK5uZSq8/edit?usp=sharing"",""ชัยนาท!N798"")"),0)</f>
        <v>0</v>
      </c>
      <c r="R57" s="62">
        <f t="shared" ca="1" si="21"/>
        <v>0</v>
      </c>
      <c r="S57" s="57">
        <f ca="1">IFERROR(__xludf.DUMMYFUNCTION("IMPORTRANGE(""https://docs.google.com/spreadsheets/d/1xAsT4sUbBlom7l0acStESh_15nvjZcXjZM7fK5uZSq8/edit?usp=sharing"",""ชัยนาท!I785"")"),0)</f>
        <v>0</v>
      </c>
      <c r="T57" s="57">
        <f t="shared" ca="1" si="40"/>
        <v>0</v>
      </c>
      <c r="U57" s="63">
        <f t="shared" ca="1" si="16"/>
        <v>0</v>
      </c>
      <c r="V57" s="57">
        <f ca="1">IFERROR(__xludf.DUMMYFUNCTION("IMPORTRANGE(""https://docs.google.com/spreadsheets/d/1xAsT4sUbBlom7l0acStESh_15nvjZcXjZM7fK5uZSq8/edit?usp=sharing"",""ชัยนาท!J801"")"),0)</f>
        <v>0</v>
      </c>
      <c r="W57" s="57">
        <f ca="1">IFERROR(__xludf.DUMMYFUNCTION("IMPORTRANGE(""https://docs.google.com/spreadsheets/d/1xAsT4sUbBlom7l0acStESh_15nvjZcXjZM7fK5uZSq8/edit?usp=sharing"",""ชัยนาท!J800"")"),0)</f>
        <v>0</v>
      </c>
      <c r="X57" s="57">
        <f ca="1">IFERROR(__xludf.DUMMYFUNCTION("IMPORTRANGE(""https://docs.google.com/spreadsheets/d/1xAsT4sUbBlom7l0acStESh_15nvjZcXjZM7fK5uZSq8/edit?usp=sharing"",""ชัยนาท!J803"")"),0)</f>
        <v>0</v>
      </c>
      <c r="Y57" s="57">
        <f ca="1">IFERROR(__xludf.DUMMYFUNCTION("IMPORTRANGE(""https://docs.google.com/spreadsheets/d/1xAsT4sUbBlom7l0acStESh_15nvjZcXjZM7fK5uZSq8/edit?usp=sharing"",""ชัยนาท!J802"")"),0)</f>
        <v>0</v>
      </c>
    </row>
    <row r="58" spans="1:25" ht="21" customHeight="1" x14ac:dyDescent="0.3">
      <c r="A58" s="54">
        <v>6</v>
      </c>
      <c r="B58" s="55" t="s">
        <v>79</v>
      </c>
      <c r="C58" s="56">
        <f t="shared" ca="1" si="38"/>
        <v>0</v>
      </c>
      <c r="D58" s="57">
        <f ca="1">IFERROR(__xludf.DUMMYFUNCTION("IMPORTRANGE(""https://docs.google.com/spreadsheets/d/1vWPVBOAaZ6mHSI8yf95DNqHwTJ1cpeFsvqt6cxV34QA/edit?usp=sharing"",""ตราด!L791"")"),0)</f>
        <v>0</v>
      </c>
      <c r="E58" s="64">
        <f ca="1">IFERROR(__xludf.DUMMYFUNCTION("IMPORTRANGE(""https://docs.google.com/spreadsheets/d/1vWPVBOAaZ6mHSI8yf95DNqHwTJ1cpeFsvqt6cxV34QA/edit?usp=sharing"",""ตราด!L798"")"),0)</f>
        <v>0</v>
      </c>
      <c r="F58" s="64">
        <f ca="1">IFERROR(__xludf.DUMMYFUNCTION("IMPORTRANGE(""https://docs.google.com/spreadsheets/d/1vWPVBOAaZ6mHSI8yf95DNqHwTJ1cpeFsvqt6cxV34QA/edit?usp=sharing"",""ตราด!M791"")"),0)</f>
        <v>0</v>
      </c>
      <c r="G58" s="64">
        <f ca="1">IFERROR(__xludf.DUMMYFUNCTION("IMPORTRANGE(""https://docs.google.com/spreadsheets/d/1vWPVBOAaZ6mHSI8yf95DNqHwTJ1cpeFsvqt6cxV34QA/edit?usp=sharing"",""ตราด!M798"")"),0)</f>
        <v>0</v>
      </c>
      <c r="H58" s="58">
        <f t="shared" ca="1" si="15"/>
        <v>0</v>
      </c>
      <c r="I58" s="59">
        <f t="shared" ca="1" si="1"/>
        <v>0</v>
      </c>
      <c r="J58" s="60">
        <f t="shared" ca="1" si="39"/>
        <v>0</v>
      </c>
      <c r="K58" s="61">
        <f t="shared" ca="1" si="18"/>
        <v>0</v>
      </c>
      <c r="L58" s="61">
        <f t="shared" ca="1" si="19"/>
        <v>0</v>
      </c>
      <c r="M58" s="64">
        <f ca="1">IFERROR(__xludf.DUMMYFUNCTION("IMPORTRANGE(""https://docs.google.com/spreadsheets/d/1vWPVBOAaZ6mHSI8yf95DNqHwTJ1cpeFsvqt6cxV34QA/edit?usp=sharing"",""ตราด!N792"")"),0)</f>
        <v>0</v>
      </c>
      <c r="N58" s="64">
        <f ca="1">IFERROR(__xludf.DUMMYFUNCTION("IMPORTRANGE(""https://docs.google.com/spreadsheets/d/1vWPVBOAaZ6mHSI8yf95DNqHwTJ1cpeFsvqt6cxV34QA/edit?usp=sharing"",""ตราด!N793"")"),0)</f>
        <v>0</v>
      </c>
      <c r="O58" s="64">
        <f ca="1">IFERROR(__xludf.DUMMYFUNCTION("IMPORTRANGE(""https://docs.google.com/spreadsheets/d/1vWPVBOAaZ6mHSI8yf95DNqHwTJ1cpeFsvqt6cxV34QA/edit?usp=sharing"",""ตราด!N794"")"),0)</f>
        <v>0</v>
      </c>
      <c r="P58" s="64">
        <f ca="1">IFERROR(__xludf.DUMMYFUNCTION("IMPORTRANGE(""https://docs.google.com/spreadsheets/d/1vWPVBOAaZ6mHSI8yf95DNqHwTJ1cpeFsvqt6cxV34QA/edit?usp=sharing"",""ตราด!N795"")"),0)</f>
        <v>0</v>
      </c>
      <c r="Q58" s="62">
        <f ca="1">IFERROR(__xludf.DUMMYFUNCTION("IMPORTRANGE(""https://docs.google.com/spreadsheets/d/1vWPVBOAaZ6mHSI8yf95DNqHwTJ1cpeFsvqt6cxV34QA/edit?usp=sharing"",""ตราด!N798"")"),0)</f>
        <v>0</v>
      </c>
      <c r="R58" s="62">
        <f t="shared" ca="1" si="21"/>
        <v>0</v>
      </c>
      <c r="S58" s="57">
        <f ca="1">IFERROR(__xludf.DUMMYFUNCTION("IMPORTRANGE(""https://docs.google.com/spreadsheets/d/1vWPVBOAaZ6mHSI8yf95DNqHwTJ1cpeFsvqt6cxV34QA/edit?usp=sharing"",""ตราด!I785"")"),0)</f>
        <v>0</v>
      </c>
      <c r="T58" s="57">
        <f t="shared" ca="1" si="40"/>
        <v>0</v>
      </c>
      <c r="U58" s="63">
        <f t="shared" ca="1" si="16"/>
        <v>0</v>
      </c>
      <c r="V58" s="57">
        <f ca="1">IFERROR(__xludf.DUMMYFUNCTION("IMPORTRANGE(""https://docs.google.com/spreadsheets/d/1vWPVBOAaZ6mHSI8yf95DNqHwTJ1cpeFsvqt6cxV34QA/edit?usp=sharing"",""ตราด!J801"")"),0)</f>
        <v>0</v>
      </c>
      <c r="W58" s="57">
        <f ca="1">IFERROR(__xludf.DUMMYFUNCTION("IMPORTRANGE(""https://docs.google.com/spreadsheets/d/1vWPVBOAaZ6mHSI8yf95DNqHwTJ1cpeFsvqt6cxV34QA/edit?usp=sharing"",""ตราด!J800"")"),0)</f>
        <v>0</v>
      </c>
      <c r="X58" s="57">
        <f ca="1">IFERROR(__xludf.DUMMYFUNCTION("IMPORTRANGE(""https://docs.google.com/spreadsheets/d/1vWPVBOAaZ6mHSI8yf95DNqHwTJ1cpeFsvqt6cxV34QA/edit?usp=sharing"",""ตราด!J803"")"),0)</f>
        <v>0</v>
      </c>
      <c r="Y58" s="57">
        <f ca="1">IFERROR(__xludf.DUMMYFUNCTION("IMPORTRANGE(""https://docs.google.com/spreadsheets/d/1vWPVBOAaZ6mHSI8yf95DNqHwTJ1cpeFsvqt6cxV34QA/edit?usp=sharing"",""ตราด!J802"")"),0)</f>
        <v>0</v>
      </c>
    </row>
    <row r="59" spans="1:25" ht="21" customHeight="1" x14ac:dyDescent="0.3">
      <c r="A59" s="54">
        <v>7</v>
      </c>
      <c r="B59" s="55" t="s">
        <v>80</v>
      </c>
      <c r="C59" s="56">
        <f t="shared" ca="1" si="38"/>
        <v>0</v>
      </c>
      <c r="D59" s="57">
        <f ca="1">IFERROR(__xludf.DUMMYFUNCTION("IMPORTRANGE(""https://docs.google.com/spreadsheets/d/1phaeSb9lTGgzDpbvVqI9hfmOQQzUom07-HEvpbARzEg/edit?usp=sharing"",""นครนายก!L791"")"),0)</f>
        <v>0</v>
      </c>
      <c r="E59" s="64">
        <f ca="1">IFERROR(__xludf.DUMMYFUNCTION("IMPORTRANGE(""https://docs.google.com/spreadsheets/d/1phaeSb9lTGgzDpbvVqI9hfmOQQzUom07-HEvpbARzEg/edit?usp=sharing"",""นครนายก!L798"")"),0)</f>
        <v>0</v>
      </c>
      <c r="F59" s="64">
        <f ca="1">IFERROR(__xludf.DUMMYFUNCTION("IMPORTRANGE(""https://docs.google.com/spreadsheets/d/1phaeSb9lTGgzDpbvVqI9hfmOQQzUom07-HEvpbARzEg/edit?usp=sharing"",""นครนายก!M791"")"),0)</f>
        <v>0</v>
      </c>
      <c r="G59" s="64">
        <f ca="1">IFERROR(__xludf.DUMMYFUNCTION("IMPORTRANGE(""https://docs.google.com/spreadsheets/d/1phaeSb9lTGgzDpbvVqI9hfmOQQzUom07-HEvpbARzEg/edit?usp=sharing"",""นครนายก!M798"")"),0)</f>
        <v>0</v>
      </c>
      <c r="H59" s="58">
        <f t="shared" ca="1" si="15"/>
        <v>0</v>
      </c>
      <c r="I59" s="59">
        <f t="shared" ca="1" si="1"/>
        <v>0</v>
      </c>
      <c r="J59" s="60">
        <f t="shared" ca="1" si="39"/>
        <v>0</v>
      </c>
      <c r="K59" s="61">
        <f t="shared" ca="1" si="18"/>
        <v>0</v>
      </c>
      <c r="L59" s="61">
        <f t="shared" ca="1" si="19"/>
        <v>0</v>
      </c>
      <c r="M59" s="64">
        <f ca="1">IFERROR(__xludf.DUMMYFUNCTION("IMPORTRANGE(""https://docs.google.com/spreadsheets/d/1phaeSb9lTGgzDpbvVqI9hfmOQQzUom07-HEvpbARzEg/edit?usp=sharing"",""นครนายก!N792"")"),0)</f>
        <v>0</v>
      </c>
      <c r="N59" s="64">
        <f ca="1">IFERROR(__xludf.DUMMYFUNCTION("IMPORTRANGE(""https://docs.google.com/spreadsheets/d/1phaeSb9lTGgzDpbvVqI9hfmOQQzUom07-HEvpbARzEg/edit?usp=sharing"",""นครนายก!N793"")"),0)</f>
        <v>0</v>
      </c>
      <c r="O59" s="64">
        <f ca="1">IFERROR(__xludf.DUMMYFUNCTION("IMPORTRANGE(""https://docs.google.com/spreadsheets/d/1phaeSb9lTGgzDpbvVqI9hfmOQQzUom07-HEvpbARzEg/edit?usp=sharing"",""นครนายก!N794"")"),0)</f>
        <v>0</v>
      </c>
      <c r="P59" s="64">
        <f ca="1">IFERROR(__xludf.DUMMYFUNCTION("IMPORTRANGE(""https://docs.google.com/spreadsheets/d/1phaeSb9lTGgzDpbvVqI9hfmOQQzUom07-HEvpbARzEg/edit?usp=sharing"",""นครนายก!N795"")"),0)</f>
        <v>0</v>
      </c>
      <c r="Q59" s="62">
        <f ca="1">IFERROR(__xludf.DUMMYFUNCTION("IMPORTRANGE(""https://docs.google.com/spreadsheets/d/1phaeSb9lTGgzDpbvVqI9hfmOQQzUom07-HEvpbARzEg/edit?usp=sharing"",""นครนายก!N798"")"),0)</f>
        <v>0</v>
      </c>
      <c r="R59" s="62">
        <f t="shared" ca="1" si="21"/>
        <v>0</v>
      </c>
      <c r="S59" s="57">
        <f ca="1">IFERROR(__xludf.DUMMYFUNCTION("IMPORTRANGE(""https://docs.google.com/spreadsheets/d/1phaeSb9lTGgzDpbvVqI9hfmOQQzUom07-HEvpbARzEg/edit?usp=sharing"",""นครนายก!I785"")"),0)</f>
        <v>0</v>
      </c>
      <c r="T59" s="57">
        <f t="shared" ca="1" si="40"/>
        <v>0</v>
      </c>
      <c r="U59" s="63">
        <f t="shared" ca="1" si="16"/>
        <v>0</v>
      </c>
      <c r="V59" s="57">
        <f ca="1">IFERROR(__xludf.DUMMYFUNCTION("IMPORTRANGE(""https://docs.google.com/spreadsheets/d/1phaeSb9lTGgzDpbvVqI9hfmOQQzUom07-HEvpbARzEg/edit?usp=sharing"",""นครนายก!J801"")"),0)</f>
        <v>0</v>
      </c>
      <c r="W59" s="57">
        <f ca="1">IFERROR(__xludf.DUMMYFUNCTION("IMPORTRANGE(""https://docs.google.com/spreadsheets/d/1phaeSb9lTGgzDpbvVqI9hfmOQQzUom07-HEvpbARzEg/edit?usp=sharing"",""นครนายก!J800"")"),0)</f>
        <v>0</v>
      </c>
      <c r="X59" s="57">
        <f ca="1">IFERROR(__xludf.DUMMYFUNCTION("IMPORTRANGE(""https://docs.google.com/spreadsheets/d/1phaeSb9lTGgzDpbvVqI9hfmOQQzUom07-HEvpbARzEg/edit?usp=sharing"",""นครนายก!J803"")"),0)</f>
        <v>0</v>
      </c>
      <c r="Y59" s="57">
        <f ca="1">IFERROR(__xludf.DUMMYFUNCTION("IMPORTRANGE(""https://docs.google.com/spreadsheets/d/1phaeSb9lTGgzDpbvVqI9hfmOQQzUom07-HEvpbARzEg/edit?usp=sharing"",""นครนายก!J802"")"),0)</f>
        <v>0</v>
      </c>
    </row>
    <row r="60" spans="1:25" ht="21" customHeight="1" x14ac:dyDescent="0.3">
      <c r="A60" s="54">
        <v>8</v>
      </c>
      <c r="B60" s="55" t="s">
        <v>81</v>
      </c>
      <c r="C60" s="56">
        <f t="shared" ca="1" si="38"/>
        <v>0</v>
      </c>
      <c r="D60" s="57">
        <f ca="1">IFERROR(__xludf.DUMMYFUNCTION("IMPORTRANGE(""https://docs.google.com/spreadsheets/d/1tpwhWwkqkBeiSWCcfB5f2fbwPRbM9hHOEDSDHpl2MIc/edit?usp=sharing"",""นครปฐม!L791"")"),0)</f>
        <v>0</v>
      </c>
      <c r="E60" s="64">
        <f ca="1">IFERROR(__xludf.DUMMYFUNCTION("IMPORTRANGE(""https://docs.google.com/spreadsheets/d/1tpwhWwkqkBeiSWCcfB5f2fbwPRbM9hHOEDSDHpl2MIc/edit?usp=sharing"",""นครปฐม!L798"")"),0)</f>
        <v>0</v>
      </c>
      <c r="F60" s="64">
        <f ca="1">IFERROR(__xludf.DUMMYFUNCTION("IMPORTRANGE(""https://docs.google.com/spreadsheets/d/1tpwhWwkqkBeiSWCcfB5f2fbwPRbM9hHOEDSDHpl2MIc/edit?usp=sharing"",""นครปฐม!M791"")"),0)</f>
        <v>0</v>
      </c>
      <c r="G60" s="64">
        <f ca="1">IFERROR(__xludf.DUMMYFUNCTION("IMPORTRANGE(""https://docs.google.com/spreadsheets/d/1tpwhWwkqkBeiSWCcfB5f2fbwPRbM9hHOEDSDHpl2MIc/edit?usp=sharing"",""นครปฐม!M798"")"),0)</f>
        <v>0</v>
      </c>
      <c r="H60" s="58">
        <f t="shared" ca="1" si="15"/>
        <v>0</v>
      </c>
      <c r="I60" s="59">
        <f t="shared" ca="1" si="1"/>
        <v>0</v>
      </c>
      <c r="J60" s="60">
        <f t="shared" ca="1" si="39"/>
        <v>0</v>
      </c>
      <c r="K60" s="61">
        <f t="shared" ca="1" si="18"/>
        <v>0</v>
      </c>
      <c r="L60" s="61">
        <f t="shared" ca="1" si="19"/>
        <v>0</v>
      </c>
      <c r="M60" s="64">
        <f ca="1">IFERROR(__xludf.DUMMYFUNCTION("IMPORTRANGE(""https://docs.google.com/spreadsheets/d/1tpwhWwkqkBeiSWCcfB5f2fbwPRbM9hHOEDSDHpl2MIc/edit?usp=sharing"",""นครปฐม!N792"")"),0)</f>
        <v>0</v>
      </c>
      <c r="N60" s="64">
        <f ca="1">IFERROR(__xludf.DUMMYFUNCTION("IMPORTRANGE(""https://docs.google.com/spreadsheets/d/1tpwhWwkqkBeiSWCcfB5f2fbwPRbM9hHOEDSDHpl2MIc/edit?usp=sharing"",""นครปฐม!N793"")"),0)</f>
        <v>0</v>
      </c>
      <c r="O60" s="64">
        <f ca="1">IFERROR(__xludf.DUMMYFUNCTION("IMPORTRANGE(""https://docs.google.com/spreadsheets/d/1tpwhWwkqkBeiSWCcfB5f2fbwPRbM9hHOEDSDHpl2MIc/edit?usp=sharing"",""นครปฐม!N794"")"),0)</f>
        <v>0</v>
      </c>
      <c r="P60" s="64">
        <f ca="1">IFERROR(__xludf.DUMMYFUNCTION("IMPORTRANGE(""https://docs.google.com/spreadsheets/d/1tpwhWwkqkBeiSWCcfB5f2fbwPRbM9hHOEDSDHpl2MIc/edit?usp=sharing"",""นครปฐม!N795"")"),0)</f>
        <v>0</v>
      </c>
      <c r="Q60" s="62">
        <f ca="1">IFERROR(__xludf.DUMMYFUNCTION("IMPORTRANGE(""https://docs.google.com/spreadsheets/d/1tpwhWwkqkBeiSWCcfB5f2fbwPRbM9hHOEDSDHpl2MIc/edit?usp=sharing"",""นครปฐม!N798"")"),0)</f>
        <v>0</v>
      </c>
      <c r="R60" s="62">
        <f t="shared" ca="1" si="21"/>
        <v>0</v>
      </c>
      <c r="S60" s="57">
        <f ca="1">IFERROR(__xludf.DUMMYFUNCTION("IMPORTRANGE(""https://docs.google.com/spreadsheets/d/1tpwhWwkqkBeiSWCcfB5f2fbwPRbM9hHOEDSDHpl2MIc/edit?usp=sharing"",""นครปฐม!I785"")"),0)</f>
        <v>0</v>
      </c>
      <c r="T60" s="57">
        <f t="shared" ca="1" si="40"/>
        <v>0</v>
      </c>
      <c r="U60" s="63">
        <f t="shared" ca="1" si="16"/>
        <v>0</v>
      </c>
      <c r="V60" s="57">
        <f ca="1">IFERROR(__xludf.DUMMYFUNCTION("IMPORTRANGE(""https://docs.google.com/spreadsheets/d/1tpwhWwkqkBeiSWCcfB5f2fbwPRbM9hHOEDSDHpl2MIc/edit?usp=sharing"",""นครปฐม!J801"")"),0)</f>
        <v>0</v>
      </c>
      <c r="W60" s="57">
        <f ca="1">IFERROR(__xludf.DUMMYFUNCTION("IMPORTRANGE(""https://docs.google.com/spreadsheets/d/1tpwhWwkqkBeiSWCcfB5f2fbwPRbM9hHOEDSDHpl2MIc/edit?usp=sharing"",""นครปฐม!J800"")"),0)</f>
        <v>0</v>
      </c>
      <c r="X60" s="57">
        <f ca="1">IFERROR(__xludf.DUMMYFUNCTION("IMPORTRANGE(""https://docs.google.com/spreadsheets/d/1tpwhWwkqkBeiSWCcfB5f2fbwPRbM9hHOEDSDHpl2MIc/edit?usp=sharing"",""นครปฐม!J803"")"),0)</f>
        <v>0</v>
      </c>
      <c r="Y60" s="57">
        <f ca="1">IFERROR(__xludf.DUMMYFUNCTION("IMPORTRANGE(""https://docs.google.com/spreadsheets/d/1tpwhWwkqkBeiSWCcfB5f2fbwPRbM9hHOEDSDHpl2MIc/edit?usp=sharing"",""นครปฐม!J802"")"),0)</f>
        <v>0</v>
      </c>
    </row>
    <row r="61" spans="1:25" ht="21" customHeight="1" x14ac:dyDescent="0.3">
      <c r="A61" s="54">
        <v>9</v>
      </c>
      <c r="B61" s="55" t="s">
        <v>82</v>
      </c>
      <c r="C61" s="56">
        <f t="shared" ca="1" si="38"/>
        <v>0</v>
      </c>
      <c r="D61" s="57">
        <f ca="1">IFERROR(__xludf.DUMMYFUNCTION("IMPORTRANGE(""https://docs.google.com/spreadsheets/d/1fJJCVBkBnhriyv0Cp5ZFMr0I_yrfdEITNpb4zILJgUQ/edit?usp=sharing"",""ปทุมธานี!L791"")"),0)</f>
        <v>0</v>
      </c>
      <c r="E61" s="64">
        <f ca="1">IFERROR(__xludf.DUMMYFUNCTION("IMPORTRANGE(""https://docs.google.com/spreadsheets/d/1fJJCVBkBnhriyv0Cp5ZFMr0I_yrfdEITNpb4zILJgUQ/edit?usp=sharing"",""ปทุมธานี!L798"")"),0)</f>
        <v>0</v>
      </c>
      <c r="F61" s="64">
        <f ca="1">IFERROR(__xludf.DUMMYFUNCTION("IMPORTRANGE(""https://docs.google.com/spreadsheets/d/1fJJCVBkBnhriyv0Cp5ZFMr0I_yrfdEITNpb4zILJgUQ/edit?usp=sharing"",""ปทุมธานี!M791"")"),0)</f>
        <v>0</v>
      </c>
      <c r="G61" s="64">
        <f ca="1">IFERROR(__xludf.DUMMYFUNCTION("IMPORTRANGE(""https://docs.google.com/spreadsheets/d/1fJJCVBkBnhriyv0Cp5ZFMr0I_yrfdEITNpb4zILJgUQ/edit?usp=sharing"",""ปทุมธานี!M798"")"),0)</f>
        <v>0</v>
      </c>
      <c r="H61" s="58">
        <f t="shared" ca="1" si="15"/>
        <v>0</v>
      </c>
      <c r="I61" s="59">
        <f t="shared" ca="1" si="1"/>
        <v>0</v>
      </c>
      <c r="J61" s="60">
        <f t="shared" ca="1" si="39"/>
        <v>0</v>
      </c>
      <c r="K61" s="61">
        <f t="shared" ca="1" si="18"/>
        <v>0</v>
      </c>
      <c r="L61" s="61">
        <f t="shared" ca="1" si="19"/>
        <v>0</v>
      </c>
      <c r="M61" s="64">
        <f ca="1">IFERROR(__xludf.DUMMYFUNCTION("IMPORTRANGE(""https://docs.google.com/spreadsheets/d/1fJJCVBkBnhriyv0Cp5ZFMr0I_yrfdEITNpb4zILJgUQ/edit?usp=sharing"",""ปทุมธานี!N792"")"),0)</f>
        <v>0</v>
      </c>
      <c r="N61" s="64">
        <f ca="1">IFERROR(__xludf.DUMMYFUNCTION("IMPORTRANGE(""https://docs.google.com/spreadsheets/d/1fJJCVBkBnhriyv0Cp5ZFMr0I_yrfdEITNpb4zILJgUQ/edit?usp=sharing"",""ปทุมธานี!N793"")"),0)</f>
        <v>0</v>
      </c>
      <c r="O61" s="64">
        <f ca="1">IFERROR(__xludf.DUMMYFUNCTION("IMPORTRANGE(""https://docs.google.com/spreadsheets/d/1fJJCVBkBnhriyv0Cp5ZFMr0I_yrfdEITNpb4zILJgUQ/edit?usp=sharing"",""ปทุมธานี!N794"")"),0)</f>
        <v>0</v>
      </c>
      <c r="P61" s="64">
        <f ca="1">IFERROR(__xludf.DUMMYFUNCTION("IMPORTRANGE(""https://docs.google.com/spreadsheets/d/1fJJCVBkBnhriyv0Cp5ZFMr0I_yrfdEITNpb4zILJgUQ/edit?usp=sharing"",""ปทุมธานี!N795"")"),0)</f>
        <v>0</v>
      </c>
      <c r="Q61" s="62">
        <f ca="1">IFERROR(__xludf.DUMMYFUNCTION("IMPORTRANGE(""https://docs.google.com/spreadsheets/d/1fJJCVBkBnhriyv0Cp5ZFMr0I_yrfdEITNpb4zILJgUQ/edit?usp=sharing"",""ปทุมธานี!N798"")"),0)</f>
        <v>0</v>
      </c>
      <c r="R61" s="62">
        <f t="shared" ca="1" si="21"/>
        <v>0</v>
      </c>
      <c r="S61" s="57">
        <f ca="1">IFERROR(__xludf.DUMMYFUNCTION("IMPORTRANGE(""https://docs.google.com/spreadsheets/d/1fJJCVBkBnhriyv0Cp5ZFMr0I_yrfdEITNpb4zILJgUQ/edit?usp=sharing"",""ปทุมธานี!I785"")"),0)</f>
        <v>0</v>
      </c>
      <c r="T61" s="57">
        <f t="shared" ca="1" si="40"/>
        <v>0</v>
      </c>
      <c r="U61" s="63">
        <f t="shared" ca="1" si="16"/>
        <v>0</v>
      </c>
      <c r="V61" s="57">
        <f ca="1">IFERROR(__xludf.DUMMYFUNCTION("IMPORTRANGE(""https://docs.google.com/spreadsheets/d/1fJJCVBkBnhriyv0Cp5ZFMr0I_yrfdEITNpb4zILJgUQ/edit?usp=sharing"",""ปทุมธานี!J801"")"),0)</f>
        <v>0</v>
      </c>
      <c r="W61" s="57">
        <f ca="1">IFERROR(__xludf.DUMMYFUNCTION("IMPORTRANGE(""https://docs.google.com/spreadsheets/d/1fJJCVBkBnhriyv0Cp5ZFMr0I_yrfdEITNpb4zILJgUQ/edit?usp=sharing"",""ปทุมธานี!J800"")"),0)</f>
        <v>0</v>
      </c>
      <c r="X61" s="57">
        <f ca="1">IFERROR(__xludf.DUMMYFUNCTION("IMPORTRANGE(""https://docs.google.com/spreadsheets/d/1fJJCVBkBnhriyv0Cp5ZFMr0I_yrfdEITNpb4zILJgUQ/edit?usp=sharing"",""ปทุมธานี!J803"")"),0)</f>
        <v>0</v>
      </c>
      <c r="Y61" s="57">
        <f ca="1">IFERROR(__xludf.DUMMYFUNCTION("IMPORTRANGE(""https://docs.google.com/spreadsheets/d/1fJJCVBkBnhriyv0Cp5ZFMr0I_yrfdEITNpb4zILJgUQ/edit?usp=sharing"",""ปทุมธานี!J802"")"),0)</f>
        <v>0</v>
      </c>
    </row>
    <row r="62" spans="1:25" ht="21" customHeight="1" x14ac:dyDescent="0.3">
      <c r="A62" s="54">
        <v>10</v>
      </c>
      <c r="B62" s="55" t="s">
        <v>83</v>
      </c>
      <c r="C62" s="56">
        <f t="shared" ca="1" si="38"/>
        <v>0</v>
      </c>
      <c r="D62" s="57">
        <f ca="1">IFERROR(__xludf.DUMMYFUNCTION("IMPORTRANGE(""https://docs.google.com/spreadsheets/d/1W5Jj_S0gYw6wSO7QcMI02YgyOBDKYgmm0NSUk-AQEac/edit?usp=sharing"",""ประจวบคีรีขันธ์!L791"")"),0)</f>
        <v>0</v>
      </c>
      <c r="E62" s="64">
        <f ca="1">IFERROR(__xludf.DUMMYFUNCTION("IMPORTRANGE(""https://docs.google.com/spreadsheets/d/1W5Jj_S0gYw6wSO7QcMI02YgyOBDKYgmm0NSUk-AQEac/edit?usp=sharing"",""ประจวบคีรีขันธ์!L798"")"),0)</f>
        <v>0</v>
      </c>
      <c r="F62" s="64">
        <f ca="1">IFERROR(__xludf.DUMMYFUNCTION("IMPORTRANGE(""https://docs.google.com/spreadsheets/d/1W5Jj_S0gYw6wSO7QcMI02YgyOBDKYgmm0NSUk-AQEac/edit?usp=sharing"",""ประจวบคีรีขันธ์!M791"")"),0)</f>
        <v>0</v>
      </c>
      <c r="G62" s="64">
        <f ca="1">IFERROR(__xludf.DUMMYFUNCTION("IMPORTRANGE(""https://docs.google.com/spreadsheets/d/1W5Jj_S0gYw6wSO7QcMI02YgyOBDKYgmm0NSUk-AQEac/edit?usp=sharing"",""ประจวบคีรีขันธ์!M798"")"),0)</f>
        <v>0</v>
      </c>
      <c r="H62" s="58">
        <f t="shared" ca="1" si="15"/>
        <v>0</v>
      </c>
      <c r="I62" s="59">
        <f t="shared" ca="1" si="1"/>
        <v>0</v>
      </c>
      <c r="J62" s="60">
        <f t="shared" ca="1" si="39"/>
        <v>0</v>
      </c>
      <c r="K62" s="61">
        <f t="shared" ca="1" si="18"/>
        <v>0</v>
      </c>
      <c r="L62" s="61">
        <f t="shared" ca="1" si="19"/>
        <v>0</v>
      </c>
      <c r="M62" s="64">
        <f ca="1">IFERROR(__xludf.DUMMYFUNCTION("IMPORTRANGE(""https://docs.google.com/spreadsheets/d/1W5Jj_S0gYw6wSO7QcMI02YgyOBDKYgmm0NSUk-AQEac/edit?usp=sharing"",""ประจวบคีรีขันธ์!N792"")"),0)</f>
        <v>0</v>
      </c>
      <c r="N62" s="64">
        <f ca="1">IFERROR(__xludf.DUMMYFUNCTION("IMPORTRANGE(""https://docs.google.com/spreadsheets/d/1W5Jj_S0gYw6wSO7QcMI02YgyOBDKYgmm0NSUk-AQEac/edit?usp=sharing"",""ประจวบคีรีขันธ์!N793"")"),0)</f>
        <v>0</v>
      </c>
      <c r="O62" s="64">
        <f ca="1">IFERROR(__xludf.DUMMYFUNCTION("IMPORTRANGE(""https://docs.google.com/spreadsheets/d/1W5Jj_S0gYw6wSO7QcMI02YgyOBDKYgmm0NSUk-AQEac/edit?usp=sharing"",""ประจวบคีรีขันธ์!N794"")"),0)</f>
        <v>0</v>
      </c>
      <c r="P62" s="64">
        <f ca="1">IFERROR(__xludf.DUMMYFUNCTION("IMPORTRANGE(""https://docs.google.com/spreadsheets/d/1W5Jj_S0gYw6wSO7QcMI02YgyOBDKYgmm0NSUk-AQEac/edit?usp=sharing"",""ประจวบคีรีขันธ์!N795"")"),0)</f>
        <v>0</v>
      </c>
      <c r="Q62" s="62">
        <f ca="1">IFERROR(__xludf.DUMMYFUNCTION("IMPORTRANGE(""https://docs.google.com/spreadsheets/d/1W5Jj_S0gYw6wSO7QcMI02YgyOBDKYgmm0NSUk-AQEac/edit?usp=sharing"",""ประจวบคีรีขันธ์!N798"")"),0)</f>
        <v>0</v>
      </c>
      <c r="R62" s="62">
        <f t="shared" ca="1" si="21"/>
        <v>0</v>
      </c>
      <c r="S62" s="57">
        <f ca="1">IFERROR(__xludf.DUMMYFUNCTION("IMPORTRANGE(""https://docs.google.com/spreadsheets/d/1W5Jj_S0gYw6wSO7QcMI02YgyOBDKYgmm0NSUk-AQEac/edit?usp=sharing"",""ประจวบคีรีขันธ์!I785"")"),0)</f>
        <v>0</v>
      </c>
      <c r="T62" s="57">
        <f t="shared" ca="1" si="40"/>
        <v>0</v>
      </c>
      <c r="U62" s="63">
        <f t="shared" ca="1" si="16"/>
        <v>0</v>
      </c>
      <c r="V62" s="57">
        <f ca="1">IFERROR(__xludf.DUMMYFUNCTION("IMPORTRANGE(""https://docs.google.com/spreadsheets/d/1W5Jj_S0gYw6wSO7QcMI02YgyOBDKYgmm0NSUk-AQEac/edit?usp=sharing"",""ประจวบคีรีขันธ์!J801"")"),0)</f>
        <v>0</v>
      </c>
      <c r="W62" s="57">
        <f ca="1">IFERROR(__xludf.DUMMYFUNCTION("IMPORTRANGE(""https://docs.google.com/spreadsheets/d/1W5Jj_S0gYw6wSO7QcMI02YgyOBDKYgmm0NSUk-AQEac/edit?usp=sharing"",""ประจวบคีรีขันธ์!J800"")"),0)</f>
        <v>0</v>
      </c>
      <c r="X62" s="57">
        <f ca="1">IFERROR(__xludf.DUMMYFUNCTION("IMPORTRANGE(""https://docs.google.com/spreadsheets/d/1W5Jj_S0gYw6wSO7QcMI02YgyOBDKYgmm0NSUk-AQEac/edit?usp=sharing"",""ประจวบคีรีขันธ์!J803"")"),0)</f>
        <v>0</v>
      </c>
      <c r="Y62" s="57">
        <f ca="1">IFERROR(__xludf.DUMMYFUNCTION("IMPORTRANGE(""https://docs.google.com/spreadsheets/d/1W5Jj_S0gYw6wSO7QcMI02YgyOBDKYgmm0NSUk-AQEac/edit?usp=sharing"",""ประจวบคีรีขันธ์!J802"")"),0)</f>
        <v>0</v>
      </c>
    </row>
    <row r="63" spans="1:25" ht="21" customHeight="1" x14ac:dyDescent="0.3">
      <c r="A63" s="54">
        <v>11</v>
      </c>
      <c r="B63" s="55" t="s">
        <v>84</v>
      </c>
      <c r="C63" s="56">
        <f t="shared" ca="1" si="38"/>
        <v>0</v>
      </c>
      <c r="D63" s="57">
        <f ca="1">IFERROR(__xludf.DUMMYFUNCTION("IMPORTRANGE(""https://docs.google.com/spreadsheets/d/1nYxRXgnCfTXtqUY1otYuTlnrzE0Tn-Y0YRsW5pkRVqo/edit?usp=sharing"",""ปราจีนบุรี!L791"")"),0)</f>
        <v>0</v>
      </c>
      <c r="E63" s="64">
        <f ca="1">IFERROR(__xludf.DUMMYFUNCTION("IMPORTRANGE(""https://docs.google.com/spreadsheets/d/1nYxRXgnCfTXtqUY1otYuTlnrzE0Tn-Y0YRsW5pkRVqo/edit?usp=sharing"",""ปราจีนบุรี!L798"")"),0)</f>
        <v>0</v>
      </c>
      <c r="F63" s="64">
        <f ca="1">IFERROR(__xludf.DUMMYFUNCTION("IMPORTRANGE(""https://docs.google.com/spreadsheets/d/1nYxRXgnCfTXtqUY1otYuTlnrzE0Tn-Y0YRsW5pkRVqo/edit?usp=sharing"",""ปราจีนบุรี!M791"")"),0)</f>
        <v>0</v>
      </c>
      <c r="G63" s="64">
        <f ca="1">IFERROR(__xludf.DUMMYFUNCTION("IMPORTRANGE(""https://docs.google.com/spreadsheets/d/1nYxRXgnCfTXtqUY1otYuTlnrzE0Tn-Y0YRsW5pkRVqo/edit?usp=sharing"",""ปราจีนบุรี!M798"")"),0)</f>
        <v>0</v>
      </c>
      <c r="H63" s="58">
        <f t="shared" ca="1" si="15"/>
        <v>0</v>
      </c>
      <c r="I63" s="59">
        <f t="shared" ca="1" si="1"/>
        <v>0</v>
      </c>
      <c r="J63" s="60">
        <f t="shared" ca="1" si="39"/>
        <v>0</v>
      </c>
      <c r="K63" s="61">
        <f t="shared" ca="1" si="18"/>
        <v>0</v>
      </c>
      <c r="L63" s="61">
        <f t="shared" ca="1" si="19"/>
        <v>0</v>
      </c>
      <c r="M63" s="64">
        <f ca="1">IFERROR(__xludf.DUMMYFUNCTION("IMPORTRANGE(""https://docs.google.com/spreadsheets/d/1nYxRXgnCfTXtqUY1otYuTlnrzE0Tn-Y0YRsW5pkRVqo/edit?usp=sharing"",""ปราจีนบุรี!N792"")"),0)</f>
        <v>0</v>
      </c>
      <c r="N63" s="64">
        <f ca="1">IFERROR(__xludf.DUMMYFUNCTION("IMPORTRANGE(""https://docs.google.com/spreadsheets/d/1nYxRXgnCfTXtqUY1otYuTlnrzE0Tn-Y0YRsW5pkRVqo/edit?usp=sharing"",""ปราจีนบุรี!N793"")"),0)</f>
        <v>0</v>
      </c>
      <c r="O63" s="64">
        <f ca="1">IFERROR(__xludf.DUMMYFUNCTION("IMPORTRANGE(""https://docs.google.com/spreadsheets/d/1nYxRXgnCfTXtqUY1otYuTlnrzE0Tn-Y0YRsW5pkRVqo/edit?usp=sharing"",""ปราจีนบุรี!N794"")"),0)</f>
        <v>0</v>
      </c>
      <c r="P63" s="64">
        <f ca="1">IFERROR(__xludf.DUMMYFUNCTION("IMPORTRANGE(""https://docs.google.com/spreadsheets/d/1nYxRXgnCfTXtqUY1otYuTlnrzE0Tn-Y0YRsW5pkRVqo/edit?usp=sharing"",""ปราจีนบุรี!N795"")"),0)</f>
        <v>0</v>
      </c>
      <c r="Q63" s="62">
        <f ca="1">IFERROR(__xludf.DUMMYFUNCTION("IMPORTRANGE(""https://docs.google.com/spreadsheets/d/1nYxRXgnCfTXtqUY1otYuTlnrzE0Tn-Y0YRsW5pkRVqo/edit?usp=sharing"",""ปราจีนบุรี!N798"")"),0)</f>
        <v>0</v>
      </c>
      <c r="R63" s="62">
        <f t="shared" ca="1" si="21"/>
        <v>0</v>
      </c>
      <c r="S63" s="57">
        <f ca="1">IFERROR(__xludf.DUMMYFUNCTION("IMPORTRANGE(""https://docs.google.com/spreadsheets/d/1nYxRXgnCfTXtqUY1otYuTlnrzE0Tn-Y0YRsW5pkRVqo/edit?usp=sharing"",""ปราจีนบุรี!I785"")"),0)</f>
        <v>0</v>
      </c>
      <c r="T63" s="57">
        <f t="shared" ca="1" si="40"/>
        <v>0</v>
      </c>
      <c r="U63" s="63">
        <f t="shared" ca="1" si="16"/>
        <v>0</v>
      </c>
      <c r="V63" s="57">
        <f ca="1">IFERROR(__xludf.DUMMYFUNCTION("IMPORTRANGE(""https://docs.google.com/spreadsheets/d/1nYxRXgnCfTXtqUY1otYuTlnrzE0Tn-Y0YRsW5pkRVqo/edit?usp=sharing"",""ปราจีนบุรี!J801"")"),0)</f>
        <v>0</v>
      </c>
      <c r="W63" s="57">
        <f ca="1">IFERROR(__xludf.DUMMYFUNCTION("IMPORTRANGE(""https://docs.google.com/spreadsheets/d/1nYxRXgnCfTXtqUY1otYuTlnrzE0Tn-Y0YRsW5pkRVqo/edit?usp=sharing"",""ปราจีนบุรี!J800"")"),0)</f>
        <v>0</v>
      </c>
      <c r="X63" s="57">
        <f ca="1">IFERROR(__xludf.DUMMYFUNCTION("IMPORTRANGE(""https://docs.google.com/spreadsheets/d/1nYxRXgnCfTXtqUY1otYuTlnrzE0Tn-Y0YRsW5pkRVqo/edit?usp=sharing"",""ปราจีนบุรี!J803"")"),0)</f>
        <v>0</v>
      </c>
      <c r="Y63" s="57">
        <f ca="1">IFERROR(__xludf.DUMMYFUNCTION("IMPORTRANGE(""https://docs.google.com/spreadsheets/d/1nYxRXgnCfTXtqUY1otYuTlnrzE0Tn-Y0YRsW5pkRVqo/edit?usp=sharing"",""ปราจีนบุรี!J802"")"),0)</f>
        <v>0</v>
      </c>
    </row>
    <row r="64" spans="1:25" ht="21" customHeight="1" x14ac:dyDescent="0.3">
      <c r="A64" s="54">
        <v>12</v>
      </c>
      <c r="B64" s="55" t="s">
        <v>85</v>
      </c>
      <c r="C64" s="56">
        <f t="shared" ca="1" si="38"/>
        <v>0</v>
      </c>
      <c r="D64" s="57">
        <f ca="1">IFERROR(__xludf.DUMMYFUNCTION("IMPORTRANGE(""https://docs.google.com/spreadsheets/d/1nNHCLO8ZAXOMfQvxux7cf_hrzPAh8FAvaHq_ClKbZNo/edit?usp=sharing"",""พระนครศรีอยุธยา!L791"")"),0)</f>
        <v>0</v>
      </c>
      <c r="E64" s="64">
        <f ca="1">IFERROR(__xludf.DUMMYFUNCTION("IMPORTRANGE(""https://docs.google.com/spreadsheets/d/1nNHCLO8ZAXOMfQvxux7cf_hrzPAh8FAvaHq_ClKbZNo/edit?usp=sharing"",""พระนครศรีอยุธยา!L798"")"),0)</f>
        <v>0</v>
      </c>
      <c r="F64" s="64">
        <f ca="1">IFERROR(__xludf.DUMMYFUNCTION("IMPORTRANGE(""https://docs.google.com/spreadsheets/d/1nNHCLO8ZAXOMfQvxux7cf_hrzPAh8FAvaHq_ClKbZNo/edit?usp=sharing"",""พระนครศรีอยุธยา!M791"")"),0)</f>
        <v>0</v>
      </c>
      <c r="G64" s="64">
        <f ca="1">IFERROR(__xludf.DUMMYFUNCTION("IMPORTRANGE(""https://docs.google.com/spreadsheets/d/1nNHCLO8ZAXOMfQvxux7cf_hrzPAh8FAvaHq_ClKbZNo/edit?usp=sharing"",""พระนครศรีอยุธยา!M798"")"),0)</f>
        <v>0</v>
      </c>
      <c r="H64" s="58">
        <f t="shared" ca="1" si="15"/>
        <v>0</v>
      </c>
      <c r="I64" s="59">
        <f t="shared" ca="1" si="1"/>
        <v>0</v>
      </c>
      <c r="J64" s="60">
        <f t="shared" ca="1" si="39"/>
        <v>0</v>
      </c>
      <c r="K64" s="61">
        <f t="shared" ca="1" si="18"/>
        <v>0</v>
      </c>
      <c r="L64" s="61">
        <f t="shared" ca="1" si="19"/>
        <v>0</v>
      </c>
      <c r="M64" s="64">
        <f ca="1">IFERROR(__xludf.DUMMYFUNCTION("IMPORTRANGE(""https://docs.google.com/spreadsheets/d/1nNHCLO8ZAXOMfQvxux7cf_hrzPAh8FAvaHq_ClKbZNo/edit?usp=sharing"",""พระนครศรีอยุธยา!N792"")"),0)</f>
        <v>0</v>
      </c>
      <c r="N64" s="64">
        <f ca="1">IFERROR(__xludf.DUMMYFUNCTION("IMPORTRANGE(""https://docs.google.com/spreadsheets/d/1nNHCLO8ZAXOMfQvxux7cf_hrzPAh8FAvaHq_ClKbZNo/edit?usp=sharing"",""พระนครศรีอยุธยา!N793"")"),0)</f>
        <v>0</v>
      </c>
      <c r="O64" s="64">
        <f ca="1">IFERROR(__xludf.DUMMYFUNCTION("IMPORTRANGE(""https://docs.google.com/spreadsheets/d/1nNHCLO8ZAXOMfQvxux7cf_hrzPAh8FAvaHq_ClKbZNo/edit?usp=sharing"",""พระนครศรีอยุธยา!N794"")"),0)</f>
        <v>0</v>
      </c>
      <c r="P64" s="64">
        <f ca="1">IFERROR(__xludf.DUMMYFUNCTION("IMPORTRANGE(""https://docs.google.com/spreadsheets/d/1nNHCLO8ZAXOMfQvxux7cf_hrzPAh8FAvaHq_ClKbZNo/edit?usp=sharing"",""พระนครศรีอยุธยา!N795"")"),0)</f>
        <v>0</v>
      </c>
      <c r="Q64" s="62">
        <f ca="1">IFERROR(__xludf.DUMMYFUNCTION("IMPORTRANGE(""https://docs.google.com/spreadsheets/d/1nNHCLO8ZAXOMfQvxux7cf_hrzPAh8FAvaHq_ClKbZNo/edit?usp=sharing"",""พระนครศรีอยุธยา!N798"")"),0)</f>
        <v>0</v>
      </c>
      <c r="R64" s="62">
        <f t="shared" ca="1" si="21"/>
        <v>0</v>
      </c>
      <c r="S64" s="57">
        <f ca="1">IFERROR(__xludf.DUMMYFUNCTION("IMPORTRANGE(""https://docs.google.com/spreadsheets/d/1nNHCLO8ZAXOMfQvxux7cf_hrzPAh8FAvaHq_ClKbZNo/edit?usp=sharing"",""พระนครศรีอยุธยา!I785"")"),0)</f>
        <v>0</v>
      </c>
      <c r="T64" s="57">
        <f t="shared" ca="1" si="40"/>
        <v>0</v>
      </c>
      <c r="U64" s="63">
        <f t="shared" ca="1" si="16"/>
        <v>0</v>
      </c>
      <c r="V64" s="57">
        <f ca="1">IFERROR(__xludf.DUMMYFUNCTION("IMPORTRANGE(""https://docs.google.com/spreadsheets/d/1nNHCLO8ZAXOMfQvxux7cf_hrzPAh8FAvaHq_ClKbZNo/edit?usp=sharing"",""พระนครศรีอยุธยา!J801"")"),0)</f>
        <v>0</v>
      </c>
      <c r="W64" s="57">
        <f ca="1">IFERROR(__xludf.DUMMYFUNCTION("IMPORTRANGE(""https://docs.google.com/spreadsheets/d/1nNHCLO8ZAXOMfQvxux7cf_hrzPAh8FAvaHq_ClKbZNo/edit?usp=sharing"",""พระนครศรีอยุธยา!J800"")"),0)</f>
        <v>0</v>
      </c>
      <c r="X64" s="57">
        <f ca="1">IFERROR(__xludf.DUMMYFUNCTION("IMPORTRANGE(""https://docs.google.com/spreadsheets/d/1nNHCLO8ZAXOMfQvxux7cf_hrzPAh8FAvaHq_ClKbZNo/edit?usp=sharing"",""พระนครศรีอยุธยา!J803"")"),0)</f>
        <v>0</v>
      </c>
      <c r="Y64" s="57">
        <f ca="1">IFERROR(__xludf.DUMMYFUNCTION("IMPORTRANGE(""https://docs.google.com/spreadsheets/d/1nNHCLO8ZAXOMfQvxux7cf_hrzPAh8FAvaHq_ClKbZNo/edit?usp=sharing"",""พระนครศรีอยุธยา!J802"")"),0)</f>
        <v>0</v>
      </c>
    </row>
    <row r="65" spans="1:25" ht="21" customHeight="1" x14ac:dyDescent="0.3">
      <c r="A65" s="54">
        <v>13</v>
      </c>
      <c r="B65" s="55" t="s">
        <v>86</v>
      </c>
      <c r="C65" s="56">
        <f t="shared" ca="1" si="38"/>
        <v>0</v>
      </c>
      <c r="D65" s="57">
        <f ca="1">IFERROR(__xludf.DUMMYFUNCTION("IMPORTRANGE(""https://docs.google.com/spreadsheets/d/1CdNicvf3i6yt4tJlCePe3V1Va76wYqW0QzMzTsaGRrA/edit?usp=sharing"",""เพชรบุรี!L791"")"),0)</f>
        <v>0</v>
      </c>
      <c r="E65" s="64">
        <f ca="1">IFERROR(__xludf.DUMMYFUNCTION("IMPORTRANGE(""https://docs.google.com/spreadsheets/d/1CdNicvf3i6yt4tJlCePe3V1Va76wYqW0QzMzTsaGRrA/edit?usp=sharing"",""เพชรบุรี!L798"")"),0)</f>
        <v>0</v>
      </c>
      <c r="F65" s="64">
        <f ca="1">IFERROR(__xludf.DUMMYFUNCTION("IMPORTRANGE(""https://docs.google.com/spreadsheets/d/1CdNicvf3i6yt4tJlCePe3V1Va76wYqW0QzMzTsaGRrA/edit?usp=sharing"",""เพชรบุรี!M791"")"),0)</f>
        <v>0</v>
      </c>
      <c r="G65" s="64">
        <f ca="1">IFERROR(__xludf.DUMMYFUNCTION("IMPORTRANGE(""https://docs.google.com/spreadsheets/d/1CdNicvf3i6yt4tJlCePe3V1Va76wYqW0QzMzTsaGRrA/edit?usp=sharing"",""เพชรบุรี!M798"")"),0)</f>
        <v>0</v>
      </c>
      <c r="H65" s="58">
        <f t="shared" ca="1" si="15"/>
        <v>0</v>
      </c>
      <c r="I65" s="59">
        <f t="shared" ca="1" si="1"/>
        <v>0</v>
      </c>
      <c r="J65" s="60">
        <f t="shared" ca="1" si="39"/>
        <v>0</v>
      </c>
      <c r="K65" s="61">
        <f t="shared" ca="1" si="18"/>
        <v>0</v>
      </c>
      <c r="L65" s="61">
        <f t="shared" ca="1" si="19"/>
        <v>0</v>
      </c>
      <c r="M65" s="64">
        <f ca="1">IFERROR(__xludf.DUMMYFUNCTION("IMPORTRANGE(""https://docs.google.com/spreadsheets/d/1CdNicvf3i6yt4tJlCePe3V1Va76wYqW0QzMzTsaGRrA/edit?usp=sharing"",""เพชรบุรี!N792"")"),0)</f>
        <v>0</v>
      </c>
      <c r="N65" s="64">
        <f ca="1">IFERROR(__xludf.DUMMYFUNCTION("IMPORTRANGE(""https://docs.google.com/spreadsheets/d/1CdNicvf3i6yt4tJlCePe3V1Va76wYqW0QzMzTsaGRrA/edit?usp=sharing"",""เพชรบุรี!N793"")"),0)</f>
        <v>0</v>
      </c>
      <c r="O65" s="64">
        <f ca="1">IFERROR(__xludf.DUMMYFUNCTION("IMPORTRANGE(""https://docs.google.com/spreadsheets/d/1CdNicvf3i6yt4tJlCePe3V1Va76wYqW0QzMzTsaGRrA/edit?usp=sharing"",""เพชรบุรี!N794"")"),0)</f>
        <v>0</v>
      </c>
      <c r="P65" s="64">
        <f ca="1">IFERROR(__xludf.DUMMYFUNCTION("IMPORTRANGE(""https://docs.google.com/spreadsheets/d/1CdNicvf3i6yt4tJlCePe3V1Va76wYqW0QzMzTsaGRrA/edit?usp=sharing"",""เพชรบุรี!N795"")"),0)</f>
        <v>0</v>
      </c>
      <c r="Q65" s="62">
        <f ca="1">IFERROR(__xludf.DUMMYFUNCTION("IMPORTRANGE(""https://docs.google.com/spreadsheets/d/1CdNicvf3i6yt4tJlCePe3V1Va76wYqW0QzMzTsaGRrA/edit?usp=sharing"",""เพชรบุรี!N798"")"),0)</f>
        <v>0</v>
      </c>
      <c r="R65" s="62">
        <f t="shared" ca="1" si="21"/>
        <v>0</v>
      </c>
      <c r="S65" s="57">
        <f ca="1">IFERROR(__xludf.DUMMYFUNCTION("IMPORTRANGE(""https://docs.google.com/spreadsheets/d/1CdNicvf3i6yt4tJlCePe3V1Va76wYqW0QzMzTsaGRrA/edit?usp=sharing"",""เพชรบุรี!I785"")"),0)</f>
        <v>0</v>
      </c>
      <c r="T65" s="57">
        <f t="shared" ca="1" si="40"/>
        <v>0</v>
      </c>
      <c r="U65" s="63">
        <f t="shared" ca="1" si="16"/>
        <v>0</v>
      </c>
      <c r="V65" s="57">
        <f ca="1">IFERROR(__xludf.DUMMYFUNCTION("IMPORTRANGE(""https://docs.google.com/spreadsheets/d/1CdNicvf3i6yt4tJlCePe3V1Va76wYqW0QzMzTsaGRrA/edit?usp=sharing"",""เพชรบุรี!J801"")"),0)</f>
        <v>0</v>
      </c>
      <c r="W65" s="57">
        <f ca="1">IFERROR(__xludf.DUMMYFUNCTION("IMPORTRANGE(""https://docs.google.com/spreadsheets/d/1CdNicvf3i6yt4tJlCePe3V1Va76wYqW0QzMzTsaGRrA/edit?usp=sharing"",""เพชรบุรี!J800"")"),0)</f>
        <v>0</v>
      </c>
      <c r="X65" s="57">
        <f ca="1">IFERROR(__xludf.DUMMYFUNCTION("IMPORTRANGE(""https://docs.google.com/spreadsheets/d/1CdNicvf3i6yt4tJlCePe3V1Va76wYqW0QzMzTsaGRrA/edit?usp=sharing"",""เพชรบุรี!J803"")"),0)</f>
        <v>0</v>
      </c>
      <c r="Y65" s="57">
        <f ca="1">IFERROR(__xludf.DUMMYFUNCTION("IMPORTRANGE(""https://docs.google.com/spreadsheets/d/1CdNicvf3i6yt4tJlCePe3V1Va76wYqW0QzMzTsaGRrA/edit?usp=sharing"",""เพชรบุรี!J802"")"),0)</f>
        <v>0</v>
      </c>
    </row>
    <row r="66" spans="1:25" ht="21" customHeight="1" x14ac:dyDescent="0.3">
      <c r="A66" s="54">
        <v>14</v>
      </c>
      <c r="B66" s="55" t="s">
        <v>87</v>
      </c>
      <c r="C66" s="56">
        <f t="shared" ca="1" si="38"/>
        <v>0</v>
      </c>
      <c r="D66" s="57">
        <f ca="1">IFERROR(__xludf.DUMMYFUNCTION("IMPORTRANGE(""https://docs.google.com/spreadsheets/d/1XiF77UIVHV0Kjc6xbXuOuJ10WgJYxd4p_22ngKVV5oM/edit?usp=sharing"",""ระยอง!L791"")"),0)</f>
        <v>0</v>
      </c>
      <c r="E66" s="64">
        <f ca="1">IFERROR(__xludf.DUMMYFUNCTION("IMPORTRANGE(""https://docs.google.com/spreadsheets/d/1XiF77UIVHV0Kjc6xbXuOuJ10WgJYxd4p_22ngKVV5oM/edit?usp=sharing"",""ระยอง!L798"")"),0)</f>
        <v>0</v>
      </c>
      <c r="F66" s="64">
        <f ca="1">IFERROR(__xludf.DUMMYFUNCTION("IMPORTRANGE(""https://docs.google.com/spreadsheets/d/1XiF77UIVHV0Kjc6xbXuOuJ10WgJYxd4p_22ngKVV5oM/edit?usp=sharing"",""ระยอง!M791"")"),0)</f>
        <v>0</v>
      </c>
      <c r="G66" s="64">
        <f ca="1">IFERROR(__xludf.DUMMYFUNCTION("IMPORTRANGE(""https://docs.google.com/spreadsheets/d/1XiF77UIVHV0Kjc6xbXuOuJ10WgJYxd4p_22ngKVV5oM/edit?usp=sharing"",""ระยอง!M798"")"),0)</f>
        <v>0</v>
      </c>
      <c r="H66" s="58">
        <f t="shared" ca="1" si="15"/>
        <v>0</v>
      </c>
      <c r="I66" s="59">
        <f t="shared" ca="1" si="1"/>
        <v>0</v>
      </c>
      <c r="J66" s="60">
        <f t="shared" ca="1" si="39"/>
        <v>0</v>
      </c>
      <c r="K66" s="61">
        <f t="shared" ca="1" si="18"/>
        <v>0</v>
      </c>
      <c r="L66" s="61">
        <f t="shared" ca="1" si="19"/>
        <v>0</v>
      </c>
      <c r="M66" s="64">
        <f ca="1">IFERROR(__xludf.DUMMYFUNCTION("IMPORTRANGE(""https://docs.google.com/spreadsheets/d/1XiF77UIVHV0Kjc6xbXuOuJ10WgJYxd4p_22ngKVV5oM/edit?usp=sharing"",""ระยอง!N792"")"),0)</f>
        <v>0</v>
      </c>
      <c r="N66" s="64">
        <f ca="1">IFERROR(__xludf.DUMMYFUNCTION("IMPORTRANGE(""https://docs.google.com/spreadsheets/d/1XiF77UIVHV0Kjc6xbXuOuJ10WgJYxd4p_22ngKVV5oM/edit?usp=sharing"",""ระยอง!N793"")"),0)</f>
        <v>0</v>
      </c>
      <c r="O66" s="64">
        <f ca="1">IFERROR(__xludf.DUMMYFUNCTION("IMPORTRANGE(""https://docs.google.com/spreadsheets/d/1XiF77UIVHV0Kjc6xbXuOuJ10WgJYxd4p_22ngKVV5oM/edit?usp=sharing"",""ระยอง!N794"")"),0)</f>
        <v>0</v>
      </c>
      <c r="P66" s="64">
        <f ca="1">IFERROR(__xludf.DUMMYFUNCTION("IMPORTRANGE(""https://docs.google.com/spreadsheets/d/1XiF77UIVHV0Kjc6xbXuOuJ10WgJYxd4p_22ngKVV5oM/edit?usp=sharing"",""ระยอง!N795"")"),0)</f>
        <v>0</v>
      </c>
      <c r="Q66" s="62">
        <f ca="1">IFERROR(__xludf.DUMMYFUNCTION("IMPORTRANGE(""https://docs.google.com/spreadsheets/d/1XiF77UIVHV0Kjc6xbXuOuJ10WgJYxd4p_22ngKVV5oM/edit?usp=sharing"",""ระยอง!N798"")"),0)</f>
        <v>0</v>
      </c>
      <c r="R66" s="62">
        <f t="shared" ca="1" si="21"/>
        <v>0</v>
      </c>
      <c r="S66" s="57">
        <f ca="1">IFERROR(__xludf.DUMMYFUNCTION("IMPORTRANGE(""https://docs.google.com/spreadsheets/d/1XiF77UIVHV0Kjc6xbXuOuJ10WgJYxd4p_22ngKVV5oM/edit?usp=sharing"",""ระยอง!I785"")"),0)</f>
        <v>0</v>
      </c>
      <c r="T66" s="57">
        <f t="shared" ca="1" si="40"/>
        <v>0</v>
      </c>
      <c r="U66" s="63">
        <f t="shared" ca="1" si="16"/>
        <v>0</v>
      </c>
      <c r="V66" s="57">
        <f ca="1">IFERROR(__xludf.DUMMYFUNCTION("IMPORTRANGE(""https://docs.google.com/spreadsheets/d/1XiF77UIVHV0Kjc6xbXuOuJ10WgJYxd4p_22ngKVV5oM/edit?usp=sharing"",""ระยอง!J801"")"),0)</f>
        <v>0</v>
      </c>
      <c r="W66" s="57">
        <f ca="1">IFERROR(__xludf.DUMMYFUNCTION("IMPORTRANGE(""https://docs.google.com/spreadsheets/d/1XiF77UIVHV0Kjc6xbXuOuJ10WgJYxd4p_22ngKVV5oM/edit?usp=sharing"",""ระยอง!J800"")"),0)</f>
        <v>0</v>
      </c>
      <c r="X66" s="57">
        <f ca="1">IFERROR(__xludf.DUMMYFUNCTION("IMPORTRANGE(""https://docs.google.com/spreadsheets/d/1XiF77UIVHV0Kjc6xbXuOuJ10WgJYxd4p_22ngKVV5oM/edit?usp=sharing"",""ระยอง!J803"")"),0)</f>
        <v>0</v>
      </c>
      <c r="Y66" s="57">
        <f ca="1">IFERROR(__xludf.DUMMYFUNCTION("IMPORTRANGE(""https://docs.google.com/spreadsheets/d/1XiF77UIVHV0Kjc6xbXuOuJ10WgJYxd4p_22ngKVV5oM/edit?usp=sharing"",""ระยอง!J802"")"),0)</f>
        <v>0</v>
      </c>
    </row>
    <row r="67" spans="1:25" ht="21" customHeight="1" x14ac:dyDescent="0.3">
      <c r="A67" s="54">
        <v>15</v>
      </c>
      <c r="B67" s="55" t="s">
        <v>88</v>
      </c>
      <c r="C67" s="56">
        <f t="shared" ca="1" si="38"/>
        <v>0</v>
      </c>
      <c r="D67" s="57">
        <f ca="1">IFERROR(__xludf.DUMMYFUNCTION("IMPORTRANGE(""https://docs.google.com/spreadsheets/d/1qU-W_9MCQD1pgIVXGEOjCFo9QqlmJywuebyGgaN92r8/edit?usp=sharing"",""ราชบุรี!L791"")"),0)</f>
        <v>0</v>
      </c>
      <c r="E67" s="64">
        <f ca="1">IFERROR(__xludf.DUMMYFUNCTION("IMPORTRANGE(""https://docs.google.com/spreadsheets/d/1qU-W_9MCQD1pgIVXGEOjCFo9QqlmJywuebyGgaN92r8/edit?usp=sharing"",""ราชบุรี!L798"")"),0)</f>
        <v>0</v>
      </c>
      <c r="F67" s="64">
        <f ca="1">IFERROR(__xludf.DUMMYFUNCTION("IMPORTRANGE(""https://docs.google.com/spreadsheets/d/1qU-W_9MCQD1pgIVXGEOjCFo9QqlmJywuebyGgaN92r8/edit?usp=sharing"",""ราชบุรี!M791"")"),0)</f>
        <v>0</v>
      </c>
      <c r="G67" s="64">
        <f ca="1">IFERROR(__xludf.DUMMYFUNCTION("IMPORTRANGE(""https://docs.google.com/spreadsheets/d/1qU-W_9MCQD1pgIVXGEOjCFo9QqlmJywuebyGgaN92r8/edit?usp=sharing"",""ราชบุรี!M798"")"),0)</f>
        <v>0</v>
      </c>
      <c r="H67" s="58">
        <f t="shared" ca="1" si="15"/>
        <v>0</v>
      </c>
      <c r="I67" s="59">
        <f t="shared" ca="1" si="1"/>
        <v>0</v>
      </c>
      <c r="J67" s="60">
        <f t="shared" ca="1" si="39"/>
        <v>0</v>
      </c>
      <c r="K67" s="61">
        <f t="shared" ca="1" si="18"/>
        <v>0</v>
      </c>
      <c r="L67" s="61">
        <f t="shared" ca="1" si="19"/>
        <v>0</v>
      </c>
      <c r="M67" s="64">
        <f ca="1">IFERROR(__xludf.DUMMYFUNCTION("IMPORTRANGE(""https://docs.google.com/spreadsheets/d/1qU-W_9MCQD1pgIVXGEOjCFo9QqlmJywuebyGgaN92r8/edit?usp=sharing"",""ราชบุรี!N792"")"),0)</f>
        <v>0</v>
      </c>
      <c r="N67" s="64">
        <f ca="1">IFERROR(__xludf.DUMMYFUNCTION("IMPORTRANGE(""https://docs.google.com/spreadsheets/d/1qU-W_9MCQD1pgIVXGEOjCFo9QqlmJywuebyGgaN92r8/edit?usp=sharing"",""ราชบุรี!N793"")"),0)</f>
        <v>0</v>
      </c>
      <c r="O67" s="64">
        <f ca="1">IFERROR(__xludf.DUMMYFUNCTION("IMPORTRANGE(""https://docs.google.com/spreadsheets/d/1qU-W_9MCQD1pgIVXGEOjCFo9QqlmJywuebyGgaN92r8/edit?usp=sharing"",""ราชบุรี!N794"")"),0)</f>
        <v>0</v>
      </c>
      <c r="P67" s="64">
        <f ca="1">IFERROR(__xludf.DUMMYFUNCTION("IMPORTRANGE(""https://docs.google.com/spreadsheets/d/1qU-W_9MCQD1pgIVXGEOjCFo9QqlmJywuebyGgaN92r8/edit?usp=sharing"",""ราชบุรี!N795"")"),0)</f>
        <v>0</v>
      </c>
      <c r="Q67" s="62">
        <f ca="1">IFERROR(__xludf.DUMMYFUNCTION("IMPORTRANGE(""https://docs.google.com/spreadsheets/d/1qU-W_9MCQD1pgIVXGEOjCFo9QqlmJywuebyGgaN92r8/edit?usp=sharing"",""ราชบุรี!N798"")"),0)</f>
        <v>0</v>
      </c>
      <c r="R67" s="62">
        <f t="shared" ca="1" si="21"/>
        <v>0</v>
      </c>
      <c r="S67" s="57">
        <f ca="1">IFERROR(__xludf.DUMMYFUNCTION("IMPORTRANGE(""https://docs.google.com/spreadsheets/d/1qU-W_9MCQD1pgIVXGEOjCFo9QqlmJywuebyGgaN92r8/edit?usp=sharing"",""ราชบุรี!I785"")"),0)</f>
        <v>0</v>
      </c>
      <c r="T67" s="57">
        <f t="shared" ca="1" si="40"/>
        <v>0</v>
      </c>
      <c r="U67" s="63">
        <f t="shared" ca="1" si="16"/>
        <v>0</v>
      </c>
      <c r="V67" s="57">
        <f ca="1">IFERROR(__xludf.DUMMYFUNCTION("IMPORTRANGE(""https://docs.google.com/spreadsheets/d/1qU-W_9MCQD1pgIVXGEOjCFo9QqlmJywuebyGgaN92r8/edit?usp=sharing"",""ราชบุรี!J801"")"),0)</f>
        <v>0</v>
      </c>
      <c r="W67" s="57">
        <f ca="1">IFERROR(__xludf.DUMMYFUNCTION("IMPORTRANGE(""https://docs.google.com/spreadsheets/d/1qU-W_9MCQD1pgIVXGEOjCFo9QqlmJywuebyGgaN92r8/edit?usp=sharing"",""ราชบุรี!J800"")"),0)</f>
        <v>0</v>
      </c>
      <c r="X67" s="57">
        <f ca="1">IFERROR(__xludf.DUMMYFUNCTION("IMPORTRANGE(""https://docs.google.com/spreadsheets/d/1qU-W_9MCQD1pgIVXGEOjCFo9QqlmJywuebyGgaN92r8/edit?usp=sharing"",""ราชบุรี!J803"")"),0)</f>
        <v>0</v>
      </c>
      <c r="Y67" s="57">
        <f ca="1">IFERROR(__xludf.DUMMYFUNCTION("IMPORTRANGE(""https://docs.google.com/spreadsheets/d/1qU-W_9MCQD1pgIVXGEOjCFo9QqlmJywuebyGgaN92r8/edit?usp=sharing"",""ราชบุรี!J802"")"),0)</f>
        <v>0</v>
      </c>
    </row>
    <row r="68" spans="1:25" ht="24" customHeight="1" x14ac:dyDescent="0.3">
      <c r="A68" s="54">
        <v>16</v>
      </c>
      <c r="B68" s="55" t="s">
        <v>89</v>
      </c>
      <c r="C68" s="56">
        <f t="shared" ca="1" si="38"/>
        <v>0</v>
      </c>
      <c r="D68" s="57">
        <f ca="1">IFERROR(__xludf.DUMMYFUNCTION("IMPORTRANGE(""https://docs.google.com/spreadsheets/d/1xYFIxIM_CspAP5Q-5Zx_V0T_Ut3cjryrjd2hss28vGk/edit?usp=sharing"",""ลพบุรี!L791"")"),0)</f>
        <v>0</v>
      </c>
      <c r="E68" s="64">
        <f ca="1">IFERROR(__xludf.DUMMYFUNCTION("IMPORTRANGE(""https://docs.google.com/spreadsheets/d/1xYFIxIM_CspAP5Q-5Zx_V0T_Ut3cjryrjd2hss28vGk/edit?usp=sharing"",""ลพบุรี!L798"")"),0)</f>
        <v>0</v>
      </c>
      <c r="F68" s="64">
        <f ca="1">IFERROR(__xludf.DUMMYFUNCTION("IMPORTRANGE(""https://docs.google.com/spreadsheets/d/1xYFIxIM_CspAP5Q-5Zx_V0T_Ut3cjryrjd2hss28vGk/edit?usp=sharing"",""ลพบุรี!M791"")"),0)</f>
        <v>0</v>
      </c>
      <c r="G68" s="64">
        <f ca="1">IFERROR(__xludf.DUMMYFUNCTION("IMPORTRANGE(""https://docs.google.com/spreadsheets/d/1xYFIxIM_CspAP5Q-5Zx_V0T_Ut3cjryrjd2hss28vGk/edit?usp=sharing"",""ลพบุรี!M798"")"),0)</f>
        <v>0</v>
      </c>
      <c r="H68" s="58">
        <f t="shared" ca="1" si="15"/>
        <v>0</v>
      </c>
      <c r="I68" s="59">
        <f t="shared" ca="1" si="1"/>
        <v>0</v>
      </c>
      <c r="J68" s="60">
        <f t="shared" ca="1" si="39"/>
        <v>0</v>
      </c>
      <c r="K68" s="61">
        <f t="shared" ca="1" si="18"/>
        <v>0</v>
      </c>
      <c r="L68" s="61">
        <f t="shared" ca="1" si="19"/>
        <v>0</v>
      </c>
      <c r="M68" s="64">
        <f ca="1">IFERROR(__xludf.DUMMYFUNCTION("IMPORTRANGE(""https://docs.google.com/spreadsheets/d/1xYFIxIM_CspAP5Q-5Zx_V0T_Ut3cjryrjd2hss28vGk/edit?usp=sharing"",""ลพบุรี!N792"")"),0)</f>
        <v>0</v>
      </c>
      <c r="N68" s="64">
        <f ca="1">IFERROR(__xludf.DUMMYFUNCTION("IMPORTRANGE(""https://docs.google.com/spreadsheets/d/1xYFIxIM_CspAP5Q-5Zx_V0T_Ut3cjryrjd2hss28vGk/edit?usp=sharing"",""ลพบุรี!N793"")"),0)</f>
        <v>0</v>
      </c>
      <c r="O68" s="64">
        <f ca="1">IFERROR(__xludf.DUMMYFUNCTION("IMPORTRANGE(""https://docs.google.com/spreadsheets/d/1xYFIxIM_CspAP5Q-5Zx_V0T_Ut3cjryrjd2hss28vGk/edit?usp=sharing"",""ลพบุรี!N794"")"),0)</f>
        <v>0</v>
      </c>
      <c r="P68" s="64">
        <f ca="1">IFERROR(__xludf.DUMMYFUNCTION("IMPORTRANGE(""https://docs.google.com/spreadsheets/d/1xYFIxIM_CspAP5Q-5Zx_V0T_Ut3cjryrjd2hss28vGk/edit?usp=sharing"",""ลพบุรี!N795"")"),0)</f>
        <v>0</v>
      </c>
      <c r="Q68" s="62">
        <f ca="1">IFERROR(__xludf.DUMMYFUNCTION("IMPORTRANGE(""https://docs.google.com/spreadsheets/d/1xYFIxIM_CspAP5Q-5Zx_V0T_Ut3cjryrjd2hss28vGk/edit?usp=sharing"",""ลพบุรี!N798"")"),0)</f>
        <v>0</v>
      </c>
      <c r="R68" s="62">
        <f t="shared" ca="1" si="21"/>
        <v>0</v>
      </c>
      <c r="S68" s="57">
        <f ca="1">IFERROR(__xludf.DUMMYFUNCTION("IMPORTRANGE(""https://docs.google.com/spreadsheets/d/1xYFIxIM_CspAP5Q-5Zx_V0T_Ut3cjryrjd2hss28vGk/edit?usp=sharing"",""ลพบุรี!I785"")"),0)</f>
        <v>0</v>
      </c>
      <c r="T68" s="57">
        <f t="shared" ca="1" si="40"/>
        <v>0</v>
      </c>
      <c r="U68" s="63">
        <f t="shared" ca="1" si="16"/>
        <v>0</v>
      </c>
      <c r="V68" s="57">
        <f ca="1">IFERROR(__xludf.DUMMYFUNCTION("IMPORTRANGE(""https://docs.google.com/spreadsheets/d/1xYFIxIM_CspAP5Q-5Zx_V0T_Ut3cjryrjd2hss28vGk/edit?usp=sharing"",""ลพบุรี!J801"")"),0)</f>
        <v>0</v>
      </c>
      <c r="W68" s="57">
        <f ca="1">IFERROR(__xludf.DUMMYFUNCTION("IMPORTRANGE(""https://docs.google.com/spreadsheets/d/1xYFIxIM_CspAP5Q-5Zx_V0T_Ut3cjryrjd2hss28vGk/edit?usp=sharing"",""ลพบุรี!J800"")"),0)</f>
        <v>0</v>
      </c>
      <c r="X68" s="57">
        <f ca="1">IFERROR(__xludf.DUMMYFUNCTION("IMPORTRANGE(""https://docs.google.com/spreadsheets/d/1xYFIxIM_CspAP5Q-5Zx_V0T_Ut3cjryrjd2hss28vGk/edit?usp=sharing"",""ลพบุรี!J803"")"),0)</f>
        <v>0</v>
      </c>
      <c r="Y68" s="57">
        <f ca="1">IFERROR(__xludf.DUMMYFUNCTION("IMPORTRANGE(""https://docs.google.com/spreadsheets/d/1xYFIxIM_CspAP5Q-5Zx_V0T_Ut3cjryrjd2hss28vGk/edit?usp=sharing"",""ลพบุรี!J802"")"),0)</f>
        <v>0</v>
      </c>
    </row>
    <row r="69" spans="1:25" ht="21" customHeight="1" x14ac:dyDescent="0.3">
      <c r="A69" s="54">
        <v>17</v>
      </c>
      <c r="B69" s="55" t="s">
        <v>90</v>
      </c>
      <c r="C69" s="56">
        <f t="shared" ca="1" si="38"/>
        <v>335200</v>
      </c>
      <c r="D69" s="57">
        <f ca="1">IFERROR(__xludf.DUMMYFUNCTION("IMPORTRANGE(""https://docs.google.com/spreadsheets/d/11s9m3tKsCBdPWq6syhZm27eBGbKneDLZc75co106bio/edit?usp=sharing"",""สระแก้ว!L791"")"),335200)</f>
        <v>335200</v>
      </c>
      <c r="E69" s="64">
        <f ca="1">IFERROR(__xludf.DUMMYFUNCTION("IMPORTRANGE(""https://docs.google.com/spreadsheets/d/11s9m3tKsCBdPWq6syhZm27eBGbKneDLZc75co106bio/edit?usp=sharing"",""สระแก้ว!L798"")"),0)</f>
        <v>0</v>
      </c>
      <c r="F69" s="64">
        <f ca="1">IFERROR(__xludf.DUMMYFUNCTION("IMPORTRANGE(""https://docs.google.com/spreadsheets/d/11s9m3tKsCBdPWq6syhZm27eBGbKneDLZc75co106bio/edit?usp=sharing"",""สระแก้ว!M791"")"),335200)</f>
        <v>335200</v>
      </c>
      <c r="G69" s="64">
        <f ca="1">IFERROR(__xludf.DUMMYFUNCTION("IMPORTRANGE(""https://docs.google.com/spreadsheets/d/11s9m3tKsCBdPWq6syhZm27eBGbKneDLZc75co106bio/edit?usp=sharing"",""สระแก้ว!M798"")"),0)</f>
        <v>0</v>
      </c>
      <c r="H69" s="58">
        <f t="shared" ca="1" si="15"/>
        <v>99800</v>
      </c>
      <c r="I69" s="59">
        <f t="shared" ca="1" si="1"/>
        <v>29.773269689737472</v>
      </c>
      <c r="J69" s="60">
        <f t="shared" ca="1" si="39"/>
        <v>99800</v>
      </c>
      <c r="K69" s="61">
        <f t="shared" ca="1" si="18"/>
        <v>29.773269689737472</v>
      </c>
      <c r="L69" s="61">
        <f t="shared" ca="1" si="19"/>
        <v>29.773269689737472</v>
      </c>
      <c r="M69" s="64">
        <f ca="1">IFERROR(__xludf.DUMMYFUNCTION("IMPORTRANGE(""https://docs.google.com/spreadsheets/d/11s9m3tKsCBdPWq6syhZm27eBGbKneDLZc75co106bio/edit?usp=sharing"",""สระแก้ว!N792"")"),0)</f>
        <v>0</v>
      </c>
      <c r="N69" s="64">
        <f ca="1">IFERROR(__xludf.DUMMYFUNCTION("IMPORTRANGE(""https://docs.google.com/spreadsheets/d/11s9m3tKsCBdPWq6syhZm27eBGbKneDLZc75co106bio/edit?usp=sharing"",""สระแก้ว!N793"")"),0)</f>
        <v>0</v>
      </c>
      <c r="O69" s="64">
        <f ca="1">IFERROR(__xludf.DUMMYFUNCTION("IMPORTRANGE(""https://docs.google.com/spreadsheets/d/11s9m3tKsCBdPWq6syhZm27eBGbKneDLZc75co106bio/edit?usp=sharing"",""สระแก้ว!N794"")"),65000)</f>
        <v>65000</v>
      </c>
      <c r="P69" s="64">
        <f ca="1">IFERROR(__xludf.DUMMYFUNCTION("IMPORTRANGE(""https://docs.google.com/spreadsheets/d/11s9m3tKsCBdPWq6syhZm27eBGbKneDLZc75co106bio/edit?usp=sharing"",""สระแก้ว!N795"")"),34800)</f>
        <v>34800</v>
      </c>
      <c r="Q69" s="62">
        <f ca="1">IFERROR(__xludf.DUMMYFUNCTION("IMPORTRANGE(""https://docs.google.com/spreadsheets/d/11s9m3tKsCBdPWq6syhZm27eBGbKneDLZc75co106bio/edit?usp=sharing"",""สระแก้ว!N798"")"),0)</f>
        <v>0</v>
      </c>
      <c r="R69" s="62">
        <f t="shared" ca="1" si="21"/>
        <v>0</v>
      </c>
      <c r="S69" s="57">
        <f ca="1">IFERROR(__xludf.DUMMYFUNCTION("IMPORTRANGE(""https://docs.google.com/spreadsheets/d/11s9m3tKsCBdPWq6syhZm27eBGbKneDLZc75co106bio/edit?usp=sharing"",""สระแก้ว!I785"")"),5000)</f>
        <v>5000</v>
      </c>
      <c r="T69" s="57">
        <f t="shared" ca="1" si="40"/>
        <v>1796</v>
      </c>
      <c r="U69" s="63">
        <f t="shared" ca="1" si="16"/>
        <v>35.92</v>
      </c>
      <c r="V69" s="57">
        <f ca="1">IFERROR(__xludf.DUMMYFUNCTION("IMPORTRANGE(""https://docs.google.com/spreadsheets/d/11s9m3tKsCBdPWq6syhZm27eBGbKneDLZc75co106bio/edit?usp=sharing"",""สระแก้ว!J801"")"),1796)</f>
        <v>1796</v>
      </c>
      <c r="W69" s="57">
        <f ca="1">IFERROR(__xludf.DUMMYFUNCTION("IMPORTRANGE(""https://docs.google.com/spreadsheets/d/11s9m3tKsCBdPWq6syhZm27eBGbKneDLZc75co106bio/edit?usp=sharing"",""สระแก้ว!J800"")"),91)</f>
        <v>91</v>
      </c>
      <c r="X69" s="57">
        <f ca="1">IFERROR(__xludf.DUMMYFUNCTION("IMPORTRANGE(""https://docs.google.com/spreadsheets/d/11s9m3tKsCBdPWq6syhZm27eBGbKneDLZc75co106bio/edit?usp=sharing"",""สระแก้ว!J803"")"),0)</f>
        <v>0</v>
      </c>
      <c r="Y69" s="57">
        <f ca="1">IFERROR(__xludf.DUMMYFUNCTION("IMPORTRANGE(""https://docs.google.com/spreadsheets/d/11s9m3tKsCBdPWq6syhZm27eBGbKneDLZc75co106bio/edit?usp=sharing"",""สระแก้ว!J802"")"),0)</f>
        <v>0</v>
      </c>
    </row>
    <row r="70" spans="1:25" ht="21" customHeight="1" x14ac:dyDescent="0.3">
      <c r="A70" s="54">
        <v>18</v>
      </c>
      <c r="B70" s="55" t="s">
        <v>91</v>
      </c>
      <c r="C70" s="56">
        <f t="shared" ca="1" si="38"/>
        <v>0</v>
      </c>
      <c r="D70" s="57">
        <f ca="1">IFERROR(__xludf.DUMMYFUNCTION("IMPORTRANGE(""https://docs.google.com/spreadsheets/d/1Nn1EvsFPtXldgpgVb3Rcng2K2cls68LFQsBh2FyW0Bg/edit?usp=sharing"",""สระบุรี!L791"")"),0)</f>
        <v>0</v>
      </c>
      <c r="E70" s="64">
        <f ca="1">IFERROR(__xludf.DUMMYFUNCTION("IMPORTRANGE(""https://docs.google.com/spreadsheets/d/1Nn1EvsFPtXldgpgVb3Rcng2K2cls68LFQsBh2FyW0Bg/edit?usp=sharing"",""สระบุรี!L798"")"),0)</f>
        <v>0</v>
      </c>
      <c r="F70" s="64">
        <f ca="1">IFERROR(__xludf.DUMMYFUNCTION("IMPORTRANGE(""https://docs.google.com/spreadsheets/d/1Nn1EvsFPtXldgpgVb3Rcng2K2cls68LFQsBh2FyW0Bg/edit?usp=sharing"",""สระบุรี!M791"")"),0)</f>
        <v>0</v>
      </c>
      <c r="G70" s="64">
        <f ca="1">IFERROR(__xludf.DUMMYFUNCTION("IMPORTRANGE(""https://docs.google.com/spreadsheets/d/1Nn1EvsFPtXldgpgVb3Rcng2K2cls68LFQsBh2FyW0Bg/edit?usp=sharing"",""สระบุรี!M798"")"),0)</f>
        <v>0</v>
      </c>
      <c r="H70" s="58">
        <f t="shared" ca="1" si="15"/>
        <v>0</v>
      </c>
      <c r="I70" s="59">
        <f t="shared" ca="1" si="1"/>
        <v>0</v>
      </c>
      <c r="J70" s="60">
        <f t="shared" ca="1" si="39"/>
        <v>0</v>
      </c>
      <c r="K70" s="61">
        <f t="shared" ca="1" si="18"/>
        <v>0</v>
      </c>
      <c r="L70" s="61">
        <f t="shared" ca="1" si="19"/>
        <v>0</v>
      </c>
      <c r="M70" s="64">
        <f ca="1">IFERROR(__xludf.DUMMYFUNCTION("IMPORTRANGE(""https://docs.google.com/spreadsheets/d/1Nn1EvsFPtXldgpgVb3Rcng2K2cls68LFQsBh2FyW0Bg/edit?usp=sharing"",""สระบุรี!N792"")"),0)</f>
        <v>0</v>
      </c>
      <c r="N70" s="64">
        <f ca="1">IFERROR(__xludf.DUMMYFUNCTION("IMPORTRANGE(""https://docs.google.com/spreadsheets/d/1Nn1EvsFPtXldgpgVb3Rcng2K2cls68LFQsBh2FyW0Bg/edit?usp=sharing"",""สระบุรี!N793"")"),0)</f>
        <v>0</v>
      </c>
      <c r="O70" s="64">
        <f ca="1">IFERROR(__xludf.DUMMYFUNCTION("IMPORTRANGE(""https://docs.google.com/spreadsheets/d/1Nn1EvsFPtXldgpgVb3Rcng2K2cls68LFQsBh2FyW0Bg/edit?usp=sharing"",""สระบุรี!N794"")"),0)</f>
        <v>0</v>
      </c>
      <c r="P70" s="64">
        <f ca="1">IFERROR(__xludf.DUMMYFUNCTION("IMPORTRANGE(""https://docs.google.com/spreadsheets/d/1Nn1EvsFPtXldgpgVb3Rcng2K2cls68LFQsBh2FyW0Bg/edit?usp=sharing"",""สระบุรี!N795"")"),0)</f>
        <v>0</v>
      </c>
      <c r="Q70" s="62">
        <f ca="1">IFERROR(__xludf.DUMMYFUNCTION("IMPORTRANGE(""https://docs.google.com/spreadsheets/d/1Nn1EvsFPtXldgpgVb3Rcng2K2cls68LFQsBh2FyW0Bg/edit?usp=sharing"",""สระบุรี!N798"")"),0)</f>
        <v>0</v>
      </c>
      <c r="R70" s="62">
        <f t="shared" ca="1" si="21"/>
        <v>0</v>
      </c>
      <c r="S70" s="57">
        <f ca="1">IFERROR(__xludf.DUMMYFUNCTION("IMPORTRANGE(""https://docs.google.com/spreadsheets/d/1Nn1EvsFPtXldgpgVb3Rcng2K2cls68LFQsBh2FyW0Bg/edit?usp=sharing"",""สระบุรี!I785"")"),0)</f>
        <v>0</v>
      </c>
      <c r="T70" s="57">
        <f t="shared" ca="1" si="40"/>
        <v>0</v>
      </c>
      <c r="U70" s="63">
        <f t="shared" ca="1" si="16"/>
        <v>0</v>
      </c>
      <c r="V70" s="57">
        <f ca="1">IFERROR(__xludf.DUMMYFUNCTION("IMPORTRANGE(""https://docs.google.com/spreadsheets/d/1Nn1EvsFPtXldgpgVb3Rcng2K2cls68LFQsBh2FyW0Bg/edit?usp=sharing"",""สระบุรี!J801"")"),0)</f>
        <v>0</v>
      </c>
      <c r="W70" s="57">
        <f ca="1">IFERROR(__xludf.DUMMYFUNCTION("IMPORTRANGE(""https://docs.google.com/spreadsheets/d/1Nn1EvsFPtXldgpgVb3Rcng2K2cls68LFQsBh2FyW0Bg/edit?usp=sharing"",""สระบุรี!J800"")"),0)</f>
        <v>0</v>
      </c>
      <c r="X70" s="57">
        <f ca="1">IFERROR(__xludf.DUMMYFUNCTION("IMPORTRANGE(""https://docs.google.com/spreadsheets/d/1Nn1EvsFPtXldgpgVb3Rcng2K2cls68LFQsBh2FyW0Bg/edit?usp=sharing"",""สระบุรี!J803"")"),0)</f>
        <v>0</v>
      </c>
      <c r="Y70" s="57">
        <f ca="1">IFERROR(__xludf.DUMMYFUNCTION("IMPORTRANGE(""https://docs.google.com/spreadsheets/d/1Nn1EvsFPtXldgpgVb3Rcng2K2cls68LFQsBh2FyW0Bg/edit?usp=sharing"",""สระบุรี!J802"")"),0)</f>
        <v>0</v>
      </c>
    </row>
    <row r="71" spans="1:25" ht="21" customHeight="1" x14ac:dyDescent="0.3">
      <c r="A71" s="54">
        <v>19</v>
      </c>
      <c r="B71" s="55" t="s">
        <v>92</v>
      </c>
      <c r="C71" s="56">
        <f t="shared" ca="1" si="38"/>
        <v>0</v>
      </c>
      <c r="D71" s="57">
        <f ca="1">IFERROR(__xludf.DUMMYFUNCTION("IMPORTRANGE(""https://docs.google.com/spreadsheets/d/149xufxukrnEciK3WPbNpHwUK8BKEJxp3UcBG3Al6dA4/edit?usp=sharing"",""สิงห์บุรี!L791"")"),0)</f>
        <v>0</v>
      </c>
      <c r="E71" s="64">
        <f ca="1">IFERROR(__xludf.DUMMYFUNCTION("IMPORTRANGE(""https://docs.google.com/spreadsheets/d/149xufxukrnEciK3WPbNpHwUK8BKEJxp3UcBG3Al6dA4/edit?usp=sharing"",""สิงห์บุรี!L798"")"),0)</f>
        <v>0</v>
      </c>
      <c r="F71" s="64">
        <f ca="1">IFERROR(__xludf.DUMMYFUNCTION("IMPORTRANGE(""https://docs.google.com/spreadsheets/d/149xufxukrnEciK3WPbNpHwUK8BKEJxp3UcBG3Al6dA4/edit?usp=sharing"",""สิงห์บุรี!M791"")"),0)</f>
        <v>0</v>
      </c>
      <c r="G71" s="64">
        <f ca="1">IFERROR(__xludf.DUMMYFUNCTION("IMPORTRANGE(""https://docs.google.com/spreadsheets/d/149xufxukrnEciK3WPbNpHwUK8BKEJxp3UcBG3Al6dA4/edit?usp=sharing"",""สิงห์บุรี!M798"")"),0)</f>
        <v>0</v>
      </c>
      <c r="H71" s="58">
        <f t="shared" ca="1" si="15"/>
        <v>0</v>
      </c>
      <c r="I71" s="59">
        <f t="shared" ca="1" si="1"/>
        <v>0</v>
      </c>
      <c r="J71" s="60">
        <f t="shared" ca="1" si="39"/>
        <v>0</v>
      </c>
      <c r="K71" s="61">
        <f t="shared" ca="1" si="18"/>
        <v>0</v>
      </c>
      <c r="L71" s="61">
        <f t="shared" ca="1" si="19"/>
        <v>0</v>
      </c>
      <c r="M71" s="64">
        <f ca="1">IFERROR(__xludf.DUMMYFUNCTION("IMPORTRANGE(""https://docs.google.com/spreadsheets/d/149xufxukrnEciK3WPbNpHwUK8BKEJxp3UcBG3Al6dA4/edit?usp=sharing"",""สิงห์บุรี!N792"")"),0)</f>
        <v>0</v>
      </c>
      <c r="N71" s="64">
        <f ca="1">IFERROR(__xludf.DUMMYFUNCTION("IMPORTRANGE(""https://docs.google.com/spreadsheets/d/149xufxukrnEciK3WPbNpHwUK8BKEJxp3UcBG3Al6dA4/edit?usp=sharing"",""สิงห์บุรี!N793"")"),0)</f>
        <v>0</v>
      </c>
      <c r="O71" s="64">
        <f ca="1">IFERROR(__xludf.DUMMYFUNCTION("IMPORTRANGE(""https://docs.google.com/spreadsheets/d/149xufxukrnEciK3WPbNpHwUK8BKEJxp3UcBG3Al6dA4/edit?usp=sharing"",""สิงห์บุรี!N794"")"),0)</f>
        <v>0</v>
      </c>
      <c r="P71" s="64">
        <f ca="1">IFERROR(__xludf.DUMMYFUNCTION("IMPORTRANGE(""https://docs.google.com/spreadsheets/d/149xufxukrnEciK3WPbNpHwUK8BKEJxp3UcBG3Al6dA4/edit?usp=sharing"",""สิงห์บุรี!N795"")"),0)</f>
        <v>0</v>
      </c>
      <c r="Q71" s="62">
        <f ca="1">IFERROR(__xludf.DUMMYFUNCTION("IMPORTRANGE(""https://docs.google.com/spreadsheets/d/149xufxukrnEciK3WPbNpHwUK8BKEJxp3UcBG3Al6dA4/edit?usp=sharing"",""สิงห์บุรี!N798"")"),0)</f>
        <v>0</v>
      </c>
      <c r="R71" s="62">
        <f t="shared" ca="1" si="21"/>
        <v>0</v>
      </c>
      <c r="S71" s="57">
        <f ca="1">IFERROR(__xludf.DUMMYFUNCTION("IMPORTRANGE(""https://docs.google.com/spreadsheets/d/149xufxukrnEciK3WPbNpHwUK8BKEJxp3UcBG3Al6dA4/edit?usp=sharing"",""สิงห์บุรี!I785"")"),0)</f>
        <v>0</v>
      </c>
      <c r="T71" s="57">
        <f t="shared" ca="1" si="40"/>
        <v>0</v>
      </c>
      <c r="U71" s="63">
        <f t="shared" ca="1" si="16"/>
        <v>0</v>
      </c>
      <c r="V71" s="57">
        <f ca="1">IFERROR(__xludf.DUMMYFUNCTION("IMPORTRANGE(""https://docs.google.com/spreadsheets/d/149xufxukrnEciK3WPbNpHwUK8BKEJxp3UcBG3Al6dA4/edit?usp=sharing"",""สิงห์บุรี!J801"")"),0)</f>
        <v>0</v>
      </c>
      <c r="W71" s="57">
        <f ca="1">IFERROR(__xludf.DUMMYFUNCTION("IMPORTRANGE(""https://docs.google.com/spreadsheets/d/149xufxukrnEciK3WPbNpHwUK8BKEJxp3UcBG3Al6dA4/edit?usp=sharing"",""สิงห์บุรี!J800"")"),0)</f>
        <v>0</v>
      </c>
      <c r="X71" s="57">
        <f ca="1">IFERROR(__xludf.DUMMYFUNCTION("IMPORTRANGE(""https://docs.google.com/spreadsheets/d/149xufxukrnEciK3WPbNpHwUK8BKEJxp3UcBG3Al6dA4/edit?usp=sharing"",""สิงห์บุรี!J803"")"),0)</f>
        <v>0</v>
      </c>
      <c r="Y71" s="57">
        <f ca="1">IFERROR(__xludf.DUMMYFUNCTION("IMPORTRANGE(""https://docs.google.com/spreadsheets/d/149xufxukrnEciK3WPbNpHwUK8BKEJxp3UcBG3Al6dA4/edit?usp=sharing"",""สิงห์บุรี!J802"")"),0)</f>
        <v>0</v>
      </c>
    </row>
    <row r="72" spans="1:25" ht="21" customHeight="1" x14ac:dyDescent="0.3">
      <c r="A72" s="54">
        <v>20</v>
      </c>
      <c r="B72" s="55" t="s">
        <v>93</v>
      </c>
      <c r="C72" s="56">
        <f t="shared" ca="1" si="38"/>
        <v>0</v>
      </c>
      <c r="D72" s="57">
        <f ca="1">IFERROR(__xludf.DUMMYFUNCTION("IMPORTRANGE(""https://docs.google.com/spreadsheets/d/132g-zJpz2uMKimp17uOIx8A7o3w1Z25zwJyXnwsB56c/edit?usp=sharing"",""สุพรรณบุรี!L791"")"),0)</f>
        <v>0</v>
      </c>
      <c r="E72" s="64">
        <f ca="1">IFERROR(__xludf.DUMMYFUNCTION("IMPORTRANGE(""https://docs.google.com/spreadsheets/d/132g-zJpz2uMKimp17uOIx8A7o3w1Z25zwJyXnwsB56c/edit?usp=sharing"",""สุพรรณบุรี!L798"")"),0)</f>
        <v>0</v>
      </c>
      <c r="F72" s="64">
        <f ca="1">IFERROR(__xludf.DUMMYFUNCTION("IMPORTRANGE(""https://docs.google.com/spreadsheets/d/132g-zJpz2uMKimp17uOIx8A7o3w1Z25zwJyXnwsB56c/edit?usp=sharing"",""สุพรรณบุรี!M791"")"),0)</f>
        <v>0</v>
      </c>
      <c r="G72" s="64">
        <f ca="1">IFERROR(__xludf.DUMMYFUNCTION("IMPORTRANGE(""https://docs.google.com/spreadsheets/d/132g-zJpz2uMKimp17uOIx8A7o3w1Z25zwJyXnwsB56c/edit?usp=sharing"",""สุพรรณบุรี!M798"")"),0)</f>
        <v>0</v>
      </c>
      <c r="H72" s="58">
        <f t="shared" ca="1" si="15"/>
        <v>0</v>
      </c>
      <c r="I72" s="59">
        <f t="shared" ca="1" si="1"/>
        <v>0</v>
      </c>
      <c r="J72" s="60">
        <f t="shared" ca="1" si="39"/>
        <v>0</v>
      </c>
      <c r="K72" s="61">
        <f t="shared" ca="1" si="18"/>
        <v>0</v>
      </c>
      <c r="L72" s="61">
        <f t="shared" ca="1" si="19"/>
        <v>0</v>
      </c>
      <c r="M72" s="64">
        <f ca="1">IFERROR(__xludf.DUMMYFUNCTION("IMPORTRANGE(""https://docs.google.com/spreadsheets/d/132g-zJpz2uMKimp17uOIx8A7o3w1Z25zwJyXnwsB56c/edit?usp=sharing"",""สุพรรณบุรี!N792"")"),0)</f>
        <v>0</v>
      </c>
      <c r="N72" s="64">
        <f ca="1">IFERROR(__xludf.DUMMYFUNCTION("IMPORTRANGE(""https://docs.google.com/spreadsheets/d/132g-zJpz2uMKimp17uOIx8A7o3w1Z25zwJyXnwsB56c/edit?usp=sharing"",""สุพรรณบุรี!N793"")"),0)</f>
        <v>0</v>
      </c>
      <c r="O72" s="64">
        <f ca="1">IFERROR(__xludf.DUMMYFUNCTION("IMPORTRANGE(""https://docs.google.com/spreadsheets/d/132g-zJpz2uMKimp17uOIx8A7o3w1Z25zwJyXnwsB56c/edit?usp=sharing"",""สุพรรณบุรี!N794"")"),0)</f>
        <v>0</v>
      </c>
      <c r="P72" s="64">
        <f ca="1">IFERROR(__xludf.DUMMYFUNCTION("IMPORTRANGE(""https://docs.google.com/spreadsheets/d/132g-zJpz2uMKimp17uOIx8A7o3w1Z25zwJyXnwsB56c/edit?usp=sharing"",""สุพรรณบุรี!N795"")"),0)</f>
        <v>0</v>
      </c>
      <c r="Q72" s="62">
        <f ca="1">IFERROR(__xludf.DUMMYFUNCTION("IMPORTRANGE(""https://docs.google.com/spreadsheets/d/132g-zJpz2uMKimp17uOIx8A7o3w1Z25zwJyXnwsB56c/edit?usp=sharing"",""สุพรรณบุรี!N798"")"),0)</f>
        <v>0</v>
      </c>
      <c r="R72" s="62">
        <f t="shared" ca="1" si="21"/>
        <v>0</v>
      </c>
      <c r="S72" s="57">
        <f ca="1">IFERROR(__xludf.DUMMYFUNCTION("IMPORTRANGE(""https://docs.google.com/spreadsheets/d/132g-zJpz2uMKimp17uOIx8A7o3w1Z25zwJyXnwsB56c/edit?usp=sharing"",""สุพรรณบุรี!I785"")"),0)</f>
        <v>0</v>
      </c>
      <c r="T72" s="57">
        <f t="shared" ca="1" si="40"/>
        <v>0</v>
      </c>
      <c r="U72" s="63">
        <f t="shared" ca="1" si="16"/>
        <v>0</v>
      </c>
      <c r="V72" s="57">
        <f ca="1">IFERROR(__xludf.DUMMYFUNCTION("IMPORTRANGE(""https://docs.google.com/spreadsheets/d/132g-zJpz2uMKimp17uOIx8A7o3w1Z25zwJyXnwsB56c/edit?usp=sharing"",""สุพรรณบุรี!J801"")"),0)</f>
        <v>0</v>
      </c>
      <c r="W72" s="57">
        <f ca="1">IFERROR(__xludf.DUMMYFUNCTION("IMPORTRANGE(""https://docs.google.com/spreadsheets/d/132g-zJpz2uMKimp17uOIx8A7o3w1Z25zwJyXnwsB56c/edit?usp=sharing"",""สุพรรณบุรี!J800"")"),0)</f>
        <v>0</v>
      </c>
      <c r="X72" s="57">
        <f ca="1">IFERROR(__xludf.DUMMYFUNCTION("IMPORTRANGE(""https://docs.google.com/spreadsheets/d/132g-zJpz2uMKimp17uOIx8A7o3w1Z25zwJyXnwsB56c/edit?usp=sharing"",""สุพรรณบุรี!J803"")"),0)</f>
        <v>0</v>
      </c>
      <c r="Y72" s="57">
        <f ca="1">IFERROR(__xludf.DUMMYFUNCTION("IMPORTRANGE(""https://docs.google.com/spreadsheets/d/132g-zJpz2uMKimp17uOIx8A7o3w1Z25zwJyXnwsB56c/edit?usp=sharing"",""สุพรรณบุรี!J802"")"),0)</f>
        <v>0</v>
      </c>
    </row>
    <row r="73" spans="1:25" ht="21" customHeight="1" x14ac:dyDescent="0.3">
      <c r="A73" s="65">
        <v>21</v>
      </c>
      <c r="B73" s="66" t="s">
        <v>94</v>
      </c>
      <c r="C73" s="67">
        <f t="shared" ca="1" si="38"/>
        <v>0</v>
      </c>
      <c r="D73" s="68">
        <f ca="1">IFERROR(__xludf.DUMMYFUNCTION("IMPORTRANGE(""https://docs.google.com/spreadsheets/d/12Q_U0nVnFdxDFwa0pej9xvx8ZvLC9Dpi_vRro_aiG5g/edit?usp=sharing"",""อ่างทอง!L791"")"),0)</f>
        <v>0</v>
      </c>
      <c r="E73" s="69">
        <f ca="1">IFERROR(__xludf.DUMMYFUNCTION("IMPORTRANGE(""https://docs.google.com/spreadsheets/d/12Q_U0nVnFdxDFwa0pej9xvx8ZvLC9Dpi_vRro_aiG5g/edit?usp=sharing"",""อ่างทอง!L798"")"),0)</f>
        <v>0</v>
      </c>
      <c r="F73" s="69">
        <f ca="1">IFERROR(__xludf.DUMMYFUNCTION("IMPORTRANGE(""https://docs.google.com/spreadsheets/d/12Q_U0nVnFdxDFwa0pej9xvx8ZvLC9Dpi_vRro_aiG5g/edit?usp=sharing"",""อ่างทอง!M791"")"),0)</f>
        <v>0</v>
      </c>
      <c r="G73" s="69">
        <f ca="1">IFERROR(__xludf.DUMMYFUNCTION("IMPORTRANGE(""https://docs.google.com/spreadsheets/d/12Q_U0nVnFdxDFwa0pej9xvx8ZvLC9Dpi_vRro_aiG5g/edit?usp=sharing"",""อ่างทอง!M798"")"),0)</f>
        <v>0</v>
      </c>
      <c r="H73" s="70">
        <f t="shared" ca="1" si="15"/>
        <v>0</v>
      </c>
      <c r="I73" s="71">
        <f t="shared" ca="1" si="1"/>
        <v>0</v>
      </c>
      <c r="J73" s="72">
        <f t="shared" ca="1" si="39"/>
        <v>0</v>
      </c>
      <c r="K73" s="73">
        <f t="shared" ca="1" si="18"/>
        <v>0</v>
      </c>
      <c r="L73" s="73">
        <f t="shared" ca="1" si="19"/>
        <v>0</v>
      </c>
      <c r="M73" s="69">
        <f ca="1">IFERROR(__xludf.DUMMYFUNCTION("IMPORTRANGE(""https://docs.google.com/spreadsheets/d/12Q_U0nVnFdxDFwa0pej9xvx8ZvLC9Dpi_vRro_aiG5g/edit?usp=sharing"",""อ่างทอง!N792"")"),0)</f>
        <v>0</v>
      </c>
      <c r="N73" s="69">
        <f ca="1">IFERROR(__xludf.DUMMYFUNCTION("IMPORTRANGE(""https://docs.google.com/spreadsheets/d/12Q_U0nVnFdxDFwa0pej9xvx8ZvLC9Dpi_vRro_aiG5g/edit?usp=sharing"",""อ่างทอง!N793"")"),0)</f>
        <v>0</v>
      </c>
      <c r="O73" s="69">
        <f ca="1">IFERROR(__xludf.DUMMYFUNCTION("IMPORTRANGE(""https://docs.google.com/spreadsheets/d/12Q_U0nVnFdxDFwa0pej9xvx8ZvLC9Dpi_vRro_aiG5g/edit?usp=sharing"",""อ่างทอง!N794"")"),0)</f>
        <v>0</v>
      </c>
      <c r="P73" s="69">
        <f ca="1">IFERROR(__xludf.DUMMYFUNCTION("IMPORTRANGE(""https://docs.google.com/spreadsheets/d/12Q_U0nVnFdxDFwa0pej9xvx8ZvLC9Dpi_vRro_aiG5g/edit?usp=sharing"",""อ่างทอง!N795"")"),0)</f>
        <v>0</v>
      </c>
      <c r="Q73" s="74">
        <f ca="1">IFERROR(__xludf.DUMMYFUNCTION("IMPORTRANGE(""https://docs.google.com/spreadsheets/d/12Q_U0nVnFdxDFwa0pej9xvx8ZvLC9Dpi_vRro_aiG5g/edit?usp=sharing"",""อ่างทอง!N798"")"),0)</f>
        <v>0</v>
      </c>
      <c r="R73" s="74">
        <f t="shared" ca="1" si="21"/>
        <v>0</v>
      </c>
      <c r="S73" s="68">
        <f ca="1">IFERROR(__xludf.DUMMYFUNCTION("IMPORTRANGE(""https://docs.google.com/spreadsheets/d/12Q_U0nVnFdxDFwa0pej9xvx8ZvLC9Dpi_vRro_aiG5g/edit?usp=sharing"",""อ่างทอง!I785"")"),0)</f>
        <v>0</v>
      </c>
      <c r="T73" s="68">
        <f t="shared" ca="1" si="40"/>
        <v>0</v>
      </c>
      <c r="U73" s="75">
        <f t="shared" ca="1" si="16"/>
        <v>0</v>
      </c>
      <c r="V73" s="68">
        <f ca="1">IFERROR(__xludf.DUMMYFUNCTION("IMPORTRANGE(""https://docs.google.com/spreadsheets/d/12Q_U0nVnFdxDFwa0pej9xvx8ZvLC9Dpi_vRro_aiG5g/edit?usp=sharing"",""อ่างทอง!J801"")"),0)</f>
        <v>0</v>
      </c>
      <c r="W73" s="68">
        <f ca="1">IFERROR(__xludf.DUMMYFUNCTION("IMPORTRANGE(""https://docs.google.com/spreadsheets/d/12Q_U0nVnFdxDFwa0pej9xvx8ZvLC9Dpi_vRro_aiG5g/edit?usp=sharing"",""อ่างทอง!J800"")"),0)</f>
        <v>0</v>
      </c>
      <c r="X73" s="68">
        <f ca="1">IFERROR(__xludf.DUMMYFUNCTION("IMPORTRANGE(""https://docs.google.com/spreadsheets/d/12Q_U0nVnFdxDFwa0pej9xvx8ZvLC9Dpi_vRro_aiG5g/edit?usp=sharing"",""อ่างทอง!J803"")"),0)</f>
        <v>0</v>
      </c>
      <c r="Y73" s="68">
        <f ca="1">IFERROR(__xludf.DUMMYFUNCTION("IMPORTRANGE(""https://docs.google.com/spreadsheets/d/12Q_U0nVnFdxDFwa0pej9xvx8ZvLC9Dpi_vRro_aiG5g/edit?usp=sharing"",""อ่างทอง!J802"")"),0)</f>
        <v>0</v>
      </c>
    </row>
    <row r="74" spans="1:25" ht="21" customHeight="1" x14ac:dyDescent="0.3">
      <c r="A74" s="177" t="s">
        <v>95</v>
      </c>
      <c r="B74" s="178"/>
      <c r="C74" s="76">
        <f t="shared" ref="C74:G74" ca="1" si="41">SUM(C75:C88)</f>
        <v>0</v>
      </c>
      <c r="D74" s="34">
        <f t="shared" ca="1" si="41"/>
        <v>0</v>
      </c>
      <c r="E74" s="34">
        <f t="shared" ca="1" si="41"/>
        <v>0</v>
      </c>
      <c r="F74" s="34">
        <f t="shared" ca="1" si="41"/>
        <v>0</v>
      </c>
      <c r="G74" s="34">
        <f t="shared" ca="1" si="41"/>
        <v>0</v>
      </c>
      <c r="H74" s="34">
        <f t="shared" ca="1" si="15"/>
        <v>0</v>
      </c>
      <c r="I74" s="35">
        <f t="shared" ca="1" si="1"/>
        <v>0</v>
      </c>
      <c r="J74" s="34">
        <f ca="1">SUM(J75:J88)</f>
        <v>0</v>
      </c>
      <c r="K74" s="35">
        <f t="shared" ca="1" si="18"/>
        <v>0</v>
      </c>
      <c r="L74" s="35">
        <f t="shared" ca="1" si="19"/>
        <v>0</v>
      </c>
      <c r="M74" s="34">
        <f t="shared" ref="M74:Q74" ca="1" si="42">SUM(M75:M88)</f>
        <v>0</v>
      </c>
      <c r="N74" s="34">
        <f t="shared" ca="1" si="42"/>
        <v>0</v>
      </c>
      <c r="O74" s="34">
        <f t="shared" ca="1" si="42"/>
        <v>0</v>
      </c>
      <c r="P74" s="34">
        <f t="shared" ca="1" si="42"/>
        <v>0</v>
      </c>
      <c r="Q74" s="36">
        <f t="shared" ca="1" si="42"/>
        <v>0</v>
      </c>
      <c r="R74" s="36">
        <f t="shared" ca="1" si="21"/>
        <v>0</v>
      </c>
      <c r="S74" s="34">
        <f t="shared" ref="S74:T74" ca="1" si="43">SUM(S75:S88)</f>
        <v>0</v>
      </c>
      <c r="T74" s="34">
        <f t="shared" ca="1" si="43"/>
        <v>0</v>
      </c>
      <c r="U74" s="37">
        <f t="shared" ca="1" si="16"/>
        <v>0</v>
      </c>
      <c r="V74" s="34">
        <f t="shared" ref="V74:Y74" ca="1" si="44">SUM(V75:V88)</f>
        <v>0</v>
      </c>
      <c r="W74" s="34">
        <f t="shared" ca="1" si="44"/>
        <v>0</v>
      </c>
      <c r="X74" s="34">
        <f t="shared" ca="1" si="44"/>
        <v>0</v>
      </c>
      <c r="Y74" s="34">
        <f t="shared" ca="1" si="44"/>
        <v>0</v>
      </c>
    </row>
    <row r="75" spans="1:25" ht="21" customHeight="1" x14ac:dyDescent="0.3">
      <c r="A75" s="54">
        <v>1</v>
      </c>
      <c r="B75" s="55" t="s">
        <v>96</v>
      </c>
      <c r="C75" s="56">
        <f t="shared" ref="C75:C88" ca="1" si="45">D75+E75</f>
        <v>0</v>
      </c>
      <c r="D75" s="57">
        <f ca="1">IFERROR(__xludf.DUMMYFUNCTION("IMPORTRANGE(""https://docs.google.com/spreadsheets/d/1kC41EOXpGBFOW658Fs3oD8beYlym0-zO54WY-2Qnp9I/edit?usp=sharing"",""กระบี่!L791"")"),0)</f>
        <v>0</v>
      </c>
      <c r="E75" s="64">
        <f ca="1">IFERROR(__xludf.DUMMYFUNCTION("IMPORTRANGE(""https://docs.google.com/spreadsheets/d/1kC41EOXpGBFOW658Fs3oD8beYlym0-zO54WY-2Qnp9I/edit?usp=sharing"",""กระบี่!L798"")"),0)</f>
        <v>0</v>
      </c>
      <c r="F75" s="64">
        <f ca="1">IFERROR(__xludf.DUMMYFUNCTION("IMPORTRANGE(""https://docs.google.com/spreadsheets/d/1kC41EOXpGBFOW658Fs3oD8beYlym0-zO54WY-2Qnp9I/edit?usp=sharing"",""กระบี่!M791"")"),0)</f>
        <v>0</v>
      </c>
      <c r="G75" s="64">
        <f ca="1">IFERROR(__xludf.DUMMYFUNCTION("IMPORTRANGE(""https://docs.google.com/spreadsheets/d/1kC41EOXpGBFOW658Fs3oD8beYlym0-zO54WY-2Qnp9I/edit?usp=sharing"",""กระบี่!M798"")"),0)</f>
        <v>0</v>
      </c>
      <c r="H75" s="58">
        <f t="shared" ca="1" si="15"/>
        <v>0</v>
      </c>
      <c r="I75" s="59">
        <f t="shared" ca="1" si="1"/>
        <v>0</v>
      </c>
      <c r="J75" s="60">
        <f t="shared" ref="J75:J88" ca="1" si="46">M75+N75+O75+P75</f>
        <v>0</v>
      </c>
      <c r="K75" s="61">
        <f t="shared" ca="1" si="18"/>
        <v>0</v>
      </c>
      <c r="L75" s="61">
        <f t="shared" ca="1" si="19"/>
        <v>0</v>
      </c>
      <c r="M75" s="64">
        <f ca="1">IFERROR(__xludf.DUMMYFUNCTION("IMPORTRANGE(""https://docs.google.com/spreadsheets/d/1kC41EOXpGBFOW658Fs3oD8beYlym0-zO54WY-2Qnp9I/edit?usp=sharing"",""กระบี่!N792"")"),0)</f>
        <v>0</v>
      </c>
      <c r="N75" s="64">
        <f ca="1">IFERROR(__xludf.DUMMYFUNCTION("IMPORTRANGE(""https://docs.google.com/spreadsheets/d/1kC41EOXpGBFOW658Fs3oD8beYlym0-zO54WY-2Qnp9I/edit?usp=sharing"",""กระบี่!N793"")"),0)</f>
        <v>0</v>
      </c>
      <c r="O75" s="64">
        <f ca="1">IFERROR(__xludf.DUMMYFUNCTION("IMPORTRANGE(""https://docs.google.com/spreadsheets/d/1kC41EOXpGBFOW658Fs3oD8beYlym0-zO54WY-2Qnp9I/edit?usp=sharing"",""กระบี่!N794"")"),0)</f>
        <v>0</v>
      </c>
      <c r="P75" s="64">
        <f ca="1">IFERROR(__xludf.DUMMYFUNCTION("IMPORTRANGE(""https://docs.google.com/spreadsheets/d/1kC41EOXpGBFOW658Fs3oD8beYlym0-zO54WY-2Qnp9I/edit?usp=sharing"",""กระบี่!N795"")"),0)</f>
        <v>0</v>
      </c>
      <c r="Q75" s="62">
        <f ca="1">IFERROR(__xludf.DUMMYFUNCTION("IMPORTRANGE(""https://docs.google.com/spreadsheets/d/1kC41EOXpGBFOW658Fs3oD8beYlym0-zO54WY-2Qnp9I/edit?usp=sharing"",""กระบี่!N798"")"),0)</f>
        <v>0</v>
      </c>
      <c r="R75" s="62">
        <f t="shared" ca="1" si="21"/>
        <v>0</v>
      </c>
      <c r="S75" s="57">
        <f ca="1">IFERROR(__xludf.DUMMYFUNCTION("IMPORTRANGE(""https://docs.google.com/spreadsheets/d/1kC41EOXpGBFOW658Fs3oD8beYlym0-zO54WY-2Qnp9I/edit?usp=sharing"",""กระบี่!I785"")"),0)</f>
        <v>0</v>
      </c>
      <c r="T75" s="57">
        <f t="shared" ref="T75:T88" ca="1" si="47">V75+X75</f>
        <v>0</v>
      </c>
      <c r="U75" s="63">
        <f t="shared" ca="1" si="16"/>
        <v>0</v>
      </c>
      <c r="V75" s="57">
        <f ca="1">IFERROR(__xludf.DUMMYFUNCTION("IMPORTRANGE(""https://docs.google.com/spreadsheets/d/1kC41EOXpGBFOW658Fs3oD8beYlym0-zO54WY-2Qnp9I/edit?usp=sharing"",""กระบี่!J801"")"),0)</f>
        <v>0</v>
      </c>
      <c r="W75" s="57">
        <f ca="1">IFERROR(__xludf.DUMMYFUNCTION("IMPORTRANGE(""https://docs.google.com/spreadsheets/d/1kC41EOXpGBFOW658Fs3oD8beYlym0-zO54WY-2Qnp9I/edit?usp=sharing"",""กระบี่!J800"")"),0)</f>
        <v>0</v>
      </c>
      <c r="X75" s="57">
        <f ca="1">IFERROR(__xludf.DUMMYFUNCTION("IMPORTRANGE(""https://docs.google.com/spreadsheets/d/1kC41EOXpGBFOW658Fs3oD8beYlym0-zO54WY-2Qnp9I/edit?usp=sharing"",""กระบี่!J803"")"),0)</f>
        <v>0</v>
      </c>
      <c r="Y75" s="57">
        <f ca="1">IFERROR(__xludf.DUMMYFUNCTION("IMPORTRANGE(""https://docs.google.com/spreadsheets/d/1kC41EOXpGBFOW658Fs3oD8beYlym0-zO54WY-2Qnp9I/edit?usp=sharing"",""กระบี่!J802"")"),0)</f>
        <v>0</v>
      </c>
    </row>
    <row r="76" spans="1:25" ht="21" customHeight="1" x14ac:dyDescent="0.3">
      <c r="A76" s="54">
        <v>2</v>
      </c>
      <c r="B76" s="55" t="s">
        <v>97</v>
      </c>
      <c r="C76" s="56">
        <f t="shared" ca="1" si="45"/>
        <v>0</v>
      </c>
      <c r="D76" s="57">
        <f ca="1">IFERROR(__xludf.DUMMYFUNCTION("IMPORTRANGE(""https://docs.google.com/spreadsheets/d/1FbzMZY_f3MDiEuK7RpCQKrilJ_kpX0Wm7QBZ1L7EjIU/edit?usp=sharing"",""ชุมพร!L791"")"),0)</f>
        <v>0</v>
      </c>
      <c r="E76" s="64">
        <f ca="1">IFERROR(__xludf.DUMMYFUNCTION("IMPORTRANGE(""https://docs.google.com/spreadsheets/d/1FbzMZY_f3MDiEuK7RpCQKrilJ_kpX0Wm7QBZ1L7EjIU/edit?usp=sharing"",""ชุมพร!L798"")"),0)</f>
        <v>0</v>
      </c>
      <c r="F76" s="64">
        <f ca="1">IFERROR(__xludf.DUMMYFUNCTION("IMPORTRANGE(""https://docs.google.com/spreadsheets/d/1FbzMZY_f3MDiEuK7RpCQKrilJ_kpX0Wm7QBZ1L7EjIU/edit?usp=sharing"",""ชุมพร!M791"")"),0)</f>
        <v>0</v>
      </c>
      <c r="G76" s="64">
        <f ca="1">IFERROR(__xludf.DUMMYFUNCTION("IMPORTRANGE(""https://docs.google.com/spreadsheets/d/1FbzMZY_f3MDiEuK7RpCQKrilJ_kpX0Wm7QBZ1L7EjIU/edit?usp=sharing"",""ชุมพร!M798"")"),0)</f>
        <v>0</v>
      </c>
      <c r="H76" s="58">
        <f t="shared" ca="1" si="15"/>
        <v>0</v>
      </c>
      <c r="I76" s="59">
        <f t="shared" ca="1" si="1"/>
        <v>0</v>
      </c>
      <c r="J76" s="60">
        <f t="shared" ca="1" si="46"/>
        <v>0</v>
      </c>
      <c r="K76" s="61">
        <f t="shared" ca="1" si="18"/>
        <v>0</v>
      </c>
      <c r="L76" s="61">
        <f t="shared" ca="1" si="19"/>
        <v>0</v>
      </c>
      <c r="M76" s="64">
        <f ca="1">IFERROR(__xludf.DUMMYFUNCTION("IMPORTRANGE(""https://docs.google.com/spreadsheets/d/1FbzMZY_f3MDiEuK7RpCQKrilJ_kpX0Wm7QBZ1L7EjIU/edit?usp=sharing"",""ชุมพร!N792"")"),0)</f>
        <v>0</v>
      </c>
      <c r="N76" s="64">
        <f ca="1">IFERROR(__xludf.DUMMYFUNCTION("IMPORTRANGE(""https://docs.google.com/spreadsheets/d/1FbzMZY_f3MDiEuK7RpCQKrilJ_kpX0Wm7QBZ1L7EjIU/edit?usp=sharing"",""ชุมพร!N793"")"),0)</f>
        <v>0</v>
      </c>
      <c r="O76" s="64">
        <f ca="1">IFERROR(__xludf.DUMMYFUNCTION("IMPORTRANGE(""https://docs.google.com/spreadsheets/d/1FbzMZY_f3MDiEuK7RpCQKrilJ_kpX0Wm7QBZ1L7EjIU/edit?usp=sharing"",""ชุมพร!N794"")"),0)</f>
        <v>0</v>
      </c>
      <c r="P76" s="64">
        <f ca="1">IFERROR(__xludf.DUMMYFUNCTION("IMPORTRANGE(""https://docs.google.com/spreadsheets/d/1FbzMZY_f3MDiEuK7RpCQKrilJ_kpX0Wm7QBZ1L7EjIU/edit?usp=sharing"",""ชุมพร!N795"")"),0)</f>
        <v>0</v>
      </c>
      <c r="Q76" s="62">
        <f ca="1">IFERROR(__xludf.DUMMYFUNCTION("IMPORTRANGE(""https://docs.google.com/spreadsheets/d/1FbzMZY_f3MDiEuK7RpCQKrilJ_kpX0Wm7QBZ1L7EjIU/edit?usp=sharing"",""ชุมพร!N798"")"),0)</f>
        <v>0</v>
      </c>
      <c r="R76" s="62">
        <f t="shared" ca="1" si="21"/>
        <v>0</v>
      </c>
      <c r="S76" s="57">
        <f ca="1">IFERROR(__xludf.DUMMYFUNCTION("IMPORTRANGE(""https://docs.google.com/spreadsheets/d/1FbzMZY_f3MDiEuK7RpCQKrilJ_kpX0Wm7QBZ1L7EjIU/edit?usp=sharing"",""ชุมพร!I785"")"),0)</f>
        <v>0</v>
      </c>
      <c r="T76" s="57">
        <f t="shared" ca="1" si="47"/>
        <v>0</v>
      </c>
      <c r="U76" s="63">
        <f t="shared" ca="1" si="16"/>
        <v>0</v>
      </c>
      <c r="V76" s="57">
        <f ca="1">IFERROR(__xludf.DUMMYFUNCTION("IMPORTRANGE(""https://docs.google.com/spreadsheets/d/1FbzMZY_f3MDiEuK7RpCQKrilJ_kpX0Wm7QBZ1L7EjIU/edit?usp=sharing"",""ชุมพร!J801"")"),0)</f>
        <v>0</v>
      </c>
      <c r="W76" s="57">
        <f ca="1">IFERROR(__xludf.DUMMYFUNCTION("IMPORTRANGE(""https://docs.google.com/spreadsheets/d/1FbzMZY_f3MDiEuK7RpCQKrilJ_kpX0Wm7QBZ1L7EjIU/edit?usp=sharing"",""ชุมพร!J800"")"),0)</f>
        <v>0</v>
      </c>
      <c r="X76" s="57">
        <f ca="1">IFERROR(__xludf.DUMMYFUNCTION("IMPORTRANGE(""https://docs.google.com/spreadsheets/d/1FbzMZY_f3MDiEuK7RpCQKrilJ_kpX0Wm7QBZ1L7EjIU/edit?usp=sharing"",""ชุมพร!J803"")"),0)</f>
        <v>0</v>
      </c>
      <c r="Y76" s="57">
        <f ca="1">IFERROR(__xludf.DUMMYFUNCTION("IMPORTRANGE(""https://docs.google.com/spreadsheets/d/1FbzMZY_f3MDiEuK7RpCQKrilJ_kpX0Wm7QBZ1L7EjIU/edit?usp=sharing"",""ชุมพร!J802"")"),0)</f>
        <v>0</v>
      </c>
    </row>
    <row r="77" spans="1:25" ht="21" customHeight="1" x14ac:dyDescent="0.3">
      <c r="A77" s="54">
        <v>3</v>
      </c>
      <c r="B77" s="55" t="s">
        <v>98</v>
      </c>
      <c r="C77" s="56">
        <f t="shared" ca="1" si="45"/>
        <v>0</v>
      </c>
      <c r="D77" s="57">
        <f ca="1">IFERROR(__xludf.DUMMYFUNCTION("IMPORTRANGE(""https://docs.google.com/spreadsheets/d/1v5sN-00LrXuhBxw4dkh2GrG_z4l5oAqOdJRBCsUyMaM/edit?usp=sharing"",""ตรัง!L791"")"),0)</f>
        <v>0</v>
      </c>
      <c r="E77" s="64">
        <f ca="1">IFERROR(__xludf.DUMMYFUNCTION("IMPORTRANGE(""https://docs.google.com/spreadsheets/d/1v5sN-00LrXuhBxw4dkh2GrG_z4l5oAqOdJRBCsUyMaM/edit?usp=sharing"",""ตรัง!L798"")"),0)</f>
        <v>0</v>
      </c>
      <c r="F77" s="64">
        <f ca="1">IFERROR(__xludf.DUMMYFUNCTION("IMPORTRANGE(""https://docs.google.com/spreadsheets/d/1v5sN-00LrXuhBxw4dkh2GrG_z4l5oAqOdJRBCsUyMaM/edit?usp=sharing"",""ตรัง!M791"")"),0)</f>
        <v>0</v>
      </c>
      <c r="G77" s="64">
        <f ca="1">IFERROR(__xludf.DUMMYFUNCTION("IMPORTRANGE(""https://docs.google.com/spreadsheets/d/1v5sN-00LrXuhBxw4dkh2GrG_z4l5oAqOdJRBCsUyMaM/edit?usp=sharing"",""ตรัง!M798"")"),0)</f>
        <v>0</v>
      </c>
      <c r="H77" s="58">
        <f t="shared" ca="1" si="15"/>
        <v>0</v>
      </c>
      <c r="I77" s="59">
        <f t="shared" ca="1" si="1"/>
        <v>0</v>
      </c>
      <c r="J77" s="60">
        <f t="shared" ca="1" si="46"/>
        <v>0</v>
      </c>
      <c r="K77" s="61">
        <f t="shared" ca="1" si="18"/>
        <v>0</v>
      </c>
      <c r="L77" s="61">
        <f t="shared" ca="1" si="19"/>
        <v>0</v>
      </c>
      <c r="M77" s="64">
        <f ca="1">IFERROR(__xludf.DUMMYFUNCTION("IMPORTRANGE(""https://docs.google.com/spreadsheets/d/1v5sN-00LrXuhBxw4dkh2GrG_z4l5oAqOdJRBCsUyMaM/edit?usp=sharing"",""ตรัง!N792"")"),0)</f>
        <v>0</v>
      </c>
      <c r="N77" s="64">
        <f ca="1">IFERROR(__xludf.DUMMYFUNCTION("IMPORTRANGE(""https://docs.google.com/spreadsheets/d/1v5sN-00LrXuhBxw4dkh2GrG_z4l5oAqOdJRBCsUyMaM/edit?usp=sharing"",""ตรัง!N793"")"),0)</f>
        <v>0</v>
      </c>
      <c r="O77" s="64">
        <f ca="1">IFERROR(__xludf.DUMMYFUNCTION("IMPORTRANGE(""https://docs.google.com/spreadsheets/d/1v5sN-00LrXuhBxw4dkh2GrG_z4l5oAqOdJRBCsUyMaM/edit?usp=sharing"",""ตรัง!N794"")"),0)</f>
        <v>0</v>
      </c>
      <c r="P77" s="64">
        <f ca="1">IFERROR(__xludf.DUMMYFUNCTION("IMPORTRANGE(""https://docs.google.com/spreadsheets/d/1v5sN-00LrXuhBxw4dkh2GrG_z4l5oAqOdJRBCsUyMaM/edit?usp=sharing"",""ตรัง!N795"")"),0)</f>
        <v>0</v>
      </c>
      <c r="Q77" s="62">
        <f ca="1">IFERROR(__xludf.DUMMYFUNCTION("IMPORTRANGE(""https://docs.google.com/spreadsheets/d/1v5sN-00LrXuhBxw4dkh2GrG_z4l5oAqOdJRBCsUyMaM/edit?usp=sharing"",""ตรัง!N798"")"),0)</f>
        <v>0</v>
      </c>
      <c r="R77" s="62">
        <f t="shared" ca="1" si="21"/>
        <v>0</v>
      </c>
      <c r="S77" s="57">
        <f ca="1">IFERROR(__xludf.DUMMYFUNCTION("IMPORTRANGE(""https://docs.google.com/spreadsheets/d/1v5sN-00LrXuhBxw4dkh2GrG_z4l5oAqOdJRBCsUyMaM/edit?usp=sharing"",""ตรัง!I785"")"),0)</f>
        <v>0</v>
      </c>
      <c r="T77" s="57">
        <f t="shared" ca="1" si="47"/>
        <v>0</v>
      </c>
      <c r="U77" s="63">
        <f t="shared" ca="1" si="16"/>
        <v>0</v>
      </c>
      <c r="V77" s="57">
        <f ca="1">IFERROR(__xludf.DUMMYFUNCTION("IMPORTRANGE(""https://docs.google.com/spreadsheets/d/1v5sN-00LrXuhBxw4dkh2GrG_z4l5oAqOdJRBCsUyMaM/edit?usp=sharing"",""ตรัง!J801"")"),0)</f>
        <v>0</v>
      </c>
      <c r="W77" s="57">
        <f ca="1">IFERROR(__xludf.DUMMYFUNCTION("IMPORTRANGE(""https://docs.google.com/spreadsheets/d/1v5sN-00LrXuhBxw4dkh2GrG_z4l5oAqOdJRBCsUyMaM/edit?usp=sharing"",""ตรัง!J800"")"),0)</f>
        <v>0</v>
      </c>
      <c r="X77" s="57">
        <f ca="1">IFERROR(__xludf.DUMMYFUNCTION("IMPORTRANGE(""https://docs.google.com/spreadsheets/d/1v5sN-00LrXuhBxw4dkh2GrG_z4l5oAqOdJRBCsUyMaM/edit?usp=sharing"",""ตรัง!J803"")"),0)</f>
        <v>0</v>
      </c>
      <c r="Y77" s="57">
        <f ca="1">IFERROR(__xludf.DUMMYFUNCTION("IMPORTRANGE(""https://docs.google.com/spreadsheets/d/1v5sN-00LrXuhBxw4dkh2GrG_z4l5oAqOdJRBCsUyMaM/edit?usp=sharing"",""ตรัง!J802"")"),0)</f>
        <v>0</v>
      </c>
    </row>
    <row r="78" spans="1:25" ht="21" customHeight="1" x14ac:dyDescent="0.3">
      <c r="A78" s="54">
        <v>4</v>
      </c>
      <c r="B78" s="55" t="s">
        <v>99</v>
      </c>
      <c r="C78" s="56">
        <f t="shared" ca="1" si="45"/>
        <v>0</v>
      </c>
      <c r="D78" s="57">
        <f ca="1">IFERROR(__xludf.DUMMYFUNCTION("IMPORTRANGE(""https://docs.google.com/spreadsheets/d/1T5rRTzFc79aSIvqnzkZNvwPstq829QYz_xALlO1Z0s8/edit?usp=sharing"",""นครศรีธรรมราช!L791"")"),0)</f>
        <v>0</v>
      </c>
      <c r="E78" s="64">
        <f ca="1">IFERROR(__xludf.DUMMYFUNCTION("IMPORTRANGE(""https://docs.google.com/spreadsheets/d/1T5rRTzFc79aSIvqnzkZNvwPstq829QYz_xALlO1Z0s8/edit?usp=sharing"",""นครศรีธรรมราช!L798"")"),0)</f>
        <v>0</v>
      </c>
      <c r="F78" s="64">
        <f ca="1">IFERROR(__xludf.DUMMYFUNCTION("IMPORTRANGE(""https://docs.google.com/spreadsheets/d/1T5rRTzFc79aSIvqnzkZNvwPstq829QYz_xALlO1Z0s8/edit?usp=sharing"",""นครศรีธรรมราช!M791"")"),0)</f>
        <v>0</v>
      </c>
      <c r="G78" s="64">
        <f ca="1">IFERROR(__xludf.DUMMYFUNCTION("IMPORTRANGE(""https://docs.google.com/spreadsheets/d/1T5rRTzFc79aSIvqnzkZNvwPstq829QYz_xALlO1Z0s8/edit?usp=sharing"",""นครศรีธรรมราช!M798"")"),0)</f>
        <v>0</v>
      </c>
      <c r="H78" s="58">
        <f t="shared" ca="1" si="15"/>
        <v>0</v>
      </c>
      <c r="I78" s="59">
        <f t="shared" ca="1" si="1"/>
        <v>0</v>
      </c>
      <c r="J78" s="60">
        <f t="shared" ca="1" si="46"/>
        <v>0</v>
      </c>
      <c r="K78" s="61">
        <f t="shared" ca="1" si="18"/>
        <v>0</v>
      </c>
      <c r="L78" s="61">
        <f t="shared" ca="1" si="19"/>
        <v>0</v>
      </c>
      <c r="M78" s="64">
        <f ca="1">IFERROR(__xludf.DUMMYFUNCTION("IMPORTRANGE(""https://docs.google.com/spreadsheets/d/1T5rRTzFc79aSIvqnzkZNvwPstq829QYz_xALlO1Z0s8/edit?usp=sharing"",""นครศรีธรรมราช!N792"")"),0)</f>
        <v>0</v>
      </c>
      <c r="N78" s="64">
        <f ca="1">IFERROR(__xludf.DUMMYFUNCTION("IMPORTRANGE(""https://docs.google.com/spreadsheets/d/1T5rRTzFc79aSIvqnzkZNvwPstq829QYz_xALlO1Z0s8/edit?usp=sharing"",""นครศรีธรรมราช!N793"")"),0)</f>
        <v>0</v>
      </c>
      <c r="O78" s="64">
        <f ca="1">IFERROR(__xludf.DUMMYFUNCTION("IMPORTRANGE(""https://docs.google.com/spreadsheets/d/1T5rRTzFc79aSIvqnzkZNvwPstq829QYz_xALlO1Z0s8/edit?usp=sharing"",""นครศรีธรรมราช!N794"")"),0)</f>
        <v>0</v>
      </c>
      <c r="P78" s="64">
        <f ca="1">IFERROR(__xludf.DUMMYFUNCTION("IMPORTRANGE(""https://docs.google.com/spreadsheets/d/1T5rRTzFc79aSIvqnzkZNvwPstq829QYz_xALlO1Z0s8/edit?usp=sharing"",""นครศรีธรรมราช!N795"")"),0)</f>
        <v>0</v>
      </c>
      <c r="Q78" s="62">
        <f ca="1">IFERROR(__xludf.DUMMYFUNCTION("IMPORTRANGE(""https://docs.google.com/spreadsheets/d/1T5rRTzFc79aSIvqnzkZNvwPstq829QYz_xALlO1Z0s8/edit?usp=sharing"",""นครศรีธรรมราช!N798"")"),0)</f>
        <v>0</v>
      </c>
      <c r="R78" s="62">
        <f t="shared" ca="1" si="21"/>
        <v>0</v>
      </c>
      <c r="S78" s="57">
        <f ca="1">IFERROR(__xludf.DUMMYFUNCTION("IMPORTRANGE(""https://docs.google.com/spreadsheets/d/1T5rRTzFc79aSIvqnzkZNvwPstq829QYz_xALlO1Z0s8/edit?usp=sharing"",""นครศรีธรรมราช!I785"")"),0)</f>
        <v>0</v>
      </c>
      <c r="T78" s="57">
        <f t="shared" ca="1" si="47"/>
        <v>0</v>
      </c>
      <c r="U78" s="63">
        <f t="shared" ca="1" si="16"/>
        <v>0</v>
      </c>
      <c r="V78" s="57">
        <f ca="1">IFERROR(__xludf.DUMMYFUNCTION("IMPORTRANGE(""https://docs.google.com/spreadsheets/d/1T5rRTzFc79aSIvqnzkZNvwPstq829QYz_xALlO1Z0s8/edit?usp=sharing"",""นครศรีธรรมราช!J801"")"),0)</f>
        <v>0</v>
      </c>
      <c r="W78" s="57">
        <f ca="1">IFERROR(__xludf.DUMMYFUNCTION("IMPORTRANGE(""https://docs.google.com/spreadsheets/d/1T5rRTzFc79aSIvqnzkZNvwPstq829QYz_xALlO1Z0s8/edit?usp=sharing"",""นครศรีธรรมราช!J800"")"),0)</f>
        <v>0</v>
      </c>
      <c r="X78" s="57">
        <f ca="1">IFERROR(__xludf.DUMMYFUNCTION("IMPORTRANGE(""https://docs.google.com/spreadsheets/d/1T5rRTzFc79aSIvqnzkZNvwPstq829QYz_xALlO1Z0s8/edit?usp=sharing"",""นครศรีธรรมราช!J803"")"),0)</f>
        <v>0</v>
      </c>
      <c r="Y78" s="57">
        <f ca="1">IFERROR(__xludf.DUMMYFUNCTION("IMPORTRANGE(""https://docs.google.com/spreadsheets/d/1T5rRTzFc79aSIvqnzkZNvwPstq829QYz_xALlO1Z0s8/edit?usp=sharing"",""นครศรีธรรมราช!J802"")"),0)</f>
        <v>0</v>
      </c>
    </row>
    <row r="79" spans="1:25" ht="21" customHeight="1" x14ac:dyDescent="0.3">
      <c r="A79" s="54">
        <v>5</v>
      </c>
      <c r="B79" s="55" t="s">
        <v>100</v>
      </c>
      <c r="C79" s="56">
        <f t="shared" ca="1" si="45"/>
        <v>0</v>
      </c>
      <c r="D79" s="57">
        <f ca="1">IFERROR(__xludf.DUMMYFUNCTION("IMPORTRANGE(""https://docs.google.com/spreadsheets/d/1BeghqumK0IvCmRd2QOy6_afsZq7ZtAGrSnVJy2u7WmY/edit?usp=sharing"",""นราธิวาส!L791"")"),0)</f>
        <v>0</v>
      </c>
      <c r="E79" s="64">
        <f ca="1">IFERROR(__xludf.DUMMYFUNCTION("IMPORTRANGE(""https://docs.google.com/spreadsheets/d/1BeghqumK0IvCmRd2QOy6_afsZq7ZtAGrSnVJy2u7WmY/edit?usp=sharing"",""นราธิวาส!L798"")"),0)</f>
        <v>0</v>
      </c>
      <c r="F79" s="64">
        <f ca="1">IFERROR(__xludf.DUMMYFUNCTION("IMPORTRANGE(""https://docs.google.com/spreadsheets/d/1BeghqumK0IvCmRd2QOy6_afsZq7ZtAGrSnVJy2u7WmY/edit?usp=sharing"",""นราธิวาส!M791"")"),0)</f>
        <v>0</v>
      </c>
      <c r="G79" s="64">
        <f ca="1">IFERROR(__xludf.DUMMYFUNCTION("IMPORTRANGE(""https://docs.google.com/spreadsheets/d/1BeghqumK0IvCmRd2QOy6_afsZq7ZtAGrSnVJy2u7WmY/edit?usp=sharing"",""นราธิวาส!M798"")"),0)</f>
        <v>0</v>
      </c>
      <c r="H79" s="58">
        <f t="shared" ca="1" si="15"/>
        <v>0</v>
      </c>
      <c r="I79" s="59">
        <f t="shared" ca="1" si="1"/>
        <v>0</v>
      </c>
      <c r="J79" s="60">
        <f t="shared" ca="1" si="46"/>
        <v>0</v>
      </c>
      <c r="K79" s="61">
        <f t="shared" ca="1" si="18"/>
        <v>0</v>
      </c>
      <c r="L79" s="61">
        <f t="shared" ca="1" si="19"/>
        <v>0</v>
      </c>
      <c r="M79" s="64">
        <f ca="1">IFERROR(__xludf.DUMMYFUNCTION("IMPORTRANGE(""https://docs.google.com/spreadsheets/d/1BeghqumK0IvCmRd2QOy6_afsZq7ZtAGrSnVJy2u7WmY/edit?usp=sharing"",""นราธิวาส!N792"")"),0)</f>
        <v>0</v>
      </c>
      <c r="N79" s="64">
        <f ca="1">IFERROR(__xludf.DUMMYFUNCTION("IMPORTRANGE(""https://docs.google.com/spreadsheets/d/1BeghqumK0IvCmRd2QOy6_afsZq7ZtAGrSnVJy2u7WmY/edit?usp=sharing"",""นราธิวาส!N793"")"),0)</f>
        <v>0</v>
      </c>
      <c r="O79" s="64">
        <f ca="1">IFERROR(__xludf.DUMMYFUNCTION("IMPORTRANGE(""https://docs.google.com/spreadsheets/d/1BeghqumK0IvCmRd2QOy6_afsZq7ZtAGrSnVJy2u7WmY/edit?usp=sharing"",""นราธิวาส!N794"")"),0)</f>
        <v>0</v>
      </c>
      <c r="P79" s="64">
        <f ca="1">IFERROR(__xludf.DUMMYFUNCTION("IMPORTRANGE(""https://docs.google.com/spreadsheets/d/1BeghqumK0IvCmRd2QOy6_afsZq7ZtAGrSnVJy2u7WmY/edit?usp=sharing"",""นราธิวาส!N795"")"),0)</f>
        <v>0</v>
      </c>
      <c r="Q79" s="62">
        <f ca="1">IFERROR(__xludf.DUMMYFUNCTION("IMPORTRANGE(""https://docs.google.com/spreadsheets/d/1BeghqumK0IvCmRd2QOy6_afsZq7ZtAGrSnVJy2u7WmY/edit?usp=sharing"",""นราธิวาส!N798"")"),0)</f>
        <v>0</v>
      </c>
      <c r="R79" s="62">
        <f t="shared" ca="1" si="21"/>
        <v>0</v>
      </c>
      <c r="S79" s="57">
        <f ca="1">IFERROR(__xludf.DUMMYFUNCTION("IMPORTRANGE(""https://docs.google.com/spreadsheets/d/1BeghqumK0IvCmRd2QOy6_afsZq7ZtAGrSnVJy2u7WmY/edit?usp=sharing"",""นราธิวาส!I785"")"),0)</f>
        <v>0</v>
      </c>
      <c r="T79" s="57">
        <f t="shared" ca="1" si="47"/>
        <v>0</v>
      </c>
      <c r="U79" s="63">
        <f t="shared" ca="1" si="16"/>
        <v>0</v>
      </c>
      <c r="V79" s="57">
        <f ca="1">IFERROR(__xludf.DUMMYFUNCTION("IMPORTRANGE(""https://docs.google.com/spreadsheets/d/1BeghqumK0IvCmRd2QOy6_afsZq7ZtAGrSnVJy2u7WmY/edit?usp=sharing"",""นราธิวาส!J801"")"),0)</f>
        <v>0</v>
      </c>
      <c r="W79" s="57">
        <f ca="1">IFERROR(__xludf.DUMMYFUNCTION("IMPORTRANGE(""https://docs.google.com/spreadsheets/d/1BeghqumK0IvCmRd2QOy6_afsZq7ZtAGrSnVJy2u7WmY/edit?usp=sharing"",""นราธิวาส!J800"")"),0)</f>
        <v>0</v>
      </c>
      <c r="X79" s="57">
        <f ca="1">IFERROR(__xludf.DUMMYFUNCTION("IMPORTRANGE(""https://docs.google.com/spreadsheets/d/1BeghqumK0IvCmRd2QOy6_afsZq7ZtAGrSnVJy2u7WmY/edit?usp=sharing"",""นราธิวาส!J803"")"),0)</f>
        <v>0</v>
      </c>
      <c r="Y79" s="57">
        <f ca="1">IFERROR(__xludf.DUMMYFUNCTION("IMPORTRANGE(""https://docs.google.com/spreadsheets/d/1BeghqumK0IvCmRd2QOy6_afsZq7ZtAGrSnVJy2u7WmY/edit?usp=sharing"",""นราธิวาส!J802"")"),0)</f>
        <v>0</v>
      </c>
    </row>
    <row r="80" spans="1:25" ht="21" customHeight="1" x14ac:dyDescent="0.3">
      <c r="A80" s="54">
        <v>6</v>
      </c>
      <c r="B80" s="55" t="s">
        <v>101</v>
      </c>
      <c r="C80" s="56">
        <f t="shared" ca="1" si="45"/>
        <v>0</v>
      </c>
      <c r="D80" s="57">
        <f ca="1">IFERROR(__xludf.DUMMYFUNCTION("IMPORTRANGE(""https://docs.google.com/spreadsheets/d/1IwnW3-jjRf74MCLW-6PiFwMUffRQXZwZA7YM609NmRc/edit?usp=sharing"",""ปัตตานี!L791"")"),0)</f>
        <v>0</v>
      </c>
      <c r="E80" s="64">
        <f ca="1">IFERROR(__xludf.DUMMYFUNCTION("IMPORTRANGE(""https://docs.google.com/spreadsheets/d/1IwnW3-jjRf74MCLW-6PiFwMUffRQXZwZA7YM609NmRc/edit?usp=sharing"",""ปัตตานี!L798"")"),0)</f>
        <v>0</v>
      </c>
      <c r="F80" s="64">
        <f ca="1">IFERROR(__xludf.DUMMYFUNCTION("IMPORTRANGE(""https://docs.google.com/spreadsheets/d/1IwnW3-jjRf74MCLW-6PiFwMUffRQXZwZA7YM609NmRc/edit?usp=sharing"",""ปัตตานี!M791"")"),0)</f>
        <v>0</v>
      </c>
      <c r="G80" s="64">
        <f ca="1">IFERROR(__xludf.DUMMYFUNCTION("IMPORTRANGE(""https://docs.google.com/spreadsheets/d/1IwnW3-jjRf74MCLW-6PiFwMUffRQXZwZA7YM609NmRc/edit?usp=sharing"",""ปัตตานี!M798"")"),0)</f>
        <v>0</v>
      </c>
      <c r="H80" s="58">
        <f t="shared" ca="1" si="15"/>
        <v>0</v>
      </c>
      <c r="I80" s="59">
        <f t="shared" ca="1" si="1"/>
        <v>0</v>
      </c>
      <c r="J80" s="60">
        <f t="shared" ca="1" si="46"/>
        <v>0</v>
      </c>
      <c r="K80" s="61">
        <f t="shared" ca="1" si="18"/>
        <v>0</v>
      </c>
      <c r="L80" s="61">
        <f t="shared" ca="1" si="19"/>
        <v>0</v>
      </c>
      <c r="M80" s="64">
        <f ca="1">IFERROR(__xludf.DUMMYFUNCTION("IMPORTRANGE(""https://docs.google.com/spreadsheets/d/1IwnW3-jjRf74MCLW-6PiFwMUffRQXZwZA7YM609NmRc/edit?usp=sharing"",""ปัตตานี!N792"")"),0)</f>
        <v>0</v>
      </c>
      <c r="N80" s="64">
        <f ca="1">IFERROR(__xludf.DUMMYFUNCTION("IMPORTRANGE(""https://docs.google.com/spreadsheets/d/1IwnW3-jjRf74MCLW-6PiFwMUffRQXZwZA7YM609NmRc/edit?usp=sharing"",""ปัตตานี!N793"")"),0)</f>
        <v>0</v>
      </c>
      <c r="O80" s="64">
        <f ca="1">IFERROR(__xludf.DUMMYFUNCTION("IMPORTRANGE(""https://docs.google.com/spreadsheets/d/1IwnW3-jjRf74MCLW-6PiFwMUffRQXZwZA7YM609NmRc/edit?usp=sharing"",""ปัตตานี!N794"")"),0)</f>
        <v>0</v>
      </c>
      <c r="P80" s="64">
        <f ca="1">IFERROR(__xludf.DUMMYFUNCTION("IMPORTRANGE(""https://docs.google.com/spreadsheets/d/1IwnW3-jjRf74MCLW-6PiFwMUffRQXZwZA7YM609NmRc/edit?usp=sharing"",""ปัตตานี!N795"")"),0)</f>
        <v>0</v>
      </c>
      <c r="Q80" s="62">
        <f ca="1">IFERROR(__xludf.DUMMYFUNCTION("IMPORTRANGE(""https://docs.google.com/spreadsheets/d/1IwnW3-jjRf74MCLW-6PiFwMUffRQXZwZA7YM609NmRc/edit?usp=sharing"",""ปัตตานี!N798"")"),0)</f>
        <v>0</v>
      </c>
      <c r="R80" s="62">
        <f t="shared" ca="1" si="21"/>
        <v>0</v>
      </c>
      <c r="S80" s="57">
        <f ca="1">IFERROR(__xludf.DUMMYFUNCTION("IMPORTRANGE(""https://docs.google.com/spreadsheets/d/1IwnW3-jjRf74MCLW-6PiFwMUffRQXZwZA7YM609NmRc/edit?usp=sharing"",""ปัตตานี!I785"")"),0)</f>
        <v>0</v>
      </c>
      <c r="T80" s="57">
        <f t="shared" ca="1" si="47"/>
        <v>0</v>
      </c>
      <c r="U80" s="63">
        <f t="shared" ca="1" si="16"/>
        <v>0</v>
      </c>
      <c r="V80" s="57">
        <f ca="1">IFERROR(__xludf.DUMMYFUNCTION("IMPORTRANGE(""https://docs.google.com/spreadsheets/d/1IwnW3-jjRf74MCLW-6PiFwMUffRQXZwZA7YM609NmRc/edit?usp=sharing"",""ปัตตานี!J801"")"),0)</f>
        <v>0</v>
      </c>
      <c r="W80" s="57">
        <f ca="1">IFERROR(__xludf.DUMMYFUNCTION("IMPORTRANGE(""https://docs.google.com/spreadsheets/d/1IwnW3-jjRf74MCLW-6PiFwMUffRQXZwZA7YM609NmRc/edit?usp=sharing"",""ปัตตานี!J800"")"),0)</f>
        <v>0</v>
      </c>
      <c r="X80" s="57">
        <f ca="1">IFERROR(__xludf.DUMMYFUNCTION("IMPORTRANGE(""https://docs.google.com/spreadsheets/d/1IwnW3-jjRf74MCLW-6PiFwMUffRQXZwZA7YM609NmRc/edit?usp=sharing"",""ปัตตานี!J803"")"),0)</f>
        <v>0</v>
      </c>
      <c r="Y80" s="57">
        <f ca="1">IFERROR(__xludf.DUMMYFUNCTION("IMPORTRANGE(""https://docs.google.com/spreadsheets/d/1IwnW3-jjRf74MCLW-6PiFwMUffRQXZwZA7YM609NmRc/edit?usp=sharing"",""ปัตตานี!J802"")"),0)</f>
        <v>0</v>
      </c>
    </row>
    <row r="81" spans="1:25" ht="21" customHeight="1" x14ac:dyDescent="0.3">
      <c r="A81" s="54">
        <v>7</v>
      </c>
      <c r="B81" s="55" t="s">
        <v>102</v>
      </c>
      <c r="C81" s="56">
        <f t="shared" ca="1" si="45"/>
        <v>0</v>
      </c>
      <c r="D81" s="57">
        <f ca="1">IFERROR(__xludf.DUMMYFUNCTION("IMPORTRANGE(""https://docs.google.com/spreadsheets/d/1vl4QWbWdFruual5o_wdo6ZSqXZ_it806oja4CctTLKs/edit?usp=sharing"",""พังงา!L791"")"),0)</f>
        <v>0</v>
      </c>
      <c r="E81" s="64">
        <f ca="1">IFERROR(__xludf.DUMMYFUNCTION("IMPORTRANGE(""https://docs.google.com/spreadsheets/d/1vl4QWbWdFruual5o_wdo6ZSqXZ_it806oja4CctTLKs/edit?usp=sharing"",""พังงา!L798"")"),0)</f>
        <v>0</v>
      </c>
      <c r="F81" s="64">
        <f ca="1">IFERROR(__xludf.DUMMYFUNCTION("IMPORTRANGE(""https://docs.google.com/spreadsheets/d/1vl4QWbWdFruual5o_wdo6ZSqXZ_it806oja4CctTLKs/edit?usp=sharing"",""พังงา!M791"")"),0)</f>
        <v>0</v>
      </c>
      <c r="G81" s="64">
        <f ca="1">IFERROR(__xludf.DUMMYFUNCTION("IMPORTRANGE(""https://docs.google.com/spreadsheets/d/1vl4QWbWdFruual5o_wdo6ZSqXZ_it806oja4CctTLKs/edit?usp=sharing"",""พังงา!M798"")"),0)</f>
        <v>0</v>
      </c>
      <c r="H81" s="58">
        <f t="shared" ca="1" si="15"/>
        <v>0</v>
      </c>
      <c r="I81" s="59">
        <f t="shared" ca="1" si="1"/>
        <v>0</v>
      </c>
      <c r="J81" s="60">
        <f t="shared" ca="1" si="46"/>
        <v>0</v>
      </c>
      <c r="K81" s="61">
        <f t="shared" ca="1" si="18"/>
        <v>0</v>
      </c>
      <c r="L81" s="61">
        <f t="shared" ca="1" si="19"/>
        <v>0</v>
      </c>
      <c r="M81" s="64">
        <f ca="1">IFERROR(__xludf.DUMMYFUNCTION("IMPORTRANGE(""https://docs.google.com/spreadsheets/d/1vl4QWbWdFruual5o_wdo6ZSqXZ_it806oja4CctTLKs/edit?usp=sharing"",""พังงา!N792"")"),0)</f>
        <v>0</v>
      </c>
      <c r="N81" s="64">
        <f ca="1">IFERROR(__xludf.DUMMYFUNCTION("IMPORTRANGE(""https://docs.google.com/spreadsheets/d/1vl4QWbWdFruual5o_wdo6ZSqXZ_it806oja4CctTLKs/edit?usp=sharing"",""พังงา!N793"")"),0)</f>
        <v>0</v>
      </c>
      <c r="O81" s="64">
        <f ca="1">IFERROR(__xludf.DUMMYFUNCTION("IMPORTRANGE(""https://docs.google.com/spreadsheets/d/1vl4QWbWdFruual5o_wdo6ZSqXZ_it806oja4CctTLKs/edit?usp=sharing"",""พังงา!N794"")"),0)</f>
        <v>0</v>
      </c>
      <c r="P81" s="64">
        <f ca="1">IFERROR(__xludf.DUMMYFUNCTION("IMPORTRANGE(""https://docs.google.com/spreadsheets/d/1vl4QWbWdFruual5o_wdo6ZSqXZ_it806oja4CctTLKs/edit?usp=sharing"",""พังงา!N795"")"),0)</f>
        <v>0</v>
      </c>
      <c r="Q81" s="62">
        <f ca="1">IFERROR(__xludf.DUMMYFUNCTION("IMPORTRANGE(""https://docs.google.com/spreadsheets/d/1vl4QWbWdFruual5o_wdo6ZSqXZ_it806oja4CctTLKs/edit?usp=sharing"",""พังงา!N798"")"),0)</f>
        <v>0</v>
      </c>
      <c r="R81" s="62">
        <f t="shared" ca="1" si="21"/>
        <v>0</v>
      </c>
      <c r="S81" s="57">
        <f ca="1">IFERROR(__xludf.DUMMYFUNCTION("IMPORTRANGE(""https://docs.google.com/spreadsheets/d/1vl4QWbWdFruual5o_wdo6ZSqXZ_it806oja4CctTLKs/edit?usp=sharing"",""พังงา!I785"")"),0)</f>
        <v>0</v>
      </c>
      <c r="T81" s="57">
        <f t="shared" ca="1" si="47"/>
        <v>0</v>
      </c>
      <c r="U81" s="63">
        <f t="shared" ca="1" si="16"/>
        <v>0</v>
      </c>
      <c r="V81" s="57">
        <f ca="1">IFERROR(__xludf.DUMMYFUNCTION("IMPORTRANGE(""https://docs.google.com/spreadsheets/d/1vl4QWbWdFruual5o_wdo6ZSqXZ_it806oja4CctTLKs/edit?usp=sharing"",""พังงา!J801"")"),0)</f>
        <v>0</v>
      </c>
      <c r="W81" s="57">
        <f ca="1">IFERROR(__xludf.DUMMYFUNCTION("IMPORTRANGE(""https://docs.google.com/spreadsheets/d/1vl4QWbWdFruual5o_wdo6ZSqXZ_it806oja4CctTLKs/edit?usp=sharing"",""พังงา!J800"")"),0)</f>
        <v>0</v>
      </c>
      <c r="X81" s="57">
        <f ca="1">IFERROR(__xludf.DUMMYFUNCTION("IMPORTRANGE(""https://docs.google.com/spreadsheets/d/1vl4QWbWdFruual5o_wdo6ZSqXZ_it806oja4CctTLKs/edit?usp=sharing"",""พังงา!J803"")"),0)</f>
        <v>0</v>
      </c>
      <c r="Y81" s="57">
        <f ca="1">IFERROR(__xludf.DUMMYFUNCTION("IMPORTRANGE(""https://docs.google.com/spreadsheets/d/1vl4QWbWdFruual5o_wdo6ZSqXZ_it806oja4CctTLKs/edit?usp=sharing"",""พังงา!J802"")"),0)</f>
        <v>0</v>
      </c>
    </row>
    <row r="82" spans="1:25" ht="21" customHeight="1" x14ac:dyDescent="0.3">
      <c r="A82" s="54">
        <v>8</v>
      </c>
      <c r="B82" s="55" t="s">
        <v>103</v>
      </c>
      <c r="C82" s="56">
        <f t="shared" ca="1" si="45"/>
        <v>0</v>
      </c>
      <c r="D82" s="57">
        <f ca="1">IFERROR(__xludf.DUMMYFUNCTION("IMPORTRANGE(""https://docs.google.com/spreadsheets/d/1b6QssHQp2FoAPSMKHOy273KNzAomaIKhtdlvuZ_zDNE/edit?usp=sharing"",""พัทลุง!L791"")"),0)</f>
        <v>0</v>
      </c>
      <c r="E82" s="64">
        <f ca="1">IFERROR(__xludf.DUMMYFUNCTION("IMPORTRANGE(""https://docs.google.com/spreadsheets/d/1b6QssHQp2FoAPSMKHOy273KNzAomaIKhtdlvuZ_zDNE/edit?usp=sharing"",""พัทลุง!L798"")"),0)</f>
        <v>0</v>
      </c>
      <c r="F82" s="64">
        <f ca="1">IFERROR(__xludf.DUMMYFUNCTION("IMPORTRANGE(""https://docs.google.com/spreadsheets/d/1b6QssHQp2FoAPSMKHOy273KNzAomaIKhtdlvuZ_zDNE/edit?usp=sharing"",""พัทลุง!M791"")"),0)</f>
        <v>0</v>
      </c>
      <c r="G82" s="64">
        <f ca="1">IFERROR(__xludf.DUMMYFUNCTION("IMPORTRANGE(""https://docs.google.com/spreadsheets/d/1b6QssHQp2FoAPSMKHOy273KNzAomaIKhtdlvuZ_zDNE/edit?usp=sharing"",""พัทลุง!M798"")"),0)</f>
        <v>0</v>
      </c>
      <c r="H82" s="58">
        <f t="shared" ca="1" si="15"/>
        <v>0</v>
      </c>
      <c r="I82" s="59">
        <f t="shared" ca="1" si="1"/>
        <v>0</v>
      </c>
      <c r="J82" s="60">
        <f t="shared" ca="1" si="46"/>
        <v>0</v>
      </c>
      <c r="K82" s="61">
        <f t="shared" ca="1" si="18"/>
        <v>0</v>
      </c>
      <c r="L82" s="61">
        <f t="shared" ca="1" si="19"/>
        <v>0</v>
      </c>
      <c r="M82" s="64">
        <f ca="1">IFERROR(__xludf.DUMMYFUNCTION("IMPORTRANGE(""https://docs.google.com/spreadsheets/d/1b6QssHQp2FoAPSMKHOy273KNzAomaIKhtdlvuZ_zDNE/edit?usp=sharing"",""พัทลุง!N792"")"),0)</f>
        <v>0</v>
      </c>
      <c r="N82" s="64">
        <f ca="1">IFERROR(__xludf.DUMMYFUNCTION("IMPORTRANGE(""https://docs.google.com/spreadsheets/d/1b6QssHQp2FoAPSMKHOy273KNzAomaIKhtdlvuZ_zDNE/edit?usp=sharing"",""พัทลุง!N793"")"),0)</f>
        <v>0</v>
      </c>
      <c r="O82" s="64">
        <f ca="1">IFERROR(__xludf.DUMMYFUNCTION("IMPORTRANGE(""https://docs.google.com/spreadsheets/d/1b6QssHQp2FoAPSMKHOy273KNzAomaIKhtdlvuZ_zDNE/edit?usp=sharing"",""พัทลุง!N794"")"),0)</f>
        <v>0</v>
      </c>
      <c r="P82" s="64">
        <f ca="1">IFERROR(__xludf.DUMMYFUNCTION("IMPORTRANGE(""https://docs.google.com/spreadsheets/d/1b6QssHQp2FoAPSMKHOy273KNzAomaIKhtdlvuZ_zDNE/edit?usp=sharing"",""พัทลุง!N795"")"),0)</f>
        <v>0</v>
      </c>
      <c r="Q82" s="62">
        <f ca="1">IFERROR(__xludf.DUMMYFUNCTION("IMPORTRANGE(""https://docs.google.com/spreadsheets/d/1b6QssHQp2FoAPSMKHOy273KNzAomaIKhtdlvuZ_zDNE/edit?usp=sharing"",""พัทลุง!N798"")"),0)</f>
        <v>0</v>
      </c>
      <c r="R82" s="62">
        <f t="shared" ca="1" si="21"/>
        <v>0</v>
      </c>
      <c r="S82" s="57">
        <f ca="1">IFERROR(__xludf.DUMMYFUNCTION("IMPORTRANGE(""https://docs.google.com/spreadsheets/d/1b6QssHQp2FoAPSMKHOy273KNzAomaIKhtdlvuZ_zDNE/edit?usp=sharing"",""พัทลุง!I785"")"),0)</f>
        <v>0</v>
      </c>
      <c r="T82" s="57">
        <f t="shared" ca="1" si="47"/>
        <v>0</v>
      </c>
      <c r="U82" s="63">
        <f t="shared" ca="1" si="16"/>
        <v>0</v>
      </c>
      <c r="V82" s="57">
        <f ca="1">IFERROR(__xludf.DUMMYFUNCTION("IMPORTRANGE(""https://docs.google.com/spreadsheets/d/1b6QssHQp2FoAPSMKHOy273KNzAomaIKhtdlvuZ_zDNE/edit?usp=sharing"",""พัทลุง!J801"")"),0)</f>
        <v>0</v>
      </c>
      <c r="W82" s="57">
        <f ca="1">IFERROR(__xludf.DUMMYFUNCTION("IMPORTRANGE(""https://docs.google.com/spreadsheets/d/1b6QssHQp2FoAPSMKHOy273KNzAomaIKhtdlvuZ_zDNE/edit?usp=sharing"",""พัทลุง!J800"")"),0)</f>
        <v>0</v>
      </c>
      <c r="X82" s="57">
        <f ca="1">IFERROR(__xludf.DUMMYFUNCTION("IMPORTRANGE(""https://docs.google.com/spreadsheets/d/1b6QssHQp2FoAPSMKHOy273KNzAomaIKhtdlvuZ_zDNE/edit?usp=sharing"",""พัทลุง!J803"")"),0)</f>
        <v>0</v>
      </c>
      <c r="Y82" s="57">
        <f ca="1">IFERROR(__xludf.DUMMYFUNCTION("IMPORTRANGE(""https://docs.google.com/spreadsheets/d/1b6QssHQp2FoAPSMKHOy273KNzAomaIKhtdlvuZ_zDNE/edit?usp=sharing"",""พัทลุง!J802"")"),0)</f>
        <v>0</v>
      </c>
    </row>
    <row r="83" spans="1:25" ht="21" customHeight="1" x14ac:dyDescent="0.3">
      <c r="A83" s="54">
        <v>9</v>
      </c>
      <c r="B83" s="55" t="s">
        <v>104</v>
      </c>
      <c r="C83" s="56">
        <f t="shared" ca="1" si="45"/>
        <v>0</v>
      </c>
      <c r="D83" s="57">
        <f ca="1">IFERROR(__xludf.DUMMYFUNCTION("IMPORTRANGE(""https://docs.google.com/spreadsheets/d/1o7UZe4_OqlqtLDHrj01Z2YFRSZDf1DMy1n3XViHaxRc/edit?usp=sharing"",""ภูเก็ต!L791"")"),0)</f>
        <v>0</v>
      </c>
      <c r="E83" s="64">
        <f ca="1">IFERROR(__xludf.DUMMYFUNCTION("IMPORTRANGE(""https://docs.google.com/spreadsheets/d/1o7UZe4_OqlqtLDHrj01Z2YFRSZDf1DMy1n3XViHaxRc/edit?usp=sharing"",""ภูเก็ต!L798"")"),0)</f>
        <v>0</v>
      </c>
      <c r="F83" s="64">
        <f ca="1">IFERROR(__xludf.DUMMYFUNCTION("IMPORTRANGE(""https://docs.google.com/spreadsheets/d/1o7UZe4_OqlqtLDHrj01Z2YFRSZDf1DMy1n3XViHaxRc/edit?usp=sharing"",""ภูเก็ต!M791"")"),0)</f>
        <v>0</v>
      </c>
      <c r="G83" s="64">
        <f ca="1">IFERROR(__xludf.DUMMYFUNCTION("IMPORTRANGE(""https://docs.google.com/spreadsheets/d/1o7UZe4_OqlqtLDHrj01Z2YFRSZDf1DMy1n3XViHaxRc/edit?usp=sharing"",""ภูเก็ต!M798"")"),0)</f>
        <v>0</v>
      </c>
      <c r="H83" s="58">
        <f t="shared" ca="1" si="15"/>
        <v>0</v>
      </c>
      <c r="I83" s="59">
        <f t="shared" ca="1" si="1"/>
        <v>0</v>
      </c>
      <c r="J83" s="60">
        <f t="shared" ca="1" si="46"/>
        <v>0</v>
      </c>
      <c r="K83" s="61">
        <f t="shared" ca="1" si="18"/>
        <v>0</v>
      </c>
      <c r="L83" s="61">
        <f t="shared" ca="1" si="19"/>
        <v>0</v>
      </c>
      <c r="M83" s="64">
        <f ca="1">IFERROR(__xludf.DUMMYFUNCTION("IMPORTRANGE(""https://docs.google.com/spreadsheets/d/1o7UZe4_OqlqtLDHrj01Z2YFRSZDf1DMy1n3XViHaxRc/edit?usp=sharing"",""ภูเก็ต!N792"")"),0)</f>
        <v>0</v>
      </c>
      <c r="N83" s="64">
        <f ca="1">IFERROR(__xludf.DUMMYFUNCTION("IMPORTRANGE(""https://docs.google.com/spreadsheets/d/1o7UZe4_OqlqtLDHrj01Z2YFRSZDf1DMy1n3XViHaxRc/edit?usp=sharing"",""ภูเก็ต!N793"")"),0)</f>
        <v>0</v>
      </c>
      <c r="O83" s="64">
        <f ca="1">IFERROR(__xludf.DUMMYFUNCTION("IMPORTRANGE(""https://docs.google.com/spreadsheets/d/1o7UZe4_OqlqtLDHrj01Z2YFRSZDf1DMy1n3XViHaxRc/edit?usp=sharing"",""ภูเก็ต!N794"")"),0)</f>
        <v>0</v>
      </c>
      <c r="P83" s="64">
        <f ca="1">IFERROR(__xludf.DUMMYFUNCTION("IMPORTRANGE(""https://docs.google.com/spreadsheets/d/1o7UZe4_OqlqtLDHrj01Z2YFRSZDf1DMy1n3XViHaxRc/edit?usp=sharing"",""ภูเก็ต!N795"")"),0)</f>
        <v>0</v>
      </c>
      <c r="Q83" s="62">
        <f ca="1">IFERROR(__xludf.DUMMYFUNCTION("IMPORTRANGE(""https://docs.google.com/spreadsheets/d/1o7UZe4_OqlqtLDHrj01Z2YFRSZDf1DMy1n3XViHaxRc/edit?usp=sharing"",""ภูเก็ต!N798"")"),0)</f>
        <v>0</v>
      </c>
      <c r="R83" s="62">
        <f t="shared" ca="1" si="21"/>
        <v>0</v>
      </c>
      <c r="S83" s="57">
        <f ca="1">IFERROR(__xludf.DUMMYFUNCTION("IMPORTRANGE(""https://docs.google.com/spreadsheets/d/1o7UZe4_OqlqtLDHrj01Z2YFRSZDf1DMy1n3XViHaxRc/edit?usp=sharing"",""ภูเก็ต!I785"")"),0)</f>
        <v>0</v>
      </c>
      <c r="T83" s="57">
        <f t="shared" ca="1" si="47"/>
        <v>0</v>
      </c>
      <c r="U83" s="63">
        <f t="shared" ca="1" si="16"/>
        <v>0</v>
      </c>
      <c r="V83" s="57">
        <f ca="1">IFERROR(__xludf.DUMMYFUNCTION("IMPORTRANGE(""https://docs.google.com/spreadsheets/d/1o7UZe4_OqlqtLDHrj01Z2YFRSZDf1DMy1n3XViHaxRc/edit?usp=sharing"",""ภูเก็ต!J801"")"),0)</f>
        <v>0</v>
      </c>
      <c r="W83" s="57">
        <f ca="1">IFERROR(__xludf.DUMMYFUNCTION("IMPORTRANGE(""https://docs.google.com/spreadsheets/d/1o7UZe4_OqlqtLDHrj01Z2YFRSZDf1DMy1n3XViHaxRc/edit?usp=sharing"",""ภูเก็ต!J800"")"),0)</f>
        <v>0</v>
      </c>
      <c r="X83" s="57">
        <f ca="1">IFERROR(__xludf.DUMMYFUNCTION("IMPORTRANGE(""https://docs.google.com/spreadsheets/d/1o7UZe4_OqlqtLDHrj01Z2YFRSZDf1DMy1n3XViHaxRc/edit?usp=sharing"",""ภูเก็ต!J803"")"),0)</f>
        <v>0</v>
      </c>
      <c r="Y83" s="57">
        <f ca="1">IFERROR(__xludf.DUMMYFUNCTION("IMPORTRANGE(""https://docs.google.com/spreadsheets/d/1o7UZe4_OqlqtLDHrj01Z2YFRSZDf1DMy1n3XViHaxRc/edit?usp=sharing"",""ภูเก็ต!J802"")"),0)</f>
        <v>0</v>
      </c>
    </row>
    <row r="84" spans="1:25" ht="21" customHeight="1" x14ac:dyDescent="0.3">
      <c r="A84" s="54">
        <v>10</v>
      </c>
      <c r="B84" s="55" t="s">
        <v>105</v>
      </c>
      <c r="C84" s="56">
        <f t="shared" ca="1" si="45"/>
        <v>0</v>
      </c>
      <c r="D84" s="57">
        <f ca="1">IFERROR(__xludf.DUMMYFUNCTION("IMPORTRANGE(""https://docs.google.com/spreadsheets/d/1ctPm1vUzcUCPuOj9-eoHUD85PqINFqUB0TjdSWmR5-c/edit?usp=sharing"",""ยะลา!L791"")"),0)</f>
        <v>0</v>
      </c>
      <c r="E84" s="64">
        <f ca="1">IFERROR(__xludf.DUMMYFUNCTION("IMPORTRANGE(""https://docs.google.com/spreadsheets/d/1ctPm1vUzcUCPuOj9-eoHUD85PqINFqUB0TjdSWmR5-c/edit?usp=sharing"",""ยะลา!L798"")"),0)</f>
        <v>0</v>
      </c>
      <c r="F84" s="64">
        <f ca="1">IFERROR(__xludf.DUMMYFUNCTION("IMPORTRANGE(""https://docs.google.com/spreadsheets/d/1ctPm1vUzcUCPuOj9-eoHUD85PqINFqUB0TjdSWmR5-c/edit?usp=sharing"",""ยะลา!M791"")"),0)</f>
        <v>0</v>
      </c>
      <c r="G84" s="64">
        <f ca="1">IFERROR(__xludf.DUMMYFUNCTION("IMPORTRANGE(""https://docs.google.com/spreadsheets/d/1ctPm1vUzcUCPuOj9-eoHUD85PqINFqUB0TjdSWmR5-c/edit?usp=sharing"",""ยะลา!M798"")"),0)</f>
        <v>0</v>
      </c>
      <c r="H84" s="58">
        <f t="shared" ca="1" si="15"/>
        <v>0</v>
      </c>
      <c r="I84" s="59">
        <f t="shared" ca="1" si="1"/>
        <v>0</v>
      </c>
      <c r="J84" s="60">
        <f t="shared" ca="1" si="46"/>
        <v>0</v>
      </c>
      <c r="K84" s="61">
        <f t="shared" ca="1" si="18"/>
        <v>0</v>
      </c>
      <c r="L84" s="61">
        <f t="shared" ca="1" si="19"/>
        <v>0</v>
      </c>
      <c r="M84" s="64">
        <f ca="1">IFERROR(__xludf.DUMMYFUNCTION("IMPORTRANGE(""https://docs.google.com/spreadsheets/d/1ctPm1vUzcUCPuOj9-eoHUD85PqINFqUB0TjdSWmR5-c/edit?usp=sharing"",""ยะลา!N792"")"),0)</f>
        <v>0</v>
      </c>
      <c r="N84" s="64">
        <f ca="1">IFERROR(__xludf.DUMMYFUNCTION("IMPORTRANGE(""https://docs.google.com/spreadsheets/d/1ctPm1vUzcUCPuOj9-eoHUD85PqINFqUB0TjdSWmR5-c/edit?usp=sharing"",""ยะลา!N793"")"),0)</f>
        <v>0</v>
      </c>
      <c r="O84" s="64">
        <f ca="1">IFERROR(__xludf.DUMMYFUNCTION("IMPORTRANGE(""https://docs.google.com/spreadsheets/d/1ctPm1vUzcUCPuOj9-eoHUD85PqINFqUB0TjdSWmR5-c/edit?usp=sharing"",""ยะลา!N794"")"),0)</f>
        <v>0</v>
      </c>
      <c r="P84" s="64">
        <f ca="1">IFERROR(__xludf.DUMMYFUNCTION("IMPORTRANGE(""https://docs.google.com/spreadsheets/d/1ctPm1vUzcUCPuOj9-eoHUD85PqINFqUB0TjdSWmR5-c/edit?usp=sharing"",""ยะลา!N795"")"),0)</f>
        <v>0</v>
      </c>
      <c r="Q84" s="62">
        <f ca="1">IFERROR(__xludf.DUMMYFUNCTION("IMPORTRANGE(""https://docs.google.com/spreadsheets/d/1ctPm1vUzcUCPuOj9-eoHUD85PqINFqUB0TjdSWmR5-c/edit?usp=sharing"",""ยะลา!N798"")"),0)</f>
        <v>0</v>
      </c>
      <c r="R84" s="62">
        <f t="shared" ca="1" si="21"/>
        <v>0</v>
      </c>
      <c r="S84" s="57">
        <f ca="1">IFERROR(__xludf.DUMMYFUNCTION("IMPORTRANGE(""https://docs.google.com/spreadsheets/d/1ctPm1vUzcUCPuOj9-eoHUD85PqINFqUB0TjdSWmR5-c/edit?usp=sharing"",""ยะลา!I785"")"),0)</f>
        <v>0</v>
      </c>
      <c r="T84" s="57">
        <f t="shared" ca="1" si="47"/>
        <v>0</v>
      </c>
      <c r="U84" s="63">
        <f t="shared" ca="1" si="16"/>
        <v>0</v>
      </c>
      <c r="V84" s="57">
        <f ca="1">IFERROR(__xludf.DUMMYFUNCTION("IMPORTRANGE(""https://docs.google.com/spreadsheets/d/1ctPm1vUzcUCPuOj9-eoHUD85PqINFqUB0TjdSWmR5-c/edit?usp=sharing"",""ยะลา!J801"")"),0)</f>
        <v>0</v>
      </c>
      <c r="W84" s="57">
        <f ca="1">IFERROR(__xludf.DUMMYFUNCTION("IMPORTRANGE(""https://docs.google.com/spreadsheets/d/1ctPm1vUzcUCPuOj9-eoHUD85PqINFqUB0TjdSWmR5-c/edit?usp=sharing"",""ยะลา!J800"")"),0)</f>
        <v>0</v>
      </c>
      <c r="X84" s="57">
        <f ca="1">IFERROR(__xludf.DUMMYFUNCTION("IMPORTRANGE(""https://docs.google.com/spreadsheets/d/1ctPm1vUzcUCPuOj9-eoHUD85PqINFqUB0TjdSWmR5-c/edit?usp=sharing"",""ยะลา!J803"")"),0)</f>
        <v>0</v>
      </c>
      <c r="Y84" s="57">
        <f ca="1">IFERROR(__xludf.DUMMYFUNCTION("IMPORTRANGE(""https://docs.google.com/spreadsheets/d/1ctPm1vUzcUCPuOj9-eoHUD85PqINFqUB0TjdSWmR5-c/edit?usp=sharing"",""ยะลา!J802"")"),0)</f>
        <v>0</v>
      </c>
    </row>
    <row r="85" spans="1:25" ht="21" customHeight="1" x14ac:dyDescent="0.3">
      <c r="A85" s="54">
        <v>11</v>
      </c>
      <c r="B85" s="55" t="s">
        <v>106</v>
      </c>
      <c r="C85" s="56">
        <f t="shared" ca="1" si="45"/>
        <v>0</v>
      </c>
      <c r="D85" s="57">
        <f ca="1">IFERROR(__xludf.DUMMYFUNCTION("IMPORTRANGE(""https://docs.google.com/spreadsheets/d/1YiDIE7Klmt8osgdapRqYWNr7iPGFSsiJqq46S7PYRE0/edit?usp=sharing"",""ระนอง!L791"")"),0)</f>
        <v>0</v>
      </c>
      <c r="E85" s="64">
        <f ca="1">IFERROR(__xludf.DUMMYFUNCTION("IMPORTRANGE(""https://docs.google.com/spreadsheets/d/1YiDIE7Klmt8osgdapRqYWNr7iPGFSsiJqq46S7PYRE0/edit?usp=sharing"",""ระนอง!L798"")"),0)</f>
        <v>0</v>
      </c>
      <c r="F85" s="64">
        <f ca="1">IFERROR(__xludf.DUMMYFUNCTION("IMPORTRANGE(""https://docs.google.com/spreadsheets/d/1YiDIE7Klmt8osgdapRqYWNr7iPGFSsiJqq46S7PYRE0/edit?usp=sharing"",""ระนอง!M791"")"),0)</f>
        <v>0</v>
      </c>
      <c r="G85" s="64">
        <f ca="1">IFERROR(__xludf.DUMMYFUNCTION("IMPORTRANGE(""https://docs.google.com/spreadsheets/d/1YiDIE7Klmt8osgdapRqYWNr7iPGFSsiJqq46S7PYRE0/edit?usp=sharing"",""ระนอง!M798"")"),0)</f>
        <v>0</v>
      </c>
      <c r="H85" s="58">
        <f t="shared" ca="1" si="15"/>
        <v>0</v>
      </c>
      <c r="I85" s="59">
        <f t="shared" ca="1" si="1"/>
        <v>0</v>
      </c>
      <c r="J85" s="60">
        <f t="shared" ca="1" si="46"/>
        <v>0</v>
      </c>
      <c r="K85" s="61">
        <f t="shared" ca="1" si="18"/>
        <v>0</v>
      </c>
      <c r="L85" s="61">
        <f t="shared" ca="1" si="19"/>
        <v>0</v>
      </c>
      <c r="M85" s="64">
        <f ca="1">IFERROR(__xludf.DUMMYFUNCTION("IMPORTRANGE(""https://docs.google.com/spreadsheets/d/1YiDIE7Klmt8osgdapRqYWNr7iPGFSsiJqq46S7PYRE0/edit?usp=sharing"",""ระนอง!N792"")"),0)</f>
        <v>0</v>
      </c>
      <c r="N85" s="64">
        <f ca="1">IFERROR(__xludf.DUMMYFUNCTION("IMPORTRANGE(""https://docs.google.com/spreadsheets/d/1YiDIE7Klmt8osgdapRqYWNr7iPGFSsiJqq46S7PYRE0/edit?usp=sharing"",""ระนอง!N793"")"),0)</f>
        <v>0</v>
      </c>
      <c r="O85" s="64">
        <f ca="1">IFERROR(__xludf.DUMMYFUNCTION("IMPORTRANGE(""https://docs.google.com/spreadsheets/d/1YiDIE7Klmt8osgdapRqYWNr7iPGFSsiJqq46S7PYRE0/edit?usp=sharing"",""ระนอง!N794"")"),0)</f>
        <v>0</v>
      </c>
      <c r="P85" s="64">
        <f ca="1">IFERROR(__xludf.DUMMYFUNCTION("IMPORTRANGE(""https://docs.google.com/spreadsheets/d/1YiDIE7Klmt8osgdapRqYWNr7iPGFSsiJqq46S7PYRE0/edit?usp=sharing"",""ระนอง!N795"")"),0)</f>
        <v>0</v>
      </c>
      <c r="Q85" s="62">
        <f ca="1">IFERROR(__xludf.DUMMYFUNCTION("IMPORTRANGE(""https://docs.google.com/spreadsheets/d/1YiDIE7Klmt8osgdapRqYWNr7iPGFSsiJqq46S7PYRE0/edit?usp=sharing"",""ระนอง!N798"")"),0)</f>
        <v>0</v>
      </c>
      <c r="R85" s="62">
        <f t="shared" ca="1" si="21"/>
        <v>0</v>
      </c>
      <c r="S85" s="57">
        <f ca="1">IFERROR(__xludf.DUMMYFUNCTION("IMPORTRANGE(""https://docs.google.com/spreadsheets/d/1YiDIE7Klmt8osgdapRqYWNr7iPGFSsiJqq46S7PYRE0/edit?usp=sharing"",""ระนอง!I785"")"),0)</f>
        <v>0</v>
      </c>
      <c r="T85" s="57">
        <f t="shared" ca="1" si="47"/>
        <v>0</v>
      </c>
      <c r="U85" s="63">
        <f t="shared" ca="1" si="16"/>
        <v>0</v>
      </c>
      <c r="V85" s="57">
        <f ca="1">IFERROR(__xludf.DUMMYFUNCTION("IMPORTRANGE(""https://docs.google.com/spreadsheets/d/1YiDIE7Klmt8osgdapRqYWNr7iPGFSsiJqq46S7PYRE0/edit?usp=sharing"",""ระนอง!J801"")"),0)</f>
        <v>0</v>
      </c>
      <c r="W85" s="57">
        <f ca="1">IFERROR(__xludf.DUMMYFUNCTION("IMPORTRANGE(""https://docs.google.com/spreadsheets/d/1YiDIE7Klmt8osgdapRqYWNr7iPGFSsiJqq46S7PYRE0/edit?usp=sharing"",""ระนอง!J800"")"),0)</f>
        <v>0</v>
      </c>
      <c r="X85" s="57">
        <f ca="1">IFERROR(__xludf.DUMMYFUNCTION("IMPORTRANGE(""https://docs.google.com/spreadsheets/d/1YiDIE7Klmt8osgdapRqYWNr7iPGFSsiJqq46S7PYRE0/edit?usp=sharing"",""ระนอง!J803"")"),0)</f>
        <v>0</v>
      </c>
      <c r="Y85" s="57">
        <f ca="1">IFERROR(__xludf.DUMMYFUNCTION("IMPORTRANGE(""https://docs.google.com/spreadsheets/d/1YiDIE7Klmt8osgdapRqYWNr7iPGFSsiJqq46S7PYRE0/edit?usp=sharing"",""ระนอง!J802"")"),0)</f>
        <v>0</v>
      </c>
    </row>
    <row r="86" spans="1:25" ht="24" customHeight="1" x14ac:dyDescent="0.3">
      <c r="A86" s="54">
        <v>12</v>
      </c>
      <c r="B86" s="55" t="s">
        <v>107</v>
      </c>
      <c r="C86" s="56">
        <f t="shared" ca="1" si="45"/>
        <v>0</v>
      </c>
      <c r="D86" s="57">
        <f ca="1">IFERROR(__xludf.DUMMYFUNCTION("IMPORTRANGE(""https://docs.google.com/spreadsheets/d/16o_4B-V7AWw_6E93bSpXj_XxVv1oVQctk-B6z1dNEWU/edit?usp=sharing"",""สงขลา!L791"")"),0)</f>
        <v>0</v>
      </c>
      <c r="E86" s="64">
        <f ca="1">IFERROR(__xludf.DUMMYFUNCTION("IMPORTRANGE(""https://docs.google.com/spreadsheets/d/16o_4B-V7AWw_6E93bSpXj_XxVv1oVQctk-B6z1dNEWU/edit?usp=sharing"",""สงขลา!L798"")"),0)</f>
        <v>0</v>
      </c>
      <c r="F86" s="64">
        <f ca="1">IFERROR(__xludf.DUMMYFUNCTION("IMPORTRANGE(""https://docs.google.com/spreadsheets/d/16o_4B-V7AWw_6E93bSpXj_XxVv1oVQctk-B6z1dNEWU/edit?usp=sharing"",""สงขลา!M791"")"),0)</f>
        <v>0</v>
      </c>
      <c r="G86" s="64">
        <f ca="1">IFERROR(__xludf.DUMMYFUNCTION("IMPORTRANGE(""https://docs.google.com/spreadsheets/d/16o_4B-V7AWw_6E93bSpXj_XxVv1oVQctk-B6z1dNEWU/edit?usp=sharing"",""สงขลา!M798"")"),0)</f>
        <v>0</v>
      </c>
      <c r="H86" s="58">
        <f t="shared" ca="1" si="15"/>
        <v>0</v>
      </c>
      <c r="I86" s="59">
        <f t="shared" ca="1" si="1"/>
        <v>0</v>
      </c>
      <c r="J86" s="60">
        <f t="shared" ca="1" si="46"/>
        <v>0</v>
      </c>
      <c r="K86" s="61">
        <f t="shared" ca="1" si="18"/>
        <v>0</v>
      </c>
      <c r="L86" s="61">
        <f t="shared" ca="1" si="19"/>
        <v>0</v>
      </c>
      <c r="M86" s="64">
        <f ca="1">IFERROR(__xludf.DUMMYFUNCTION("IMPORTRANGE(""https://docs.google.com/spreadsheets/d/16o_4B-V7AWw_6E93bSpXj_XxVv1oVQctk-B6z1dNEWU/edit?usp=sharing"",""สงขลา!N792"")"),0)</f>
        <v>0</v>
      </c>
      <c r="N86" s="64">
        <f ca="1">IFERROR(__xludf.DUMMYFUNCTION("IMPORTRANGE(""https://docs.google.com/spreadsheets/d/16o_4B-V7AWw_6E93bSpXj_XxVv1oVQctk-B6z1dNEWU/edit?usp=sharing"",""สงขลา!N793"")"),0)</f>
        <v>0</v>
      </c>
      <c r="O86" s="64">
        <f ca="1">IFERROR(__xludf.DUMMYFUNCTION("IMPORTRANGE(""https://docs.google.com/spreadsheets/d/16o_4B-V7AWw_6E93bSpXj_XxVv1oVQctk-B6z1dNEWU/edit?usp=sharing"",""สงขลา!N794"")"),0)</f>
        <v>0</v>
      </c>
      <c r="P86" s="64">
        <f ca="1">IFERROR(__xludf.DUMMYFUNCTION("IMPORTRANGE(""https://docs.google.com/spreadsheets/d/16o_4B-V7AWw_6E93bSpXj_XxVv1oVQctk-B6z1dNEWU/edit?usp=sharing"",""สงขลา!N795"")"),0)</f>
        <v>0</v>
      </c>
      <c r="Q86" s="62">
        <f ca="1">IFERROR(__xludf.DUMMYFUNCTION("IMPORTRANGE(""https://docs.google.com/spreadsheets/d/16o_4B-V7AWw_6E93bSpXj_XxVv1oVQctk-B6z1dNEWU/edit?usp=sharing"",""สงขลา!N798"")"),0)</f>
        <v>0</v>
      </c>
      <c r="R86" s="62">
        <f t="shared" ca="1" si="21"/>
        <v>0</v>
      </c>
      <c r="S86" s="57">
        <f ca="1">IFERROR(__xludf.DUMMYFUNCTION("IMPORTRANGE(""https://docs.google.com/spreadsheets/d/16o_4B-V7AWw_6E93bSpXj_XxVv1oVQctk-B6z1dNEWU/edit?usp=sharing"",""สงขลา!I785"")"),0)</f>
        <v>0</v>
      </c>
      <c r="T86" s="57">
        <f t="shared" ca="1" si="47"/>
        <v>0</v>
      </c>
      <c r="U86" s="63">
        <f t="shared" ca="1" si="16"/>
        <v>0</v>
      </c>
      <c r="V86" s="57">
        <f ca="1">IFERROR(__xludf.DUMMYFUNCTION("IMPORTRANGE(""https://docs.google.com/spreadsheets/d/16o_4B-V7AWw_6E93bSpXj_XxVv1oVQctk-B6z1dNEWU/edit?usp=sharing"",""สงขลา!J801"")"),0)</f>
        <v>0</v>
      </c>
      <c r="W86" s="57">
        <f ca="1">IFERROR(__xludf.DUMMYFUNCTION("IMPORTRANGE(""https://docs.google.com/spreadsheets/d/16o_4B-V7AWw_6E93bSpXj_XxVv1oVQctk-B6z1dNEWU/edit?usp=sharing"",""สงขลา!J800"")"),0)</f>
        <v>0</v>
      </c>
      <c r="X86" s="57">
        <f ca="1">IFERROR(__xludf.DUMMYFUNCTION("IMPORTRANGE(""https://docs.google.com/spreadsheets/d/16o_4B-V7AWw_6E93bSpXj_XxVv1oVQctk-B6z1dNEWU/edit?usp=sharing"",""สงขลา!J803"")"),0)</f>
        <v>0</v>
      </c>
      <c r="Y86" s="57">
        <f ca="1">IFERROR(__xludf.DUMMYFUNCTION("IMPORTRANGE(""https://docs.google.com/spreadsheets/d/16o_4B-V7AWw_6E93bSpXj_XxVv1oVQctk-B6z1dNEWU/edit?usp=sharing"",""สงขลา!J802"")"),0)</f>
        <v>0</v>
      </c>
    </row>
    <row r="87" spans="1:25" ht="24" customHeight="1" x14ac:dyDescent="0.3">
      <c r="A87" s="54">
        <v>13</v>
      </c>
      <c r="B87" s="55" t="s">
        <v>108</v>
      </c>
      <c r="C87" s="56">
        <f t="shared" ca="1" si="45"/>
        <v>0</v>
      </c>
      <c r="D87" s="57">
        <f ca="1">IFERROR(__xludf.DUMMYFUNCTION("IMPORTRANGE(""https://docs.google.com/spreadsheets/d/16cywr71Fj4fA5OGRHsZh30ZG2gwJhMAQv69oVBzYHv0/edit?usp=sharing"",""สตูล!L791"")"),0)</f>
        <v>0</v>
      </c>
      <c r="E87" s="64">
        <f ca="1">IFERROR(__xludf.DUMMYFUNCTION("IMPORTRANGE(""https://docs.google.com/spreadsheets/d/16cywr71Fj4fA5OGRHsZh30ZG2gwJhMAQv69oVBzYHv0/edit?usp=sharing"",""สตูล!L798"")"),0)</f>
        <v>0</v>
      </c>
      <c r="F87" s="64">
        <f ca="1">IFERROR(__xludf.DUMMYFUNCTION("IMPORTRANGE(""https://docs.google.com/spreadsheets/d/16cywr71Fj4fA5OGRHsZh30ZG2gwJhMAQv69oVBzYHv0/edit?usp=sharing"",""สตูล!M791"")"),0)</f>
        <v>0</v>
      </c>
      <c r="G87" s="64">
        <f ca="1">IFERROR(__xludf.DUMMYFUNCTION("IMPORTRANGE(""https://docs.google.com/spreadsheets/d/16cywr71Fj4fA5OGRHsZh30ZG2gwJhMAQv69oVBzYHv0/edit?usp=sharing"",""สตูล!M798"")"),0)</f>
        <v>0</v>
      </c>
      <c r="H87" s="58">
        <f t="shared" ca="1" si="15"/>
        <v>0</v>
      </c>
      <c r="I87" s="59">
        <f t="shared" ca="1" si="1"/>
        <v>0</v>
      </c>
      <c r="J87" s="60">
        <f t="shared" ca="1" si="46"/>
        <v>0</v>
      </c>
      <c r="K87" s="61">
        <f t="shared" ca="1" si="18"/>
        <v>0</v>
      </c>
      <c r="L87" s="61">
        <f t="shared" ca="1" si="19"/>
        <v>0</v>
      </c>
      <c r="M87" s="64">
        <f ca="1">IFERROR(__xludf.DUMMYFUNCTION("IMPORTRANGE(""https://docs.google.com/spreadsheets/d/16cywr71Fj4fA5OGRHsZh30ZG2gwJhMAQv69oVBzYHv0/edit?usp=sharing"",""สตูล!N792"")"),0)</f>
        <v>0</v>
      </c>
      <c r="N87" s="64">
        <f ca="1">IFERROR(__xludf.DUMMYFUNCTION("IMPORTRANGE(""https://docs.google.com/spreadsheets/d/16cywr71Fj4fA5OGRHsZh30ZG2gwJhMAQv69oVBzYHv0/edit?usp=sharing"",""สตูล!N793"")"),0)</f>
        <v>0</v>
      </c>
      <c r="O87" s="64">
        <f ca="1">IFERROR(__xludf.DUMMYFUNCTION("IMPORTRANGE(""https://docs.google.com/spreadsheets/d/16cywr71Fj4fA5OGRHsZh30ZG2gwJhMAQv69oVBzYHv0/edit?usp=sharing"",""สตูล!N794"")"),0)</f>
        <v>0</v>
      </c>
      <c r="P87" s="64">
        <f ca="1">IFERROR(__xludf.DUMMYFUNCTION("IMPORTRANGE(""https://docs.google.com/spreadsheets/d/16cywr71Fj4fA5OGRHsZh30ZG2gwJhMAQv69oVBzYHv0/edit?usp=sharing"",""สตูล!N795"")"),0)</f>
        <v>0</v>
      </c>
      <c r="Q87" s="62">
        <f ca="1">IFERROR(__xludf.DUMMYFUNCTION("IMPORTRANGE(""https://docs.google.com/spreadsheets/d/16cywr71Fj4fA5OGRHsZh30ZG2gwJhMAQv69oVBzYHv0/edit?usp=sharing"",""สตูล!N798"")"),0)</f>
        <v>0</v>
      </c>
      <c r="R87" s="62">
        <f t="shared" ca="1" si="21"/>
        <v>0</v>
      </c>
      <c r="S87" s="57">
        <f ca="1">IFERROR(__xludf.DUMMYFUNCTION("IMPORTRANGE(""https://docs.google.com/spreadsheets/d/16cywr71Fj4fA5OGRHsZh30ZG2gwJhMAQv69oVBzYHv0/edit?usp=sharing"",""สตูล!I785"")"),0)</f>
        <v>0</v>
      </c>
      <c r="T87" s="57">
        <f t="shared" ca="1" si="47"/>
        <v>0</v>
      </c>
      <c r="U87" s="63">
        <f t="shared" ca="1" si="16"/>
        <v>0</v>
      </c>
      <c r="V87" s="57">
        <f ca="1">IFERROR(__xludf.DUMMYFUNCTION("IMPORTRANGE(""https://docs.google.com/spreadsheets/d/16cywr71Fj4fA5OGRHsZh30ZG2gwJhMAQv69oVBzYHv0/edit?usp=sharing"",""สตูล!J801"")"),0)</f>
        <v>0</v>
      </c>
      <c r="W87" s="57">
        <f ca="1">IFERROR(__xludf.DUMMYFUNCTION("IMPORTRANGE(""https://docs.google.com/spreadsheets/d/16cywr71Fj4fA5OGRHsZh30ZG2gwJhMAQv69oVBzYHv0/edit?usp=sharing"",""สตูล!J800"")"),0)</f>
        <v>0</v>
      </c>
      <c r="X87" s="57">
        <f ca="1">IFERROR(__xludf.DUMMYFUNCTION("IMPORTRANGE(""https://docs.google.com/spreadsheets/d/16cywr71Fj4fA5OGRHsZh30ZG2gwJhMAQv69oVBzYHv0/edit?usp=sharing"",""สตูล!J803"")"),0)</f>
        <v>0</v>
      </c>
      <c r="Y87" s="57">
        <f ca="1">IFERROR(__xludf.DUMMYFUNCTION("IMPORTRANGE(""https://docs.google.com/spreadsheets/d/16cywr71Fj4fA5OGRHsZh30ZG2gwJhMAQv69oVBzYHv0/edit?usp=sharing"",""สตูล!J802"")"),0)</f>
        <v>0</v>
      </c>
    </row>
    <row r="88" spans="1:25" ht="24" customHeight="1" x14ac:dyDescent="0.3">
      <c r="A88" s="65">
        <v>14</v>
      </c>
      <c r="B88" s="66" t="s">
        <v>109</v>
      </c>
      <c r="C88" s="67">
        <f t="shared" ca="1" si="45"/>
        <v>0</v>
      </c>
      <c r="D88" s="68">
        <f ca="1">IFERROR(__xludf.DUMMYFUNCTION("IMPORTRANGE(""https://docs.google.com/spreadsheets/d/1vO9Sws6kMtrVtyvrAJptINXjK8TFBoX9xLYOVK_C8bQ/edit?usp=sharing"",""สุราษฎร์ธานี!L791"")"),0)</f>
        <v>0</v>
      </c>
      <c r="E88" s="69">
        <f ca="1">IFERROR(__xludf.DUMMYFUNCTION("IMPORTRANGE(""https://docs.google.com/spreadsheets/d/1vO9Sws6kMtrVtyvrAJptINXjK8TFBoX9xLYOVK_C8bQ/edit?usp=sharing"",""สุราษฎร์ธานี!L798"")"),0)</f>
        <v>0</v>
      </c>
      <c r="F88" s="69">
        <f ca="1">IFERROR(__xludf.DUMMYFUNCTION("IMPORTRANGE(""https://docs.google.com/spreadsheets/d/1vO9Sws6kMtrVtyvrAJptINXjK8TFBoX9xLYOVK_C8bQ/edit?usp=sharing"",""สุราษฎร์ธานี!M791"")"),0)</f>
        <v>0</v>
      </c>
      <c r="G88" s="69">
        <f ca="1">IFERROR(__xludf.DUMMYFUNCTION("IMPORTRANGE(""https://docs.google.com/spreadsheets/d/1vO9Sws6kMtrVtyvrAJptINXjK8TFBoX9xLYOVK_C8bQ/edit?usp=sharing"",""สุราษฎร์ธานี!M798"")"),0)</f>
        <v>0</v>
      </c>
      <c r="H88" s="70">
        <f t="shared" ca="1" si="15"/>
        <v>0</v>
      </c>
      <c r="I88" s="71">
        <f t="shared" ca="1" si="1"/>
        <v>0</v>
      </c>
      <c r="J88" s="72">
        <f t="shared" ca="1" si="46"/>
        <v>0</v>
      </c>
      <c r="K88" s="73">
        <f t="shared" ca="1" si="18"/>
        <v>0</v>
      </c>
      <c r="L88" s="73">
        <f t="shared" ca="1" si="19"/>
        <v>0</v>
      </c>
      <c r="M88" s="69">
        <f ca="1">IFERROR(__xludf.DUMMYFUNCTION("IMPORTRANGE(""https://docs.google.com/spreadsheets/d/1vO9Sws6kMtrVtyvrAJptINXjK8TFBoX9xLYOVK_C8bQ/edit?usp=sharing"",""สุราษฎร์ธานี!N792"")"),0)</f>
        <v>0</v>
      </c>
      <c r="N88" s="69">
        <f ca="1">IFERROR(__xludf.DUMMYFUNCTION("IMPORTRANGE(""https://docs.google.com/spreadsheets/d/1vO9Sws6kMtrVtyvrAJptINXjK8TFBoX9xLYOVK_C8bQ/edit?usp=sharing"",""สุราษฎร์ธานี!N793"")"),0)</f>
        <v>0</v>
      </c>
      <c r="O88" s="69">
        <f ca="1">IFERROR(__xludf.DUMMYFUNCTION("IMPORTRANGE(""https://docs.google.com/spreadsheets/d/1vO9Sws6kMtrVtyvrAJptINXjK8TFBoX9xLYOVK_C8bQ/edit?usp=sharing"",""สุราษฎร์ธานี!N794"")"),0)</f>
        <v>0</v>
      </c>
      <c r="P88" s="69">
        <f ca="1">IFERROR(__xludf.DUMMYFUNCTION("IMPORTRANGE(""https://docs.google.com/spreadsheets/d/1vO9Sws6kMtrVtyvrAJptINXjK8TFBoX9xLYOVK_C8bQ/edit?usp=sharing"",""สุราษฎร์ธานี!N795"")"),0)</f>
        <v>0</v>
      </c>
      <c r="Q88" s="74">
        <f ca="1">IFERROR(__xludf.DUMMYFUNCTION("IMPORTRANGE(""https://docs.google.com/spreadsheets/d/1vO9Sws6kMtrVtyvrAJptINXjK8TFBoX9xLYOVK_C8bQ/edit?usp=sharing"",""สุราษฎร์ธานี!N798"")"),0)</f>
        <v>0</v>
      </c>
      <c r="R88" s="74">
        <f t="shared" ca="1" si="21"/>
        <v>0</v>
      </c>
      <c r="S88" s="68">
        <f ca="1">IFERROR(__xludf.DUMMYFUNCTION("IMPORTRANGE(""https://docs.google.com/spreadsheets/d/1vO9Sws6kMtrVtyvrAJptINXjK8TFBoX9xLYOVK_C8bQ/edit?usp=sharing"",""สุราษฎร์ธานี!I785"")"),0)</f>
        <v>0</v>
      </c>
      <c r="T88" s="68">
        <f t="shared" ca="1" si="47"/>
        <v>0</v>
      </c>
      <c r="U88" s="75">
        <f t="shared" ca="1" si="16"/>
        <v>0</v>
      </c>
      <c r="V88" s="68">
        <f ca="1">IFERROR(__xludf.DUMMYFUNCTION("IMPORTRANGE(""https://docs.google.com/spreadsheets/d/1vO9Sws6kMtrVtyvrAJptINXjK8TFBoX9xLYOVK_C8bQ/edit?usp=sharing"",""สุราษฎร์ธานี!J801"")"),0)</f>
        <v>0</v>
      </c>
      <c r="W88" s="68">
        <f ca="1">IFERROR(__xludf.DUMMYFUNCTION("IMPORTRANGE(""https://docs.google.com/spreadsheets/d/1vO9Sws6kMtrVtyvrAJptINXjK8TFBoX9xLYOVK_C8bQ/edit?usp=sharing"",""สุราษฎร์ธานี!J800"")"),0)</f>
        <v>0</v>
      </c>
      <c r="X88" s="68">
        <f ca="1">IFERROR(__xludf.DUMMYFUNCTION("IMPORTRANGE(""https://docs.google.com/spreadsheets/d/1vO9Sws6kMtrVtyvrAJptINXjK8TFBoX9xLYOVK_C8bQ/edit?usp=sharing"",""สุราษฎร์ธานี!J803"")"),0)</f>
        <v>0</v>
      </c>
      <c r="Y88" s="68">
        <f ca="1">IFERROR(__xludf.DUMMYFUNCTION("IMPORTRANGE(""https://docs.google.com/spreadsheets/d/1vO9Sws6kMtrVtyvrAJptINXjK8TFBoX9xLYOVK_C8bQ/edit?usp=sharing"",""สุราษฎร์ธานี!J802"")"),0)</f>
        <v>0</v>
      </c>
    </row>
    <row r="89" spans="1:25" ht="21" hidden="1" customHeight="1" x14ac:dyDescent="0.3">
      <c r="A89" s="187" t="s">
        <v>110</v>
      </c>
      <c r="B89" s="178"/>
      <c r="C89" s="77">
        <f>+C90+C91+C92+C93+C94+C95+C96+C97+C98+C99+C100+C101+C102+C103</f>
        <v>0</v>
      </c>
      <c r="D89" s="43"/>
      <c r="E89" s="43"/>
      <c r="F89" s="43"/>
      <c r="G89" s="43"/>
      <c r="H89" s="40">
        <f t="shared" si="15"/>
        <v>0</v>
      </c>
      <c r="I89" s="41">
        <f t="shared" si="1"/>
        <v>0</v>
      </c>
      <c r="J89" s="40">
        <f>+J90+J91+J92+J93+J94+J95+J96+J97+J98+J99+J100+J101+J102+J103</f>
        <v>0</v>
      </c>
      <c r="K89" s="43"/>
      <c r="L89" s="43"/>
      <c r="M89" s="43"/>
      <c r="N89" s="43"/>
      <c r="O89" s="43"/>
      <c r="P89" s="43"/>
      <c r="Q89" s="78"/>
      <c r="R89" s="78">
        <f t="shared" si="21"/>
        <v>0</v>
      </c>
      <c r="S89" s="43"/>
      <c r="T89" s="43"/>
      <c r="U89" s="44"/>
      <c r="V89" s="43"/>
      <c r="W89" s="43"/>
      <c r="X89" s="43"/>
      <c r="Y89" s="43"/>
    </row>
    <row r="90" spans="1:25" ht="24" hidden="1" customHeight="1" x14ac:dyDescent="0.3">
      <c r="A90" s="54">
        <v>1</v>
      </c>
      <c r="B90" s="55" t="s">
        <v>111</v>
      </c>
      <c r="C90" s="56">
        <f t="shared" ref="C90:C103" si="48">D90+E90</f>
        <v>0</v>
      </c>
      <c r="D90" s="57">
        <v>0</v>
      </c>
      <c r="E90" s="64">
        <v>0</v>
      </c>
      <c r="F90" s="79"/>
      <c r="G90" s="79"/>
      <c r="H90" s="58">
        <f t="shared" si="15"/>
        <v>0</v>
      </c>
      <c r="I90" s="59">
        <f t="shared" si="1"/>
        <v>0</v>
      </c>
      <c r="J90" s="60">
        <f t="shared" ref="J90:J103" si="49">M90+N90+O90+P90</f>
        <v>0</v>
      </c>
      <c r="K90" s="80"/>
      <c r="L90" s="80"/>
      <c r="M90" s="64">
        <v>0</v>
      </c>
      <c r="N90" s="64">
        <v>0</v>
      </c>
      <c r="O90" s="64">
        <v>0</v>
      </c>
      <c r="P90" s="64">
        <v>0</v>
      </c>
      <c r="Q90" s="62">
        <v>0</v>
      </c>
      <c r="R90" s="62">
        <f t="shared" si="21"/>
        <v>0</v>
      </c>
      <c r="S90" s="79"/>
      <c r="T90" s="79"/>
      <c r="U90" s="81"/>
      <c r="V90" s="79"/>
      <c r="W90" s="79"/>
      <c r="X90" s="79"/>
      <c r="Y90" s="79"/>
    </row>
    <row r="91" spans="1:25" ht="24" hidden="1" customHeight="1" x14ac:dyDescent="0.3">
      <c r="A91" s="54">
        <v>2</v>
      </c>
      <c r="B91" s="55" t="s">
        <v>112</v>
      </c>
      <c r="C91" s="56">
        <f t="shared" si="48"/>
        <v>0</v>
      </c>
      <c r="D91" s="57">
        <v>0</v>
      </c>
      <c r="E91" s="64">
        <v>0</v>
      </c>
      <c r="F91" s="79"/>
      <c r="G91" s="79"/>
      <c r="H91" s="58">
        <f t="shared" si="15"/>
        <v>0</v>
      </c>
      <c r="I91" s="59">
        <f t="shared" si="1"/>
        <v>0</v>
      </c>
      <c r="J91" s="60">
        <f t="shared" si="49"/>
        <v>0</v>
      </c>
      <c r="K91" s="80"/>
      <c r="L91" s="80"/>
      <c r="M91" s="64">
        <v>0</v>
      </c>
      <c r="N91" s="64">
        <v>0</v>
      </c>
      <c r="O91" s="64">
        <v>0</v>
      </c>
      <c r="P91" s="64">
        <v>0</v>
      </c>
      <c r="Q91" s="62">
        <v>0</v>
      </c>
      <c r="R91" s="62">
        <f t="shared" si="21"/>
        <v>0</v>
      </c>
      <c r="S91" s="79"/>
      <c r="T91" s="79"/>
      <c r="U91" s="81"/>
      <c r="V91" s="79"/>
      <c r="W91" s="79"/>
      <c r="X91" s="79"/>
      <c r="Y91" s="79"/>
    </row>
    <row r="92" spans="1:25" ht="24" hidden="1" customHeight="1" x14ac:dyDescent="0.3">
      <c r="A92" s="54">
        <v>3</v>
      </c>
      <c r="B92" s="55" t="s">
        <v>113</v>
      </c>
      <c r="C92" s="56">
        <f t="shared" si="48"/>
        <v>0</v>
      </c>
      <c r="D92" s="57">
        <v>0</v>
      </c>
      <c r="E92" s="64">
        <v>0</v>
      </c>
      <c r="F92" s="79"/>
      <c r="G92" s="79"/>
      <c r="H92" s="58">
        <f t="shared" si="15"/>
        <v>0</v>
      </c>
      <c r="I92" s="59">
        <f t="shared" si="1"/>
        <v>0</v>
      </c>
      <c r="J92" s="60">
        <f t="shared" si="49"/>
        <v>0</v>
      </c>
      <c r="K92" s="80"/>
      <c r="L92" s="80"/>
      <c r="M92" s="64">
        <v>0</v>
      </c>
      <c r="N92" s="64">
        <v>0</v>
      </c>
      <c r="O92" s="64">
        <v>0</v>
      </c>
      <c r="P92" s="64">
        <v>0</v>
      </c>
      <c r="Q92" s="62">
        <v>0</v>
      </c>
      <c r="R92" s="62">
        <f t="shared" si="21"/>
        <v>0</v>
      </c>
      <c r="S92" s="79"/>
      <c r="T92" s="79"/>
      <c r="U92" s="81"/>
      <c r="V92" s="79"/>
      <c r="W92" s="79"/>
      <c r="X92" s="79"/>
      <c r="Y92" s="79"/>
    </row>
    <row r="93" spans="1:25" ht="24" hidden="1" customHeight="1" x14ac:dyDescent="0.3">
      <c r="A93" s="54">
        <f t="shared" ref="A93:A103" si="50">+A92+1</f>
        <v>4</v>
      </c>
      <c r="B93" s="55" t="s">
        <v>114</v>
      </c>
      <c r="C93" s="56">
        <f t="shared" si="48"/>
        <v>0</v>
      </c>
      <c r="D93" s="57">
        <v>0</v>
      </c>
      <c r="E93" s="64">
        <v>0</v>
      </c>
      <c r="F93" s="79"/>
      <c r="G93" s="79"/>
      <c r="H93" s="58">
        <f t="shared" si="15"/>
        <v>0</v>
      </c>
      <c r="I93" s="59">
        <f t="shared" si="1"/>
        <v>0</v>
      </c>
      <c r="J93" s="60">
        <f t="shared" si="49"/>
        <v>0</v>
      </c>
      <c r="K93" s="80"/>
      <c r="L93" s="80"/>
      <c r="M93" s="64">
        <v>0</v>
      </c>
      <c r="N93" s="64">
        <v>0</v>
      </c>
      <c r="O93" s="64">
        <v>0</v>
      </c>
      <c r="P93" s="64">
        <v>0</v>
      </c>
      <c r="Q93" s="62">
        <v>0</v>
      </c>
      <c r="R93" s="62">
        <f t="shared" si="21"/>
        <v>0</v>
      </c>
      <c r="S93" s="79"/>
      <c r="T93" s="79"/>
      <c r="U93" s="81"/>
      <c r="V93" s="79"/>
      <c r="W93" s="79"/>
      <c r="X93" s="79"/>
      <c r="Y93" s="79"/>
    </row>
    <row r="94" spans="1:25" ht="24" hidden="1" customHeight="1" x14ac:dyDescent="0.3">
      <c r="A94" s="54">
        <f t="shared" si="50"/>
        <v>5</v>
      </c>
      <c r="B94" s="55" t="s">
        <v>115</v>
      </c>
      <c r="C94" s="56">
        <f t="shared" si="48"/>
        <v>0</v>
      </c>
      <c r="D94" s="57">
        <v>0</v>
      </c>
      <c r="E94" s="64">
        <v>0</v>
      </c>
      <c r="F94" s="79"/>
      <c r="G94" s="79"/>
      <c r="H94" s="58">
        <f t="shared" si="15"/>
        <v>0</v>
      </c>
      <c r="I94" s="59">
        <f t="shared" si="1"/>
        <v>0</v>
      </c>
      <c r="J94" s="60">
        <f t="shared" si="49"/>
        <v>0</v>
      </c>
      <c r="K94" s="80"/>
      <c r="L94" s="80"/>
      <c r="M94" s="64">
        <v>0</v>
      </c>
      <c r="N94" s="64">
        <v>0</v>
      </c>
      <c r="O94" s="64">
        <v>0</v>
      </c>
      <c r="P94" s="64">
        <v>0</v>
      </c>
      <c r="Q94" s="62">
        <v>0</v>
      </c>
      <c r="R94" s="62">
        <f t="shared" si="21"/>
        <v>0</v>
      </c>
      <c r="S94" s="79"/>
      <c r="T94" s="79"/>
      <c r="U94" s="81"/>
      <c r="V94" s="79"/>
      <c r="W94" s="79"/>
      <c r="X94" s="79"/>
      <c r="Y94" s="79"/>
    </row>
    <row r="95" spans="1:25" ht="24" hidden="1" customHeight="1" x14ac:dyDescent="0.3">
      <c r="A95" s="54">
        <f t="shared" si="50"/>
        <v>6</v>
      </c>
      <c r="B95" s="55" t="s">
        <v>116</v>
      </c>
      <c r="C95" s="56">
        <f t="shared" si="48"/>
        <v>0</v>
      </c>
      <c r="D95" s="57">
        <v>0</v>
      </c>
      <c r="E95" s="64">
        <v>0</v>
      </c>
      <c r="F95" s="79"/>
      <c r="G95" s="79"/>
      <c r="H95" s="58">
        <f t="shared" si="15"/>
        <v>0</v>
      </c>
      <c r="I95" s="59">
        <f t="shared" si="1"/>
        <v>0</v>
      </c>
      <c r="J95" s="60">
        <f t="shared" si="49"/>
        <v>0</v>
      </c>
      <c r="K95" s="80"/>
      <c r="L95" s="80"/>
      <c r="M95" s="64">
        <v>0</v>
      </c>
      <c r="N95" s="64">
        <v>0</v>
      </c>
      <c r="O95" s="64">
        <v>0</v>
      </c>
      <c r="P95" s="64">
        <v>0</v>
      </c>
      <c r="Q95" s="62">
        <v>0</v>
      </c>
      <c r="R95" s="62">
        <f t="shared" si="21"/>
        <v>0</v>
      </c>
      <c r="S95" s="79"/>
      <c r="T95" s="79"/>
      <c r="U95" s="81"/>
      <c r="V95" s="79"/>
      <c r="W95" s="79"/>
      <c r="X95" s="79"/>
      <c r="Y95" s="79"/>
    </row>
    <row r="96" spans="1:25" ht="24" hidden="1" customHeight="1" x14ac:dyDescent="0.3">
      <c r="A96" s="54">
        <f t="shared" si="50"/>
        <v>7</v>
      </c>
      <c r="B96" s="55" t="s">
        <v>117</v>
      </c>
      <c r="C96" s="56">
        <f t="shared" si="48"/>
        <v>0</v>
      </c>
      <c r="D96" s="57">
        <v>0</v>
      </c>
      <c r="E96" s="64">
        <v>0</v>
      </c>
      <c r="F96" s="79"/>
      <c r="G96" s="79"/>
      <c r="H96" s="58">
        <f t="shared" si="15"/>
        <v>0</v>
      </c>
      <c r="I96" s="59">
        <f t="shared" si="1"/>
        <v>0</v>
      </c>
      <c r="J96" s="60">
        <f t="shared" si="49"/>
        <v>0</v>
      </c>
      <c r="K96" s="80"/>
      <c r="L96" s="80"/>
      <c r="M96" s="64">
        <v>0</v>
      </c>
      <c r="N96" s="64">
        <v>0</v>
      </c>
      <c r="O96" s="64">
        <v>0</v>
      </c>
      <c r="P96" s="64">
        <v>0</v>
      </c>
      <c r="Q96" s="62">
        <v>0</v>
      </c>
      <c r="R96" s="62">
        <f t="shared" si="21"/>
        <v>0</v>
      </c>
      <c r="S96" s="79"/>
      <c r="T96" s="79"/>
      <c r="U96" s="81"/>
      <c r="V96" s="79"/>
      <c r="W96" s="79"/>
      <c r="X96" s="79"/>
      <c r="Y96" s="79"/>
    </row>
    <row r="97" spans="1:25" ht="24" hidden="1" customHeight="1" x14ac:dyDescent="0.3">
      <c r="A97" s="54">
        <f t="shared" si="50"/>
        <v>8</v>
      </c>
      <c r="B97" s="55" t="s">
        <v>118</v>
      </c>
      <c r="C97" s="56">
        <f t="shared" si="48"/>
        <v>0</v>
      </c>
      <c r="D97" s="57">
        <v>0</v>
      </c>
      <c r="E97" s="64">
        <v>0</v>
      </c>
      <c r="F97" s="79"/>
      <c r="G97" s="79"/>
      <c r="H97" s="58">
        <f t="shared" si="15"/>
        <v>0</v>
      </c>
      <c r="I97" s="59">
        <f t="shared" si="1"/>
        <v>0</v>
      </c>
      <c r="J97" s="60">
        <f t="shared" si="49"/>
        <v>0</v>
      </c>
      <c r="K97" s="80"/>
      <c r="L97" s="80"/>
      <c r="M97" s="64">
        <v>0</v>
      </c>
      <c r="N97" s="64">
        <v>0</v>
      </c>
      <c r="O97" s="64">
        <v>0</v>
      </c>
      <c r="P97" s="64">
        <v>0</v>
      </c>
      <c r="Q97" s="62">
        <v>0</v>
      </c>
      <c r="R97" s="62">
        <f t="shared" si="21"/>
        <v>0</v>
      </c>
      <c r="S97" s="79"/>
      <c r="T97" s="79"/>
      <c r="U97" s="81"/>
      <c r="V97" s="79"/>
      <c r="W97" s="79"/>
      <c r="X97" s="79"/>
      <c r="Y97" s="79"/>
    </row>
    <row r="98" spans="1:25" ht="24" hidden="1" customHeight="1" x14ac:dyDescent="0.3">
      <c r="A98" s="54">
        <f t="shared" si="50"/>
        <v>9</v>
      </c>
      <c r="B98" s="55" t="s">
        <v>119</v>
      </c>
      <c r="C98" s="56">
        <f t="shared" si="48"/>
        <v>0</v>
      </c>
      <c r="D98" s="57">
        <v>0</v>
      </c>
      <c r="E98" s="64">
        <v>0</v>
      </c>
      <c r="F98" s="79"/>
      <c r="G98" s="79"/>
      <c r="H98" s="58">
        <f t="shared" si="15"/>
        <v>0</v>
      </c>
      <c r="I98" s="59">
        <f t="shared" si="1"/>
        <v>0</v>
      </c>
      <c r="J98" s="60">
        <f t="shared" si="49"/>
        <v>0</v>
      </c>
      <c r="K98" s="80"/>
      <c r="L98" s="80"/>
      <c r="M98" s="64">
        <v>0</v>
      </c>
      <c r="N98" s="64">
        <v>0</v>
      </c>
      <c r="O98" s="64">
        <v>0</v>
      </c>
      <c r="P98" s="64">
        <v>0</v>
      </c>
      <c r="Q98" s="62">
        <v>0</v>
      </c>
      <c r="R98" s="62">
        <f t="shared" si="21"/>
        <v>0</v>
      </c>
      <c r="S98" s="79"/>
      <c r="T98" s="79"/>
      <c r="U98" s="81"/>
      <c r="V98" s="79"/>
      <c r="W98" s="79"/>
      <c r="X98" s="79"/>
      <c r="Y98" s="79"/>
    </row>
    <row r="99" spans="1:25" ht="24" hidden="1" customHeight="1" x14ac:dyDescent="0.3">
      <c r="A99" s="54">
        <f t="shared" si="50"/>
        <v>10</v>
      </c>
      <c r="B99" s="55" t="s">
        <v>120</v>
      </c>
      <c r="C99" s="56">
        <f t="shared" si="48"/>
        <v>0</v>
      </c>
      <c r="D99" s="57">
        <v>0</v>
      </c>
      <c r="E99" s="64">
        <v>0</v>
      </c>
      <c r="F99" s="79"/>
      <c r="G99" s="79"/>
      <c r="H99" s="58">
        <f t="shared" si="15"/>
        <v>0</v>
      </c>
      <c r="I99" s="59">
        <f t="shared" si="1"/>
        <v>0</v>
      </c>
      <c r="J99" s="60">
        <f t="shared" si="49"/>
        <v>0</v>
      </c>
      <c r="K99" s="80"/>
      <c r="L99" s="80"/>
      <c r="M99" s="64">
        <v>0</v>
      </c>
      <c r="N99" s="64">
        <v>0</v>
      </c>
      <c r="O99" s="64">
        <v>0</v>
      </c>
      <c r="P99" s="64">
        <v>0</v>
      </c>
      <c r="Q99" s="62">
        <v>0</v>
      </c>
      <c r="R99" s="62">
        <f t="shared" si="21"/>
        <v>0</v>
      </c>
      <c r="S99" s="79"/>
      <c r="T99" s="79"/>
      <c r="U99" s="81"/>
      <c r="V99" s="79"/>
      <c r="W99" s="79"/>
      <c r="X99" s="79"/>
      <c r="Y99" s="79"/>
    </row>
    <row r="100" spans="1:25" ht="24" hidden="1" customHeight="1" x14ac:dyDescent="0.3">
      <c r="A100" s="54">
        <f t="shared" si="50"/>
        <v>11</v>
      </c>
      <c r="B100" s="55" t="s">
        <v>121</v>
      </c>
      <c r="C100" s="56">
        <f t="shared" si="48"/>
        <v>0</v>
      </c>
      <c r="D100" s="57">
        <v>0</v>
      </c>
      <c r="E100" s="64">
        <v>0</v>
      </c>
      <c r="F100" s="79"/>
      <c r="G100" s="79"/>
      <c r="H100" s="58">
        <f t="shared" si="15"/>
        <v>0</v>
      </c>
      <c r="I100" s="59">
        <f t="shared" si="1"/>
        <v>0</v>
      </c>
      <c r="J100" s="60">
        <f t="shared" si="49"/>
        <v>0</v>
      </c>
      <c r="K100" s="80"/>
      <c r="L100" s="80"/>
      <c r="M100" s="64">
        <v>0</v>
      </c>
      <c r="N100" s="64">
        <v>0</v>
      </c>
      <c r="O100" s="64">
        <v>0</v>
      </c>
      <c r="P100" s="64">
        <v>0</v>
      </c>
      <c r="Q100" s="62">
        <v>0</v>
      </c>
      <c r="R100" s="62">
        <f t="shared" si="21"/>
        <v>0</v>
      </c>
      <c r="S100" s="79"/>
      <c r="T100" s="79"/>
      <c r="U100" s="81"/>
      <c r="V100" s="79"/>
      <c r="W100" s="79"/>
      <c r="X100" s="79"/>
      <c r="Y100" s="79"/>
    </row>
    <row r="101" spans="1:25" ht="24" hidden="1" customHeight="1" x14ac:dyDescent="0.3">
      <c r="A101" s="54">
        <f t="shared" si="50"/>
        <v>12</v>
      </c>
      <c r="B101" s="55" t="s">
        <v>122</v>
      </c>
      <c r="C101" s="56">
        <f t="shared" si="48"/>
        <v>0</v>
      </c>
      <c r="D101" s="57">
        <v>0</v>
      </c>
      <c r="E101" s="64">
        <v>0</v>
      </c>
      <c r="F101" s="79"/>
      <c r="G101" s="79"/>
      <c r="H101" s="58">
        <f t="shared" si="15"/>
        <v>0</v>
      </c>
      <c r="I101" s="59">
        <f t="shared" si="1"/>
        <v>0</v>
      </c>
      <c r="J101" s="60">
        <f t="shared" si="49"/>
        <v>0</v>
      </c>
      <c r="K101" s="80"/>
      <c r="L101" s="80"/>
      <c r="M101" s="64">
        <v>0</v>
      </c>
      <c r="N101" s="64">
        <v>0</v>
      </c>
      <c r="O101" s="64">
        <v>0</v>
      </c>
      <c r="P101" s="64">
        <v>0</v>
      </c>
      <c r="Q101" s="62">
        <v>0</v>
      </c>
      <c r="R101" s="62">
        <f t="shared" si="21"/>
        <v>0</v>
      </c>
      <c r="S101" s="79"/>
      <c r="T101" s="79"/>
      <c r="U101" s="81"/>
      <c r="V101" s="79"/>
      <c r="W101" s="79"/>
      <c r="X101" s="79"/>
      <c r="Y101" s="79"/>
    </row>
    <row r="102" spans="1:25" ht="24" hidden="1" customHeight="1" x14ac:dyDescent="0.3">
      <c r="A102" s="54">
        <f t="shared" si="50"/>
        <v>13</v>
      </c>
      <c r="B102" s="55" t="s">
        <v>123</v>
      </c>
      <c r="C102" s="56">
        <f t="shared" si="48"/>
        <v>0</v>
      </c>
      <c r="D102" s="57">
        <v>0</v>
      </c>
      <c r="E102" s="64">
        <v>0</v>
      </c>
      <c r="F102" s="79"/>
      <c r="G102" s="79"/>
      <c r="H102" s="58">
        <f t="shared" si="15"/>
        <v>0</v>
      </c>
      <c r="I102" s="59">
        <f t="shared" si="1"/>
        <v>0</v>
      </c>
      <c r="J102" s="60">
        <f t="shared" si="49"/>
        <v>0</v>
      </c>
      <c r="K102" s="80"/>
      <c r="L102" s="80"/>
      <c r="M102" s="64">
        <v>0</v>
      </c>
      <c r="N102" s="64">
        <v>0</v>
      </c>
      <c r="O102" s="64">
        <v>0</v>
      </c>
      <c r="P102" s="64">
        <v>0</v>
      </c>
      <c r="Q102" s="62">
        <v>0</v>
      </c>
      <c r="R102" s="62">
        <f t="shared" si="21"/>
        <v>0</v>
      </c>
      <c r="S102" s="79"/>
      <c r="T102" s="79"/>
      <c r="U102" s="81"/>
      <c r="V102" s="79"/>
      <c r="W102" s="79"/>
      <c r="X102" s="79"/>
      <c r="Y102" s="79"/>
    </row>
    <row r="103" spans="1:25" ht="24" hidden="1" customHeight="1" x14ac:dyDescent="0.3">
      <c r="A103" s="65">
        <f t="shared" si="50"/>
        <v>14</v>
      </c>
      <c r="B103" s="66" t="s">
        <v>124</v>
      </c>
      <c r="C103" s="67">
        <f t="shared" si="48"/>
        <v>0</v>
      </c>
      <c r="D103" s="68">
        <v>0</v>
      </c>
      <c r="E103" s="69">
        <v>0</v>
      </c>
      <c r="F103" s="82"/>
      <c r="G103" s="82"/>
      <c r="H103" s="70">
        <f t="shared" si="15"/>
        <v>0</v>
      </c>
      <c r="I103" s="71">
        <f t="shared" si="1"/>
        <v>0</v>
      </c>
      <c r="J103" s="72">
        <f t="shared" si="49"/>
        <v>0</v>
      </c>
      <c r="K103" s="83"/>
      <c r="L103" s="83"/>
      <c r="M103" s="69">
        <v>0</v>
      </c>
      <c r="N103" s="69">
        <v>0</v>
      </c>
      <c r="O103" s="69">
        <v>0</v>
      </c>
      <c r="P103" s="69">
        <v>0</v>
      </c>
      <c r="Q103" s="74">
        <v>0</v>
      </c>
      <c r="R103" s="74">
        <f t="shared" si="21"/>
        <v>0</v>
      </c>
      <c r="S103" s="82"/>
      <c r="T103" s="82"/>
      <c r="U103" s="84"/>
      <c r="V103" s="82"/>
      <c r="W103" s="82"/>
      <c r="X103" s="82"/>
      <c r="Y103" s="82"/>
    </row>
    <row r="104" spans="1:25" ht="21" hidden="1" customHeight="1" x14ac:dyDescent="0.3">
      <c r="A104" s="187" t="s">
        <v>125</v>
      </c>
      <c r="B104" s="178"/>
      <c r="C104" s="77">
        <f>SUM(C105:C116)</f>
        <v>0</v>
      </c>
      <c r="D104" s="43"/>
      <c r="E104" s="43"/>
      <c r="F104" s="43"/>
      <c r="G104" s="43"/>
      <c r="H104" s="40">
        <f t="shared" si="15"/>
        <v>0</v>
      </c>
      <c r="I104" s="41">
        <f t="shared" si="1"/>
        <v>0</v>
      </c>
      <c r="J104" s="40">
        <f>SUM(J105:J116)</f>
        <v>0</v>
      </c>
      <c r="K104" s="43"/>
      <c r="L104" s="43"/>
      <c r="M104" s="43"/>
      <c r="N104" s="43"/>
      <c r="O104" s="43"/>
      <c r="P104" s="43"/>
      <c r="Q104" s="43"/>
      <c r="R104" s="40">
        <f t="shared" si="21"/>
        <v>0</v>
      </c>
      <c r="S104" s="43"/>
      <c r="T104" s="43"/>
      <c r="U104" s="43"/>
      <c r="V104" s="43"/>
      <c r="W104" s="43"/>
      <c r="X104" s="43"/>
      <c r="Y104" s="43"/>
    </row>
    <row r="105" spans="1:25" ht="24" hidden="1" customHeight="1" x14ac:dyDescent="0.3">
      <c r="A105" s="54">
        <v>1</v>
      </c>
      <c r="B105" s="85" t="s">
        <v>126</v>
      </c>
      <c r="C105" s="56">
        <f t="shared" ref="C105:C116" si="51">D105+E105</f>
        <v>0</v>
      </c>
      <c r="D105" s="57">
        <v>0</v>
      </c>
      <c r="E105" s="64">
        <v>0</v>
      </c>
      <c r="F105" s="79"/>
      <c r="G105" s="79"/>
      <c r="H105" s="58">
        <f t="shared" si="15"/>
        <v>0</v>
      </c>
      <c r="I105" s="59">
        <f t="shared" si="1"/>
        <v>0</v>
      </c>
      <c r="J105" s="60">
        <f t="shared" ref="J105:J116" si="52">M105+N105+O105+P105</f>
        <v>0</v>
      </c>
      <c r="K105" s="80"/>
      <c r="L105" s="80"/>
      <c r="M105" s="64">
        <v>0</v>
      </c>
      <c r="N105" s="64">
        <v>0</v>
      </c>
      <c r="O105" s="64">
        <v>0</v>
      </c>
      <c r="P105" s="64">
        <v>0</v>
      </c>
      <c r="Q105" s="62">
        <v>0</v>
      </c>
      <c r="R105" s="62">
        <f t="shared" si="21"/>
        <v>0</v>
      </c>
      <c r="S105" s="79"/>
      <c r="T105" s="79"/>
      <c r="U105" s="79"/>
      <c r="V105" s="79"/>
      <c r="W105" s="79"/>
      <c r="X105" s="79"/>
      <c r="Y105" s="79"/>
    </row>
    <row r="106" spans="1:25" ht="24" hidden="1" customHeight="1" x14ac:dyDescent="0.3">
      <c r="A106" s="54">
        <v>2</v>
      </c>
      <c r="B106" s="85" t="s">
        <v>127</v>
      </c>
      <c r="C106" s="56">
        <f t="shared" si="51"/>
        <v>0</v>
      </c>
      <c r="D106" s="57">
        <v>0</v>
      </c>
      <c r="E106" s="64">
        <v>0</v>
      </c>
      <c r="F106" s="79"/>
      <c r="G106" s="79"/>
      <c r="H106" s="58">
        <f t="shared" si="15"/>
        <v>0</v>
      </c>
      <c r="I106" s="59">
        <f t="shared" si="1"/>
        <v>0</v>
      </c>
      <c r="J106" s="60">
        <f t="shared" si="52"/>
        <v>0</v>
      </c>
      <c r="K106" s="80"/>
      <c r="L106" s="80"/>
      <c r="M106" s="64">
        <v>0</v>
      </c>
      <c r="N106" s="64">
        <v>0</v>
      </c>
      <c r="O106" s="64">
        <v>0</v>
      </c>
      <c r="P106" s="64">
        <v>0</v>
      </c>
      <c r="Q106" s="62">
        <v>0</v>
      </c>
      <c r="R106" s="62">
        <f t="shared" si="21"/>
        <v>0</v>
      </c>
      <c r="S106" s="79"/>
      <c r="T106" s="79"/>
      <c r="U106" s="79"/>
      <c r="V106" s="79"/>
      <c r="W106" s="79"/>
      <c r="X106" s="79"/>
      <c r="Y106" s="79"/>
    </row>
    <row r="107" spans="1:25" ht="24" hidden="1" customHeight="1" x14ac:dyDescent="0.3">
      <c r="A107" s="54">
        <v>3</v>
      </c>
      <c r="B107" s="85" t="s">
        <v>128</v>
      </c>
      <c r="C107" s="56">
        <f t="shared" si="51"/>
        <v>0</v>
      </c>
      <c r="D107" s="57">
        <v>0</v>
      </c>
      <c r="E107" s="64">
        <v>0</v>
      </c>
      <c r="F107" s="79"/>
      <c r="G107" s="79"/>
      <c r="H107" s="58">
        <f t="shared" si="15"/>
        <v>0</v>
      </c>
      <c r="I107" s="59">
        <f t="shared" si="1"/>
        <v>0</v>
      </c>
      <c r="J107" s="60">
        <f t="shared" si="52"/>
        <v>0</v>
      </c>
      <c r="K107" s="80"/>
      <c r="L107" s="80"/>
      <c r="M107" s="64">
        <v>0</v>
      </c>
      <c r="N107" s="64">
        <v>0</v>
      </c>
      <c r="O107" s="64">
        <v>0</v>
      </c>
      <c r="P107" s="64">
        <v>0</v>
      </c>
      <c r="Q107" s="62">
        <v>0</v>
      </c>
      <c r="R107" s="62">
        <f t="shared" si="21"/>
        <v>0</v>
      </c>
      <c r="S107" s="79"/>
      <c r="T107" s="79"/>
      <c r="U107" s="79"/>
      <c r="V107" s="79"/>
      <c r="W107" s="79"/>
      <c r="X107" s="79"/>
      <c r="Y107" s="79"/>
    </row>
    <row r="108" spans="1:25" ht="24" hidden="1" customHeight="1" x14ac:dyDescent="0.3">
      <c r="A108" s="86">
        <v>4</v>
      </c>
      <c r="B108" s="85" t="s">
        <v>129</v>
      </c>
      <c r="C108" s="56">
        <f t="shared" si="51"/>
        <v>0</v>
      </c>
      <c r="D108" s="57">
        <v>0</v>
      </c>
      <c r="E108" s="64">
        <v>0</v>
      </c>
      <c r="F108" s="79"/>
      <c r="G108" s="79"/>
      <c r="H108" s="58">
        <f t="shared" si="15"/>
        <v>0</v>
      </c>
      <c r="I108" s="59">
        <f t="shared" si="1"/>
        <v>0</v>
      </c>
      <c r="J108" s="60">
        <f t="shared" si="52"/>
        <v>0</v>
      </c>
      <c r="K108" s="80"/>
      <c r="L108" s="80"/>
      <c r="M108" s="64">
        <v>0</v>
      </c>
      <c r="N108" s="64">
        <v>0</v>
      </c>
      <c r="O108" s="64">
        <v>0</v>
      </c>
      <c r="P108" s="64">
        <v>0</v>
      </c>
      <c r="Q108" s="62">
        <v>0</v>
      </c>
      <c r="R108" s="62">
        <f t="shared" si="21"/>
        <v>0</v>
      </c>
      <c r="S108" s="79"/>
      <c r="T108" s="79"/>
      <c r="U108" s="79"/>
      <c r="V108" s="79"/>
      <c r="W108" s="79"/>
      <c r="X108" s="79"/>
      <c r="Y108" s="79"/>
    </row>
    <row r="109" spans="1:25" ht="24" hidden="1" customHeight="1" x14ac:dyDescent="0.3">
      <c r="A109" s="86">
        <v>5</v>
      </c>
      <c r="B109" s="85" t="s">
        <v>130</v>
      </c>
      <c r="C109" s="56">
        <f t="shared" si="51"/>
        <v>0</v>
      </c>
      <c r="D109" s="57">
        <v>0</v>
      </c>
      <c r="E109" s="64">
        <v>0</v>
      </c>
      <c r="F109" s="79"/>
      <c r="G109" s="79"/>
      <c r="H109" s="58">
        <f t="shared" si="15"/>
        <v>0</v>
      </c>
      <c r="I109" s="59">
        <f t="shared" si="1"/>
        <v>0</v>
      </c>
      <c r="J109" s="60">
        <f t="shared" si="52"/>
        <v>0</v>
      </c>
      <c r="K109" s="80"/>
      <c r="L109" s="80"/>
      <c r="M109" s="64">
        <v>0</v>
      </c>
      <c r="N109" s="64">
        <v>0</v>
      </c>
      <c r="O109" s="64">
        <v>0</v>
      </c>
      <c r="P109" s="64">
        <v>0</v>
      </c>
      <c r="Q109" s="62">
        <v>0</v>
      </c>
      <c r="R109" s="62">
        <f t="shared" si="21"/>
        <v>0</v>
      </c>
      <c r="S109" s="79"/>
      <c r="T109" s="79"/>
      <c r="U109" s="79"/>
      <c r="V109" s="79"/>
      <c r="W109" s="79"/>
      <c r="X109" s="79"/>
      <c r="Y109" s="79"/>
    </row>
    <row r="110" spans="1:25" ht="24" hidden="1" customHeight="1" x14ac:dyDescent="0.3">
      <c r="A110" s="86">
        <v>6</v>
      </c>
      <c r="B110" s="85" t="s">
        <v>131</v>
      </c>
      <c r="C110" s="56">
        <f t="shared" si="51"/>
        <v>0</v>
      </c>
      <c r="D110" s="57">
        <v>0</v>
      </c>
      <c r="E110" s="64">
        <v>0</v>
      </c>
      <c r="F110" s="79"/>
      <c r="G110" s="79"/>
      <c r="H110" s="58">
        <f t="shared" si="15"/>
        <v>0</v>
      </c>
      <c r="I110" s="59">
        <f t="shared" si="1"/>
        <v>0</v>
      </c>
      <c r="J110" s="60">
        <f t="shared" si="52"/>
        <v>0</v>
      </c>
      <c r="K110" s="80"/>
      <c r="L110" s="80"/>
      <c r="M110" s="64">
        <v>0</v>
      </c>
      <c r="N110" s="64">
        <v>0</v>
      </c>
      <c r="O110" s="64">
        <v>0</v>
      </c>
      <c r="P110" s="64">
        <v>0</v>
      </c>
      <c r="Q110" s="62">
        <v>0</v>
      </c>
      <c r="R110" s="62">
        <f t="shared" si="21"/>
        <v>0</v>
      </c>
      <c r="S110" s="79"/>
      <c r="T110" s="79"/>
      <c r="U110" s="79"/>
      <c r="V110" s="79"/>
      <c r="W110" s="79"/>
      <c r="X110" s="79"/>
      <c r="Y110" s="79"/>
    </row>
    <row r="111" spans="1:25" ht="24" hidden="1" customHeight="1" x14ac:dyDescent="0.3">
      <c r="A111" s="86">
        <v>7</v>
      </c>
      <c r="B111" s="85" t="s">
        <v>132</v>
      </c>
      <c r="C111" s="56">
        <f t="shared" si="51"/>
        <v>0</v>
      </c>
      <c r="D111" s="57">
        <v>0</v>
      </c>
      <c r="E111" s="64">
        <v>0</v>
      </c>
      <c r="F111" s="79"/>
      <c r="G111" s="79"/>
      <c r="H111" s="58">
        <f t="shared" si="15"/>
        <v>0</v>
      </c>
      <c r="I111" s="59">
        <f t="shared" si="1"/>
        <v>0</v>
      </c>
      <c r="J111" s="60">
        <f t="shared" si="52"/>
        <v>0</v>
      </c>
      <c r="K111" s="80"/>
      <c r="L111" s="80"/>
      <c r="M111" s="64">
        <v>0</v>
      </c>
      <c r="N111" s="64">
        <v>0</v>
      </c>
      <c r="O111" s="64">
        <v>0</v>
      </c>
      <c r="P111" s="64">
        <v>0</v>
      </c>
      <c r="Q111" s="62">
        <v>0</v>
      </c>
      <c r="R111" s="62">
        <f t="shared" si="21"/>
        <v>0</v>
      </c>
      <c r="S111" s="79"/>
      <c r="T111" s="79"/>
      <c r="U111" s="79"/>
      <c r="V111" s="79"/>
      <c r="W111" s="79"/>
      <c r="X111" s="79"/>
      <c r="Y111" s="79"/>
    </row>
    <row r="112" spans="1:25" ht="24" hidden="1" customHeight="1" x14ac:dyDescent="0.3">
      <c r="A112" s="86">
        <v>8</v>
      </c>
      <c r="B112" s="85" t="s">
        <v>133</v>
      </c>
      <c r="C112" s="56">
        <f t="shared" si="51"/>
        <v>0</v>
      </c>
      <c r="D112" s="57">
        <v>0</v>
      </c>
      <c r="E112" s="64">
        <v>0</v>
      </c>
      <c r="F112" s="79"/>
      <c r="G112" s="79"/>
      <c r="H112" s="58">
        <f t="shared" si="15"/>
        <v>0</v>
      </c>
      <c r="I112" s="59">
        <f t="shared" si="1"/>
        <v>0</v>
      </c>
      <c r="J112" s="60">
        <f t="shared" si="52"/>
        <v>0</v>
      </c>
      <c r="K112" s="80"/>
      <c r="L112" s="80"/>
      <c r="M112" s="64">
        <v>0</v>
      </c>
      <c r="N112" s="64">
        <v>0</v>
      </c>
      <c r="O112" s="64">
        <v>0</v>
      </c>
      <c r="P112" s="64">
        <v>0</v>
      </c>
      <c r="Q112" s="62">
        <v>0</v>
      </c>
      <c r="R112" s="62">
        <f t="shared" si="21"/>
        <v>0</v>
      </c>
      <c r="S112" s="79"/>
      <c r="T112" s="79"/>
      <c r="U112" s="79"/>
      <c r="V112" s="79"/>
      <c r="W112" s="79"/>
      <c r="X112" s="79"/>
      <c r="Y112" s="79"/>
    </row>
    <row r="113" spans="1:25" ht="24" hidden="1" customHeight="1" x14ac:dyDescent="0.3">
      <c r="A113" s="86">
        <v>9</v>
      </c>
      <c r="B113" s="85" t="s">
        <v>134</v>
      </c>
      <c r="C113" s="56">
        <f t="shared" si="51"/>
        <v>0</v>
      </c>
      <c r="D113" s="57">
        <v>0</v>
      </c>
      <c r="E113" s="64">
        <v>0</v>
      </c>
      <c r="F113" s="79"/>
      <c r="G113" s="79"/>
      <c r="H113" s="58">
        <f t="shared" si="15"/>
        <v>0</v>
      </c>
      <c r="I113" s="59">
        <f t="shared" si="1"/>
        <v>0</v>
      </c>
      <c r="J113" s="60">
        <f t="shared" si="52"/>
        <v>0</v>
      </c>
      <c r="K113" s="80"/>
      <c r="L113" s="80"/>
      <c r="M113" s="64">
        <v>0</v>
      </c>
      <c r="N113" s="64">
        <v>0</v>
      </c>
      <c r="O113" s="64">
        <v>0</v>
      </c>
      <c r="P113" s="64">
        <v>0</v>
      </c>
      <c r="Q113" s="62">
        <v>0</v>
      </c>
      <c r="R113" s="62">
        <f t="shared" si="21"/>
        <v>0</v>
      </c>
      <c r="S113" s="79"/>
      <c r="T113" s="79"/>
      <c r="U113" s="79"/>
      <c r="V113" s="79"/>
      <c r="W113" s="79"/>
      <c r="X113" s="79"/>
      <c r="Y113" s="79"/>
    </row>
    <row r="114" spans="1:25" ht="24" hidden="1" customHeight="1" x14ac:dyDescent="0.3">
      <c r="A114" s="86">
        <v>10</v>
      </c>
      <c r="B114" s="85" t="s">
        <v>135</v>
      </c>
      <c r="C114" s="56">
        <f t="shared" si="51"/>
        <v>0</v>
      </c>
      <c r="D114" s="57">
        <v>0</v>
      </c>
      <c r="E114" s="64">
        <v>0</v>
      </c>
      <c r="F114" s="79"/>
      <c r="G114" s="79"/>
      <c r="H114" s="58">
        <f t="shared" si="15"/>
        <v>0</v>
      </c>
      <c r="I114" s="59">
        <f t="shared" si="1"/>
        <v>0</v>
      </c>
      <c r="J114" s="60">
        <f t="shared" si="52"/>
        <v>0</v>
      </c>
      <c r="K114" s="80"/>
      <c r="L114" s="80"/>
      <c r="M114" s="64">
        <v>0</v>
      </c>
      <c r="N114" s="64">
        <v>0</v>
      </c>
      <c r="O114" s="64">
        <v>0</v>
      </c>
      <c r="P114" s="64">
        <v>0</v>
      </c>
      <c r="Q114" s="62">
        <v>0</v>
      </c>
      <c r="R114" s="62">
        <f t="shared" si="21"/>
        <v>0</v>
      </c>
      <c r="S114" s="79"/>
      <c r="T114" s="79"/>
      <c r="U114" s="79"/>
      <c r="V114" s="79"/>
      <c r="W114" s="79"/>
      <c r="X114" s="79"/>
      <c r="Y114" s="79"/>
    </row>
    <row r="115" spans="1:25" ht="24" hidden="1" customHeight="1" x14ac:dyDescent="0.3">
      <c r="A115" s="86">
        <v>11</v>
      </c>
      <c r="B115" s="85" t="s">
        <v>136</v>
      </c>
      <c r="C115" s="56">
        <f t="shared" si="51"/>
        <v>0</v>
      </c>
      <c r="D115" s="57">
        <v>0</v>
      </c>
      <c r="E115" s="64">
        <v>0</v>
      </c>
      <c r="F115" s="79"/>
      <c r="G115" s="79"/>
      <c r="H115" s="58">
        <f t="shared" si="15"/>
        <v>0</v>
      </c>
      <c r="I115" s="59">
        <f t="shared" si="1"/>
        <v>0</v>
      </c>
      <c r="J115" s="60">
        <f t="shared" si="52"/>
        <v>0</v>
      </c>
      <c r="K115" s="80"/>
      <c r="L115" s="80"/>
      <c r="M115" s="64">
        <v>0</v>
      </c>
      <c r="N115" s="64">
        <v>0</v>
      </c>
      <c r="O115" s="64">
        <v>0</v>
      </c>
      <c r="P115" s="64">
        <v>0</v>
      </c>
      <c r="Q115" s="62">
        <v>0</v>
      </c>
      <c r="R115" s="62">
        <f t="shared" si="21"/>
        <v>0</v>
      </c>
      <c r="S115" s="79"/>
      <c r="T115" s="79"/>
      <c r="U115" s="79"/>
      <c r="V115" s="79"/>
      <c r="W115" s="79"/>
      <c r="X115" s="79"/>
      <c r="Y115" s="79"/>
    </row>
    <row r="116" spans="1:25" ht="24" hidden="1" customHeight="1" x14ac:dyDescent="0.3">
      <c r="A116" s="86">
        <v>12</v>
      </c>
      <c r="B116" s="85" t="s">
        <v>137</v>
      </c>
      <c r="C116" s="56">
        <f t="shared" si="51"/>
        <v>0</v>
      </c>
      <c r="D116" s="57">
        <v>0</v>
      </c>
      <c r="E116" s="64">
        <v>0</v>
      </c>
      <c r="F116" s="79"/>
      <c r="G116" s="79"/>
      <c r="H116" s="58">
        <f t="shared" si="15"/>
        <v>0</v>
      </c>
      <c r="I116" s="59">
        <f t="shared" si="1"/>
        <v>0</v>
      </c>
      <c r="J116" s="60">
        <f t="shared" si="52"/>
        <v>0</v>
      </c>
      <c r="K116" s="80"/>
      <c r="L116" s="80"/>
      <c r="M116" s="64">
        <v>0</v>
      </c>
      <c r="N116" s="64">
        <v>0</v>
      </c>
      <c r="O116" s="64">
        <v>0</v>
      </c>
      <c r="P116" s="64">
        <v>0</v>
      </c>
      <c r="Q116" s="62">
        <v>0</v>
      </c>
      <c r="R116" s="62">
        <f t="shared" si="21"/>
        <v>0</v>
      </c>
      <c r="S116" s="79"/>
      <c r="T116" s="79"/>
      <c r="U116" s="79"/>
      <c r="V116" s="79"/>
      <c r="W116" s="79"/>
      <c r="X116" s="79"/>
      <c r="Y116" s="79"/>
    </row>
    <row r="117" spans="1:25" ht="24" customHeight="1" x14ac:dyDescent="0.2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8"/>
      <c r="N117" s="88"/>
      <c r="O117" s="8"/>
      <c r="P117" s="8"/>
      <c r="Q117" s="89"/>
      <c r="R117" s="89"/>
      <c r="S117" s="8"/>
      <c r="T117" s="8"/>
      <c r="U117" s="8"/>
      <c r="V117" s="8"/>
      <c r="W117" s="8"/>
      <c r="X117" s="8"/>
      <c r="Y117" s="8"/>
    </row>
    <row r="118" spans="1:25" ht="24" customHeight="1" x14ac:dyDescent="0.2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8"/>
      <c r="N118" s="88"/>
      <c r="O118" s="8"/>
      <c r="P118" s="8"/>
      <c r="Q118" s="89"/>
      <c r="R118" s="89"/>
      <c r="S118" s="8"/>
      <c r="T118" s="8"/>
      <c r="U118" s="8"/>
      <c r="V118" s="8"/>
      <c r="W118" s="8"/>
      <c r="X118" s="8"/>
      <c r="Y118" s="8"/>
    </row>
    <row r="119" spans="1:25" ht="24" customHeight="1" x14ac:dyDescent="0.2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8"/>
      <c r="N119" s="88"/>
      <c r="O119" s="8"/>
      <c r="P119" s="8"/>
      <c r="Q119" s="89"/>
      <c r="R119" s="89"/>
      <c r="S119" s="8"/>
      <c r="T119" s="8"/>
      <c r="U119" s="8"/>
      <c r="V119" s="8"/>
      <c r="W119" s="8"/>
      <c r="X119" s="8"/>
      <c r="Y119" s="8"/>
    </row>
    <row r="120" spans="1:25" ht="24" customHeight="1" x14ac:dyDescent="0.2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8"/>
      <c r="N120" s="88"/>
      <c r="O120" s="8"/>
      <c r="P120" s="8"/>
      <c r="Q120" s="89"/>
      <c r="R120" s="89"/>
      <c r="S120" s="8"/>
      <c r="T120" s="8"/>
      <c r="U120" s="8"/>
      <c r="V120" s="8"/>
      <c r="W120" s="8"/>
      <c r="X120" s="8"/>
      <c r="Y120" s="8"/>
    </row>
    <row r="121" spans="1:25" ht="24" customHeight="1" x14ac:dyDescent="0.2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8"/>
      <c r="N121" s="88"/>
      <c r="O121" s="8"/>
      <c r="P121" s="8"/>
      <c r="Q121" s="89"/>
      <c r="R121" s="89"/>
      <c r="S121" s="8"/>
      <c r="T121" s="8"/>
      <c r="U121" s="8"/>
      <c r="V121" s="8"/>
      <c r="W121" s="8"/>
      <c r="X121" s="8"/>
      <c r="Y121" s="8"/>
    </row>
    <row r="122" spans="1:25" ht="24" customHeight="1" x14ac:dyDescent="0.2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8"/>
      <c r="N122" s="88"/>
      <c r="O122" s="8"/>
      <c r="P122" s="8"/>
      <c r="Q122" s="89"/>
      <c r="R122" s="89"/>
      <c r="S122" s="8"/>
      <c r="T122" s="8"/>
      <c r="U122" s="8"/>
      <c r="V122" s="8"/>
      <c r="W122" s="8"/>
      <c r="X122" s="8"/>
      <c r="Y122" s="8"/>
    </row>
    <row r="123" spans="1:25" ht="24" customHeight="1" x14ac:dyDescent="0.2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8"/>
      <c r="N123" s="88"/>
      <c r="O123" s="8"/>
      <c r="P123" s="8"/>
      <c r="Q123" s="89"/>
      <c r="R123" s="89"/>
      <c r="S123" s="8"/>
      <c r="T123" s="8"/>
      <c r="U123" s="8"/>
      <c r="V123" s="8"/>
      <c r="W123" s="8"/>
      <c r="X123" s="8"/>
      <c r="Y123" s="8"/>
    </row>
    <row r="124" spans="1:25" ht="24" customHeight="1" x14ac:dyDescent="0.2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8"/>
      <c r="N124" s="88"/>
      <c r="O124" s="8"/>
      <c r="P124" s="8"/>
      <c r="Q124" s="89"/>
      <c r="R124" s="89"/>
      <c r="S124" s="8"/>
      <c r="T124" s="8"/>
      <c r="U124" s="8"/>
      <c r="V124" s="8"/>
      <c r="W124" s="8"/>
      <c r="X124" s="8"/>
      <c r="Y124" s="8"/>
    </row>
    <row r="125" spans="1:25" ht="24" customHeight="1" x14ac:dyDescent="0.2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8"/>
      <c r="N125" s="88"/>
      <c r="O125" s="8"/>
      <c r="P125" s="8"/>
      <c r="Q125" s="89"/>
      <c r="R125" s="89"/>
      <c r="S125" s="8"/>
      <c r="T125" s="8"/>
      <c r="U125" s="8"/>
      <c r="V125" s="8"/>
      <c r="W125" s="8"/>
      <c r="X125" s="8"/>
      <c r="Y125" s="8"/>
    </row>
    <row r="126" spans="1:25" ht="24" customHeight="1" x14ac:dyDescent="0.2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8"/>
      <c r="N126" s="88"/>
      <c r="O126" s="8"/>
      <c r="P126" s="8"/>
      <c r="Q126" s="89"/>
      <c r="R126" s="89"/>
      <c r="S126" s="8"/>
      <c r="T126" s="8"/>
      <c r="U126" s="8"/>
      <c r="V126" s="8"/>
      <c r="W126" s="8"/>
      <c r="X126" s="8"/>
      <c r="Y126" s="8"/>
    </row>
    <row r="127" spans="1:25" ht="24" customHeight="1" x14ac:dyDescent="0.2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8"/>
      <c r="N127" s="88"/>
      <c r="O127" s="8"/>
      <c r="P127" s="8"/>
      <c r="Q127" s="89"/>
      <c r="R127" s="89"/>
      <c r="S127" s="8"/>
      <c r="T127" s="8"/>
      <c r="U127" s="8"/>
      <c r="V127" s="8"/>
      <c r="W127" s="8"/>
      <c r="X127" s="8"/>
      <c r="Y127" s="8"/>
    </row>
    <row r="128" spans="1:25" ht="24" customHeight="1" x14ac:dyDescent="0.2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8"/>
      <c r="N128" s="88"/>
      <c r="O128" s="8"/>
      <c r="P128" s="8"/>
      <c r="Q128" s="89"/>
      <c r="R128" s="89"/>
      <c r="S128" s="8"/>
      <c r="T128" s="8"/>
      <c r="U128" s="8"/>
      <c r="V128" s="8"/>
      <c r="W128" s="8"/>
      <c r="X128" s="8"/>
      <c r="Y128" s="8"/>
    </row>
    <row r="129" spans="1:25" ht="24" customHeight="1" x14ac:dyDescent="0.2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8"/>
      <c r="N129" s="88"/>
      <c r="O129" s="8"/>
      <c r="P129" s="8"/>
      <c r="Q129" s="89"/>
      <c r="R129" s="89"/>
      <c r="S129" s="8"/>
      <c r="T129" s="8"/>
      <c r="U129" s="8"/>
      <c r="V129" s="8"/>
      <c r="W129" s="8"/>
      <c r="X129" s="8"/>
      <c r="Y129" s="8"/>
    </row>
    <row r="130" spans="1:25" ht="24" customHeight="1" x14ac:dyDescent="0.2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8"/>
      <c r="N130" s="88"/>
      <c r="O130" s="8"/>
      <c r="P130" s="8"/>
      <c r="Q130" s="89"/>
      <c r="R130" s="89"/>
      <c r="S130" s="8"/>
      <c r="T130" s="8"/>
      <c r="U130" s="8"/>
      <c r="V130" s="8"/>
      <c r="W130" s="8"/>
      <c r="X130" s="8"/>
      <c r="Y130" s="8"/>
    </row>
    <row r="131" spans="1:25" ht="24" customHeight="1" x14ac:dyDescent="0.2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8"/>
      <c r="N131" s="88"/>
      <c r="O131" s="8"/>
      <c r="P131" s="8"/>
      <c r="Q131" s="89"/>
      <c r="R131" s="89"/>
      <c r="S131" s="8"/>
      <c r="T131" s="8"/>
      <c r="U131" s="8"/>
      <c r="V131" s="8"/>
      <c r="W131" s="8"/>
      <c r="X131" s="8"/>
      <c r="Y131" s="8"/>
    </row>
    <row r="132" spans="1:25" ht="24" customHeight="1" x14ac:dyDescent="0.2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8"/>
      <c r="N132" s="88"/>
      <c r="O132" s="8"/>
      <c r="P132" s="8"/>
      <c r="Q132" s="89"/>
      <c r="R132" s="89"/>
      <c r="S132" s="8"/>
      <c r="T132" s="8"/>
      <c r="U132" s="8"/>
      <c r="V132" s="8"/>
      <c r="W132" s="8"/>
      <c r="X132" s="8"/>
      <c r="Y132" s="8"/>
    </row>
    <row r="133" spans="1:25" ht="24" customHeight="1" x14ac:dyDescent="0.2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8"/>
      <c r="N133" s="88"/>
      <c r="O133" s="8"/>
      <c r="P133" s="8"/>
      <c r="Q133" s="89"/>
      <c r="R133" s="89"/>
      <c r="S133" s="8"/>
      <c r="T133" s="8"/>
      <c r="U133" s="8"/>
      <c r="V133" s="8"/>
      <c r="W133" s="8"/>
      <c r="X133" s="8"/>
      <c r="Y133" s="8"/>
    </row>
    <row r="134" spans="1:25" ht="24" customHeight="1" x14ac:dyDescent="0.2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8"/>
      <c r="N134" s="88"/>
      <c r="O134" s="8"/>
      <c r="P134" s="8"/>
      <c r="Q134" s="89"/>
      <c r="R134" s="89"/>
      <c r="S134" s="8"/>
      <c r="T134" s="8"/>
      <c r="U134" s="8"/>
      <c r="V134" s="8"/>
      <c r="W134" s="8"/>
      <c r="X134" s="8"/>
      <c r="Y134" s="8"/>
    </row>
    <row r="135" spans="1:25" ht="24" customHeight="1" x14ac:dyDescent="0.2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8"/>
      <c r="N135" s="88"/>
      <c r="O135" s="8"/>
      <c r="P135" s="8"/>
      <c r="Q135" s="89"/>
      <c r="R135" s="89"/>
      <c r="S135" s="8"/>
      <c r="T135" s="8"/>
      <c r="U135" s="8"/>
      <c r="V135" s="8"/>
      <c r="W135" s="8"/>
      <c r="X135" s="8"/>
      <c r="Y135" s="8"/>
    </row>
    <row r="136" spans="1:25" ht="24" customHeight="1" x14ac:dyDescent="0.2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8"/>
      <c r="N136" s="88"/>
      <c r="O136" s="8"/>
      <c r="P136" s="8"/>
      <c r="Q136" s="89"/>
      <c r="R136" s="89"/>
      <c r="S136" s="8"/>
      <c r="T136" s="8"/>
      <c r="U136" s="8"/>
      <c r="V136" s="8"/>
      <c r="W136" s="8"/>
      <c r="X136" s="8"/>
      <c r="Y136" s="8"/>
    </row>
    <row r="137" spans="1:25" ht="24" customHeight="1" x14ac:dyDescent="0.2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8"/>
      <c r="N137" s="88"/>
      <c r="O137" s="8"/>
      <c r="P137" s="8"/>
      <c r="Q137" s="89"/>
      <c r="R137" s="89"/>
      <c r="S137" s="8"/>
      <c r="T137" s="8"/>
      <c r="U137" s="8"/>
      <c r="V137" s="8"/>
      <c r="W137" s="8"/>
      <c r="X137" s="8"/>
      <c r="Y137" s="8"/>
    </row>
    <row r="138" spans="1:25" ht="24" customHeight="1" x14ac:dyDescent="0.2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8"/>
      <c r="N138" s="88"/>
      <c r="O138" s="8"/>
      <c r="P138" s="8"/>
      <c r="Q138" s="89"/>
      <c r="R138" s="89"/>
      <c r="S138" s="8"/>
      <c r="T138" s="8"/>
      <c r="U138" s="8"/>
      <c r="V138" s="8"/>
      <c r="W138" s="8"/>
      <c r="X138" s="8"/>
      <c r="Y138" s="8"/>
    </row>
    <row r="139" spans="1:25" ht="24" customHeight="1" x14ac:dyDescent="0.2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8"/>
      <c r="N139" s="88"/>
      <c r="O139" s="8"/>
      <c r="P139" s="8"/>
      <c r="Q139" s="89"/>
      <c r="R139" s="89"/>
      <c r="S139" s="8"/>
      <c r="T139" s="8"/>
      <c r="U139" s="8"/>
      <c r="V139" s="8"/>
      <c r="W139" s="8"/>
      <c r="X139" s="8"/>
      <c r="Y139" s="8"/>
    </row>
    <row r="140" spans="1:25" ht="24" customHeight="1" x14ac:dyDescent="0.2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8"/>
      <c r="N140" s="88"/>
      <c r="O140" s="8"/>
      <c r="P140" s="8"/>
      <c r="Q140" s="89"/>
      <c r="R140" s="89"/>
      <c r="S140" s="8"/>
      <c r="T140" s="8"/>
      <c r="U140" s="8"/>
      <c r="V140" s="8"/>
      <c r="W140" s="8"/>
      <c r="X140" s="8"/>
      <c r="Y140" s="8"/>
    </row>
    <row r="141" spans="1:25" ht="24" customHeight="1" x14ac:dyDescent="0.2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8"/>
      <c r="N141" s="88"/>
      <c r="O141" s="8"/>
      <c r="P141" s="8"/>
      <c r="Q141" s="89"/>
      <c r="R141" s="89"/>
      <c r="S141" s="8"/>
      <c r="T141" s="8"/>
      <c r="U141" s="8"/>
      <c r="V141" s="8"/>
      <c r="W141" s="8"/>
      <c r="X141" s="8"/>
      <c r="Y141" s="8"/>
    </row>
    <row r="142" spans="1:25" ht="24" customHeight="1" x14ac:dyDescent="0.2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8"/>
      <c r="N142" s="88"/>
      <c r="O142" s="8"/>
      <c r="P142" s="8"/>
      <c r="Q142" s="89"/>
      <c r="R142" s="89"/>
      <c r="S142" s="8"/>
      <c r="T142" s="8"/>
      <c r="U142" s="8"/>
      <c r="V142" s="8"/>
      <c r="W142" s="8"/>
      <c r="X142" s="8"/>
      <c r="Y142" s="8"/>
    </row>
    <row r="143" spans="1:25" ht="24" customHeight="1" x14ac:dyDescent="0.2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8"/>
      <c r="N143" s="88"/>
      <c r="O143" s="8"/>
      <c r="P143" s="8"/>
      <c r="Q143" s="89"/>
      <c r="R143" s="89"/>
      <c r="S143" s="8"/>
      <c r="T143" s="8"/>
      <c r="U143" s="8"/>
      <c r="V143" s="8"/>
      <c r="W143" s="8"/>
      <c r="X143" s="8"/>
      <c r="Y143" s="8"/>
    </row>
    <row r="144" spans="1:25" ht="24" customHeight="1" x14ac:dyDescent="0.2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8"/>
      <c r="N144" s="88"/>
      <c r="O144" s="8"/>
      <c r="P144" s="8"/>
      <c r="Q144" s="89"/>
      <c r="R144" s="89"/>
      <c r="S144" s="8"/>
      <c r="T144" s="8"/>
      <c r="U144" s="8"/>
      <c r="V144" s="8"/>
      <c r="W144" s="8"/>
      <c r="X144" s="8"/>
      <c r="Y144" s="8"/>
    </row>
    <row r="145" spans="1:25" ht="24" customHeight="1" x14ac:dyDescent="0.2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8"/>
      <c r="N145" s="88"/>
      <c r="O145" s="8"/>
      <c r="P145" s="8"/>
      <c r="Q145" s="89"/>
      <c r="R145" s="89"/>
      <c r="S145" s="8"/>
      <c r="T145" s="8"/>
      <c r="U145" s="8"/>
      <c r="V145" s="8"/>
      <c r="W145" s="8"/>
      <c r="X145" s="8"/>
      <c r="Y145" s="8"/>
    </row>
    <row r="146" spans="1:25" ht="24" customHeight="1" x14ac:dyDescent="0.2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8"/>
      <c r="N146" s="88"/>
      <c r="O146" s="8"/>
      <c r="P146" s="8"/>
      <c r="Q146" s="89"/>
      <c r="R146" s="89"/>
      <c r="S146" s="8"/>
      <c r="T146" s="8"/>
      <c r="U146" s="8"/>
      <c r="V146" s="8"/>
      <c r="W146" s="8"/>
      <c r="X146" s="8"/>
      <c r="Y146" s="8"/>
    </row>
    <row r="147" spans="1:25" ht="24" customHeight="1" x14ac:dyDescent="0.2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8"/>
      <c r="N147" s="88"/>
      <c r="O147" s="8"/>
      <c r="P147" s="8"/>
      <c r="Q147" s="89"/>
      <c r="R147" s="89"/>
      <c r="S147" s="8"/>
      <c r="T147" s="8"/>
      <c r="U147" s="8"/>
      <c r="V147" s="8"/>
      <c r="W147" s="8"/>
      <c r="X147" s="8"/>
      <c r="Y147" s="8"/>
    </row>
    <row r="148" spans="1:25" ht="24" customHeight="1" x14ac:dyDescent="0.2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8"/>
      <c r="N148" s="88"/>
      <c r="O148" s="8"/>
      <c r="P148" s="8"/>
      <c r="Q148" s="89"/>
      <c r="R148" s="89"/>
      <c r="S148" s="8"/>
      <c r="T148" s="8"/>
      <c r="U148" s="8"/>
      <c r="V148" s="8"/>
      <c r="W148" s="8"/>
      <c r="X148" s="8"/>
      <c r="Y148" s="8"/>
    </row>
    <row r="149" spans="1:25" ht="24" customHeight="1" x14ac:dyDescent="0.2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8"/>
      <c r="N149" s="88"/>
      <c r="O149" s="8"/>
      <c r="P149" s="8"/>
      <c r="Q149" s="89"/>
      <c r="R149" s="89"/>
      <c r="S149" s="8"/>
      <c r="T149" s="8"/>
      <c r="U149" s="8"/>
      <c r="V149" s="8"/>
      <c r="W149" s="8"/>
      <c r="X149" s="8"/>
      <c r="Y149" s="8"/>
    </row>
    <row r="150" spans="1:25" ht="24" customHeight="1" x14ac:dyDescent="0.2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8"/>
      <c r="N150" s="88"/>
      <c r="O150" s="8"/>
      <c r="P150" s="8"/>
      <c r="Q150" s="89"/>
      <c r="R150" s="89"/>
      <c r="S150" s="8"/>
      <c r="T150" s="8"/>
      <c r="U150" s="8"/>
      <c r="V150" s="8"/>
      <c r="W150" s="8"/>
      <c r="X150" s="8"/>
      <c r="Y150" s="8"/>
    </row>
    <row r="151" spans="1:25" ht="24" customHeight="1" x14ac:dyDescent="0.2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8"/>
      <c r="N151" s="88"/>
      <c r="O151" s="8"/>
      <c r="P151" s="8"/>
      <c r="Q151" s="89"/>
      <c r="R151" s="89"/>
      <c r="S151" s="8"/>
      <c r="T151" s="8"/>
      <c r="U151" s="8"/>
      <c r="V151" s="8"/>
      <c r="W151" s="8"/>
      <c r="X151" s="8"/>
      <c r="Y151" s="8"/>
    </row>
    <row r="152" spans="1:25" ht="24" customHeight="1" x14ac:dyDescent="0.2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8"/>
      <c r="N152" s="88"/>
      <c r="O152" s="8"/>
      <c r="P152" s="8"/>
      <c r="Q152" s="89"/>
      <c r="R152" s="89"/>
      <c r="S152" s="8"/>
      <c r="T152" s="8"/>
      <c r="U152" s="8"/>
      <c r="V152" s="8"/>
      <c r="W152" s="8"/>
      <c r="X152" s="8"/>
      <c r="Y152" s="8"/>
    </row>
    <row r="153" spans="1:25" ht="24" customHeight="1" x14ac:dyDescent="0.2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8"/>
      <c r="N153" s="88"/>
      <c r="O153" s="8"/>
      <c r="P153" s="8"/>
      <c r="Q153" s="89"/>
      <c r="R153" s="89"/>
      <c r="S153" s="8"/>
      <c r="T153" s="8"/>
      <c r="U153" s="8"/>
      <c r="V153" s="8"/>
      <c r="W153" s="8"/>
      <c r="X153" s="8"/>
      <c r="Y153" s="8"/>
    </row>
    <row r="154" spans="1:25" ht="24" customHeight="1" x14ac:dyDescent="0.2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8"/>
      <c r="N154" s="88"/>
      <c r="O154" s="8"/>
      <c r="P154" s="8"/>
      <c r="Q154" s="89"/>
      <c r="R154" s="89"/>
      <c r="S154" s="8"/>
      <c r="T154" s="8"/>
      <c r="U154" s="8"/>
      <c r="V154" s="8"/>
      <c r="W154" s="8"/>
      <c r="X154" s="8"/>
      <c r="Y154" s="8"/>
    </row>
    <row r="155" spans="1:25" ht="24" customHeight="1" x14ac:dyDescent="0.2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8"/>
      <c r="N155" s="88"/>
      <c r="O155" s="8"/>
      <c r="P155" s="8"/>
      <c r="Q155" s="89"/>
      <c r="R155" s="89"/>
      <c r="S155" s="8"/>
      <c r="T155" s="8"/>
      <c r="U155" s="8"/>
      <c r="V155" s="8"/>
      <c r="W155" s="8"/>
      <c r="X155" s="8"/>
      <c r="Y155" s="8"/>
    </row>
    <row r="156" spans="1:25" ht="24" customHeight="1" x14ac:dyDescent="0.2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8"/>
      <c r="N156" s="88"/>
      <c r="O156" s="8"/>
      <c r="P156" s="8"/>
      <c r="Q156" s="89"/>
      <c r="R156" s="89"/>
      <c r="S156" s="8"/>
      <c r="T156" s="8"/>
      <c r="U156" s="8"/>
      <c r="V156" s="8"/>
      <c r="W156" s="8"/>
      <c r="X156" s="8"/>
      <c r="Y156" s="8"/>
    </row>
    <row r="157" spans="1:25" ht="24" customHeight="1" x14ac:dyDescent="0.2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8"/>
      <c r="N157" s="88"/>
      <c r="O157" s="8"/>
      <c r="P157" s="8"/>
      <c r="Q157" s="89"/>
      <c r="R157" s="89"/>
      <c r="S157" s="8"/>
      <c r="T157" s="8"/>
      <c r="U157" s="8"/>
      <c r="V157" s="8"/>
      <c r="W157" s="8"/>
      <c r="X157" s="8"/>
      <c r="Y157" s="8"/>
    </row>
    <row r="158" spans="1:25" ht="24" customHeight="1" x14ac:dyDescent="0.2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8"/>
      <c r="N158" s="88"/>
      <c r="O158" s="8"/>
      <c r="P158" s="8"/>
      <c r="Q158" s="89"/>
      <c r="R158" s="89"/>
      <c r="S158" s="8"/>
      <c r="T158" s="8"/>
      <c r="U158" s="8"/>
      <c r="V158" s="8"/>
      <c r="W158" s="8"/>
      <c r="X158" s="8"/>
      <c r="Y158" s="8"/>
    </row>
    <row r="159" spans="1:25" ht="24" customHeight="1" x14ac:dyDescent="0.2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8"/>
      <c r="N159" s="88"/>
      <c r="O159" s="8"/>
      <c r="P159" s="8"/>
      <c r="Q159" s="89"/>
      <c r="R159" s="89"/>
      <c r="S159" s="8"/>
      <c r="T159" s="8"/>
      <c r="U159" s="8"/>
      <c r="V159" s="8"/>
      <c r="W159" s="8"/>
      <c r="X159" s="8"/>
      <c r="Y159" s="8"/>
    </row>
    <row r="160" spans="1:25" ht="24" customHeight="1" x14ac:dyDescent="0.2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8"/>
      <c r="N160" s="88"/>
      <c r="O160" s="8"/>
      <c r="P160" s="8"/>
      <c r="Q160" s="89"/>
      <c r="R160" s="89"/>
      <c r="S160" s="8"/>
      <c r="T160" s="8"/>
      <c r="U160" s="8"/>
      <c r="V160" s="8"/>
      <c r="W160" s="8"/>
      <c r="X160" s="8"/>
      <c r="Y160" s="8"/>
    </row>
    <row r="161" spans="1:25" ht="24" customHeight="1" x14ac:dyDescent="0.2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8"/>
      <c r="N161" s="88"/>
      <c r="O161" s="8"/>
      <c r="P161" s="8"/>
      <c r="Q161" s="89"/>
      <c r="R161" s="89"/>
      <c r="S161" s="8"/>
      <c r="T161" s="8"/>
      <c r="U161" s="8"/>
      <c r="V161" s="8"/>
      <c r="W161" s="8"/>
      <c r="X161" s="8"/>
      <c r="Y161" s="8"/>
    </row>
    <row r="162" spans="1:25" ht="24" customHeight="1" x14ac:dyDescent="0.2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8"/>
      <c r="N162" s="88"/>
      <c r="O162" s="8"/>
      <c r="P162" s="8"/>
      <c r="Q162" s="89"/>
      <c r="R162" s="89"/>
      <c r="S162" s="8"/>
      <c r="T162" s="8"/>
      <c r="U162" s="8"/>
      <c r="V162" s="8"/>
      <c r="W162" s="8"/>
      <c r="X162" s="8"/>
      <c r="Y162" s="8"/>
    </row>
    <row r="163" spans="1:25" ht="24" customHeight="1" x14ac:dyDescent="0.2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8"/>
      <c r="N163" s="88"/>
      <c r="O163" s="8"/>
      <c r="P163" s="8"/>
      <c r="Q163" s="89"/>
      <c r="R163" s="89"/>
      <c r="S163" s="8"/>
      <c r="T163" s="8"/>
      <c r="U163" s="8"/>
      <c r="V163" s="8"/>
      <c r="W163" s="8"/>
      <c r="X163" s="8"/>
      <c r="Y163" s="8"/>
    </row>
    <row r="164" spans="1:25" ht="24" customHeight="1" x14ac:dyDescent="0.2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8"/>
      <c r="N164" s="88"/>
      <c r="O164" s="8"/>
      <c r="P164" s="8"/>
      <c r="Q164" s="89"/>
      <c r="R164" s="89"/>
      <c r="S164" s="8"/>
      <c r="T164" s="8"/>
      <c r="U164" s="8"/>
      <c r="V164" s="8"/>
      <c r="W164" s="8"/>
      <c r="X164" s="8"/>
      <c r="Y164" s="8"/>
    </row>
    <row r="165" spans="1:25" ht="24" customHeight="1" x14ac:dyDescent="0.2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8"/>
      <c r="N165" s="88"/>
      <c r="O165" s="8"/>
      <c r="P165" s="8"/>
      <c r="Q165" s="89"/>
      <c r="R165" s="89"/>
      <c r="S165" s="8"/>
      <c r="T165" s="8"/>
      <c r="U165" s="8"/>
      <c r="V165" s="8"/>
      <c r="W165" s="8"/>
      <c r="X165" s="8"/>
      <c r="Y165" s="8"/>
    </row>
    <row r="166" spans="1:25" ht="24" customHeight="1" x14ac:dyDescent="0.2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8"/>
      <c r="N166" s="88"/>
      <c r="O166" s="8"/>
      <c r="P166" s="8"/>
      <c r="Q166" s="89"/>
      <c r="R166" s="89"/>
      <c r="S166" s="8"/>
      <c r="T166" s="8"/>
      <c r="U166" s="8"/>
      <c r="V166" s="8"/>
      <c r="W166" s="8"/>
      <c r="X166" s="8"/>
      <c r="Y166" s="8"/>
    </row>
    <row r="167" spans="1:25" ht="24" customHeight="1" x14ac:dyDescent="0.2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8"/>
      <c r="N167" s="88"/>
      <c r="O167" s="8"/>
      <c r="P167" s="8"/>
      <c r="Q167" s="89"/>
      <c r="R167" s="89"/>
      <c r="S167" s="8"/>
      <c r="T167" s="8"/>
      <c r="U167" s="8"/>
      <c r="V167" s="8"/>
      <c r="W167" s="8"/>
      <c r="X167" s="8"/>
      <c r="Y167" s="8"/>
    </row>
    <row r="168" spans="1:25" ht="24" customHeight="1" x14ac:dyDescent="0.2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8"/>
      <c r="N168" s="88"/>
      <c r="O168" s="8"/>
      <c r="P168" s="8"/>
      <c r="Q168" s="89"/>
      <c r="R168" s="89"/>
      <c r="S168" s="8"/>
      <c r="T168" s="8"/>
      <c r="U168" s="8"/>
      <c r="V168" s="8"/>
      <c r="W168" s="8"/>
      <c r="X168" s="8"/>
      <c r="Y168" s="8"/>
    </row>
    <row r="169" spans="1:25" ht="24" customHeight="1" x14ac:dyDescent="0.2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8"/>
      <c r="N169" s="88"/>
      <c r="O169" s="8"/>
      <c r="P169" s="8"/>
      <c r="Q169" s="89"/>
      <c r="R169" s="89"/>
      <c r="S169" s="8"/>
      <c r="T169" s="8"/>
      <c r="U169" s="8"/>
      <c r="V169" s="8"/>
      <c r="W169" s="8"/>
      <c r="X169" s="8"/>
      <c r="Y169" s="8"/>
    </row>
    <row r="170" spans="1:25" ht="24" customHeight="1" x14ac:dyDescent="0.2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8"/>
      <c r="N170" s="88"/>
      <c r="O170" s="8"/>
      <c r="P170" s="8"/>
      <c r="Q170" s="89"/>
      <c r="R170" s="89"/>
      <c r="S170" s="8"/>
      <c r="T170" s="8"/>
      <c r="U170" s="8"/>
      <c r="V170" s="8"/>
      <c r="W170" s="8"/>
      <c r="X170" s="8"/>
      <c r="Y170" s="8"/>
    </row>
    <row r="171" spans="1:25" ht="24" customHeight="1" x14ac:dyDescent="0.2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8"/>
      <c r="N171" s="88"/>
      <c r="O171" s="8"/>
      <c r="P171" s="8"/>
      <c r="Q171" s="89"/>
      <c r="R171" s="89"/>
      <c r="S171" s="8"/>
      <c r="T171" s="8"/>
      <c r="U171" s="8"/>
      <c r="V171" s="8"/>
      <c r="W171" s="8"/>
      <c r="X171" s="8"/>
      <c r="Y171" s="8"/>
    </row>
    <row r="172" spans="1:25" ht="24" customHeight="1" x14ac:dyDescent="0.2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8"/>
      <c r="N172" s="88"/>
      <c r="O172" s="8"/>
      <c r="P172" s="8"/>
      <c r="Q172" s="89"/>
      <c r="R172" s="89"/>
      <c r="S172" s="8"/>
      <c r="T172" s="8"/>
      <c r="U172" s="8"/>
      <c r="V172" s="8"/>
      <c r="W172" s="8"/>
      <c r="X172" s="8"/>
      <c r="Y172" s="8"/>
    </row>
    <row r="173" spans="1:25" ht="24" customHeight="1" x14ac:dyDescent="0.2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8"/>
      <c r="N173" s="88"/>
      <c r="O173" s="8"/>
      <c r="P173" s="8"/>
      <c r="Q173" s="89"/>
      <c r="R173" s="89"/>
      <c r="S173" s="8"/>
      <c r="T173" s="8"/>
      <c r="U173" s="8"/>
      <c r="V173" s="8"/>
      <c r="W173" s="8"/>
      <c r="X173" s="8"/>
      <c r="Y173" s="8"/>
    </row>
    <row r="174" spans="1:25" ht="24" customHeight="1" x14ac:dyDescent="0.2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8"/>
      <c r="N174" s="88"/>
      <c r="O174" s="8"/>
      <c r="P174" s="8"/>
      <c r="Q174" s="89"/>
      <c r="R174" s="89"/>
      <c r="S174" s="8"/>
      <c r="T174" s="8"/>
      <c r="U174" s="8"/>
      <c r="V174" s="8"/>
      <c r="W174" s="8"/>
      <c r="X174" s="8"/>
      <c r="Y174" s="8"/>
    </row>
    <row r="175" spans="1:25" ht="24" customHeight="1" x14ac:dyDescent="0.2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8"/>
      <c r="N175" s="88"/>
      <c r="O175" s="8"/>
      <c r="P175" s="8"/>
      <c r="Q175" s="89"/>
      <c r="R175" s="89"/>
      <c r="S175" s="8"/>
      <c r="T175" s="8"/>
      <c r="U175" s="8"/>
      <c r="V175" s="8"/>
      <c r="W175" s="8"/>
      <c r="X175" s="8"/>
      <c r="Y175" s="8"/>
    </row>
    <row r="176" spans="1:25" ht="24" customHeight="1" x14ac:dyDescent="0.2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8"/>
      <c r="N176" s="88"/>
      <c r="O176" s="8"/>
      <c r="P176" s="8"/>
      <c r="Q176" s="89"/>
      <c r="R176" s="89"/>
      <c r="S176" s="8"/>
      <c r="T176" s="8"/>
      <c r="U176" s="8"/>
      <c r="V176" s="8"/>
      <c r="W176" s="8"/>
      <c r="X176" s="8"/>
      <c r="Y176" s="8"/>
    </row>
    <row r="177" spans="1:25" ht="24" customHeight="1" x14ac:dyDescent="0.2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8"/>
      <c r="N177" s="88"/>
      <c r="O177" s="8"/>
      <c r="P177" s="8"/>
      <c r="Q177" s="89"/>
      <c r="R177" s="89"/>
      <c r="S177" s="8"/>
      <c r="T177" s="8"/>
      <c r="U177" s="8"/>
      <c r="V177" s="8"/>
      <c r="W177" s="8"/>
      <c r="X177" s="8"/>
      <c r="Y177" s="8"/>
    </row>
    <row r="178" spans="1:25" ht="24" customHeight="1" x14ac:dyDescent="0.2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8"/>
      <c r="N178" s="88"/>
      <c r="O178" s="8"/>
      <c r="P178" s="8"/>
      <c r="Q178" s="89"/>
      <c r="R178" s="89"/>
      <c r="S178" s="8"/>
      <c r="T178" s="8"/>
      <c r="U178" s="8"/>
      <c r="V178" s="8"/>
      <c r="W178" s="8"/>
      <c r="X178" s="8"/>
      <c r="Y178" s="8"/>
    </row>
    <row r="179" spans="1:25" ht="24" customHeight="1" x14ac:dyDescent="0.2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8"/>
      <c r="N179" s="88"/>
      <c r="O179" s="8"/>
      <c r="P179" s="8"/>
      <c r="Q179" s="89"/>
      <c r="R179" s="89"/>
      <c r="S179" s="8"/>
      <c r="T179" s="8"/>
      <c r="U179" s="8"/>
      <c r="V179" s="8"/>
      <c r="W179" s="8"/>
      <c r="X179" s="8"/>
      <c r="Y179" s="8"/>
    </row>
    <row r="180" spans="1:25" ht="24" customHeight="1" x14ac:dyDescent="0.2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8"/>
      <c r="N180" s="88"/>
      <c r="O180" s="8"/>
      <c r="P180" s="8"/>
      <c r="Q180" s="89"/>
      <c r="R180" s="89"/>
      <c r="S180" s="8"/>
      <c r="T180" s="8"/>
      <c r="U180" s="8"/>
      <c r="V180" s="8"/>
      <c r="W180" s="8"/>
      <c r="X180" s="8"/>
      <c r="Y180" s="8"/>
    </row>
    <row r="181" spans="1:25" ht="24" customHeight="1" x14ac:dyDescent="0.2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8"/>
      <c r="N181" s="88"/>
      <c r="O181" s="8"/>
      <c r="P181" s="8"/>
      <c r="Q181" s="89"/>
      <c r="R181" s="89"/>
      <c r="S181" s="8"/>
      <c r="T181" s="8"/>
      <c r="U181" s="8"/>
      <c r="V181" s="8"/>
      <c r="W181" s="8"/>
      <c r="X181" s="8"/>
      <c r="Y181" s="8"/>
    </row>
    <row r="182" spans="1:25" ht="24" customHeight="1" x14ac:dyDescent="0.2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8"/>
      <c r="N182" s="88"/>
      <c r="O182" s="8"/>
      <c r="P182" s="8"/>
      <c r="Q182" s="89"/>
      <c r="R182" s="89"/>
      <c r="S182" s="8"/>
      <c r="T182" s="8"/>
      <c r="U182" s="8"/>
      <c r="V182" s="8"/>
      <c r="W182" s="8"/>
      <c r="X182" s="8"/>
      <c r="Y182" s="8"/>
    </row>
    <row r="183" spans="1:25" ht="24" customHeight="1" x14ac:dyDescent="0.2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8"/>
      <c r="N183" s="88"/>
      <c r="O183" s="8"/>
      <c r="P183" s="8"/>
      <c r="Q183" s="89"/>
      <c r="R183" s="89"/>
      <c r="S183" s="8"/>
      <c r="T183" s="8"/>
      <c r="U183" s="8"/>
      <c r="V183" s="8"/>
      <c r="W183" s="8"/>
      <c r="X183" s="8"/>
      <c r="Y183" s="8"/>
    </row>
    <row r="184" spans="1:25" ht="24" customHeight="1" x14ac:dyDescent="0.2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8"/>
      <c r="N184" s="88"/>
      <c r="O184" s="8"/>
      <c r="P184" s="8"/>
      <c r="Q184" s="89"/>
      <c r="R184" s="89"/>
      <c r="S184" s="8"/>
      <c r="T184" s="8"/>
      <c r="U184" s="8"/>
      <c r="V184" s="8"/>
      <c r="W184" s="8"/>
      <c r="X184" s="8"/>
      <c r="Y184" s="8"/>
    </row>
    <row r="185" spans="1:25" ht="24" customHeight="1" x14ac:dyDescent="0.2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8"/>
      <c r="N185" s="88"/>
      <c r="O185" s="8"/>
      <c r="P185" s="8"/>
      <c r="Q185" s="89"/>
      <c r="R185" s="89"/>
      <c r="S185" s="8"/>
      <c r="T185" s="8"/>
      <c r="U185" s="8"/>
      <c r="V185" s="8"/>
      <c r="W185" s="8"/>
      <c r="X185" s="8"/>
      <c r="Y185" s="8"/>
    </row>
    <row r="186" spans="1:25" ht="24" customHeight="1" x14ac:dyDescent="0.2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8"/>
      <c r="N186" s="88"/>
      <c r="O186" s="8"/>
      <c r="P186" s="8"/>
      <c r="Q186" s="89"/>
      <c r="R186" s="89"/>
      <c r="S186" s="8"/>
      <c r="T186" s="8"/>
      <c r="U186" s="8"/>
      <c r="V186" s="8"/>
      <c r="W186" s="8"/>
      <c r="X186" s="8"/>
      <c r="Y186" s="8"/>
    </row>
    <row r="187" spans="1:25" ht="24" customHeight="1" x14ac:dyDescent="0.2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8"/>
      <c r="N187" s="88"/>
      <c r="O187" s="8"/>
      <c r="P187" s="8"/>
      <c r="Q187" s="89"/>
      <c r="R187" s="89"/>
      <c r="S187" s="8"/>
      <c r="T187" s="8"/>
      <c r="U187" s="8"/>
      <c r="V187" s="8"/>
      <c r="W187" s="8"/>
      <c r="X187" s="8"/>
      <c r="Y187" s="8"/>
    </row>
    <row r="188" spans="1:25" ht="24" customHeight="1" x14ac:dyDescent="0.2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8"/>
      <c r="N188" s="88"/>
      <c r="O188" s="8"/>
      <c r="P188" s="8"/>
      <c r="Q188" s="89"/>
      <c r="R188" s="89"/>
      <c r="S188" s="8"/>
      <c r="T188" s="8"/>
      <c r="U188" s="8"/>
      <c r="V188" s="8"/>
      <c r="W188" s="8"/>
      <c r="X188" s="8"/>
      <c r="Y188" s="8"/>
    </row>
    <row r="189" spans="1:25" ht="24" customHeight="1" x14ac:dyDescent="0.2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8"/>
      <c r="N189" s="88"/>
      <c r="O189" s="8"/>
      <c r="P189" s="8"/>
      <c r="Q189" s="89"/>
      <c r="R189" s="89"/>
      <c r="S189" s="8"/>
      <c r="T189" s="8"/>
      <c r="U189" s="8"/>
      <c r="V189" s="8"/>
      <c r="W189" s="8"/>
      <c r="X189" s="8"/>
      <c r="Y189" s="8"/>
    </row>
    <row r="190" spans="1:25" ht="24" customHeight="1" x14ac:dyDescent="0.2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8"/>
      <c r="N190" s="88"/>
      <c r="O190" s="8"/>
      <c r="P190" s="8"/>
      <c r="Q190" s="89"/>
      <c r="R190" s="89"/>
      <c r="S190" s="8"/>
      <c r="T190" s="8"/>
      <c r="U190" s="8"/>
      <c r="V190" s="8"/>
      <c r="W190" s="8"/>
      <c r="X190" s="8"/>
      <c r="Y190" s="8"/>
    </row>
    <row r="191" spans="1:25" ht="24" customHeight="1" x14ac:dyDescent="0.2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8"/>
      <c r="N191" s="88"/>
      <c r="O191" s="8"/>
      <c r="P191" s="8"/>
      <c r="Q191" s="89"/>
      <c r="R191" s="89"/>
      <c r="S191" s="8"/>
      <c r="T191" s="8"/>
      <c r="U191" s="8"/>
      <c r="V191" s="8"/>
      <c r="W191" s="8"/>
      <c r="X191" s="8"/>
      <c r="Y191" s="8"/>
    </row>
    <row r="192" spans="1:25" ht="24" customHeight="1" x14ac:dyDescent="0.2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8"/>
      <c r="N192" s="88"/>
      <c r="O192" s="8"/>
      <c r="P192" s="8"/>
      <c r="Q192" s="89"/>
      <c r="R192" s="89"/>
      <c r="S192" s="8"/>
      <c r="T192" s="8"/>
      <c r="U192" s="8"/>
      <c r="V192" s="8"/>
      <c r="W192" s="8"/>
      <c r="X192" s="8"/>
      <c r="Y192" s="8"/>
    </row>
    <row r="193" spans="1:25" ht="24" customHeight="1" x14ac:dyDescent="0.2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8"/>
      <c r="N193" s="88"/>
      <c r="O193" s="8"/>
      <c r="P193" s="8"/>
      <c r="Q193" s="89"/>
      <c r="R193" s="89"/>
      <c r="S193" s="8"/>
      <c r="T193" s="8"/>
      <c r="U193" s="8"/>
      <c r="V193" s="8"/>
      <c r="W193" s="8"/>
      <c r="X193" s="8"/>
      <c r="Y193" s="8"/>
    </row>
    <row r="194" spans="1:25" ht="24" customHeight="1" x14ac:dyDescent="0.2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8"/>
      <c r="N194" s="88"/>
      <c r="O194" s="8"/>
      <c r="P194" s="8"/>
      <c r="Q194" s="89"/>
      <c r="R194" s="89"/>
      <c r="S194" s="8"/>
      <c r="T194" s="8"/>
      <c r="U194" s="8"/>
      <c r="V194" s="8"/>
      <c r="W194" s="8"/>
      <c r="X194" s="8"/>
      <c r="Y194" s="8"/>
    </row>
    <row r="195" spans="1:25" ht="24" customHeight="1" x14ac:dyDescent="0.2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8"/>
      <c r="N195" s="88"/>
      <c r="O195" s="8"/>
      <c r="P195" s="8"/>
      <c r="Q195" s="89"/>
      <c r="R195" s="89"/>
      <c r="S195" s="8"/>
      <c r="T195" s="8"/>
      <c r="U195" s="8"/>
      <c r="V195" s="8"/>
      <c r="W195" s="8"/>
      <c r="X195" s="8"/>
      <c r="Y195" s="8"/>
    </row>
    <row r="196" spans="1:25" ht="24" customHeight="1" x14ac:dyDescent="0.2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8"/>
      <c r="N196" s="88"/>
      <c r="O196" s="8"/>
      <c r="P196" s="8"/>
      <c r="Q196" s="89"/>
      <c r="R196" s="89"/>
      <c r="S196" s="8"/>
      <c r="T196" s="8"/>
      <c r="U196" s="8"/>
      <c r="V196" s="8"/>
      <c r="W196" s="8"/>
      <c r="X196" s="8"/>
      <c r="Y196" s="8"/>
    </row>
    <row r="197" spans="1:25" ht="24" customHeight="1" x14ac:dyDescent="0.2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8"/>
      <c r="N197" s="88"/>
      <c r="O197" s="8"/>
      <c r="P197" s="8"/>
      <c r="Q197" s="89"/>
      <c r="R197" s="89"/>
      <c r="S197" s="8"/>
      <c r="T197" s="8"/>
      <c r="U197" s="8"/>
      <c r="V197" s="8"/>
      <c r="W197" s="8"/>
      <c r="X197" s="8"/>
      <c r="Y197" s="8"/>
    </row>
    <row r="198" spans="1:25" ht="24" customHeight="1" x14ac:dyDescent="0.2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8"/>
      <c r="N198" s="88"/>
      <c r="O198" s="8"/>
      <c r="P198" s="8"/>
      <c r="Q198" s="89"/>
      <c r="R198" s="89"/>
      <c r="S198" s="8"/>
      <c r="T198" s="8"/>
      <c r="U198" s="8"/>
      <c r="V198" s="8"/>
      <c r="W198" s="8"/>
      <c r="X198" s="8"/>
      <c r="Y198" s="8"/>
    </row>
    <row r="199" spans="1:25" ht="24" customHeight="1" x14ac:dyDescent="0.2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8"/>
      <c r="N199" s="88"/>
      <c r="O199" s="8"/>
      <c r="P199" s="8"/>
      <c r="Q199" s="89"/>
      <c r="R199" s="89"/>
      <c r="S199" s="8"/>
      <c r="T199" s="8"/>
      <c r="U199" s="8"/>
      <c r="V199" s="8"/>
      <c r="W199" s="8"/>
      <c r="X199" s="8"/>
      <c r="Y199" s="8"/>
    </row>
    <row r="200" spans="1:25" ht="24" customHeight="1" x14ac:dyDescent="0.2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8"/>
      <c r="N200" s="88"/>
      <c r="O200" s="8"/>
      <c r="P200" s="8"/>
      <c r="Q200" s="89"/>
      <c r="R200" s="89"/>
      <c r="S200" s="8"/>
      <c r="T200" s="8"/>
      <c r="U200" s="8"/>
      <c r="V200" s="8"/>
      <c r="W200" s="8"/>
      <c r="X200" s="8"/>
      <c r="Y200" s="8"/>
    </row>
    <row r="201" spans="1:25" ht="24" customHeight="1" x14ac:dyDescent="0.2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8"/>
      <c r="N201" s="88"/>
      <c r="O201" s="8"/>
      <c r="P201" s="8"/>
      <c r="Q201" s="89"/>
      <c r="R201" s="89"/>
      <c r="S201" s="8"/>
      <c r="T201" s="8"/>
      <c r="U201" s="8"/>
      <c r="V201" s="8"/>
      <c r="W201" s="8"/>
      <c r="X201" s="8"/>
      <c r="Y201" s="8"/>
    </row>
    <row r="202" spans="1:25" ht="24" customHeight="1" x14ac:dyDescent="0.2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8"/>
      <c r="N202" s="88"/>
      <c r="O202" s="8"/>
      <c r="P202" s="8"/>
      <c r="Q202" s="89"/>
      <c r="R202" s="89"/>
      <c r="S202" s="8"/>
      <c r="T202" s="8"/>
      <c r="U202" s="8"/>
      <c r="V202" s="8"/>
      <c r="W202" s="8"/>
      <c r="X202" s="8"/>
      <c r="Y202" s="8"/>
    </row>
    <row r="203" spans="1:25" ht="24" customHeight="1" x14ac:dyDescent="0.2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8"/>
      <c r="N203" s="88"/>
      <c r="O203" s="8"/>
      <c r="P203" s="8"/>
      <c r="Q203" s="89"/>
      <c r="R203" s="89"/>
      <c r="S203" s="8"/>
      <c r="T203" s="8"/>
      <c r="U203" s="8"/>
      <c r="V203" s="8"/>
      <c r="W203" s="8"/>
      <c r="X203" s="8"/>
      <c r="Y203" s="8"/>
    </row>
    <row r="204" spans="1:25" ht="24" customHeight="1" x14ac:dyDescent="0.2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8"/>
      <c r="N204" s="88"/>
      <c r="O204" s="8"/>
      <c r="P204" s="8"/>
      <c r="Q204" s="89"/>
      <c r="R204" s="89"/>
      <c r="S204" s="8"/>
      <c r="T204" s="8"/>
      <c r="U204" s="8"/>
      <c r="V204" s="8"/>
      <c r="W204" s="8"/>
      <c r="X204" s="8"/>
      <c r="Y204" s="8"/>
    </row>
    <row r="205" spans="1:25" ht="24" customHeight="1" x14ac:dyDescent="0.2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8"/>
      <c r="N205" s="88"/>
      <c r="O205" s="8"/>
      <c r="P205" s="8"/>
      <c r="Q205" s="89"/>
      <c r="R205" s="89"/>
      <c r="S205" s="8"/>
      <c r="T205" s="8"/>
      <c r="U205" s="8"/>
      <c r="V205" s="8"/>
      <c r="W205" s="8"/>
      <c r="X205" s="8"/>
      <c r="Y205" s="8"/>
    </row>
    <row r="206" spans="1:25" ht="24" customHeight="1" x14ac:dyDescent="0.2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8"/>
      <c r="N206" s="88"/>
      <c r="O206" s="8"/>
      <c r="P206" s="8"/>
      <c r="Q206" s="89"/>
      <c r="R206" s="89"/>
      <c r="S206" s="8"/>
      <c r="T206" s="8"/>
      <c r="U206" s="8"/>
      <c r="V206" s="8"/>
      <c r="W206" s="8"/>
      <c r="X206" s="8"/>
      <c r="Y206" s="8"/>
    </row>
    <row r="207" spans="1:25" ht="24" customHeight="1" x14ac:dyDescent="0.2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8"/>
      <c r="N207" s="88"/>
      <c r="O207" s="8"/>
      <c r="P207" s="8"/>
      <c r="Q207" s="89"/>
      <c r="R207" s="89"/>
      <c r="S207" s="8"/>
      <c r="T207" s="8"/>
      <c r="U207" s="8"/>
      <c r="V207" s="8"/>
      <c r="W207" s="8"/>
      <c r="X207" s="8"/>
      <c r="Y207" s="8"/>
    </row>
    <row r="208" spans="1:25" ht="24" customHeight="1" x14ac:dyDescent="0.2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8"/>
      <c r="N208" s="88"/>
      <c r="O208" s="8"/>
      <c r="P208" s="8"/>
      <c r="Q208" s="89"/>
      <c r="R208" s="89"/>
      <c r="S208" s="8"/>
      <c r="T208" s="8"/>
      <c r="U208" s="8"/>
      <c r="V208" s="8"/>
      <c r="W208" s="8"/>
      <c r="X208" s="8"/>
      <c r="Y208" s="8"/>
    </row>
    <row r="209" spans="1:25" ht="24" customHeight="1" x14ac:dyDescent="0.2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8"/>
      <c r="N209" s="88"/>
      <c r="O209" s="8"/>
      <c r="P209" s="8"/>
      <c r="Q209" s="89"/>
      <c r="R209" s="89"/>
      <c r="S209" s="8"/>
      <c r="T209" s="8"/>
      <c r="U209" s="8"/>
      <c r="V209" s="8"/>
      <c r="W209" s="8"/>
      <c r="X209" s="8"/>
      <c r="Y209" s="8"/>
    </row>
    <row r="210" spans="1:25" ht="24" customHeight="1" x14ac:dyDescent="0.2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8"/>
      <c r="N210" s="88"/>
      <c r="O210" s="8"/>
      <c r="P210" s="8"/>
      <c r="Q210" s="89"/>
      <c r="R210" s="89"/>
      <c r="S210" s="8"/>
      <c r="T210" s="8"/>
      <c r="U210" s="8"/>
      <c r="V210" s="8"/>
      <c r="W210" s="8"/>
      <c r="X210" s="8"/>
      <c r="Y210" s="8"/>
    </row>
    <row r="211" spans="1:25" ht="24" customHeight="1" x14ac:dyDescent="0.2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8"/>
      <c r="N211" s="88"/>
      <c r="O211" s="8"/>
      <c r="P211" s="8"/>
      <c r="Q211" s="89"/>
      <c r="R211" s="89"/>
      <c r="S211" s="8"/>
      <c r="T211" s="8"/>
      <c r="U211" s="8"/>
      <c r="V211" s="8"/>
      <c r="W211" s="8"/>
      <c r="X211" s="8"/>
      <c r="Y211" s="8"/>
    </row>
    <row r="212" spans="1:25" ht="24" customHeight="1" x14ac:dyDescent="0.2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8"/>
      <c r="N212" s="88"/>
      <c r="O212" s="8"/>
      <c r="P212" s="8"/>
      <c r="Q212" s="89"/>
      <c r="R212" s="89"/>
      <c r="S212" s="8"/>
      <c r="T212" s="8"/>
      <c r="U212" s="8"/>
      <c r="V212" s="8"/>
      <c r="W212" s="8"/>
      <c r="X212" s="8"/>
      <c r="Y212" s="8"/>
    </row>
    <row r="213" spans="1:25" ht="24" customHeight="1" x14ac:dyDescent="0.2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8"/>
      <c r="N213" s="88"/>
      <c r="O213" s="8"/>
      <c r="P213" s="8"/>
      <c r="Q213" s="89"/>
      <c r="R213" s="89"/>
      <c r="S213" s="8"/>
      <c r="T213" s="8"/>
      <c r="U213" s="8"/>
      <c r="V213" s="8"/>
      <c r="W213" s="8"/>
      <c r="X213" s="8"/>
      <c r="Y213" s="8"/>
    </row>
    <row r="214" spans="1:25" ht="24" customHeight="1" x14ac:dyDescent="0.2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8"/>
      <c r="N214" s="88"/>
      <c r="O214" s="8"/>
      <c r="P214" s="8"/>
      <c r="Q214" s="89"/>
      <c r="R214" s="89"/>
      <c r="S214" s="8"/>
      <c r="T214" s="8"/>
      <c r="U214" s="8"/>
      <c r="V214" s="8"/>
      <c r="W214" s="8"/>
      <c r="X214" s="8"/>
      <c r="Y214" s="8"/>
    </row>
    <row r="215" spans="1:25" ht="24" customHeight="1" x14ac:dyDescent="0.2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8"/>
      <c r="N215" s="88"/>
      <c r="O215" s="8"/>
      <c r="P215" s="8"/>
      <c r="Q215" s="89"/>
      <c r="R215" s="89"/>
      <c r="S215" s="8"/>
      <c r="T215" s="8"/>
      <c r="U215" s="8"/>
      <c r="V215" s="8"/>
      <c r="W215" s="8"/>
      <c r="X215" s="8"/>
      <c r="Y215" s="8"/>
    </row>
    <row r="216" spans="1:25" ht="24" customHeight="1" x14ac:dyDescent="0.2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8"/>
      <c r="N216" s="88"/>
      <c r="O216" s="8"/>
      <c r="P216" s="8"/>
      <c r="Q216" s="89"/>
      <c r="R216" s="89"/>
      <c r="S216" s="8"/>
      <c r="T216" s="8"/>
      <c r="U216" s="8"/>
      <c r="V216" s="8"/>
      <c r="W216" s="8"/>
      <c r="X216" s="8"/>
      <c r="Y216" s="8"/>
    </row>
    <row r="217" spans="1:25" ht="24" customHeight="1" x14ac:dyDescent="0.2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8"/>
      <c r="N217" s="88"/>
      <c r="O217" s="8"/>
      <c r="P217" s="8"/>
      <c r="Q217" s="89"/>
      <c r="R217" s="89"/>
      <c r="S217" s="8"/>
      <c r="T217" s="8"/>
      <c r="U217" s="8"/>
      <c r="V217" s="8"/>
      <c r="W217" s="8"/>
      <c r="X217" s="8"/>
      <c r="Y217" s="8"/>
    </row>
    <row r="218" spans="1:25" ht="24" customHeight="1" x14ac:dyDescent="0.2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8"/>
      <c r="N218" s="88"/>
      <c r="O218" s="8"/>
      <c r="P218" s="8"/>
      <c r="Q218" s="89"/>
      <c r="R218" s="89"/>
      <c r="S218" s="8"/>
      <c r="T218" s="8"/>
      <c r="U218" s="8"/>
      <c r="V218" s="8"/>
      <c r="W218" s="8"/>
      <c r="X218" s="8"/>
      <c r="Y218" s="8"/>
    </row>
    <row r="219" spans="1:25" ht="24" customHeight="1" x14ac:dyDescent="0.2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8"/>
      <c r="N219" s="88"/>
      <c r="O219" s="8"/>
      <c r="P219" s="8"/>
      <c r="Q219" s="89"/>
      <c r="R219" s="89"/>
      <c r="S219" s="8"/>
      <c r="T219" s="8"/>
      <c r="U219" s="8"/>
      <c r="V219" s="8"/>
      <c r="W219" s="8"/>
      <c r="X219" s="8"/>
      <c r="Y219" s="8"/>
    </row>
    <row r="220" spans="1:25" ht="24" customHeight="1" x14ac:dyDescent="0.2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8"/>
      <c r="N220" s="88"/>
      <c r="O220" s="8"/>
      <c r="P220" s="8"/>
      <c r="Q220" s="89"/>
      <c r="R220" s="89"/>
      <c r="S220" s="8"/>
      <c r="T220" s="8"/>
      <c r="U220" s="8"/>
      <c r="V220" s="8"/>
      <c r="W220" s="8"/>
      <c r="X220" s="8"/>
      <c r="Y220" s="8"/>
    </row>
    <row r="221" spans="1:25" ht="24" customHeight="1" x14ac:dyDescent="0.2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8"/>
      <c r="N221" s="88"/>
      <c r="O221" s="8"/>
      <c r="P221" s="8"/>
      <c r="Q221" s="89"/>
      <c r="R221" s="89"/>
      <c r="S221" s="8"/>
      <c r="T221" s="8"/>
      <c r="U221" s="8"/>
      <c r="V221" s="8"/>
      <c r="W221" s="8"/>
      <c r="X221" s="8"/>
      <c r="Y221" s="8"/>
    </row>
    <row r="222" spans="1:25" ht="24" customHeight="1" x14ac:dyDescent="0.2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8"/>
      <c r="N222" s="88"/>
      <c r="O222" s="8"/>
      <c r="P222" s="8"/>
      <c r="Q222" s="89"/>
      <c r="R222" s="89"/>
      <c r="S222" s="8"/>
      <c r="T222" s="8"/>
      <c r="U222" s="8"/>
      <c r="V222" s="8"/>
      <c r="W222" s="8"/>
      <c r="X222" s="8"/>
      <c r="Y222" s="8"/>
    </row>
    <row r="223" spans="1:25" ht="24" customHeight="1" x14ac:dyDescent="0.2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8"/>
      <c r="N223" s="88"/>
      <c r="O223" s="8"/>
      <c r="P223" s="8"/>
      <c r="Q223" s="89"/>
      <c r="R223" s="89"/>
      <c r="S223" s="8"/>
      <c r="T223" s="8"/>
      <c r="U223" s="8"/>
      <c r="V223" s="8"/>
      <c r="W223" s="8"/>
      <c r="X223" s="8"/>
      <c r="Y223" s="8"/>
    </row>
    <row r="224" spans="1:25" ht="24" customHeight="1" x14ac:dyDescent="0.2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8"/>
      <c r="N224" s="88"/>
      <c r="O224" s="8"/>
      <c r="P224" s="8"/>
      <c r="Q224" s="89"/>
      <c r="R224" s="89"/>
      <c r="S224" s="8"/>
      <c r="T224" s="8"/>
      <c r="U224" s="8"/>
      <c r="V224" s="8"/>
      <c r="W224" s="8"/>
      <c r="X224" s="8"/>
      <c r="Y224" s="8"/>
    </row>
    <row r="225" spans="1:25" ht="24" customHeight="1" x14ac:dyDescent="0.2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8"/>
      <c r="N225" s="88"/>
      <c r="O225" s="8"/>
      <c r="P225" s="8"/>
      <c r="Q225" s="89"/>
      <c r="R225" s="89"/>
      <c r="S225" s="8"/>
      <c r="T225" s="8"/>
      <c r="U225" s="8"/>
      <c r="V225" s="8"/>
      <c r="W225" s="8"/>
      <c r="X225" s="8"/>
      <c r="Y225" s="8"/>
    </row>
    <row r="226" spans="1:25" ht="24" customHeight="1" x14ac:dyDescent="0.2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8"/>
      <c r="N226" s="88"/>
      <c r="O226" s="8"/>
      <c r="P226" s="8"/>
      <c r="Q226" s="89"/>
      <c r="R226" s="89"/>
      <c r="S226" s="8"/>
      <c r="T226" s="8"/>
      <c r="U226" s="8"/>
      <c r="V226" s="8"/>
      <c r="W226" s="8"/>
      <c r="X226" s="8"/>
      <c r="Y226" s="8"/>
    </row>
    <row r="227" spans="1:25" ht="24" customHeight="1" x14ac:dyDescent="0.2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8"/>
      <c r="N227" s="88"/>
      <c r="O227" s="8"/>
      <c r="P227" s="8"/>
      <c r="Q227" s="89"/>
      <c r="R227" s="89"/>
      <c r="S227" s="8"/>
      <c r="T227" s="8"/>
      <c r="U227" s="8"/>
      <c r="V227" s="8"/>
      <c r="W227" s="8"/>
      <c r="X227" s="8"/>
      <c r="Y227" s="8"/>
    </row>
    <row r="228" spans="1:25" ht="24" customHeight="1" x14ac:dyDescent="0.2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8"/>
      <c r="N228" s="88"/>
      <c r="O228" s="8"/>
      <c r="P228" s="8"/>
      <c r="Q228" s="89"/>
      <c r="R228" s="89"/>
      <c r="S228" s="8"/>
      <c r="T228" s="8"/>
      <c r="U228" s="8"/>
      <c r="V228" s="8"/>
      <c r="W228" s="8"/>
      <c r="X228" s="8"/>
      <c r="Y228" s="8"/>
    </row>
    <row r="229" spans="1:25" ht="24" customHeight="1" x14ac:dyDescent="0.2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8"/>
      <c r="N229" s="88"/>
      <c r="O229" s="8"/>
      <c r="P229" s="8"/>
      <c r="Q229" s="89"/>
      <c r="R229" s="89"/>
      <c r="S229" s="8"/>
      <c r="T229" s="8"/>
      <c r="U229" s="8"/>
      <c r="V229" s="8"/>
      <c r="W229" s="8"/>
      <c r="X229" s="8"/>
      <c r="Y229" s="8"/>
    </row>
    <row r="230" spans="1:25" ht="24" customHeight="1" x14ac:dyDescent="0.2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8"/>
      <c r="N230" s="88"/>
      <c r="O230" s="8"/>
      <c r="P230" s="8"/>
      <c r="Q230" s="89"/>
      <c r="R230" s="89"/>
      <c r="S230" s="8"/>
      <c r="T230" s="8"/>
      <c r="U230" s="8"/>
      <c r="V230" s="8"/>
      <c r="W230" s="8"/>
      <c r="X230" s="8"/>
      <c r="Y230" s="8"/>
    </row>
    <row r="231" spans="1:25" ht="24" customHeight="1" x14ac:dyDescent="0.2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8"/>
      <c r="N231" s="88"/>
      <c r="O231" s="8"/>
      <c r="P231" s="8"/>
      <c r="Q231" s="89"/>
      <c r="R231" s="89"/>
      <c r="S231" s="8"/>
      <c r="T231" s="8"/>
      <c r="U231" s="8"/>
      <c r="V231" s="8"/>
      <c r="W231" s="8"/>
      <c r="X231" s="8"/>
      <c r="Y231" s="8"/>
    </row>
    <row r="232" spans="1:25" ht="24" customHeight="1" x14ac:dyDescent="0.2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8"/>
      <c r="N232" s="88"/>
      <c r="O232" s="8"/>
      <c r="P232" s="8"/>
      <c r="Q232" s="89"/>
      <c r="R232" s="89"/>
      <c r="S232" s="8"/>
      <c r="T232" s="8"/>
      <c r="U232" s="8"/>
      <c r="V232" s="8"/>
      <c r="W232" s="8"/>
      <c r="X232" s="8"/>
      <c r="Y232" s="8"/>
    </row>
    <row r="233" spans="1:25" ht="24" customHeight="1" x14ac:dyDescent="0.2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8"/>
      <c r="N233" s="88"/>
      <c r="O233" s="8"/>
      <c r="P233" s="8"/>
      <c r="Q233" s="89"/>
      <c r="R233" s="89"/>
      <c r="S233" s="8"/>
      <c r="T233" s="8"/>
      <c r="U233" s="8"/>
      <c r="V233" s="8"/>
      <c r="W233" s="8"/>
      <c r="X233" s="8"/>
      <c r="Y233" s="8"/>
    </row>
    <row r="234" spans="1:25" ht="24" customHeight="1" x14ac:dyDescent="0.2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8"/>
      <c r="N234" s="88"/>
      <c r="O234" s="8"/>
      <c r="P234" s="8"/>
      <c r="Q234" s="89"/>
      <c r="R234" s="89"/>
      <c r="S234" s="8"/>
      <c r="T234" s="8"/>
      <c r="U234" s="8"/>
      <c r="V234" s="8"/>
      <c r="W234" s="8"/>
      <c r="X234" s="8"/>
      <c r="Y234" s="8"/>
    </row>
    <row r="235" spans="1:25" ht="24" customHeight="1" x14ac:dyDescent="0.2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8"/>
      <c r="N235" s="88"/>
      <c r="O235" s="8"/>
      <c r="P235" s="8"/>
      <c r="Q235" s="89"/>
      <c r="R235" s="89"/>
      <c r="S235" s="8"/>
      <c r="T235" s="8"/>
      <c r="U235" s="8"/>
      <c r="V235" s="8"/>
      <c r="W235" s="8"/>
      <c r="X235" s="8"/>
      <c r="Y235" s="8"/>
    </row>
    <row r="236" spans="1:25" ht="24" customHeight="1" x14ac:dyDescent="0.2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8"/>
      <c r="N236" s="88"/>
      <c r="O236" s="8"/>
      <c r="P236" s="8"/>
      <c r="Q236" s="89"/>
      <c r="R236" s="89"/>
      <c r="S236" s="8"/>
      <c r="T236" s="8"/>
      <c r="U236" s="8"/>
      <c r="V236" s="8"/>
      <c r="W236" s="8"/>
      <c r="X236" s="8"/>
      <c r="Y236" s="8"/>
    </row>
    <row r="237" spans="1:25" ht="24" customHeight="1" x14ac:dyDescent="0.2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8"/>
      <c r="N237" s="88"/>
      <c r="O237" s="8"/>
      <c r="P237" s="8"/>
      <c r="Q237" s="89"/>
      <c r="R237" s="89"/>
      <c r="S237" s="8"/>
      <c r="T237" s="8"/>
      <c r="U237" s="8"/>
      <c r="V237" s="8"/>
      <c r="W237" s="8"/>
      <c r="X237" s="8"/>
      <c r="Y237" s="8"/>
    </row>
    <row r="238" spans="1:25" ht="24" customHeight="1" x14ac:dyDescent="0.2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8"/>
      <c r="N238" s="88"/>
      <c r="O238" s="8"/>
      <c r="P238" s="8"/>
      <c r="Q238" s="89"/>
      <c r="R238" s="89"/>
      <c r="S238" s="8"/>
      <c r="T238" s="8"/>
      <c r="U238" s="8"/>
      <c r="V238" s="8"/>
      <c r="W238" s="8"/>
      <c r="X238" s="8"/>
      <c r="Y238" s="8"/>
    </row>
    <row r="239" spans="1:25" ht="24" customHeight="1" x14ac:dyDescent="0.2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8"/>
      <c r="N239" s="88"/>
      <c r="O239" s="8"/>
      <c r="P239" s="8"/>
      <c r="Q239" s="89"/>
      <c r="R239" s="89"/>
      <c r="S239" s="8"/>
      <c r="T239" s="8"/>
      <c r="U239" s="8"/>
      <c r="V239" s="8"/>
      <c r="W239" s="8"/>
      <c r="X239" s="8"/>
      <c r="Y239" s="8"/>
    </row>
    <row r="240" spans="1:25" ht="24" customHeight="1" x14ac:dyDescent="0.2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8"/>
      <c r="N240" s="88"/>
      <c r="O240" s="8"/>
      <c r="P240" s="8"/>
      <c r="Q240" s="89"/>
      <c r="R240" s="89"/>
      <c r="S240" s="8"/>
      <c r="T240" s="8"/>
      <c r="U240" s="8"/>
      <c r="V240" s="8"/>
      <c r="W240" s="8"/>
      <c r="X240" s="8"/>
      <c r="Y240" s="8"/>
    </row>
    <row r="241" spans="1:25" ht="24" customHeight="1" x14ac:dyDescent="0.2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8"/>
      <c r="N241" s="88"/>
      <c r="O241" s="8"/>
      <c r="P241" s="8"/>
      <c r="Q241" s="89"/>
      <c r="R241" s="89"/>
      <c r="S241" s="8"/>
      <c r="T241" s="8"/>
      <c r="U241" s="8"/>
      <c r="V241" s="8"/>
      <c r="W241" s="8"/>
      <c r="X241" s="8"/>
      <c r="Y241" s="8"/>
    </row>
    <row r="242" spans="1:25" ht="24" customHeight="1" x14ac:dyDescent="0.2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8"/>
      <c r="N242" s="88"/>
      <c r="O242" s="8"/>
      <c r="P242" s="8"/>
      <c r="Q242" s="89"/>
      <c r="R242" s="89"/>
      <c r="S242" s="8"/>
      <c r="T242" s="8"/>
      <c r="U242" s="8"/>
      <c r="V242" s="8"/>
      <c r="W242" s="8"/>
      <c r="X242" s="8"/>
      <c r="Y242" s="8"/>
    </row>
    <row r="243" spans="1:25" ht="24" customHeight="1" x14ac:dyDescent="0.2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8"/>
      <c r="N243" s="88"/>
      <c r="O243" s="8"/>
      <c r="P243" s="8"/>
      <c r="Q243" s="89"/>
      <c r="R243" s="89"/>
      <c r="S243" s="8"/>
      <c r="T243" s="8"/>
      <c r="U243" s="8"/>
      <c r="V243" s="8"/>
      <c r="W243" s="8"/>
      <c r="X243" s="8"/>
      <c r="Y243" s="8"/>
    </row>
    <row r="244" spans="1:25" ht="24" customHeight="1" x14ac:dyDescent="0.2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8"/>
      <c r="N244" s="88"/>
      <c r="O244" s="8"/>
      <c r="P244" s="8"/>
      <c r="Q244" s="89"/>
      <c r="R244" s="89"/>
      <c r="S244" s="8"/>
      <c r="T244" s="8"/>
      <c r="U244" s="8"/>
      <c r="V244" s="8"/>
      <c r="W244" s="8"/>
      <c r="X244" s="8"/>
      <c r="Y244" s="8"/>
    </row>
    <row r="245" spans="1:25" ht="24" customHeight="1" x14ac:dyDescent="0.2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8"/>
      <c r="N245" s="88"/>
      <c r="O245" s="8"/>
      <c r="P245" s="8"/>
      <c r="Q245" s="89"/>
      <c r="R245" s="89"/>
      <c r="S245" s="8"/>
      <c r="T245" s="8"/>
      <c r="U245" s="8"/>
      <c r="V245" s="8"/>
      <c r="W245" s="8"/>
      <c r="X245" s="8"/>
      <c r="Y245" s="8"/>
    </row>
    <row r="246" spans="1:25" ht="24" customHeight="1" x14ac:dyDescent="0.2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8"/>
      <c r="N246" s="88"/>
      <c r="O246" s="8"/>
      <c r="P246" s="8"/>
      <c r="Q246" s="89"/>
      <c r="R246" s="89"/>
      <c r="S246" s="8"/>
      <c r="T246" s="8"/>
      <c r="U246" s="8"/>
      <c r="V246" s="8"/>
      <c r="W246" s="8"/>
      <c r="X246" s="8"/>
      <c r="Y246" s="8"/>
    </row>
    <row r="247" spans="1:25" ht="24" customHeight="1" x14ac:dyDescent="0.2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8"/>
      <c r="N247" s="88"/>
      <c r="O247" s="8"/>
      <c r="P247" s="8"/>
      <c r="Q247" s="89"/>
      <c r="R247" s="89"/>
      <c r="S247" s="8"/>
      <c r="T247" s="8"/>
      <c r="U247" s="8"/>
      <c r="V247" s="8"/>
      <c r="W247" s="8"/>
      <c r="X247" s="8"/>
      <c r="Y247" s="8"/>
    </row>
    <row r="248" spans="1:25" ht="24" customHeight="1" x14ac:dyDescent="0.2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8"/>
      <c r="N248" s="88"/>
      <c r="O248" s="8"/>
      <c r="P248" s="8"/>
      <c r="Q248" s="89"/>
      <c r="R248" s="89"/>
      <c r="S248" s="8"/>
      <c r="T248" s="8"/>
      <c r="U248" s="8"/>
      <c r="V248" s="8"/>
      <c r="W248" s="8"/>
      <c r="X248" s="8"/>
      <c r="Y248" s="8"/>
    </row>
    <row r="249" spans="1:25" ht="24" customHeight="1" x14ac:dyDescent="0.2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8"/>
      <c r="N249" s="88"/>
      <c r="O249" s="8"/>
      <c r="P249" s="8"/>
      <c r="Q249" s="89"/>
      <c r="R249" s="89"/>
      <c r="S249" s="8"/>
      <c r="T249" s="8"/>
      <c r="U249" s="8"/>
      <c r="V249" s="8"/>
      <c r="W249" s="8"/>
      <c r="X249" s="8"/>
      <c r="Y249" s="8"/>
    </row>
    <row r="250" spans="1:25" ht="24" customHeight="1" x14ac:dyDescent="0.2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8"/>
      <c r="N250" s="88"/>
      <c r="O250" s="8"/>
      <c r="P250" s="8"/>
      <c r="Q250" s="89"/>
      <c r="R250" s="89"/>
      <c r="S250" s="8"/>
      <c r="T250" s="8"/>
      <c r="U250" s="8"/>
      <c r="V250" s="8"/>
      <c r="W250" s="8"/>
      <c r="X250" s="8"/>
      <c r="Y250" s="8"/>
    </row>
    <row r="251" spans="1:25" ht="24" customHeight="1" x14ac:dyDescent="0.2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8"/>
      <c r="N251" s="88"/>
      <c r="O251" s="8"/>
      <c r="P251" s="8"/>
      <c r="Q251" s="89"/>
      <c r="R251" s="89"/>
      <c r="S251" s="8"/>
      <c r="T251" s="8"/>
      <c r="U251" s="8"/>
      <c r="V251" s="8"/>
      <c r="W251" s="8"/>
      <c r="X251" s="8"/>
      <c r="Y251" s="8"/>
    </row>
    <row r="252" spans="1:25" ht="24" customHeight="1" x14ac:dyDescent="0.2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8"/>
      <c r="N252" s="88"/>
      <c r="O252" s="8"/>
      <c r="P252" s="8"/>
      <c r="Q252" s="89"/>
      <c r="R252" s="89"/>
      <c r="S252" s="8"/>
      <c r="T252" s="8"/>
      <c r="U252" s="8"/>
      <c r="V252" s="8"/>
      <c r="W252" s="8"/>
      <c r="X252" s="8"/>
      <c r="Y252" s="8"/>
    </row>
    <row r="253" spans="1:25" ht="24" customHeight="1" x14ac:dyDescent="0.2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8"/>
      <c r="N253" s="88"/>
      <c r="O253" s="8"/>
      <c r="P253" s="8"/>
      <c r="Q253" s="89"/>
      <c r="R253" s="89"/>
      <c r="S253" s="8"/>
      <c r="T253" s="8"/>
      <c r="U253" s="8"/>
      <c r="V253" s="8"/>
      <c r="W253" s="8"/>
      <c r="X253" s="8"/>
      <c r="Y253" s="8"/>
    </row>
    <row r="254" spans="1:25" ht="24" customHeight="1" x14ac:dyDescent="0.2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8"/>
      <c r="N254" s="88"/>
      <c r="O254" s="8"/>
      <c r="P254" s="8"/>
      <c r="Q254" s="89"/>
      <c r="R254" s="89"/>
      <c r="S254" s="8"/>
      <c r="T254" s="8"/>
      <c r="U254" s="8"/>
      <c r="V254" s="8"/>
      <c r="W254" s="8"/>
      <c r="X254" s="8"/>
      <c r="Y254" s="8"/>
    </row>
    <row r="255" spans="1:25" ht="24" customHeight="1" x14ac:dyDescent="0.2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8"/>
      <c r="N255" s="88"/>
      <c r="O255" s="8"/>
      <c r="P255" s="8"/>
      <c r="Q255" s="89"/>
      <c r="R255" s="89"/>
      <c r="S255" s="8"/>
      <c r="T255" s="8"/>
      <c r="U255" s="8"/>
      <c r="V255" s="8"/>
      <c r="W255" s="8"/>
      <c r="X255" s="8"/>
      <c r="Y255" s="8"/>
    </row>
    <row r="256" spans="1:25" ht="24" customHeight="1" x14ac:dyDescent="0.2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8"/>
      <c r="N256" s="88"/>
      <c r="O256" s="8"/>
      <c r="P256" s="8"/>
      <c r="Q256" s="89"/>
      <c r="R256" s="89"/>
      <c r="S256" s="8"/>
      <c r="T256" s="8"/>
      <c r="U256" s="8"/>
      <c r="V256" s="8"/>
      <c r="W256" s="8"/>
      <c r="X256" s="8"/>
      <c r="Y256" s="8"/>
    </row>
    <row r="257" spans="1:25" ht="24" customHeight="1" x14ac:dyDescent="0.2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8"/>
      <c r="N257" s="88"/>
      <c r="O257" s="8"/>
      <c r="P257" s="8"/>
      <c r="Q257" s="89"/>
      <c r="R257" s="89"/>
      <c r="S257" s="8"/>
      <c r="T257" s="8"/>
      <c r="U257" s="8"/>
      <c r="V257" s="8"/>
      <c r="W257" s="8"/>
      <c r="X257" s="8"/>
      <c r="Y257" s="8"/>
    </row>
    <row r="258" spans="1:25" ht="24" customHeight="1" x14ac:dyDescent="0.2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8"/>
      <c r="N258" s="88"/>
      <c r="O258" s="8"/>
      <c r="P258" s="8"/>
      <c r="Q258" s="89"/>
      <c r="R258" s="89"/>
      <c r="S258" s="8"/>
      <c r="T258" s="8"/>
      <c r="U258" s="8"/>
      <c r="V258" s="8"/>
      <c r="W258" s="8"/>
      <c r="X258" s="8"/>
      <c r="Y258" s="8"/>
    </row>
    <row r="259" spans="1:25" ht="24" customHeight="1" x14ac:dyDescent="0.2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8"/>
      <c r="N259" s="88"/>
      <c r="O259" s="8"/>
      <c r="P259" s="8"/>
      <c r="Q259" s="89"/>
      <c r="R259" s="89"/>
      <c r="S259" s="8"/>
      <c r="T259" s="8"/>
      <c r="U259" s="8"/>
      <c r="V259" s="8"/>
      <c r="W259" s="8"/>
      <c r="X259" s="8"/>
      <c r="Y259" s="8"/>
    </row>
    <row r="260" spans="1:25" ht="24" customHeight="1" x14ac:dyDescent="0.2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8"/>
      <c r="N260" s="88"/>
      <c r="O260" s="8"/>
      <c r="P260" s="8"/>
      <c r="Q260" s="89"/>
      <c r="R260" s="89"/>
      <c r="S260" s="8"/>
      <c r="T260" s="8"/>
      <c r="U260" s="8"/>
      <c r="V260" s="8"/>
      <c r="W260" s="8"/>
      <c r="X260" s="8"/>
      <c r="Y260" s="8"/>
    </row>
    <row r="261" spans="1:25" ht="24" customHeight="1" x14ac:dyDescent="0.2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8"/>
      <c r="N261" s="88"/>
      <c r="O261" s="8"/>
      <c r="P261" s="8"/>
      <c r="Q261" s="89"/>
      <c r="R261" s="89"/>
      <c r="S261" s="8"/>
      <c r="T261" s="8"/>
      <c r="U261" s="8"/>
      <c r="V261" s="8"/>
      <c r="W261" s="8"/>
      <c r="X261" s="8"/>
      <c r="Y261" s="8"/>
    </row>
    <row r="262" spans="1:25" ht="24" customHeight="1" x14ac:dyDescent="0.2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8"/>
      <c r="N262" s="88"/>
      <c r="O262" s="8"/>
      <c r="P262" s="8"/>
      <c r="Q262" s="89"/>
      <c r="R262" s="89"/>
      <c r="S262" s="8"/>
      <c r="T262" s="8"/>
      <c r="U262" s="8"/>
      <c r="V262" s="8"/>
      <c r="W262" s="8"/>
      <c r="X262" s="8"/>
      <c r="Y262" s="8"/>
    </row>
    <row r="263" spans="1:25" ht="24" customHeight="1" x14ac:dyDescent="0.2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8"/>
      <c r="N263" s="88"/>
      <c r="O263" s="8"/>
      <c r="P263" s="8"/>
      <c r="Q263" s="89"/>
      <c r="R263" s="89"/>
      <c r="S263" s="8"/>
      <c r="T263" s="8"/>
      <c r="U263" s="8"/>
      <c r="V263" s="8"/>
      <c r="W263" s="8"/>
      <c r="X263" s="8"/>
      <c r="Y263" s="8"/>
    </row>
    <row r="264" spans="1:25" ht="24" customHeight="1" x14ac:dyDescent="0.2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8"/>
      <c r="N264" s="88"/>
      <c r="O264" s="8"/>
      <c r="P264" s="8"/>
      <c r="Q264" s="89"/>
      <c r="R264" s="89"/>
      <c r="S264" s="8"/>
      <c r="T264" s="8"/>
      <c r="U264" s="8"/>
      <c r="V264" s="8"/>
      <c r="W264" s="8"/>
      <c r="X264" s="8"/>
      <c r="Y264" s="8"/>
    </row>
    <row r="265" spans="1:25" ht="24" customHeight="1" x14ac:dyDescent="0.2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8"/>
      <c r="N265" s="88"/>
      <c r="O265" s="8"/>
      <c r="P265" s="8"/>
      <c r="Q265" s="89"/>
      <c r="R265" s="89"/>
      <c r="S265" s="8"/>
      <c r="T265" s="8"/>
      <c r="U265" s="8"/>
      <c r="V265" s="8"/>
      <c r="W265" s="8"/>
      <c r="X265" s="8"/>
      <c r="Y265" s="8"/>
    </row>
    <row r="266" spans="1:25" ht="24" customHeight="1" x14ac:dyDescent="0.2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8"/>
      <c r="N266" s="88"/>
      <c r="O266" s="8"/>
      <c r="P266" s="8"/>
      <c r="Q266" s="89"/>
      <c r="R266" s="89"/>
      <c r="S266" s="8"/>
      <c r="T266" s="8"/>
      <c r="U266" s="8"/>
      <c r="V266" s="8"/>
      <c r="W266" s="8"/>
      <c r="X266" s="8"/>
      <c r="Y266" s="8"/>
    </row>
    <row r="267" spans="1:25" ht="24" customHeight="1" x14ac:dyDescent="0.2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8"/>
      <c r="N267" s="88"/>
      <c r="O267" s="8"/>
      <c r="P267" s="8"/>
      <c r="Q267" s="89"/>
      <c r="R267" s="89"/>
      <c r="S267" s="8"/>
      <c r="T267" s="8"/>
      <c r="U267" s="8"/>
      <c r="V267" s="8"/>
      <c r="W267" s="8"/>
      <c r="X267" s="8"/>
      <c r="Y267" s="8"/>
    </row>
    <row r="268" spans="1:25" ht="24" customHeight="1" x14ac:dyDescent="0.2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8"/>
      <c r="N268" s="88"/>
      <c r="O268" s="8"/>
      <c r="P268" s="8"/>
      <c r="Q268" s="89"/>
      <c r="R268" s="89"/>
      <c r="S268" s="8"/>
      <c r="T268" s="8"/>
      <c r="U268" s="8"/>
      <c r="V268" s="8"/>
      <c r="W268" s="8"/>
      <c r="X268" s="8"/>
      <c r="Y268" s="8"/>
    </row>
    <row r="269" spans="1:25" ht="24" customHeight="1" x14ac:dyDescent="0.2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8"/>
      <c r="N269" s="88"/>
      <c r="O269" s="8"/>
      <c r="P269" s="8"/>
      <c r="Q269" s="89"/>
      <c r="R269" s="89"/>
      <c r="S269" s="8"/>
      <c r="T269" s="8"/>
      <c r="U269" s="8"/>
      <c r="V269" s="8"/>
      <c r="W269" s="8"/>
      <c r="X269" s="8"/>
      <c r="Y269" s="8"/>
    </row>
    <row r="270" spans="1:25" ht="24" customHeight="1" x14ac:dyDescent="0.2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8"/>
      <c r="N270" s="88"/>
      <c r="O270" s="8"/>
      <c r="P270" s="8"/>
      <c r="Q270" s="89"/>
      <c r="R270" s="89"/>
      <c r="S270" s="8"/>
      <c r="T270" s="8"/>
      <c r="U270" s="8"/>
      <c r="V270" s="8"/>
      <c r="W270" s="8"/>
      <c r="X270" s="8"/>
      <c r="Y270" s="8"/>
    </row>
    <row r="271" spans="1:25" ht="24" customHeight="1" x14ac:dyDescent="0.2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8"/>
      <c r="N271" s="88"/>
      <c r="O271" s="8"/>
      <c r="P271" s="8"/>
      <c r="Q271" s="89"/>
      <c r="R271" s="89"/>
      <c r="S271" s="8"/>
      <c r="T271" s="8"/>
      <c r="U271" s="8"/>
      <c r="V271" s="8"/>
      <c r="W271" s="8"/>
      <c r="X271" s="8"/>
      <c r="Y271" s="8"/>
    </row>
    <row r="272" spans="1:25" ht="24" customHeight="1" x14ac:dyDescent="0.2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8"/>
      <c r="N272" s="88"/>
      <c r="O272" s="8"/>
      <c r="P272" s="8"/>
      <c r="Q272" s="89"/>
      <c r="R272" s="89"/>
      <c r="S272" s="8"/>
      <c r="T272" s="8"/>
      <c r="U272" s="8"/>
      <c r="V272" s="8"/>
      <c r="W272" s="8"/>
      <c r="X272" s="8"/>
      <c r="Y272" s="8"/>
    </row>
    <row r="273" spans="1:25" ht="24" customHeight="1" x14ac:dyDescent="0.2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8"/>
      <c r="N273" s="88"/>
      <c r="O273" s="8"/>
      <c r="P273" s="8"/>
      <c r="Q273" s="89"/>
      <c r="R273" s="89"/>
      <c r="S273" s="8"/>
      <c r="T273" s="8"/>
      <c r="U273" s="8"/>
      <c r="V273" s="8"/>
      <c r="W273" s="8"/>
      <c r="X273" s="8"/>
      <c r="Y273" s="8"/>
    </row>
    <row r="274" spans="1:25" ht="24" customHeight="1" x14ac:dyDescent="0.2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8"/>
      <c r="N274" s="88"/>
      <c r="O274" s="8"/>
      <c r="P274" s="8"/>
      <c r="Q274" s="89"/>
      <c r="R274" s="89"/>
      <c r="S274" s="8"/>
      <c r="T274" s="8"/>
      <c r="U274" s="8"/>
      <c r="V274" s="8"/>
      <c r="W274" s="8"/>
      <c r="X274" s="8"/>
      <c r="Y274" s="8"/>
    </row>
    <row r="275" spans="1:25" ht="24" customHeight="1" x14ac:dyDescent="0.2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8"/>
      <c r="N275" s="88"/>
      <c r="O275" s="8"/>
      <c r="P275" s="8"/>
      <c r="Q275" s="89"/>
      <c r="R275" s="89"/>
      <c r="S275" s="8"/>
      <c r="T275" s="8"/>
      <c r="U275" s="8"/>
      <c r="V275" s="8"/>
      <c r="W275" s="8"/>
      <c r="X275" s="8"/>
      <c r="Y275" s="8"/>
    </row>
    <row r="276" spans="1:25" ht="24" customHeight="1" x14ac:dyDescent="0.2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8"/>
      <c r="N276" s="88"/>
      <c r="O276" s="8"/>
      <c r="P276" s="8"/>
      <c r="Q276" s="89"/>
      <c r="R276" s="89"/>
      <c r="S276" s="8"/>
      <c r="T276" s="8"/>
      <c r="U276" s="8"/>
      <c r="V276" s="8"/>
      <c r="W276" s="8"/>
      <c r="X276" s="8"/>
      <c r="Y276" s="8"/>
    </row>
    <row r="277" spans="1:25" ht="24" customHeight="1" x14ac:dyDescent="0.2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8"/>
      <c r="N277" s="88"/>
      <c r="O277" s="8"/>
      <c r="P277" s="8"/>
      <c r="Q277" s="89"/>
      <c r="R277" s="89"/>
      <c r="S277" s="8"/>
      <c r="T277" s="8"/>
      <c r="U277" s="8"/>
      <c r="V277" s="8"/>
      <c r="W277" s="8"/>
      <c r="X277" s="8"/>
      <c r="Y277" s="8"/>
    </row>
    <row r="278" spans="1:25" ht="24" customHeight="1" x14ac:dyDescent="0.2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8"/>
      <c r="N278" s="88"/>
      <c r="O278" s="8"/>
      <c r="P278" s="8"/>
      <c r="Q278" s="89"/>
      <c r="R278" s="89"/>
      <c r="S278" s="8"/>
      <c r="T278" s="8"/>
      <c r="U278" s="8"/>
      <c r="V278" s="8"/>
      <c r="W278" s="8"/>
      <c r="X278" s="8"/>
      <c r="Y278" s="8"/>
    </row>
    <row r="279" spans="1:25" ht="24" customHeight="1" x14ac:dyDescent="0.2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8"/>
      <c r="N279" s="88"/>
      <c r="O279" s="8"/>
      <c r="P279" s="8"/>
      <c r="Q279" s="89"/>
      <c r="R279" s="89"/>
      <c r="S279" s="8"/>
      <c r="T279" s="8"/>
      <c r="U279" s="8"/>
      <c r="V279" s="8"/>
      <c r="W279" s="8"/>
      <c r="X279" s="8"/>
      <c r="Y279" s="8"/>
    </row>
    <row r="280" spans="1:25" ht="24" customHeight="1" x14ac:dyDescent="0.2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8"/>
      <c r="N280" s="88"/>
      <c r="O280" s="8"/>
      <c r="P280" s="8"/>
      <c r="Q280" s="89"/>
      <c r="R280" s="89"/>
      <c r="S280" s="8"/>
      <c r="T280" s="8"/>
      <c r="U280" s="8"/>
      <c r="V280" s="8"/>
      <c r="W280" s="8"/>
      <c r="X280" s="8"/>
      <c r="Y280" s="8"/>
    </row>
    <row r="281" spans="1:25" ht="24" customHeight="1" x14ac:dyDescent="0.2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8"/>
      <c r="N281" s="88"/>
      <c r="O281" s="8"/>
      <c r="P281" s="8"/>
      <c r="Q281" s="89"/>
      <c r="R281" s="89"/>
      <c r="S281" s="8"/>
      <c r="T281" s="8"/>
      <c r="U281" s="8"/>
      <c r="V281" s="8"/>
      <c r="W281" s="8"/>
      <c r="X281" s="8"/>
      <c r="Y281" s="8"/>
    </row>
    <row r="282" spans="1:25" ht="24" customHeight="1" x14ac:dyDescent="0.2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8"/>
      <c r="N282" s="88"/>
      <c r="O282" s="8"/>
      <c r="P282" s="8"/>
      <c r="Q282" s="89"/>
      <c r="R282" s="89"/>
      <c r="S282" s="8"/>
      <c r="T282" s="8"/>
      <c r="U282" s="8"/>
      <c r="V282" s="8"/>
      <c r="W282" s="8"/>
      <c r="X282" s="8"/>
      <c r="Y282" s="8"/>
    </row>
    <row r="283" spans="1:25" ht="24" customHeight="1" x14ac:dyDescent="0.2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8"/>
      <c r="N283" s="88"/>
      <c r="O283" s="8"/>
      <c r="P283" s="8"/>
      <c r="Q283" s="89"/>
      <c r="R283" s="89"/>
      <c r="S283" s="8"/>
      <c r="T283" s="8"/>
      <c r="U283" s="8"/>
      <c r="V283" s="8"/>
      <c r="W283" s="8"/>
      <c r="X283" s="8"/>
      <c r="Y283" s="8"/>
    </row>
    <row r="284" spans="1:25" ht="24" customHeight="1" x14ac:dyDescent="0.2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8"/>
      <c r="N284" s="88"/>
      <c r="O284" s="8"/>
      <c r="P284" s="8"/>
      <c r="Q284" s="89"/>
      <c r="R284" s="89"/>
      <c r="S284" s="8"/>
      <c r="T284" s="8"/>
      <c r="U284" s="8"/>
      <c r="V284" s="8"/>
      <c r="W284" s="8"/>
      <c r="X284" s="8"/>
      <c r="Y284" s="8"/>
    </row>
    <row r="285" spans="1:25" ht="24" customHeight="1" x14ac:dyDescent="0.2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8"/>
      <c r="N285" s="88"/>
      <c r="O285" s="8"/>
      <c r="P285" s="8"/>
      <c r="Q285" s="89"/>
      <c r="R285" s="89"/>
      <c r="S285" s="8"/>
      <c r="T285" s="8"/>
      <c r="U285" s="8"/>
      <c r="V285" s="8"/>
      <c r="W285" s="8"/>
      <c r="X285" s="8"/>
      <c r="Y285" s="8"/>
    </row>
    <row r="286" spans="1:25" ht="24" customHeight="1" x14ac:dyDescent="0.2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8"/>
      <c r="N286" s="88"/>
      <c r="O286" s="8"/>
      <c r="P286" s="8"/>
      <c r="Q286" s="89"/>
      <c r="R286" s="89"/>
      <c r="S286" s="8"/>
      <c r="T286" s="8"/>
      <c r="U286" s="8"/>
      <c r="V286" s="8"/>
      <c r="W286" s="8"/>
      <c r="X286" s="8"/>
      <c r="Y286" s="8"/>
    </row>
    <row r="287" spans="1:25" ht="24" customHeight="1" x14ac:dyDescent="0.2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8"/>
      <c r="N287" s="88"/>
      <c r="O287" s="8"/>
      <c r="P287" s="8"/>
      <c r="Q287" s="89"/>
      <c r="R287" s="89"/>
      <c r="S287" s="8"/>
      <c r="T287" s="8"/>
      <c r="U287" s="8"/>
      <c r="V287" s="8"/>
      <c r="W287" s="8"/>
      <c r="X287" s="8"/>
      <c r="Y287" s="8"/>
    </row>
    <row r="288" spans="1:25" ht="24" customHeight="1" x14ac:dyDescent="0.2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8"/>
      <c r="N288" s="88"/>
      <c r="O288" s="8"/>
      <c r="P288" s="8"/>
      <c r="Q288" s="89"/>
      <c r="R288" s="89"/>
      <c r="S288" s="8"/>
      <c r="T288" s="8"/>
      <c r="U288" s="8"/>
      <c r="V288" s="8"/>
      <c r="W288" s="8"/>
      <c r="X288" s="8"/>
      <c r="Y288" s="8"/>
    </row>
    <row r="289" spans="1:25" ht="24" customHeight="1" x14ac:dyDescent="0.2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8"/>
      <c r="N289" s="88"/>
      <c r="O289" s="8"/>
      <c r="P289" s="8"/>
      <c r="Q289" s="89"/>
      <c r="R289" s="89"/>
      <c r="S289" s="8"/>
      <c r="T289" s="8"/>
      <c r="U289" s="8"/>
      <c r="V289" s="8"/>
      <c r="W289" s="8"/>
      <c r="X289" s="8"/>
      <c r="Y289" s="8"/>
    </row>
    <row r="290" spans="1:25" ht="24" customHeight="1" x14ac:dyDescent="0.2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8"/>
      <c r="N290" s="88"/>
      <c r="O290" s="8"/>
      <c r="P290" s="8"/>
      <c r="Q290" s="89"/>
      <c r="R290" s="89"/>
      <c r="S290" s="8"/>
      <c r="T290" s="8"/>
      <c r="U290" s="8"/>
      <c r="V290" s="8"/>
      <c r="W290" s="8"/>
      <c r="X290" s="8"/>
      <c r="Y290" s="8"/>
    </row>
    <row r="291" spans="1:25" ht="24" customHeight="1" x14ac:dyDescent="0.2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8"/>
      <c r="N291" s="88"/>
      <c r="O291" s="8"/>
      <c r="P291" s="8"/>
      <c r="Q291" s="89"/>
      <c r="R291" s="89"/>
      <c r="S291" s="8"/>
      <c r="T291" s="8"/>
      <c r="U291" s="8"/>
      <c r="V291" s="8"/>
      <c r="W291" s="8"/>
      <c r="X291" s="8"/>
      <c r="Y291" s="8"/>
    </row>
    <row r="292" spans="1:25" ht="24" customHeight="1" x14ac:dyDescent="0.2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8"/>
      <c r="N292" s="88"/>
      <c r="O292" s="8"/>
      <c r="P292" s="8"/>
      <c r="Q292" s="89"/>
      <c r="R292" s="89"/>
      <c r="S292" s="8"/>
      <c r="T292" s="8"/>
      <c r="U292" s="8"/>
      <c r="V292" s="8"/>
      <c r="W292" s="8"/>
      <c r="X292" s="8"/>
      <c r="Y292" s="8"/>
    </row>
    <row r="293" spans="1:25" ht="24" customHeight="1" x14ac:dyDescent="0.2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8"/>
      <c r="N293" s="88"/>
      <c r="O293" s="8"/>
      <c r="P293" s="8"/>
      <c r="Q293" s="89"/>
      <c r="R293" s="89"/>
      <c r="S293" s="8"/>
      <c r="T293" s="8"/>
      <c r="U293" s="8"/>
      <c r="V293" s="8"/>
      <c r="W293" s="8"/>
      <c r="X293" s="8"/>
      <c r="Y293" s="8"/>
    </row>
    <row r="294" spans="1:25" ht="24" customHeight="1" x14ac:dyDescent="0.2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8"/>
      <c r="N294" s="88"/>
      <c r="O294" s="8"/>
      <c r="P294" s="8"/>
      <c r="Q294" s="89"/>
      <c r="R294" s="89"/>
      <c r="S294" s="8"/>
      <c r="T294" s="8"/>
      <c r="U294" s="8"/>
      <c r="V294" s="8"/>
      <c r="W294" s="8"/>
      <c r="X294" s="8"/>
      <c r="Y294" s="8"/>
    </row>
    <row r="295" spans="1:25" ht="24" customHeight="1" x14ac:dyDescent="0.2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8"/>
      <c r="N295" s="88"/>
      <c r="O295" s="8"/>
      <c r="P295" s="8"/>
      <c r="Q295" s="89"/>
      <c r="R295" s="89"/>
      <c r="S295" s="8"/>
      <c r="T295" s="8"/>
      <c r="U295" s="8"/>
      <c r="V295" s="8"/>
      <c r="W295" s="8"/>
      <c r="X295" s="8"/>
      <c r="Y295" s="8"/>
    </row>
    <row r="296" spans="1:25" ht="24" customHeight="1" x14ac:dyDescent="0.2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8"/>
      <c r="N296" s="88"/>
      <c r="O296" s="8"/>
      <c r="P296" s="8"/>
      <c r="Q296" s="89"/>
      <c r="R296" s="89"/>
      <c r="S296" s="8"/>
      <c r="T296" s="8"/>
      <c r="U296" s="8"/>
      <c r="V296" s="8"/>
      <c r="W296" s="8"/>
      <c r="X296" s="8"/>
      <c r="Y296" s="8"/>
    </row>
    <row r="297" spans="1:25" ht="24" customHeight="1" x14ac:dyDescent="0.2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8"/>
      <c r="N297" s="88"/>
      <c r="O297" s="8"/>
      <c r="P297" s="8"/>
      <c r="Q297" s="89"/>
      <c r="R297" s="89"/>
      <c r="S297" s="8"/>
      <c r="T297" s="8"/>
      <c r="U297" s="8"/>
      <c r="V297" s="8"/>
      <c r="W297" s="8"/>
      <c r="X297" s="8"/>
      <c r="Y297" s="8"/>
    </row>
    <row r="298" spans="1:25" ht="24" customHeight="1" x14ac:dyDescent="0.2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8"/>
      <c r="N298" s="88"/>
      <c r="O298" s="8"/>
      <c r="P298" s="8"/>
      <c r="Q298" s="89"/>
      <c r="R298" s="89"/>
      <c r="S298" s="8"/>
      <c r="T298" s="8"/>
      <c r="U298" s="8"/>
      <c r="V298" s="8"/>
      <c r="W298" s="8"/>
      <c r="X298" s="8"/>
      <c r="Y298" s="8"/>
    </row>
    <row r="299" spans="1:25" ht="24" customHeight="1" x14ac:dyDescent="0.2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8"/>
      <c r="N299" s="88"/>
      <c r="O299" s="8"/>
      <c r="P299" s="8"/>
      <c r="Q299" s="89"/>
      <c r="R299" s="89"/>
      <c r="S299" s="8"/>
      <c r="T299" s="8"/>
      <c r="U299" s="8"/>
      <c r="V299" s="8"/>
      <c r="W299" s="8"/>
      <c r="X299" s="8"/>
      <c r="Y299" s="8"/>
    </row>
    <row r="300" spans="1:25" ht="24" customHeight="1" x14ac:dyDescent="0.2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8"/>
      <c r="N300" s="88"/>
      <c r="O300" s="8"/>
      <c r="P300" s="8"/>
      <c r="Q300" s="89"/>
      <c r="R300" s="89"/>
      <c r="S300" s="8"/>
      <c r="T300" s="8"/>
      <c r="U300" s="8"/>
      <c r="V300" s="8"/>
      <c r="W300" s="8"/>
      <c r="X300" s="8"/>
      <c r="Y300" s="8"/>
    </row>
    <row r="301" spans="1:25" ht="24" customHeight="1" x14ac:dyDescent="0.2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8"/>
      <c r="N301" s="88"/>
      <c r="O301" s="8"/>
      <c r="P301" s="8"/>
      <c r="Q301" s="89"/>
      <c r="R301" s="89"/>
      <c r="S301" s="8"/>
      <c r="T301" s="8"/>
      <c r="U301" s="8"/>
      <c r="V301" s="8"/>
      <c r="W301" s="8"/>
      <c r="X301" s="8"/>
      <c r="Y301" s="8"/>
    </row>
    <row r="302" spans="1:25" ht="24" customHeight="1" x14ac:dyDescent="0.2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8"/>
      <c r="N302" s="88"/>
      <c r="O302" s="8"/>
      <c r="P302" s="8"/>
      <c r="Q302" s="89"/>
      <c r="R302" s="89"/>
      <c r="S302" s="8"/>
      <c r="T302" s="8"/>
      <c r="U302" s="8"/>
      <c r="V302" s="8"/>
      <c r="W302" s="8"/>
      <c r="X302" s="8"/>
      <c r="Y302" s="8"/>
    </row>
    <row r="303" spans="1:25" ht="24" customHeight="1" x14ac:dyDescent="0.2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8"/>
      <c r="N303" s="88"/>
      <c r="O303" s="8"/>
      <c r="P303" s="8"/>
      <c r="Q303" s="89"/>
      <c r="R303" s="89"/>
      <c r="S303" s="8"/>
      <c r="T303" s="8"/>
      <c r="U303" s="8"/>
      <c r="V303" s="8"/>
      <c r="W303" s="8"/>
      <c r="X303" s="8"/>
      <c r="Y303" s="8"/>
    </row>
    <row r="304" spans="1:25" ht="24" customHeight="1" x14ac:dyDescent="0.2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8"/>
      <c r="N304" s="88"/>
      <c r="O304" s="8"/>
      <c r="P304" s="8"/>
      <c r="Q304" s="89"/>
      <c r="R304" s="89"/>
      <c r="S304" s="8"/>
      <c r="T304" s="8"/>
      <c r="U304" s="8"/>
      <c r="V304" s="8"/>
      <c r="W304" s="8"/>
      <c r="X304" s="8"/>
      <c r="Y304" s="8"/>
    </row>
    <row r="305" spans="1:25" ht="24" customHeight="1" x14ac:dyDescent="0.2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8"/>
      <c r="N305" s="88"/>
      <c r="O305" s="8"/>
      <c r="P305" s="8"/>
      <c r="Q305" s="89"/>
      <c r="R305" s="89"/>
      <c r="S305" s="8"/>
      <c r="T305" s="8"/>
      <c r="U305" s="8"/>
      <c r="V305" s="8"/>
      <c r="W305" s="8"/>
      <c r="X305" s="8"/>
      <c r="Y305" s="8"/>
    </row>
    <row r="306" spans="1:25" ht="24" customHeight="1" x14ac:dyDescent="0.2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8"/>
      <c r="N306" s="88"/>
      <c r="O306" s="8"/>
      <c r="P306" s="8"/>
      <c r="Q306" s="89"/>
      <c r="R306" s="89"/>
      <c r="S306" s="8"/>
      <c r="T306" s="8"/>
      <c r="U306" s="8"/>
      <c r="V306" s="8"/>
      <c r="W306" s="8"/>
      <c r="X306" s="8"/>
      <c r="Y306" s="8"/>
    </row>
    <row r="307" spans="1:25" ht="24" customHeight="1" x14ac:dyDescent="0.2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8"/>
      <c r="N307" s="88"/>
      <c r="O307" s="8"/>
      <c r="P307" s="8"/>
      <c r="Q307" s="89"/>
      <c r="R307" s="89"/>
      <c r="S307" s="8"/>
      <c r="T307" s="8"/>
      <c r="U307" s="8"/>
      <c r="V307" s="8"/>
      <c r="W307" s="8"/>
      <c r="X307" s="8"/>
      <c r="Y307" s="8"/>
    </row>
    <row r="308" spans="1:25" ht="24" customHeight="1" x14ac:dyDescent="0.2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8"/>
      <c r="N308" s="88"/>
      <c r="O308" s="8"/>
      <c r="P308" s="8"/>
      <c r="Q308" s="89"/>
      <c r="R308" s="89"/>
      <c r="S308" s="8"/>
      <c r="T308" s="8"/>
      <c r="U308" s="8"/>
      <c r="V308" s="8"/>
      <c r="W308" s="8"/>
      <c r="X308" s="8"/>
      <c r="Y308" s="8"/>
    </row>
    <row r="309" spans="1:25" ht="24" customHeight="1" x14ac:dyDescent="0.2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8"/>
      <c r="N309" s="88"/>
      <c r="O309" s="8"/>
      <c r="P309" s="8"/>
      <c r="Q309" s="89"/>
      <c r="R309" s="89"/>
      <c r="S309" s="8"/>
      <c r="T309" s="8"/>
      <c r="U309" s="8"/>
      <c r="V309" s="8"/>
      <c r="W309" s="8"/>
      <c r="X309" s="8"/>
      <c r="Y309" s="8"/>
    </row>
    <row r="310" spans="1:25" ht="24" customHeight="1" x14ac:dyDescent="0.2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8"/>
      <c r="N310" s="88"/>
      <c r="O310" s="8"/>
      <c r="P310" s="8"/>
      <c r="Q310" s="89"/>
      <c r="R310" s="89"/>
      <c r="S310" s="8"/>
      <c r="T310" s="8"/>
      <c r="U310" s="8"/>
      <c r="V310" s="8"/>
      <c r="W310" s="8"/>
      <c r="X310" s="8"/>
      <c r="Y310" s="8"/>
    </row>
    <row r="311" spans="1:25" ht="24" customHeight="1" x14ac:dyDescent="0.2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8"/>
      <c r="N311" s="88"/>
      <c r="O311" s="8"/>
      <c r="P311" s="8"/>
      <c r="Q311" s="89"/>
      <c r="R311" s="89"/>
      <c r="S311" s="8"/>
      <c r="T311" s="8"/>
      <c r="U311" s="8"/>
      <c r="V311" s="8"/>
      <c r="W311" s="8"/>
      <c r="X311" s="8"/>
      <c r="Y311" s="8"/>
    </row>
    <row r="312" spans="1:25" ht="24" customHeight="1" x14ac:dyDescent="0.2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8"/>
      <c r="N312" s="88"/>
      <c r="O312" s="8"/>
      <c r="P312" s="8"/>
      <c r="Q312" s="89"/>
      <c r="R312" s="89"/>
      <c r="S312" s="8"/>
      <c r="T312" s="8"/>
      <c r="U312" s="8"/>
      <c r="V312" s="8"/>
      <c r="W312" s="8"/>
      <c r="X312" s="8"/>
      <c r="Y312" s="8"/>
    </row>
    <row r="313" spans="1:25" ht="24" customHeight="1" x14ac:dyDescent="0.2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8"/>
      <c r="N313" s="88"/>
      <c r="O313" s="8"/>
      <c r="P313" s="8"/>
      <c r="Q313" s="89"/>
      <c r="R313" s="89"/>
      <c r="S313" s="8"/>
      <c r="T313" s="8"/>
      <c r="U313" s="8"/>
      <c r="V313" s="8"/>
      <c r="W313" s="8"/>
      <c r="X313" s="8"/>
      <c r="Y313" s="8"/>
    </row>
    <row r="314" spans="1:25" ht="12.75" x14ac:dyDescent="0.2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8"/>
      <c r="N314" s="88"/>
      <c r="O314" s="8"/>
      <c r="P314" s="8"/>
      <c r="Q314" s="89"/>
      <c r="R314" s="89"/>
      <c r="S314" s="8"/>
      <c r="T314" s="8"/>
      <c r="U314" s="8"/>
      <c r="V314" s="8"/>
      <c r="W314" s="8"/>
      <c r="X314" s="8"/>
      <c r="Y314" s="8"/>
    </row>
    <row r="315" spans="1:25" ht="12.75" x14ac:dyDescent="0.2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8"/>
      <c r="N315" s="88"/>
      <c r="O315" s="8"/>
      <c r="P315" s="8"/>
      <c r="Q315" s="89"/>
      <c r="R315" s="89"/>
      <c r="S315" s="8"/>
      <c r="T315" s="8"/>
      <c r="U315" s="8"/>
      <c r="V315" s="8"/>
      <c r="W315" s="8"/>
      <c r="X315" s="8"/>
      <c r="Y315" s="8"/>
    </row>
    <row r="316" spans="1:25" ht="12.75" x14ac:dyDescent="0.2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8"/>
      <c r="N316" s="88"/>
      <c r="O316" s="8"/>
      <c r="P316" s="8"/>
      <c r="Q316" s="89"/>
      <c r="R316" s="89"/>
      <c r="S316" s="8"/>
      <c r="T316" s="8"/>
      <c r="U316" s="8"/>
      <c r="V316" s="8"/>
      <c r="W316" s="8"/>
      <c r="X316" s="8"/>
      <c r="Y316" s="8"/>
    </row>
    <row r="317" spans="1:25" ht="12.75" x14ac:dyDescent="0.2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8"/>
      <c r="N317" s="88"/>
      <c r="O317" s="8"/>
      <c r="P317" s="8"/>
      <c r="Q317" s="89"/>
      <c r="R317" s="89"/>
      <c r="S317" s="8"/>
      <c r="T317" s="8"/>
      <c r="U317" s="8"/>
      <c r="V317" s="8"/>
      <c r="W317" s="8"/>
      <c r="X317" s="8"/>
      <c r="Y317" s="8"/>
    </row>
    <row r="318" spans="1:25" ht="12.75" x14ac:dyDescent="0.2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8"/>
      <c r="N318" s="88"/>
      <c r="O318" s="8"/>
      <c r="P318" s="8"/>
      <c r="Q318" s="89"/>
      <c r="R318" s="89"/>
      <c r="S318" s="8"/>
      <c r="T318" s="8"/>
      <c r="U318" s="8"/>
      <c r="V318" s="8"/>
      <c r="W318" s="8"/>
      <c r="X318" s="8"/>
      <c r="Y318" s="8"/>
    </row>
    <row r="319" spans="1:25" ht="12.75" x14ac:dyDescent="0.2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8"/>
      <c r="N319" s="88"/>
      <c r="O319" s="8"/>
      <c r="P319" s="8"/>
      <c r="Q319" s="89"/>
      <c r="R319" s="89"/>
      <c r="S319" s="8"/>
      <c r="T319" s="8"/>
      <c r="U319" s="8"/>
      <c r="V319" s="8"/>
      <c r="W319" s="8"/>
      <c r="X319" s="8"/>
      <c r="Y319" s="8"/>
    </row>
    <row r="320" spans="1:25" ht="12.75" x14ac:dyDescent="0.2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8"/>
      <c r="N320" s="88"/>
      <c r="O320" s="8"/>
      <c r="P320" s="8"/>
      <c r="Q320" s="89"/>
      <c r="R320" s="89"/>
      <c r="S320" s="8"/>
      <c r="T320" s="8"/>
      <c r="U320" s="8"/>
      <c r="V320" s="8"/>
      <c r="W320" s="8"/>
      <c r="X320" s="8"/>
      <c r="Y320" s="8"/>
    </row>
    <row r="321" spans="1:25" ht="12.75" x14ac:dyDescent="0.2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8"/>
      <c r="N321" s="88"/>
      <c r="O321" s="8"/>
      <c r="P321" s="8"/>
      <c r="Q321" s="89"/>
      <c r="R321" s="89"/>
      <c r="S321" s="8"/>
      <c r="T321" s="8"/>
      <c r="U321" s="8"/>
      <c r="V321" s="8"/>
      <c r="W321" s="8"/>
      <c r="X321" s="8"/>
      <c r="Y321" s="8"/>
    </row>
    <row r="322" spans="1:25" ht="12.75" x14ac:dyDescent="0.2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8"/>
      <c r="N322" s="88"/>
      <c r="O322" s="8"/>
      <c r="P322" s="8"/>
      <c r="Q322" s="89"/>
      <c r="R322" s="89"/>
      <c r="S322" s="8"/>
      <c r="T322" s="8"/>
      <c r="U322" s="8"/>
      <c r="V322" s="8"/>
      <c r="W322" s="8"/>
      <c r="X322" s="8"/>
      <c r="Y322" s="8"/>
    </row>
    <row r="323" spans="1:25" ht="12.75" x14ac:dyDescent="0.2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8"/>
      <c r="N323" s="88"/>
      <c r="O323" s="8"/>
      <c r="P323" s="8"/>
      <c r="Q323" s="89"/>
      <c r="R323" s="89"/>
      <c r="S323" s="8"/>
      <c r="T323" s="8"/>
      <c r="U323" s="8"/>
      <c r="V323" s="8"/>
      <c r="W323" s="8"/>
      <c r="X323" s="8"/>
      <c r="Y323" s="8"/>
    </row>
    <row r="324" spans="1:25" ht="12.75" x14ac:dyDescent="0.2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8"/>
      <c r="N324" s="88"/>
      <c r="O324" s="8"/>
      <c r="P324" s="8"/>
      <c r="Q324" s="89"/>
      <c r="R324" s="89"/>
      <c r="S324" s="8"/>
      <c r="T324" s="8"/>
      <c r="U324" s="8"/>
      <c r="V324" s="8"/>
      <c r="W324" s="8"/>
      <c r="X324" s="8"/>
      <c r="Y324" s="8"/>
    </row>
    <row r="325" spans="1:25" ht="12.75" x14ac:dyDescent="0.2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8"/>
      <c r="N325" s="88"/>
      <c r="O325" s="8"/>
      <c r="P325" s="8"/>
      <c r="Q325" s="89"/>
      <c r="R325" s="89"/>
      <c r="S325" s="8"/>
      <c r="T325" s="8"/>
      <c r="U325" s="8"/>
      <c r="V325" s="8"/>
      <c r="W325" s="8"/>
      <c r="X325" s="8"/>
      <c r="Y325" s="8"/>
    </row>
    <row r="326" spans="1:25" ht="12.75" x14ac:dyDescent="0.2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8"/>
      <c r="N326" s="88"/>
      <c r="O326" s="8"/>
      <c r="P326" s="8"/>
      <c r="Q326" s="89"/>
      <c r="R326" s="89"/>
      <c r="S326" s="8"/>
      <c r="T326" s="8"/>
      <c r="U326" s="8"/>
      <c r="V326" s="8"/>
      <c r="W326" s="8"/>
      <c r="X326" s="8"/>
      <c r="Y326" s="8"/>
    </row>
    <row r="327" spans="1:25" ht="12.75" x14ac:dyDescent="0.2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8"/>
      <c r="N327" s="88"/>
      <c r="O327" s="8"/>
      <c r="P327" s="8"/>
      <c r="Q327" s="89"/>
      <c r="R327" s="89"/>
      <c r="S327" s="8"/>
      <c r="T327" s="8"/>
      <c r="U327" s="8"/>
      <c r="V327" s="8"/>
      <c r="W327" s="8"/>
      <c r="X327" s="8"/>
      <c r="Y327" s="8"/>
    </row>
    <row r="328" spans="1:25" ht="12.75" x14ac:dyDescent="0.2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8"/>
      <c r="N328" s="88"/>
      <c r="O328" s="8"/>
      <c r="P328" s="8"/>
      <c r="Q328" s="89"/>
      <c r="R328" s="89"/>
      <c r="S328" s="8"/>
      <c r="T328" s="8"/>
      <c r="U328" s="8"/>
      <c r="V328" s="8"/>
      <c r="W328" s="8"/>
      <c r="X328" s="8"/>
      <c r="Y328" s="8"/>
    </row>
    <row r="329" spans="1:25" ht="12.75" x14ac:dyDescent="0.2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8"/>
      <c r="N329" s="88"/>
      <c r="O329" s="8"/>
      <c r="P329" s="8"/>
      <c r="Q329" s="89"/>
      <c r="R329" s="89"/>
      <c r="S329" s="8"/>
      <c r="T329" s="8"/>
      <c r="U329" s="8"/>
      <c r="V329" s="8"/>
      <c r="W329" s="8"/>
      <c r="X329" s="8"/>
      <c r="Y329" s="8"/>
    </row>
    <row r="330" spans="1:25" ht="12.75" x14ac:dyDescent="0.2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8"/>
      <c r="N330" s="88"/>
      <c r="O330" s="8"/>
      <c r="P330" s="8"/>
      <c r="Q330" s="89"/>
      <c r="R330" s="89"/>
      <c r="S330" s="8"/>
      <c r="T330" s="8"/>
      <c r="U330" s="8"/>
      <c r="V330" s="8"/>
      <c r="W330" s="8"/>
      <c r="X330" s="8"/>
      <c r="Y330" s="8"/>
    </row>
    <row r="331" spans="1:25" ht="12.75" x14ac:dyDescent="0.2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8"/>
      <c r="N331" s="88"/>
      <c r="O331" s="8"/>
      <c r="P331" s="8"/>
      <c r="Q331" s="89"/>
      <c r="R331" s="89"/>
      <c r="S331" s="8"/>
      <c r="T331" s="8"/>
      <c r="U331" s="8"/>
      <c r="V331" s="8"/>
      <c r="W331" s="8"/>
      <c r="X331" s="8"/>
      <c r="Y331" s="8"/>
    </row>
    <row r="332" spans="1:25" ht="12.75" x14ac:dyDescent="0.2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8"/>
      <c r="N332" s="88"/>
      <c r="O332" s="8"/>
      <c r="P332" s="8"/>
      <c r="Q332" s="89"/>
      <c r="R332" s="89"/>
      <c r="S332" s="8"/>
      <c r="T332" s="8"/>
      <c r="U332" s="8"/>
      <c r="V332" s="8"/>
      <c r="W332" s="8"/>
      <c r="X332" s="8"/>
      <c r="Y332" s="8"/>
    </row>
    <row r="333" spans="1:25" ht="12.75" x14ac:dyDescent="0.2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8"/>
      <c r="N333" s="88"/>
      <c r="O333" s="8"/>
      <c r="P333" s="8"/>
      <c r="Q333" s="89"/>
      <c r="R333" s="89"/>
      <c r="S333" s="8"/>
      <c r="T333" s="8"/>
      <c r="U333" s="8"/>
      <c r="V333" s="8"/>
      <c r="W333" s="8"/>
      <c r="X333" s="8"/>
      <c r="Y333" s="8"/>
    </row>
    <row r="334" spans="1:25" ht="12.75" x14ac:dyDescent="0.2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8"/>
      <c r="N334" s="88"/>
      <c r="O334" s="8"/>
      <c r="P334" s="8"/>
      <c r="Q334" s="89"/>
      <c r="R334" s="89"/>
      <c r="S334" s="8"/>
      <c r="T334" s="8"/>
      <c r="U334" s="8"/>
      <c r="V334" s="8"/>
      <c r="W334" s="8"/>
      <c r="X334" s="8"/>
      <c r="Y334" s="8"/>
    </row>
    <row r="335" spans="1:25" ht="12.75" x14ac:dyDescent="0.2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8"/>
      <c r="N335" s="88"/>
      <c r="O335" s="8"/>
      <c r="P335" s="8"/>
      <c r="Q335" s="89"/>
      <c r="R335" s="89"/>
      <c r="S335" s="8"/>
      <c r="T335" s="8"/>
      <c r="U335" s="8"/>
      <c r="V335" s="8"/>
      <c r="W335" s="8"/>
      <c r="X335" s="8"/>
      <c r="Y335" s="8"/>
    </row>
    <row r="336" spans="1:25" ht="12.75" x14ac:dyDescent="0.2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8"/>
      <c r="N336" s="88"/>
      <c r="O336" s="8"/>
      <c r="P336" s="8"/>
      <c r="Q336" s="89"/>
      <c r="R336" s="89"/>
      <c r="S336" s="8"/>
      <c r="T336" s="8"/>
      <c r="U336" s="8"/>
      <c r="V336" s="8"/>
      <c r="W336" s="8"/>
      <c r="X336" s="8"/>
      <c r="Y336" s="8"/>
    </row>
    <row r="337" spans="1:25" ht="12.75" x14ac:dyDescent="0.2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8"/>
      <c r="N337" s="88"/>
      <c r="O337" s="8"/>
      <c r="P337" s="8"/>
      <c r="Q337" s="89"/>
      <c r="R337" s="89"/>
      <c r="S337" s="8"/>
      <c r="T337" s="8"/>
      <c r="U337" s="8"/>
      <c r="V337" s="8"/>
      <c r="W337" s="8"/>
      <c r="X337" s="8"/>
      <c r="Y337" s="8"/>
    </row>
    <row r="338" spans="1:25" ht="12.75" x14ac:dyDescent="0.2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8"/>
      <c r="N338" s="88"/>
      <c r="O338" s="8"/>
      <c r="P338" s="8"/>
      <c r="Q338" s="89"/>
      <c r="R338" s="89"/>
      <c r="S338" s="8"/>
      <c r="T338" s="8"/>
      <c r="U338" s="8"/>
      <c r="V338" s="8"/>
      <c r="W338" s="8"/>
      <c r="X338" s="8"/>
      <c r="Y338" s="8"/>
    </row>
    <row r="339" spans="1:25" ht="12.75" x14ac:dyDescent="0.2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8"/>
      <c r="N339" s="88"/>
      <c r="O339" s="8"/>
      <c r="P339" s="8"/>
      <c r="Q339" s="89"/>
      <c r="R339" s="89"/>
      <c r="S339" s="8"/>
      <c r="T339" s="8"/>
      <c r="U339" s="8"/>
      <c r="V339" s="8"/>
      <c r="W339" s="8"/>
      <c r="X339" s="8"/>
      <c r="Y339" s="8"/>
    </row>
    <row r="340" spans="1:25" ht="12.75" x14ac:dyDescent="0.2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8"/>
      <c r="N340" s="88"/>
      <c r="O340" s="8"/>
      <c r="P340" s="8"/>
      <c r="Q340" s="89"/>
      <c r="R340" s="89"/>
      <c r="S340" s="8"/>
      <c r="T340" s="8"/>
      <c r="U340" s="8"/>
      <c r="V340" s="8"/>
      <c r="W340" s="8"/>
      <c r="X340" s="8"/>
      <c r="Y340" s="8"/>
    </row>
    <row r="341" spans="1:25" ht="12.75" x14ac:dyDescent="0.2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8"/>
      <c r="N341" s="88"/>
      <c r="O341" s="8"/>
      <c r="P341" s="8"/>
      <c r="Q341" s="89"/>
      <c r="R341" s="89"/>
      <c r="S341" s="8"/>
      <c r="T341" s="8"/>
      <c r="U341" s="8"/>
      <c r="V341" s="8"/>
      <c r="W341" s="8"/>
      <c r="X341" s="8"/>
      <c r="Y341" s="8"/>
    </row>
    <row r="342" spans="1:25" ht="12.75" x14ac:dyDescent="0.2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8"/>
      <c r="N342" s="88"/>
      <c r="O342" s="8"/>
      <c r="P342" s="8"/>
      <c r="Q342" s="89"/>
      <c r="R342" s="89"/>
      <c r="S342" s="8"/>
      <c r="T342" s="8"/>
      <c r="U342" s="8"/>
      <c r="V342" s="8"/>
      <c r="W342" s="8"/>
      <c r="X342" s="8"/>
      <c r="Y342" s="8"/>
    </row>
    <row r="343" spans="1:25" ht="12.75" x14ac:dyDescent="0.2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8"/>
      <c r="N343" s="88"/>
      <c r="O343" s="8"/>
      <c r="P343" s="8"/>
      <c r="Q343" s="89"/>
      <c r="R343" s="89"/>
      <c r="S343" s="8"/>
      <c r="T343" s="8"/>
      <c r="U343" s="8"/>
      <c r="V343" s="8"/>
      <c r="W343" s="8"/>
      <c r="X343" s="8"/>
      <c r="Y343" s="8"/>
    </row>
    <row r="344" spans="1:25" ht="12.75" x14ac:dyDescent="0.2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8"/>
      <c r="N344" s="88"/>
      <c r="O344" s="8"/>
      <c r="P344" s="8"/>
      <c r="Q344" s="89"/>
      <c r="R344" s="89"/>
      <c r="S344" s="8"/>
      <c r="T344" s="8"/>
      <c r="U344" s="8"/>
      <c r="V344" s="8"/>
      <c r="W344" s="8"/>
      <c r="X344" s="8"/>
      <c r="Y344" s="8"/>
    </row>
    <row r="345" spans="1:25" ht="12.75" x14ac:dyDescent="0.2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8"/>
      <c r="N345" s="88"/>
      <c r="O345" s="8"/>
      <c r="P345" s="8"/>
      <c r="Q345" s="89"/>
      <c r="R345" s="89"/>
      <c r="S345" s="8"/>
      <c r="T345" s="8"/>
      <c r="U345" s="8"/>
      <c r="V345" s="8"/>
      <c r="W345" s="8"/>
      <c r="X345" s="8"/>
      <c r="Y345" s="8"/>
    </row>
    <row r="346" spans="1:25" ht="12.75" x14ac:dyDescent="0.2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8"/>
      <c r="N346" s="88"/>
      <c r="O346" s="8"/>
      <c r="P346" s="8"/>
      <c r="Q346" s="89"/>
      <c r="R346" s="89"/>
      <c r="S346" s="8"/>
      <c r="T346" s="8"/>
      <c r="U346" s="8"/>
      <c r="V346" s="8"/>
      <c r="W346" s="8"/>
      <c r="X346" s="8"/>
      <c r="Y346" s="8"/>
    </row>
    <row r="347" spans="1:25" ht="12.75" x14ac:dyDescent="0.2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8"/>
      <c r="N347" s="88"/>
      <c r="O347" s="8"/>
      <c r="P347" s="8"/>
      <c r="Q347" s="89"/>
      <c r="R347" s="89"/>
      <c r="S347" s="8"/>
      <c r="T347" s="8"/>
      <c r="U347" s="8"/>
      <c r="V347" s="8"/>
      <c r="W347" s="8"/>
      <c r="X347" s="8"/>
      <c r="Y347" s="8"/>
    </row>
    <row r="348" spans="1:25" ht="12.75" x14ac:dyDescent="0.2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8"/>
      <c r="N348" s="88"/>
      <c r="O348" s="8"/>
      <c r="P348" s="8"/>
      <c r="Q348" s="89"/>
      <c r="R348" s="89"/>
      <c r="S348" s="8"/>
      <c r="T348" s="8"/>
      <c r="U348" s="8"/>
      <c r="V348" s="8"/>
      <c r="W348" s="8"/>
      <c r="X348" s="8"/>
      <c r="Y348" s="8"/>
    </row>
    <row r="349" spans="1:25" ht="12.75" x14ac:dyDescent="0.2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8"/>
      <c r="N349" s="88"/>
      <c r="O349" s="8"/>
      <c r="P349" s="8"/>
      <c r="Q349" s="89"/>
      <c r="R349" s="89"/>
      <c r="S349" s="8"/>
      <c r="T349" s="8"/>
      <c r="U349" s="8"/>
      <c r="V349" s="8"/>
      <c r="W349" s="8"/>
      <c r="X349" s="8"/>
      <c r="Y349" s="8"/>
    </row>
    <row r="350" spans="1:25" ht="12.75" x14ac:dyDescent="0.2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8"/>
      <c r="N350" s="88"/>
      <c r="O350" s="8"/>
      <c r="P350" s="8"/>
      <c r="Q350" s="89"/>
      <c r="R350" s="89"/>
      <c r="S350" s="8"/>
      <c r="T350" s="8"/>
      <c r="U350" s="8"/>
      <c r="V350" s="8"/>
      <c r="W350" s="8"/>
      <c r="X350" s="8"/>
      <c r="Y350" s="8"/>
    </row>
    <row r="351" spans="1:25" ht="12.75" x14ac:dyDescent="0.2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8"/>
      <c r="N351" s="88"/>
      <c r="O351" s="8"/>
      <c r="P351" s="8"/>
      <c r="Q351" s="89"/>
      <c r="R351" s="89"/>
      <c r="S351" s="8"/>
      <c r="T351" s="8"/>
      <c r="U351" s="8"/>
      <c r="V351" s="8"/>
      <c r="W351" s="8"/>
      <c r="X351" s="8"/>
      <c r="Y351" s="8"/>
    </row>
    <row r="352" spans="1:25" ht="12.75" x14ac:dyDescent="0.2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8"/>
      <c r="N352" s="88"/>
      <c r="O352" s="8"/>
      <c r="P352" s="8"/>
      <c r="Q352" s="89"/>
      <c r="R352" s="89"/>
      <c r="S352" s="8"/>
      <c r="T352" s="8"/>
      <c r="U352" s="8"/>
      <c r="V352" s="8"/>
      <c r="W352" s="8"/>
      <c r="X352" s="8"/>
      <c r="Y352" s="8"/>
    </row>
    <row r="353" spans="1:25" ht="12.75" x14ac:dyDescent="0.2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8"/>
      <c r="N353" s="88"/>
      <c r="O353" s="8"/>
      <c r="P353" s="8"/>
      <c r="Q353" s="89"/>
      <c r="R353" s="89"/>
      <c r="S353" s="8"/>
      <c r="T353" s="8"/>
      <c r="U353" s="8"/>
      <c r="V353" s="8"/>
      <c r="W353" s="8"/>
      <c r="X353" s="8"/>
      <c r="Y353" s="8"/>
    </row>
    <row r="354" spans="1:25" ht="12.75" x14ac:dyDescent="0.2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8"/>
      <c r="N354" s="88"/>
      <c r="O354" s="8"/>
      <c r="P354" s="8"/>
      <c r="Q354" s="89"/>
      <c r="R354" s="89"/>
      <c r="S354" s="8"/>
      <c r="T354" s="8"/>
      <c r="U354" s="8"/>
      <c r="V354" s="8"/>
      <c r="W354" s="8"/>
      <c r="X354" s="8"/>
      <c r="Y354" s="8"/>
    </row>
    <row r="355" spans="1:25" ht="12.75" x14ac:dyDescent="0.2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8"/>
      <c r="N355" s="88"/>
      <c r="O355" s="8"/>
      <c r="P355" s="8"/>
      <c r="Q355" s="89"/>
      <c r="R355" s="89"/>
      <c r="S355" s="8"/>
      <c r="T355" s="8"/>
      <c r="U355" s="8"/>
      <c r="V355" s="8"/>
      <c r="W355" s="8"/>
      <c r="X355" s="8"/>
      <c r="Y355" s="8"/>
    </row>
    <row r="356" spans="1:25" ht="12.75" x14ac:dyDescent="0.2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8"/>
      <c r="N356" s="88"/>
      <c r="O356" s="8"/>
      <c r="P356" s="8"/>
      <c r="Q356" s="89"/>
      <c r="R356" s="89"/>
      <c r="S356" s="8"/>
      <c r="T356" s="8"/>
      <c r="U356" s="8"/>
      <c r="V356" s="8"/>
      <c r="W356" s="8"/>
      <c r="X356" s="8"/>
      <c r="Y356" s="8"/>
    </row>
    <row r="357" spans="1:25" ht="12.75" x14ac:dyDescent="0.2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8"/>
      <c r="N357" s="88"/>
      <c r="O357" s="8"/>
      <c r="P357" s="8"/>
      <c r="Q357" s="89"/>
      <c r="R357" s="89"/>
      <c r="S357" s="8"/>
      <c r="T357" s="8"/>
      <c r="U357" s="8"/>
      <c r="V357" s="8"/>
      <c r="W357" s="8"/>
      <c r="X357" s="8"/>
      <c r="Y357" s="8"/>
    </row>
    <row r="358" spans="1:25" ht="12.75" x14ac:dyDescent="0.2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8"/>
      <c r="N358" s="88"/>
      <c r="O358" s="8"/>
      <c r="P358" s="8"/>
      <c r="Q358" s="89"/>
      <c r="R358" s="89"/>
      <c r="S358" s="8"/>
      <c r="T358" s="8"/>
      <c r="U358" s="8"/>
      <c r="V358" s="8"/>
      <c r="W358" s="8"/>
      <c r="X358" s="8"/>
      <c r="Y358" s="8"/>
    </row>
    <row r="359" spans="1:25" ht="12.75" x14ac:dyDescent="0.2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8"/>
      <c r="N359" s="88"/>
      <c r="O359" s="8"/>
      <c r="P359" s="8"/>
      <c r="Q359" s="89"/>
      <c r="R359" s="89"/>
      <c r="S359" s="8"/>
      <c r="T359" s="8"/>
      <c r="U359" s="8"/>
      <c r="V359" s="8"/>
      <c r="W359" s="8"/>
      <c r="X359" s="8"/>
      <c r="Y359" s="8"/>
    </row>
    <row r="360" spans="1:25" ht="12.75" x14ac:dyDescent="0.2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8"/>
      <c r="N360" s="88"/>
      <c r="O360" s="8"/>
      <c r="P360" s="8"/>
      <c r="Q360" s="89"/>
      <c r="R360" s="89"/>
      <c r="S360" s="8"/>
      <c r="T360" s="8"/>
      <c r="U360" s="8"/>
      <c r="V360" s="8"/>
      <c r="W360" s="8"/>
      <c r="X360" s="8"/>
      <c r="Y360" s="8"/>
    </row>
    <row r="361" spans="1:25" ht="12.75" x14ac:dyDescent="0.2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8"/>
      <c r="N361" s="88"/>
      <c r="O361" s="8"/>
      <c r="P361" s="8"/>
      <c r="Q361" s="89"/>
      <c r="R361" s="89"/>
      <c r="S361" s="8"/>
      <c r="T361" s="8"/>
      <c r="U361" s="8"/>
      <c r="V361" s="8"/>
      <c r="W361" s="8"/>
      <c r="X361" s="8"/>
      <c r="Y361" s="8"/>
    </row>
    <row r="362" spans="1:25" ht="12.75" x14ac:dyDescent="0.2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8"/>
      <c r="N362" s="88"/>
      <c r="O362" s="8"/>
      <c r="P362" s="8"/>
      <c r="Q362" s="89"/>
      <c r="R362" s="89"/>
      <c r="S362" s="8"/>
      <c r="T362" s="8"/>
      <c r="U362" s="8"/>
      <c r="V362" s="8"/>
      <c r="W362" s="8"/>
      <c r="X362" s="8"/>
      <c r="Y362" s="8"/>
    </row>
    <row r="363" spans="1:25" ht="12.75" x14ac:dyDescent="0.2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8"/>
      <c r="N363" s="88"/>
      <c r="O363" s="8"/>
      <c r="P363" s="8"/>
      <c r="Q363" s="89"/>
      <c r="R363" s="89"/>
      <c r="S363" s="8"/>
      <c r="T363" s="8"/>
      <c r="U363" s="8"/>
      <c r="V363" s="8"/>
      <c r="W363" s="8"/>
      <c r="X363" s="8"/>
      <c r="Y363" s="8"/>
    </row>
    <row r="364" spans="1:25" ht="12.75" x14ac:dyDescent="0.2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8"/>
      <c r="N364" s="88"/>
      <c r="O364" s="8"/>
      <c r="P364" s="8"/>
      <c r="Q364" s="89"/>
      <c r="R364" s="89"/>
      <c r="S364" s="8"/>
      <c r="T364" s="8"/>
      <c r="U364" s="8"/>
      <c r="V364" s="8"/>
      <c r="W364" s="8"/>
      <c r="X364" s="8"/>
      <c r="Y364" s="8"/>
    </row>
    <row r="365" spans="1:25" ht="12.75" x14ac:dyDescent="0.2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8"/>
      <c r="N365" s="88"/>
      <c r="O365" s="8"/>
      <c r="P365" s="8"/>
      <c r="Q365" s="89"/>
      <c r="R365" s="89"/>
      <c r="S365" s="8"/>
      <c r="T365" s="8"/>
      <c r="U365" s="8"/>
      <c r="V365" s="8"/>
      <c r="W365" s="8"/>
      <c r="X365" s="8"/>
      <c r="Y365" s="8"/>
    </row>
    <row r="366" spans="1:25" ht="12.75" x14ac:dyDescent="0.2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8"/>
      <c r="N366" s="88"/>
      <c r="O366" s="8"/>
      <c r="P366" s="8"/>
      <c r="Q366" s="89"/>
      <c r="R366" s="89"/>
      <c r="S366" s="8"/>
      <c r="T366" s="8"/>
      <c r="U366" s="8"/>
      <c r="V366" s="8"/>
      <c r="W366" s="8"/>
      <c r="X366" s="8"/>
      <c r="Y366" s="8"/>
    </row>
    <row r="367" spans="1:25" ht="12.75" x14ac:dyDescent="0.2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8"/>
      <c r="N367" s="88"/>
      <c r="O367" s="8"/>
      <c r="P367" s="8"/>
      <c r="Q367" s="89"/>
      <c r="R367" s="89"/>
      <c r="S367" s="8"/>
      <c r="T367" s="8"/>
      <c r="U367" s="8"/>
      <c r="V367" s="8"/>
      <c r="W367" s="8"/>
      <c r="X367" s="8"/>
      <c r="Y367" s="8"/>
    </row>
    <row r="368" spans="1:25" ht="12.75" x14ac:dyDescent="0.2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8"/>
      <c r="N368" s="88"/>
      <c r="O368" s="8"/>
      <c r="P368" s="8"/>
      <c r="Q368" s="89"/>
      <c r="R368" s="89"/>
      <c r="S368" s="8"/>
      <c r="T368" s="8"/>
      <c r="U368" s="8"/>
      <c r="V368" s="8"/>
      <c r="W368" s="8"/>
      <c r="X368" s="8"/>
      <c r="Y368" s="8"/>
    </row>
    <row r="369" spans="1:25" ht="12.75" x14ac:dyDescent="0.2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8"/>
      <c r="N369" s="88"/>
      <c r="O369" s="8"/>
      <c r="P369" s="8"/>
      <c r="Q369" s="89"/>
      <c r="R369" s="89"/>
      <c r="S369" s="8"/>
      <c r="T369" s="8"/>
      <c r="U369" s="8"/>
      <c r="V369" s="8"/>
      <c r="W369" s="8"/>
      <c r="X369" s="8"/>
      <c r="Y369" s="8"/>
    </row>
    <row r="370" spans="1:25" ht="12.75" x14ac:dyDescent="0.2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8"/>
      <c r="N370" s="88"/>
      <c r="O370" s="8"/>
      <c r="P370" s="8"/>
      <c r="Q370" s="89"/>
      <c r="R370" s="89"/>
      <c r="S370" s="8"/>
      <c r="T370" s="8"/>
      <c r="U370" s="8"/>
      <c r="V370" s="8"/>
      <c r="W370" s="8"/>
      <c r="X370" s="8"/>
      <c r="Y370" s="8"/>
    </row>
    <row r="371" spans="1:25" ht="12.75" x14ac:dyDescent="0.2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8"/>
      <c r="N371" s="88"/>
      <c r="O371" s="8"/>
      <c r="P371" s="8"/>
      <c r="Q371" s="89"/>
      <c r="R371" s="89"/>
      <c r="S371" s="8"/>
      <c r="T371" s="8"/>
      <c r="U371" s="8"/>
      <c r="V371" s="8"/>
      <c r="W371" s="8"/>
      <c r="X371" s="8"/>
      <c r="Y371" s="8"/>
    </row>
    <row r="372" spans="1:25" ht="12.75" x14ac:dyDescent="0.2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8"/>
      <c r="N372" s="88"/>
      <c r="O372" s="8"/>
      <c r="P372" s="8"/>
      <c r="Q372" s="89"/>
      <c r="R372" s="89"/>
      <c r="S372" s="8"/>
      <c r="T372" s="8"/>
      <c r="U372" s="8"/>
      <c r="V372" s="8"/>
      <c r="W372" s="8"/>
      <c r="X372" s="8"/>
      <c r="Y372" s="8"/>
    </row>
    <row r="373" spans="1:25" ht="12.75" x14ac:dyDescent="0.2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8"/>
      <c r="N373" s="88"/>
      <c r="O373" s="8"/>
      <c r="P373" s="8"/>
      <c r="Q373" s="89"/>
      <c r="R373" s="89"/>
      <c r="S373" s="8"/>
      <c r="T373" s="8"/>
      <c r="U373" s="8"/>
      <c r="V373" s="8"/>
      <c r="W373" s="8"/>
      <c r="X373" s="8"/>
      <c r="Y373" s="8"/>
    </row>
    <row r="374" spans="1:25" ht="12.75" x14ac:dyDescent="0.2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8"/>
      <c r="N374" s="88"/>
      <c r="O374" s="8"/>
      <c r="P374" s="8"/>
      <c r="Q374" s="89"/>
      <c r="R374" s="89"/>
      <c r="S374" s="8"/>
      <c r="T374" s="8"/>
      <c r="U374" s="8"/>
      <c r="V374" s="8"/>
      <c r="W374" s="8"/>
      <c r="X374" s="8"/>
      <c r="Y374" s="8"/>
    </row>
    <row r="375" spans="1:25" ht="12.75" x14ac:dyDescent="0.2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8"/>
      <c r="N375" s="88"/>
      <c r="O375" s="8"/>
      <c r="P375" s="8"/>
      <c r="Q375" s="89"/>
      <c r="R375" s="89"/>
      <c r="S375" s="8"/>
      <c r="T375" s="8"/>
      <c r="U375" s="8"/>
      <c r="V375" s="8"/>
      <c r="W375" s="8"/>
      <c r="X375" s="8"/>
      <c r="Y375" s="8"/>
    </row>
    <row r="376" spans="1:25" ht="12.75" x14ac:dyDescent="0.2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8"/>
      <c r="N376" s="88"/>
      <c r="O376" s="8"/>
      <c r="P376" s="8"/>
      <c r="Q376" s="89"/>
      <c r="R376" s="89"/>
      <c r="S376" s="8"/>
      <c r="T376" s="8"/>
      <c r="U376" s="8"/>
      <c r="V376" s="8"/>
      <c r="W376" s="8"/>
      <c r="X376" s="8"/>
      <c r="Y376" s="8"/>
    </row>
    <row r="377" spans="1:25" ht="12.75" x14ac:dyDescent="0.2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8"/>
      <c r="N377" s="88"/>
      <c r="O377" s="8"/>
      <c r="P377" s="8"/>
      <c r="Q377" s="89"/>
      <c r="R377" s="89"/>
      <c r="S377" s="8"/>
      <c r="T377" s="8"/>
      <c r="U377" s="8"/>
      <c r="V377" s="8"/>
      <c r="W377" s="8"/>
      <c r="X377" s="8"/>
      <c r="Y377" s="8"/>
    </row>
    <row r="378" spans="1:25" ht="12.75" x14ac:dyDescent="0.2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8"/>
      <c r="N378" s="88"/>
      <c r="O378" s="8"/>
      <c r="P378" s="8"/>
      <c r="Q378" s="89"/>
      <c r="R378" s="89"/>
      <c r="S378" s="8"/>
      <c r="T378" s="8"/>
      <c r="U378" s="8"/>
      <c r="V378" s="8"/>
      <c r="W378" s="8"/>
      <c r="X378" s="8"/>
      <c r="Y378" s="8"/>
    </row>
    <row r="379" spans="1:25" ht="12.75" x14ac:dyDescent="0.2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8"/>
      <c r="N379" s="88"/>
      <c r="O379" s="8"/>
      <c r="P379" s="8"/>
      <c r="Q379" s="89"/>
      <c r="R379" s="89"/>
      <c r="S379" s="8"/>
      <c r="T379" s="8"/>
      <c r="U379" s="8"/>
      <c r="V379" s="8"/>
      <c r="W379" s="8"/>
      <c r="X379" s="8"/>
      <c r="Y379" s="8"/>
    </row>
    <row r="380" spans="1:25" ht="12.75" x14ac:dyDescent="0.2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8"/>
      <c r="N380" s="88"/>
      <c r="O380" s="8"/>
      <c r="P380" s="8"/>
      <c r="Q380" s="89"/>
      <c r="R380" s="89"/>
      <c r="S380" s="8"/>
      <c r="T380" s="8"/>
      <c r="U380" s="8"/>
      <c r="V380" s="8"/>
      <c r="W380" s="8"/>
      <c r="X380" s="8"/>
      <c r="Y380" s="8"/>
    </row>
    <row r="381" spans="1:25" ht="12.75" x14ac:dyDescent="0.2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8"/>
      <c r="N381" s="88"/>
      <c r="O381" s="8"/>
      <c r="P381" s="8"/>
      <c r="Q381" s="89"/>
      <c r="R381" s="89"/>
      <c r="S381" s="8"/>
      <c r="T381" s="8"/>
      <c r="U381" s="8"/>
      <c r="V381" s="8"/>
      <c r="W381" s="8"/>
      <c r="X381" s="8"/>
      <c r="Y381" s="8"/>
    </row>
    <row r="382" spans="1:25" ht="12.75" x14ac:dyDescent="0.2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8"/>
      <c r="N382" s="88"/>
      <c r="O382" s="8"/>
      <c r="P382" s="8"/>
      <c r="Q382" s="89"/>
      <c r="R382" s="89"/>
      <c r="S382" s="8"/>
      <c r="T382" s="8"/>
      <c r="U382" s="8"/>
      <c r="V382" s="8"/>
      <c r="W382" s="8"/>
      <c r="X382" s="8"/>
      <c r="Y382" s="8"/>
    </row>
    <row r="383" spans="1:25" ht="12.75" x14ac:dyDescent="0.2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8"/>
      <c r="N383" s="88"/>
      <c r="O383" s="8"/>
      <c r="P383" s="8"/>
      <c r="Q383" s="89"/>
      <c r="R383" s="89"/>
      <c r="S383" s="8"/>
      <c r="T383" s="8"/>
      <c r="U383" s="8"/>
      <c r="V383" s="8"/>
      <c r="W383" s="8"/>
      <c r="X383" s="8"/>
      <c r="Y383" s="8"/>
    </row>
    <row r="384" spans="1:25" ht="12.75" x14ac:dyDescent="0.2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8"/>
      <c r="N384" s="88"/>
      <c r="O384" s="8"/>
      <c r="P384" s="8"/>
      <c r="Q384" s="89"/>
      <c r="R384" s="89"/>
      <c r="S384" s="8"/>
      <c r="T384" s="8"/>
      <c r="U384" s="8"/>
      <c r="V384" s="8"/>
      <c r="W384" s="8"/>
      <c r="X384" s="8"/>
      <c r="Y384" s="8"/>
    </row>
    <row r="385" spans="1:25" ht="12.75" x14ac:dyDescent="0.2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8"/>
      <c r="N385" s="88"/>
      <c r="O385" s="8"/>
      <c r="P385" s="8"/>
      <c r="Q385" s="89"/>
      <c r="R385" s="89"/>
      <c r="S385" s="8"/>
      <c r="T385" s="8"/>
      <c r="U385" s="8"/>
      <c r="V385" s="8"/>
      <c r="W385" s="8"/>
      <c r="X385" s="8"/>
      <c r="Y385" s="8"/>
    </row>
    <row r="386" spans="1:25" ht="12.75" x14ac:dyDescent="0.2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8"/>
      <c r="N386" s="88"/>
      <c r="O386" s="8"/>
      <c r="P386" s="8"/>
      <c r="Q386" s="89"/>
      <c r="R386" s="89"/>
      <c r="S386" s="8"/>
      <c r="T386" s="8"/>
      <c r="U386" s="8"/>
      <c r="V386" s="8"/>
      <c r="W386" s="8"/>
      <c r="X386" s="8"/>
      <c r="Y386" s="8"/>
    </row>
    <row r="387" spans="1:25" ht="12.75" x14ac:dyDescent="0.2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8"/>
      <c r="N387" s="88"/>
      <c r="O387" s="8"/>
      <c r="P387" s="8"/>
      <c r="Q387" s="89"/>
      <c r="R387" s="89"/>
      <c r="S387" s="8"/>
      <c r="T387" s="8"/>
      <c r="U387" s="8"/>
      <c r="V387" s="8"/>
      <c r="W387" s="8"/>
      <c r="X387" s="8"/>
      <c r="Y387" s="8"/>
    </row>
    <row r="388" spans="1:25" ht="12.75" x14ac:dyDescent="0.2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8"/>
      <c r="N388" s="88"/>
      <c r="O388" s="8"/>
      <c r="P388" s="8"/>
      <c r="Q388" s="89"/>
      <c r="R388" s="89"/>
      <c r="S388" s="8"/>
      <c r="T388" s="8"/>
      <c r="U388" s="8"/>
      <c r="V388" s="8"/>
      <c r="W388" s="8"/>
      <c r="X388" s="8"/>
      <c r="Y388" s="8"/>
    </row>
    <row r="389" spans="1:25" ht="12.75" x14ac:dyDescent="0.2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8"/>
      <c r="N389" s="88"/>
      <c r="O389" s="8"/>
      <c r="P389" s="8"/>
      <c r="Q389" s="89"/>
      <c r="R389" s="89"/>
      <c r="S389" s="8"/>
      <c r="T389" s="8"/>
      <c r="U389" s="8"/>
      <c r="V389" s="8"/>
      <c r="W389" s="8"/>
      <c r="X389" s="8"/>
      <c r="Y389" s="8"/>
    </row>
    <row r="390" spans="1:25" ht="12.75" x14ac:dyDescent="0.2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8"/>
      <c r="N390" s="88"/>
      <c r="O390" s="8"/>
      <c r="P390" s="8"/>
      <c r="Q390" s="89"/>
      <c r="R390" s="89"/>
      <c r="S390" s="8"/>
      <c r="T390" s="8"/>
      <c r="U390" s="8"/>
      <c r="V390" s="8"/>
      <c r="W390" s="8"/>
      <c r="X390" s="8"/>
      <c r="Y390" s="8"/>
    </row>
    <row r="391" spans="1:25" ht="12.75" x14ac:dyDescent="0.2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8"/>
      <c r="N391" s="88"/>
      <c r="O391" s="8"/>
      <c r="P391" s="8"/>
      <c r="Q391" s="89"/>
      <c r="R391" s="89"/>
      <c r="S391" s="8"/>
      <c r="T391" s="8"/>
      <c r="U391" s="8"/>
      <c r="V391" s="8"/>
      <c r="W391" s="8"/>
      <c r="X391" s="8"/>
      <c r="Y391" s="8"/>
    </row>
    <row r="392" spans="1:25" ht="12.75" x14ac:dyDescent="0.2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8"/>
      <c r="N392" s="88"/>
      <c r="O392" s="8"/>
      <c r="P392" s="8"/>
      <c r="Q392" s="89"/>
      <c r="R392" s="89"/>
      <c r="S392" s="8"/>
      <c r="T392" s="8"/>
      <c r="U392" s="8"/>
      <c r="V392" s="8"/>
      <c r="W392" s="8"/>
      <c r="X392" s="8"/>
      <c r="Y392" s="8"/>
    </row>
    <row r="393" spans="1:25" ht="12.75" x14ac:dyDescent="0.2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8"/>
      <c r="N393" s="88"/>
      <c r="O393" s="8"/>
      <c r="P393" s="8"/>
      <c r="Q393" s="89"/>
      <c r="R393" s="89"/>
      <c r="S393" s="8"/>
      <c r="T393" s="8"/>
      <c r="U393" s="8"/>
      <c r="V393" s="8"/>
      <c r="W393" s="8"/>
      <c r="X393" s="8"/>
      <c r="Y393" s="8"/>
    </row>
    <row r="394" spans="1:25" ht="12.75" x14ac:dyDescent="0.2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8"/>
      <c r="N394" s="88"/>
      <c r="O394" s="8"/>
      <c r="P394" s="8"/>
      <c r="Q394" s="89"/>
      <c r="R394" s="89"/>
      <c r="S394" s="8"/>
      <c r="T394" s="8"/>
      <c r="U394" s="8"/>
      <c r="V394" s="8"/>
      <c r="W394" s="8"/>
      <c r="X394" s="8"/>
      <c r="Y394" s="8"/>
    </row>
    <row r="395" spans="1:25" ht="12.75" x14ac:dyDescent="0.2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8"/>
      <c r="N395" s="88"/>
      <c r="O395" s="8"/>
      <c r="P395" s="8"/>
      <c r="Q395" s="89"/>
      <c r="R395" s="89"/>
      <c r="S395" s="8"/>
      <c r="T395" s="8"/>
      <c r="U395" s="8"/>
      <c r="V395" s="8"/>
      <c r="W395" s="8"/>
      <c r="X395" s="8"/>
      <c r="Y395" s="8"/>
    </row>
    <row r="396" spans="1:25" ht="12.75" x14ac:dyDescent="0.2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8"/>
      <c r="N396" s="88"/>
      <c r="O396" s="8"/>
      <c r="P396" s="8"/>
      <c r="Q396" s="89"/>
      <c r="R396" s="89"/>
      <c r="S396" s="8"/>
      <c r="T396" s="8"/>
      <c r="U396" s="8"/>
      <c r="V396" s="8"/>
      <c r="W396" s="8"/>
      <c r="X396" s="8"/>
      <c r="Y396" s="8"/>
    </row>
    <row r="397" spans="1:25" ht="12.75" x14ac:dyDescent="0.2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8"/>
      <c r="N397" s="88"/>
      <c r="O397" s="8"/>
      <c r="P397" s="8"/>
      <c r="Q397" s="89"/>
      <c r="R397" s="89"/>
      <c r="S397" s="8"/>
      <c r="T397" s="8"/>
      <c r="U397" s="8"/>
      <c r="V397" s="8"/>
      <c r="W397" s="8"/>
      <c r="X397" s="8"/>
      <c r="Y397" s="8"/>
    </row>
    <row r="398" spans="1:25" ht="12.75" x14ac:dyDescent="0.2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8"/>
      <c r="N398" s="88"/>
      <c r="O398" s="8"/>
      <c r="P398" s="8"/>
      <c r="Q398" s="89"/>
      <c r="R398" s="89"/>
      <c r="S398" s="8"/>
      <c r="T398" s="8"/>
      <c r="U398" s="8"/>
      <c r="V398" s="8"/>
      <c r="W398" s="8"/>
      <c r="X398" s="8"/>
      <c r="Y398" s="8"/>
    </row>
    <row r="399" spans="1:25" ht="12.75" x14ac:dyDescent="0.2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8"/>
      <c r="N399" s="88"/>
      <c r="O399" s="8"/>
      <c r="P399" s="8"/>
      <c r="Q399" s="89"/>
      <c r="R399" s="89"/>
      <c r="S399" s="8"/>
      <c r="T399" s="8"/>
      <c r="U399" s="8"/>
      <c r="V399" s="8"/>
      <c r="W399" s="8"/>
      <c r="X399" s="8"/>
      <c r="Y399" s="8"/>
    </row>
    <row r="400" spans="1:25" ht="12.75" x14ac:dyDescent="0.2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8"/>
      <c r="N400" s="88"/>
      <c r="O400" s="8"/>
      <c r="P400" s="8"/>
      <c r="Q400" s="89"/>
      <c r="R400" s="89"/>
      <c r="S400" s="8"/>
      <c r="T400" s="8"/>
      <c r="U400" s="8"/>
      <c r="V400" s="8"/>
      <c r="W400" s="8"/>
      <c r="X400" s="8"/>
      <c r="Y400" s="8"/>
    </row>
    <row r="401" spans="1:25" ht="12.75" x14ac:dyDescent="0.2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8"/>
      <c r="N401" s="88"/>
      <c r="O401" s="8"/>
      <c r="P401" s="8"/>
      <c r="Q401" s="89"/>
      <c r="R401" s="89"/>
      <c r="S401" s="8"/>
      <c r="T401" s="8"/>
      <c r="U401" s="8"/>
      <c r="V401" s="8"/>
      <c r="W401" s="8"/>
      <c r="X401" s="8"/>
      <c r="Y401" s="8"/>
    </row>
    <row r="402" spans="1:25" ht="12.75" x14ac:dyDescent="0.2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8"/>
      <c r="N402" s="88"/>
      <c r="O402" s="8"/>
      <c r="P402" s="8"/>
      <c r="Q402" s="89"/>
      <c r="R402" s="89"/>
      <c r="S402" s="8"/>
      <c r="T402" s="8"/>
      <c r="U402" s="8"/>
      <c r="V402" s="8"/>
      <c r="W402" s="8"/>
      <c r="X402" s="8"/>
      <c r="Y402" s="8"/>
    </row>
    <row r="403" spans="1:25" ht="12.75" x14ac:dyDescent="0.2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8"/>
      <c r="N403" s="88"/>
      <c r="O403" s="8"/>
      <c r="P403" s="8"/>
      <c r="Q403" s="89"/>
      <c r="R403" s="89"/>
      <c r="S403" s="8"/>
      <c r="T403" s="8"/>
      <c r="U403" s="8"/>
      <c r="V403" s="8"/>
      <c r="W403" s="8"/>
      <c r="X403" s="8"/>
      <c r="Y403" s="8"/>
    </row>
    <row r="404" spans="1:25" ht="12.75" x14ac:dyDescent="0.2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8"/>
      <c r="N404" s="88"/>
      <c r="O404" s="8"/>
      <c r="P404" s="8"/>
      <c r="Q404" s="89"/>
      <c r="R404" s="89"/>
      <c r="S404" s="8"/>
      <c r="T404" s="8"/>
      <c r="U404" s="8"/>
      <c r="V404" s="8"/>
      <c r="W404" s="8"/>
      <c r="X404" s="8"/>
      <c r="Y404" s="8"/>
    </row>
    <row r="405" spans="1:25" ht="12.75" x14ac:dyDescent="0.2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8"/>
      <c r="N405" s="88"/>
      <c r="O405" s="8"/>
      <c r="P405" s="8"/>
      <c r="Q405" s="89"/>
      <c r="R405" s="89"/>
      <c r="S405" s="8"/>
      <c r="T405" s="8"/>
      <c r="U405" s="8"/>
      <c r="V405" s="8"/>
      <c r="W405" s="8"/>
      <c r="X405" s="8"/>
      <c r="Y405" s="8"/>
    </row>
    <row r="406" spans="1:25" ht="12.75" x14ac:dyDescent="0.2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8"/>
      <c r="N406" s="88"/>
      <c r="O406" s="8"/>
      <c r="P406" s="8"/>
      <c r="Q406" s="89"/>
      <c r="R406" s="89"/>
      <c r="S406" s="8"/>
      <c r="T406" s="8"/>
      <c r="U406" s="8"/>
      <c r="V406" s="8"/>
      <c r="W406" s="8"/>
      <c r="X406" s="8"/>
      <c r="Y406" s="8"/>
    </row>
    <row r="407" spans="1:25" ht="12.75" x14ac:dyDescent="0.2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8"/>
      <c r="N407" s="88"/>
      <c r="O407" s="8"/>
      <c r="P407" s="8"/>
      <c r="Q407" s="89"/>
      <c r="R407" s="89"/>
      <c r="S407" s="8"/>
      <c r="T407" s="8"/>
      <c r="U407" s="8"/>
      <c r="V407" s="8"/>
      <c r="W407" s="8"/>
      <c r="X407" s="8"/>
      <c r="Y407" s="8"/>
    </row>
    <row r="408" spans="1:25" ht="12.75" x14ac:dyDescent="0.2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8"/>
      <c r="N408" s="88"/>
      <c r="O408" s="8"/>
      <c r="P408" s="8"/>
      <c r="Q408" s="89"/>
      <c r="R408" s="89"/>
      <c r="S408" s="8"/>
      <c r="T408" s="8"/>
      <c r="U408" s="8"/>
      <c r="V408" s="8"/>
      <c r="W408" s="8"/>
      <c r="X408" s="8"/>
      <c r="Y408" s="8"/>
    </row>
    <row r="409" spans="1:25" ht="12.75" x14ac:dyDescent="0.2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8"/>
      <c r="N409" s="88"/>
      <c r="O409" s="8"/>
      <c r="P409" s="8"/>
      <c r="Q409" s="89"/>
      <c r="R409" s="89"/>
      <c r="S409" s="8"/>
      <c r="T409" s="8"/>
      <c r="U409" s="8"/>
      <c r="V409" s="8"/>
      <c r="W409" s="8"/>
      <c r="X409" s="8"/>
      <c r="Y409" s="8"/>
    </row>
    <row r="410" spans="1:25" ht="12.75" x14ac:dyDescent="0.2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8"/>
      <c r="N410" s="88"/>
      <c r="O410" s="8"/>
      <c r="P410" s="8"/>
      <c r="Q410" s="89"/>
      <c r="R410" s="89"/>
      <c r="S410" s="8"/>
      <c r="T410" s="8"/>
      <c r="U410" s="8"/>
      <c r="V410" s="8"/>
      <c r="W410" s="8"/>
      <c r="X410" s="8"/>
      <c r="Y410" s="8"/>
    </row>
    <row r="411" spans="1:25" ht="12.75" x14ac:dyDescent="0.2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8"/>
      <c r="N411" s="88"/>
      <c r="O411" s="8"/>
      <c r="P411" s="8"/>
      <c r="Q411" s="89"/>
      <c r="R411" s="89"/>
      <c r="S411" s="8"/>
      <c r="T411" s="8"/>
      <c r="U411" s="8"/>
      <c r="V411" s="8"/>
      <c r="W411" s="8"/>
      <c r="X411" s="8"/>
      <c r="Y411" s="8"/>
    </row>
    <row r="412" spans="1:25" ht="12.75" x14ac:dyDescent="0.2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8"/>
      <c r="N412" s="88"/>
      <c r="O412" s="8"/>
      <c r="P412" s="8"/>
      <c r="Q412" s="89"/>
      <c r="R412" s="89"/>
      <c r="S412" s="8"/>
      <c r="T412" s="8"/>
      <c r="U412" s="8"/>
      <c r="V412" s="8"/>
      <c r="W412" s="8"/>
      <c r="X412" s="8"/>
      <c r="Y412" s="8"/>
    </row>
    <row r="413" spans="1:25" ht="12.75" x14ac:dyDescent="0.2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8"/>
      <c r="N413" s="88"/>
      <c r="O413" s="8"/>
      <c r="P413" s="8"/>
      <c r="Q413" s="89"/>
      <c r="R413" s="89"/>
      <c r="S413" s="8"/>
      <c r="T413" s="8"/>
      <c r="U413" s="8"/>
      <c r="V413" s="8"/>
      <c r="W413" s="8"/>
      <c r="X413" s="8"/>
      <c r="Y413" s="8"/>
    </row>
    <row r="414" spans="1:25" ht="12.75" x14ac:dyDescent="0.2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8"/>
      <c r="N414" s="88"/>
      <c r="O414" s="8"/>
      <c r="P414" s="8"/>
      <c r="Q414" s="89"/>
      <c r="R414" s="89"/>
      <c r="S414" s="8"/>
      <c r="T414" s="8"/>
      <c r="U414" s="8"/>
      <c r="V414" s="8"/>
      <c r="W414" s="8"/>
      <c r="X414" s="8"/>
      <c r="Y414" s="8"/>
    </row>
    <row r="415" spans="1:25" ht="12.75" x14ac:dyDescent="0.2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8"/>
      <c r="N415" s="88"/>
      <c r="O415" s="8"/>
      <c r="P415" s="8"/>
      <c r="Q415" s="89"/>
      <c r="R415" s="89"/>
      <c r="S415" s="8"/>
      <c r="T415" s="8"/>
      <c r="U415" s="8"/>
      <c r="V415" s="8"/>
      <c r="W415" s="8"/>
      <c r="X415" s="8"/>
      <c r="Y415" s="8"/>
    </row>
    <row r="416" spans="1:25" ht="12.75" x14ac:dyDescent="0.2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8"/>
      <c r="N416" s="88"/>
      <c r="O416" s="8"/>
      <c r="P416" s="8"/>
      <c r="Q416" s="89"/>
      <c r="R416" s="89"/>
      <c r="S416" s="8"/>
      <c r="T416" s="8"/>
      <c r="U416" s="8"/>
      <c r="V416" s="8"/>
      <c r="W416" s="8"/>
      <c r="X416" s="8"/>
      <c r="Y416" s="8"/>
    </row>
    <row r="417" spans="1:25" ht="12.75" x14ac:dyDescent="0.2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8"/>
      <c r="N417" s="88"/>
      <c r="O417" s="8"/>
      <c r="P417" s="8"/>
      <c r="Q417" s="89"/>
      <c r="R417" s="89"/>
      <c r="S417" s="8"/>
      <c r="T417" s="8"/>
      <c r="U417" s="8"/>
      <c r="V417" s="8"/>
      <c r="W417" s="8"/>
      <c r="X417" s="8"/>
      <c r="Y417" s="8"/>
    </row>
    <row r="418" spans="1:25" ht="12.75" x14ac:dyDescent="0.2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8"/>
      <c r="N418" s="88"/>
      <c r="O418" s="8"/>
      <c r="P418" s="8"/>
      <c r="Q418" s="89"/>
      <c r="R418" s="89"/>
      <c r="S418" s="8"/>
      <c r="T418" s="8"/>
      <c r="U418" s="8"/>
      <c r="V418" s="8"/>
      <c r="W418" s="8"/>
      <c r="X418" s="8"/>
      <c r="Y418" s="8"/>
    </row>
    <row r="419" spans="1:25" ht="12.75" x14ac:dyDescent="0.2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8"/>
      <c r="N419" s="88"/>
      <c r="O419" s="8"/>
      <c r="P419" s="8"/>
      <c r="Q419" s="89"/>
      <c r="R419" s="89"/>
      <c r="S419" s="8"/>
      <c r="T419" s="8"/>
      <c r="U419" s="8"/>
      <c r="V419" s="8"/>
      <c r="W419" s="8"/>
      <c r="X419" s="8"/>
      <c r="Y419" s="8"/>
    </row>
    <row r="420" spans="1:25" ht="12.75" x14ac:dyDescent="0.2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8"/>
      <c r="N420" s="88"/>
      <c r="O420" s="8"/>
      <c r="P420" s="8"/>
      <c r="Q420" s="89"/>
      <c r="R420" s="89"/>
      <c r="S420" s="8"/>
      <c r="T420" s="8"/>
      <c r="U420" s="8"/>
      <c r="V420" s="8"/>
      <c r="W420" s="8"/>
      <c r="X420" s="8"/>
      <c r="Y420" s="8"/>
    </row>
    <row r="421" spans="1:25" ht="12.75" x14ac:dyDescent="0.2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8"/>
      <c r="N421" s="88"/>
      <c r="O421" s="8"/>
      <c r="P421" s="8"/>
      <c r="Q421" s="89"/>
      <c r="R421" s="89"/>
      <c r="S421" s="8"/>
      <c r="T421" s="8"/>
      <c r="U421" s="8"/>
      <c r="V421" s="8"/>
      <c r="W421" s="8"/>
      <c r="X421" s="8"/>
      <c r="Y421" s="8"/>
    </row>
    <row r="422" spans="1:25" ht="12.75" x14ac:dyDescent="0.2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8"/>
      <c r="N422" s="88"/>
      <c r="O422" s="8"/>
      <c r="P422" s="8"/>
      <c r="Q422" s="89"/>
      <c r="R422" s="89"/>
      <c r="S422" s="8"/>
      <c r="T422" s="8"/>
      <c r="U422" s="8"/>
      <c r="V422" s="8"/>
      <c r="W422" s="8"/>
      <c r="X422" s="8"/>
      <c r="Y422" s="8"/>
    </row>
    <row r="423" spans="1:25" ht="12.75" x14ac:dyDescent="0.2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8"/>
      <c r="N423" s="88"/>
      <c r="O423" s="8"/>
      <c r="P423" s="8"/>
      <c r="Q423" s="89"/>
      <c r="R423" s="89"/>
      <c r="S423" s="8"/>
      <c r="T423" s="8"/>
      <c r="U423" s="8"/>
      <c r="V423" s="8"/>
      <c r="W423" s="8"/>
      <c r="X423" s="8"/>
      <c r="Y423" s="8"/>
    </row>
    <row r="424" spans="1:25" ht="12.75" x14ac:dyDescent="0.2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8"/>
      <c r="N424" s="88"/>
      <c r="O424" s="8"/>
      <c r="P424" s="8"/>
      <c r="Q424" s="89"/>
      <c r="R424" s="89"/>
      <c r="S424" s="8"/>
      <c r="T424" s="8"/>
      <c r="U424" s="8"/>
      <c r="V424" s="8"/>
      <c r="W424" s="8"/>
      <c r="X424" s="8"/>
      <c r="Y424" s="8"/>
    </row>
    <row r="425" spans="1:25" ht="12.75" x14ac:dyDescent="0.2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8"/>
      <c r="N425" s="88"/>
      <c r="O425" s="8"/>
      <c r="P425" s="8"/>
      <c r="Q425" s="89"/>
      <c r="R425" s="89"/>
      <c r="S425" s="8"/>
      <c r="T425" s="8"/>
      <c r="U425" s="8"/>
      <c r="V425" s="8"/>
      <c r="W425" s="8"/>
      <c r="X425" s="8"/>
      <c r="Y425" s="8"/>
    </row>
    <row r="426" spans="1:25" ht="12.75" x14ac:dyDescent="0.2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8"/>
      <c r="N426" s="88"/>
      <c r="O426" s="8"/>
      <c r="P426" s="8"/>
      <c r="Q426" s="89"/>
      <c r="R426" s="89"/>
      <c r="S426" s="8"/>
      <c r="T426" s="8"/>
      <c r="U426" s="8"/>
      <c r="V426" s="8"/>
      <c r="W426" s="8"/>
      <c r="X426" s="8"/>
      <c r="Y426" s="8"/>
    </row>
    <row r="427" spans="1:25" ht="12.75" x14ac:dyDescent="0.2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8"/>
      <c r="N427" s="88"/>
      <c r="O427" s="8"/>
      <c r="P427" s="8"/>
      <c r="Q427" s="89"/>
      <c r="R427" s="89"/>
      <c r="S427" s="8"/>
      <c r="T427" s="8"/>
      <c r="U427" s="8"/>
      <c r="V427" s="8"/>
      <c r="W427" s="8"/>
      <c r="X427" s="8"/>
      <c r="Y427" s="8"/>
    </row>
    <row r="428" spans="1:25" ht="12.75" x14ac:dyDescent="0.2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8"/>
      <c r="N428" s="88"/>
      <c r="O428" s="8"/>
      <c r="P428" s="8"/>
      <c r="Q428" s="89"/>
      <c r="R428" s="89"/>
      <c r="S428" s="8"/>
      <c r="T428" s="8"/>
      <c r="U428" s="8"/>
      <c r="V428" s="8"/>
      <c r="W428" s="8"/>
      <c r="X428" s="8"/>
      <c r="Y428" s="8"/>
    </row>
    <row r="429" spans="1:25" ht="12.75" x14ac:dyDescent="0.2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8"/>
      <c r="N429" s="88"/>
      <c r="O429" s="8"/>
      <c r="P429" s="8"/>
      <c r="Q429" s="89"/>
      <c r="R429" s="89"/>
      <c r="S429" s="8"/>
      <c r="T429" s="8"/>
      <c r="U429" s="8"/>
      <c r="V429" s="8"/>
      <c r="W429" s="8"/>
      <c r="X429" s="8"/>
      <c r="Y429" s="8"/>
    </row>
    <row r="430" spans="1:25" ht="12.75" x14ac:dyDescent="0.2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8"/>
      <c r="N430" s="88"/>
      <c r="O430" s="8"/>
      <c r="P430" s="8"/>
      <c r="Q430" s="89"/>
      <c r="R430" s="89"/>
      <c r="S430" s="8"/>
      <c r="T430" s="8"/>
      <c r="U430" s="8"/>
      <c r="V430" s="8"/>
      <c r="W430" s="8"/>
      <c r="X430" s="8"/>
      <c r="Y430" s="8"/>
    </row>
    <row r="431" spans="1:25" ht="12.75" x14ac:dyDescent="0.2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8"/>
      <c r="N431" s="88"/>
      <c r="O431" s="8"/>
      <c r="P431" s="8"/>
      <c r="Q431" s="89"/>
      <c r="R431" s="89"/>
      <c r="S431" s="8"/>
      <c r="T431" s="8"/>
      <c r="U431" s="8"/>
      <c r="V431" s="8"/>
      <c r="W431" s="8"/>
      <c r="X431" s="8"/>
      <c r="Y431" s="8"/>
    </row>
    <row r="432" spans="1:25" ht="12.75" x14ac:dyDescent="0.2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8"/>
      <c r="N432" s="88"/>
      <c r="O432" s="8"/>
      <c r="P432" s="8"/>
      <c r="Q432" s="89"/>
      <c r="R432" s="89"/>
      <c r="S432" s="8"/>
      <c r="T432" s="8"/>
      <c r="U432" s="8"/>
      <c r="V432" s="8"/>
      <c r="W432" s="8"/>
      <c r="X432" s="8"/>
      <c r="Y432" s="8"/>
    </row>
    <row r="433" spans="1:25" ht="12.75" x14ac:dyDescent="0.2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8"/>
      <c r="N433" s="88"/>
      <c r="O433" s="8"/>
      <c r="P433" s="8"/>
      <c r="Q433" s="89"/>
      <c r="R433" s="89"/>
      <c r="S433" s="8"/>
      <c r="T433" s="8"/>
      <c r="U433" s="8"/>
      <c r="V433" s="8"/>
      <c r="W433" s="8"/>
      <c r="X433" s="8"/>
      <c r="Y433" s="8"/>
    </row>
    <row r="434" spans="1:25" ht="12.75" x14ac:dyDescent="0.2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8"/>
      <c r="N434" s="88"/>
      <c r="O434" s="8"/>
      <c r="P434" s="8"/>
      <c r="Q434" s="89"/>
      <c r="R434" s="89"/>
      <c r="S434" s="8"/>
      <c r="T434" s="8"/>
      <c r="U434" s="8"/>
      <c r="V434" s="8"/>
      <c r="W434" s="8"/>
      <c r="X434" s="8"/>
      <c r="Y434" s="8"/>
    </row>
    <row r="435" spans="1:25" ht="12.75" x14ac:dyDescent="0.2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8"/>
      <c r="N435" s="88"/>
      <c r="O435" s="8"/>
      <c r="P435" s="8"/>
      <c r="Q435" s="89"/>
      <c r="R435" s="89"/>
      <c r="S435" s="8"/>
      <c r="T435" s="8"/>
      <c r="U435" s="8"/>
      <c r="V435" s="8"/>
      <c r="W435" s="8"/>
      <c r="X435" s="8"/>
      <c r="Y435" s="8"/>
    </row>
    <row r="436" spans="1:25" ht="12.75" x14ac:dyDescent="0.2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8"/>
      <c r="N436" s="88"/>
      <c r="O436" s="8"/>
      <c r="P436" s="8"/>
      <c r="Q436" s="89"/>
      <c r="R436" s="89"/>
      <c r="S436" s="8"/>
      <c r="T436" s="8"/>
      <c r="U436" s="8"/>
      <c r="V436" s="8"/>
      <c r="W436" s="8"/>
      <c r="X436" s="8"/>
      <c r="Y436" s="8"/>
    </row>
    <row r="437" spans="1:25" ht="12.75" x14ac:dyDescent="0.2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8"/>
      <c r="N437" s="88"/>
      <c r="O437" s="8"/>
      <c r="P437" s="8"/>
      <c r="Q437" s="89"/>
      <c r="R437" s="89"/>
      <c r="S437" s="8"/>
      <c r="T437" s="8"/>
      <c r="U437" s="8"/>
      <c r="V437" s="8"/>
      <c r="W437" s="8"/>
      <c r="X437" s="8"/>
      <c r="Y437" s="8"/>
    </row>
    <row r="438" spans="1:25" ht="12.75" x14ac:dyDescent="0.2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8"/>
      <c r="N438" s="88"/>
      <c r="O438" s="8"/>
      <c r="P438" s="8"/>
      <c r="Q438" s="89"/>
      <c r="R438" s="89"/>
      <c r="S438" s="8"/>
      <c r="T438" s="8"/>
      <c r="U438" s="8"/>
      <c r="V438" s="8"/>
      <c r="W438" s="8"/>
      <c r="X438" s="8"/>
      <c r="Y438" s="8"/>
    </row>
    <row r="439" spans="1:25" ht="12.75" x14ac:dyDescent="0.2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8"/>
      <c r="N439" s="88"/>
      <c r="O439" s="8"/>
      <c r="P439" s="8"/>
      <c r="Q439" s="89"/>
      <c r="R439" s="89"/>
      <c r="S439" s="8"/>
      <c r="T439" s="8"/>
      <c r="U439" s="8"/>
      <c r="V439" s="8"/>
      <c r="W439" s="8"/>
      <c r="X439" s="8"/>
      <c r="Y439" s="8"/>
    </row>
    <row r="440" spans="1:25" ht="12.75" x14ac:dyDescent="0.2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8"/>
      <c r="N440" s="88"/>
      <c r="O440" s="8"/>
      <c r="P440" s="8"/>
      <c r="Q440" s="89"/>
      <c r="R440" s="89"/>
      <c r="S440" s="8"/>
      <c r="T440" s="8"/>
      <c r="U440" s="8"/>
      <c r="V440" s="8"/>
      <c r="W440" s="8"/>
      <c r="X440" s="8"/>
      <c r="Y440" s="8"/>
    </row>
    <row r="441" spans="1:25" ht="12.75" x14ac:dyDescent="0.2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8"/>
      <c r="N441" s="88"/>
      <c r="O441" s="8"/>
      <c r="P441" s="8"/>
      <c r="Q441" s="89"/>
      <c r="R441" s="89"/>
      <c r="S441" s="8"/>
      <c r="T441" s="8"/>
      <c r="U441" s="8"/>
      <c r="V441" s="8"/>
      <c r="W441" s="8"/>
      <c r="X441" s="8"/>
      <c r="Y441" s="8"/>
    </row>
    <row r="442" spans="1:25" ht="12.75" x14ac:dyDescent="0.2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8"/>
      <c r="N442" s="88"/>
      <c r="O442" s="8"/>
      <c r="P442" s="8"/>
      <c r="Q442" s="89"/>
      <c r="R442" s="89"/>
      <c r="S442" s="8"/>
      <c r="T442" s="8"/>
      <c r="U442" s="8"/>
      <c r="V442" s="8"/>
      <c r="W442" s="8"/>
      <c r="X442" s="8"/>
      <c r="Y442" s="8"/>
    </row>
    <row r="443" spans="1:25" ht="12.75" x14ac:dyDescent="0.2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8"/>
      <c r="N443" s="88"/>
      <c r="O443" s="8"/>
      <c r="P443" s="8"/>
      <c r="Q443" s="89"/>
      <c r="R443" s="89"/>
      <c r="S443" s="8"/>
      <c r="T443" s="8"/>
      <c r="U443" s="8"/>
      <c r="V443" s="8"/>
      <c r="W443" s="8"/>
      <c r="X443" s="8"/>
      <c r="Y443" s="8"/>
    </row>
    <row r="444" spans="1:25" ht="12.75" x14ac:dyDescent="0.2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8"/>
      <c r="N444" s="88"/>
      <c r="O444" s="8"/>
      <c r="P444" s="8"/>
      <c r="Q444" s="89"/>
      <c r="R444" s="89"/>
      <c r="S444" s="8"/>
      <c r="T444" s="8"/>
      <c r="U444" s="8"/>
      <c r="V444" s="8"/>
      <c r="W444" s="8"/>
      <c r="X444" s="8"/>
      <c r="Y444" s="8"/>
    </row>
    <row r="445" spans="1:25" ht="12.75" x14ac:dyDescent="0.2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8"/>
      <c r="N445" s="88"/>
      <c r="O445" s="8"/>
      <c r="P445" s="8"/>
      <c r="Q445" s="89"/>
      <c r="R445" s="89"/>
      <c r="S445" s="8"/>
      <c r="T445" s="8"/>
      <c r="U445" s="8"/>
      <c r="V445" s="8"/>
      <c r="W445" s="8"/>
      <c r="X445" s="8"/>
      <c r="Y445" s="8"/>
    </row>
    <row r="446" spans="1:25" ht="12.75" x14ac:dyDescent="0.2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8"/>
      <c r="N446" s="88"/>
      <c r="O446" s="8"/>
      <c r="P446" s="8"/>
      <c r="Q446" s="89"/>
      <c r="R446" s="89"/>
      <c r="S446" s="8"/>
      <c r="T446" s="8"/>
      <c r="U446" s="8"/>
      <c r="V446" s="8"/>
      <c r="W446" s="8"/>
      <c r="X446" s="8"/>
      <c r="Y446" s="8"/>
    </row>
    <row r="447" spans="1:25" ht="12.75" x14ac:dyDescent="0.2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8"/>
      <c r="N447" s="88"/>
      <c r="O447" s="8"/>
      <c r="P447" s="8"/>
      <c r="Q447" s="89"/>
      <c r="R447" s="89"/>
      <c r="S447" s="8"/>
      <c r="T447" s="8"/>
      <c r="U447" s="8"/>
      <c r="V447" s="8"/>
      <c r="W447" s="8"/>
      <c r="X447" s="8"/>
      <c r="Y447" s="8"/>
    </row>
    <row r="448" spans="1:25" ht="12.75" x14ac:dyDescent="0.2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8"/>
      <c r="N448" s="88"/>
      <c r="O448" s="8"/>
      <c r="P448" s="8"/>
      <c r="Q448" s="89"/>
      <c r="R448" s="89"/>
      <c r="S448" s="8"/>
      <c r="T448" s="8"/>
      <c r="U448" s="8"/>
      <c r="V448" s="8"/>
      <c r="W448" s="8"/>
      <c r="X448" s="8"/>
      <c r="Y448" s="8"/>
    </row>
    <row r="449" spans="1:25" ht="12.75" x14ac:dyDescent="0.2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8"/>
      <c r="N449" s="88"/>
      <c r="O449" s="8"/>
      <c r="P449" s="8"/>
      <c r="Q449" s="89"/>
      <c r="R449" s="89"/>
      <c r="S449" s="8"/>
      <c r="T449" s="8"/>
      <c r="U449" s="8"/>
      <c r="V449" s="8"/>
      <c r="W449" s="8"/>
      <c r="X449" s="8"/>
      <c r="Y449" s="8"/>
    </row>
    <row r="450" spans="1:25" ht="12.75" x14ac:dyDescent="0.2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8"/>
      <c r="N450" s="88"/>
      <c r="O450" s="8"/>
      <c r="P450" s="8"/>
      <c r="Q450" s="89"/>
      <c r="R450" s="89"/>
      <c r="S450" s="8"/>
      <c r="T450" s="8"/>
      <c r="U450" s="8"/>
      <c r="V450" s="8"/>
      <c r="W450" s="8"/>
      <c r="X450" s="8"/>
      <c r="Y450" s="8"/>
    </row>
    <row r="451" spans="1:25" ht="12.75" x14ac:dyDescent="0.2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8"/>
      <c r="N451" s="88"/>
      <c r="O451" s="8"/>
      <c r="P451" s="8"/>
      <c r="Q451" s="89"/>
      <c r="R451" s="89"/>
      <c r="S451" s="8"/>
      <c r="T451" s="8"/>
      <c r="U451" s="8"/>
      <c r="V451" s="8"/>
      <c r="W451" s="8"/>
      <c r="X451" s="8"/>
      <c r="Y451" s="8"/>
    </row>
    <row r="452" spans="1:25" ht="12.75" x14ac:dyDescent="0.2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8"/>
      <c r="N452" s="88"/>
      <c r="O452" s="8"/>
      <c r="P452" s="8"/>
      <c r="Q452" s="89"/>
      <c r="R452" s="89"/>
      <c r="S452" s="8"/>
      <c r="T452" s="8"/>
      <c r="U452" s="8"/>
      <c r="V452" s="8"/>
      <c r="W452" s="8"/>
      <c r="X452" s="8"/>
      <c r="Y452" s="8"/>
    </row>
    <row r="453" spans="1:25" ht="12.75" x14ac:dyDescent="0.2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8"/>
      <c r="N453" s="88"/>
      <c r="O453" s="8"/>
      <c r="P453" s="8"/>
      <c r="Q453" s="89"/>
      <c r="R453" s="89"/>
      <c r="S453" s="8"/>
      <c r="T453" s="8"/>
      <c r="U453" s="8"/>
      <c r="V453" s="8"/>
      <c r="W453" s="8"/>
      <c r="X453" s="8"/>
      <c r="Y453" s="8"/>
    </row>
    <row r="454" spans="1:25" ht="12.75" x14ac:dyDescent="0.2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8"/>
      <c r="N454" s="88"/>
      <c r="O454" s="8"/>
      <c r="P454" s="8"/>
      <c r="Q454" s="89"/>
      <c r="R454" s="89"/>
      <c r="S454" s="8"/>
      <c r="T454" s="8"/>
      <c r="U454" s="8"/>
      <c r="V454" s="8"/>
      <c r="W454" s="8"/>
      <c r="X454" s="8"/>
      <c r="Y454" s="8"/>
    </row>
    <row r="455" spans="1:25" ht="12.75" x14ac:dyDescent="0.2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8"/>
      <c r="N455" s="88"/>
      <c r="O455" s="8"/>
      <c r="P455" s="8"/>
      <c r="Q455" s="89"/>
      <c r="R455" s="89"/>
      <c r="S455" s="8"/>
      <c r="T455" s="8"/>
      <c r="U455" s="8"/>
      <c r="V455" s="8"/>
      <c r="W455" s="8"/>
      <c r="X455" s="8"/>
      <c r="Y455" s="8"/>
    </row>
    <row r="456" spans="1:25" ht="12.75" x14ac:dyDescent="0.2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8"/>
      <c r="N456" s="88"/>
      <c r="O456" s="8"/>
      <c r="P456" s="8"/>
      <c r="Q456" s="89"/>
      <c r="R456" s="89"/>
      <c r="S456" s="8"/>
      <c r="T456" s="8"/>
      <c r="U456" s="8"/>
      <c r="V456" s="8"/>
      <c r="W456" s="8"/>
      <c r="X456" s="8"/>
      <c r="Y456" s="8"/>
    </row>
    <row r="457" spans="1:25" ht="12.75" x14ac:dyDescent="0.2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8"/>
      <c r="N457" s="88"/>
      <c r="O457" s="8"/>
      <c r="P457" s="8"/>
      <c r="Q457" s="89"/>
      <c r="R457" s="89"/>
      <c r="S457" s="8"/>
      <c r="T457" s="8"/>
      <c r="U457" s="8"/>
      <c r="V457" s="8"/>
      <c r="W457" s="8"/>
      <c r="X457" s="8"/>
      <c r="Y457" s="8"/>
    </row>
    <row r="458" spans="1:25" ht="12.75" x14ac:dyDescent="0.2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8"/>
      <c r="N458" s="88"/>
      <c r="O458" s="8"/>
      <c r="P458" s="8"/>
      <c r="Q458" s="89"/>
      <c r="R458" s="89"/>
      <c r="S458" s="8"/>
      <c r="T458" s="8"/>
      <c r="U458" s="8"/>
      <c r="V458" s="8"/>
      <c r="W458" s="8"/>
      <c r="X458" s="8"/>
      <c r="Y458" s="8"/>
    </row>
    <row r="459" spans="1:25" ht="12.75" x14ac:dyDescent="0.2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8"/>
      <c r="N459" s="88"/>
      <c r="O459" s="8"/>
      <c r="P459" s="8"/>
      <c r="Q459" s="89"/>
      <c r="R459" s="89"/>
      <c r="S459" s="8"/>
      <c r="T459" s="8"/>
      <c r="U459" s="8"/>
      <c r="V459" s="8"/>
      <c r="W459" s="8"/>
      <c r="X459" s="8"/>
      <c r="Y459" s="8"/>
    </row>
    <row r="460" spans="1:25" ht="12.75" x14ac:dyDescent="0.2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8"/>
      <c r="N460" s="88"/>
      <c r="O460" s="8"/>
      <c r="P460" s="8"/>
      <c r="Q460" s="89"/>
      <c r="R460" s="89"/>
      <c r="S460" s="8"/>
      <c r="T460" s="8"/>
      <c r="U460" s="8"/>
      <c r="V460" s="8"/>
      <c r="W460" s="8"/>
      <c r="X460" s="8"/>
      <c r="Y460" s="8"/>
    </row>
    <row r="461" spans="1:25" ht="12.75" x14ac:dyDescent="0.2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8"/>
      <c r="N461" s="88"/>
      <c r="O461" s="8"/>
      <c r="P461" s="8"/>
      <c r="Q461" s="89"/>
      <c r="R461" s="89"/>
      <c r="S461" s="8"/>
      <c r="T461" s="8"/>
      <c r="U461" s="8"/>
      <c r="V461" s="8"/>
      <c r="W461" s="8"/>
      <c r="X461" s="8"/>
      <c r="Y461" s="8"/>
    </row>
    <row r="462" spans="1:25" ht="12.75" x14ac:dyDescent="0.2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8"/>
      <c r="N462" s="88"/>
      <c r="O462" s="8"/>
      <c r="P462" s="8"/>
      <c r="Q462" s="89"/>
      <c r="R462" s="89"/>
      <c r="S462" s="8"/>
      <c r="T462" s="8"/>
      <c r="U462" s="8"/>
      <c r="V462" s="8"/>
      <c r="W462" s="8"/>
      <c r="X462" s="8"/>
      <c r="Y462" s="8"/>
    </row>
    <row r="463" spans="1:25" ht="12.75" x14ac:dyDescent="0.2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8"/>
      <c r="N463" s="88"/>
      <c r="O463" s="8"/>
      <c r="P463" s="8"/>
      <c r="Q463" s="89"/>
      <c r="R463" s="89"/>
      <c r="S463" s="8"/>
      <c r="T463" s="8"/>
      <c r="U463" s="8"/>
      <c r="V463" s="8"/>
      <c r="W463" s="8"/>
      <c r="X463" s="8"/>
      <c r="Y463" s="8"/>
    </row>
    <row r="464" spans="1:25" ht="12.75" x14ac:dyDescent="0.2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8"/>
      <c r="N464" s="88"/>
      <c r="O464" s="8"/>
      <c r="P464" s="8"/>
      <c r="Q464" s="89"/>
      <c r="R464" s="89"/>
      <c r="S464" s="8"/>
      <c r="T464" s="8"/>
      <c r="U464" s="8"/>
      <c r="V464" s="8"/>
      <c r="W464" s="8"/>
      <c r="X464" s="8"/>
      <c r="Y464" s="8"/>
    </row>
    <row r="465" spans="1:25" ht="12.75" x14ac:dyDescent="0.2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8"/>
      <c r="N465" s="88"/>
      <c r="O465" s="8"/>
      <c r="P465" s="8"/>
      <c r="Q465" s="89"/>
      <c r="R465" s="89"/>
      <c r="S465" s="8"/>
      <c r="T465" s="8"/>
      <c r="U465" s="8"/>
      <c r="V465" s="8"/>
      <c r="W465" s="8"/>
      <c r="X465" s="8"/>
      <c r="Y465" s="8"/>
    </row>
    <row r="466" spans="1:25" ht="12.75" x14ac:dyDescent="0.2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8"/>
      <c r="N466" s="88"/>
      <c r="O466" s="8"/>
      <c r="P466" s="8"/>
      <c r="Q466" s="89"/>
      <c r="R466" s="89"/>
      <c r="S466" s="8"/>
      <c r="T466" s="8"/>
      <c r="U466" s="8"/>
      <c r="V466" s="8"/>
      <c r="W466" s="8"/>
      <c r="X466" s="8"/>
      <c r="Y466" s="8"/>
    </row>
    <row r="467" spans="1:25" ht="12.75" x14ac:dyDescent="0.2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8"/>
      <c r="N467" s="88"/>
      <c r="O467" s="8"/>
      <c r="P467" s="8"/>
      <c r="Q467" s="89"/>
      <c r="R467" s="89"/>
      <c r="S467" s="8"/>
      <c r="T467" s="8"/>
      <c r="U467" s="8"/>
      <c r="V467" s="8"/>
      <c r="W467" s="8"/>
      <c r="X467" s="8"/>
      <c r="Y467" s="8"/>
    </row>
    <row r="468" spans="1:25" ht="12.75" x14ac:dyDescent="0.2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8"/>
      <c r="N468" s="88"/>
      <c r="O468" s="8"/>
      <c r="P468" s="8"/>
      <c r="Q468" s="89"/>
      <c r="R468" s="89"/>
      <c r="S468" s="8"/>
      <c r="T468" s="8"/>
      <c r="U468" s="8"/>
      <c r="V468" s="8"/>
      <c r="W468" s="8"/>
      <c r="X468" s="8"/>
      <c r="Y468" s="8"/>
    </row>
    <row r="469" spans="1:25" ht="12.75" x14ac:dyDescent="0.2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8"/>
      <c r="N469" s="88"/>
      <c r="O469" s="8"/>
      <c r="P469" s="8"/>
      <c r="Q469" s="89"/>
      <c r="R469" s="89"/>
      <c r="S469" s="8"/>
      <c r="T469" s="8"/>
      <c r="U469" s="8"/>
      <c r="V469" s="8"/>
      <c r="W469" s="8"/>
      <c r="X469" s="8"/>
      <c r="Y469" s="8"/>
    </row>
    <row r="470" spans="1:25" ht="12.75" x14ac:dyDescent="0.2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8"/>
      <c r="N470" s="88"/>
      <c r="O470" s="8"/>
      <c r="P470" s="8"/>
      <c r="Q470" s="89"/>
      <c r="R470" s="89"/>
      <c r="S470" s="8"/>
      <c r="T470" s="8"/>
      <c r="U470" s="8"/>
      <c r="V470" s="8"/>
      <c r="W470" s="8"/>
      <c r="X470" s="8"/>
      <c r="Y470" s="8"/>
    </row>
    <row r="471" spans="1:25" ht="12.75" x14ac:dyDescent="0.2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8"/>
      <c r="N471" s="88"/>
      <c r="O471" s="8"/>
      <c r="P471" s="8"/>
      <c r="Q471" s="89"/>
      <c r="R471" s="89"/>
      <c r="S471" s="8"/>
      <c r="T471" s="8"/>
      <c r="U471" s="8"/>
      <c r="V471" s="8"/>
      <c r="W471" s="8"/>
      <c r="X471" s="8"/>
      <c r="Y471" s="8"/>
    </row>
    <row r="472" spans="1:25" ht="12.75" x14ac:dyDescent="0.2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8"/>
      <c r="N472" s="88"/>
      <c r="O472" s="8"/>
      <c r="P472" s="8"/>
      <c r="Q472" s="89"/>
      <c r="R472" s="89"/>
      <c r="S472" s="8"/>
      <c r="T472" s="8"/>
      <c r="U472" s="8"/>
      <c r="V472" s="8"/>
      <c r="W472" s="8"/>
      <c r="X472" s="8"/>
      <c r="Y472" s="8"/>
    </row>
    <row r="473" spans="1:25" ht="12.75" x14ac:dyDescent="0.2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8"/>
      <c r="N473" s="88"/>
      <c r="O473" s="8"/>
      <c r="P473" s="8"/>
      <c r="Q473" s="89"/>
      <c r="R473" s="89"/>
      <c r="S473" s="8"/>
      <c r="T473" s="8"/>
      <c r="U473" s="8"/>
      <c r="V473" s="8"/>
      <c r="W473" s="8"/>
      <c r="X473" s="8"/>
      <c r="Y473" s="8"/>
    </row>
    <row r="474" spans="1:25" ht="12.75" x14ac:dyDescent="0.2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8"/>
      <c r="N474" s="88"/>
      <c r="O474" s="8"/>
      <c r="P474" s="8"/>
      <c r="Q474" s="89"/>
      <c r="R474" s="89"/>
      <c r="S474" s="8"/>
      <c r="T474" s="8"/>
      <c r="U474" s="8"/>
      <c r="V474" s="8"/>
      <c r="W474" s="8"/>
      <c r="X474" s="8"/>
      <c r="Y474" s="8"/>
    </row>
    <row r="475" spans="1:25" ht="12.75" x14ac:dyDescent="0.2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8"/>
      <c r="N475" s="88"/>
      <c r="O475" s="8"/>
      <c r="P475" s="8"/>
      <c r="Q475" s="89"/>
      <c r="R475" s="89"/>
      <c r="S475" s="8"/>
      <c r="T475" s="8"/>
      <c r="U475" s="8"/>
      <c r="V475" s="8"/>
      <c r="W475" s="8"/>
      <c r="X475" s="8"/>
      <c r="Y475" s="8"/>
    </row>
    <row r="476" spans="1:25" ht="12.75" x14ac:dyDescent="0.2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8"/>
      <c r="N476" s="88"/>
      <c r="O476" s="8"/>
      <c r="P476" s="8"/>
      <c r="Q476" s="89"/>
      <c r="R476" s="89"/>
      <c r="S476" s="8"/>
      <c r="T476" s="8"/>
      <c r="U476" s="8"/>
      <c r="V476" s="8"/>
      <c r="W476" s="8"/>
      <c r="X476" s="8"/>
      <c r="Y476" s="8"/>
    </row>
    <row r="477" spans="1:25" ht="12.75" x14ac:dyDescent="0.2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8"/>
      <c r="N477" s="88"/>
      <c r="O477" s="8"/>
      <c r="P477" s="8"/>
      <c r="Q477" s="89"/>
      <c r="R477" s="89"/>
      <c r="S477" s="8"/>
      <c r="T477" s="8"/>
      <c r="U477" s="8"/>
      <c r="V477" s="8"/>
      <c r="W477" s="8"/>
      <c r="X477" s="8"/>
      <c r="Y477" s="8"/>
    </row>
    <row r="478" spans="1:25" ht="12.75" x14ac:dyDescent="0.2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8"/>
      <c r="N478" s="88"/>
      <c r="O478" s="8"/>
      <c r="P478" s="8"/>
      <c r="Q478" s="89"/>
      <c r="R478" s="89"/>
      <c r="S478" s="8"/>
      <c r="T478" s="8"/>
      <c r="U478" s="8"/>
      <c r="V478" s="8"/>
      <c r="W478" s="8"/>
      <c r="X478" s="8"/>
      <c r="Y478" s="8"/>
    </row>
    <row r="479" spans="1:25" ht="12.75" x14ac:dyDescent="0.2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8"/>
      <c r="N479" s="88"/>
      <c r="O479" s="8"/>
      <c r="P479" s="8"/>
      <c r="Q479" s="89"/>
      <c r="R479" s="89"/>
      <c r="S479" s="8"/>
      <c r="T479" s="8"/>
      <c r="U479" s="8"/>
      <c r="V479" s="8"/>
      <c r="W479" s="8"/>
      <c r="X479" s="8"/>
      <c r="Y479" s="8"/>
    </row>
    <row r="480" spans="1:25" ht="12.75" x14ac:dyDescent="0.2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8"/>
      <c r="N480" s="88"/>
      <c r="O480" s="8"/>
      <c r="P480" s="8"/>
      <c r="Q480" s="89"/>
      <c r="R480" s="89"/>
      <c r="S480" s="8"/>
      <c r="T480" s="8"/>
      <c r="U480" s="8"/>
      <c r="V480" s="8"/>
      <c r="W480" s="8"/>
      <c r="X480" s="8"/>
      <c r="Y480" s="8"/>
    </row>
    <row r="481" spans="1:25" ht="12.75" x14ac:dyDescent="0.2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8"/>
      <c r="N481" s="88"/>
      <c r="O481" s="8"/>
      <c r="P481" s="8"/>
      <c r="Q481" s="89"/>
      <c r="R481" s="89"/>
      <c r="S481" s="8"/>
      <c r="T481" s="8"/>
      <c r="U481" s="8"/>
      <c r="V481" s="8"/>
      <c r="W481" s="8"/>
      <c r="X481" s="8"/>
      <c r="Y481" s="8"/>
    </row>
    <row r="482" spans="1:25" ht="12.75" x14ac:dyDescent="0.2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8"/>
      <c r="N482" s="88"/>
      <c r="O482" s="8"/>
      <c r="P482" s="8"/>
      <c r="Q482" s="89"/>
      <c r="R482" s="89"/>
      <c r="S482" s="8"/>
      <c r="T482" s="8"/>
      <c r="U482" s="8"/>
      <c r="V482" s="8"/>
      <c r="W482" s="8"/>
      <c r="X482" s="8"/>
      <c r="Y482" s="8"/>
    </row>
    <row r="483" spans="1:25" ht="12.75" x14ac:dyDescent="0.2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8"/>
      <c r="N483" s="88"/>
      <c r="O483" s="8"/>
      <c r="P483" s="8"/>
      <c r="Q483" s="89"/>
      <c r="R483" s="89"/>
      <c r="S483" s="8"/>
      <c r="T483" s="8"/>
      <c r="U483" s="8"/>
      <c r="V483" s="8"/>
      <c r="W483" s="8"/>
      <c r="X483" s="8"/>
      <c r="Y483" s="8"/>
    </row>
    <row r="484" spans="1:25" ht="12.75" x14ac:dyDescent="0.2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8"/>
      <c r="N484" s="88"/>
      <c r="O484" s="8"/>
      <c r="P484" s="8"/>
      <c r="Q484" s="89"/>
      <c r="R484" s="89"/>
      <c r="S484" s="8"/>
      <c r="T484" s="8"/>
      <c r="U484" s="8"/>
      <c r="V484" s="8"/>
      <c r="W484" s="8"/>
      <c r="X484" s="8"/>
      <c r="Y484" s="8"/>
    </row>
    <row r="485" spans="1:25" ht="12.75" x14ac:dyDescent="0.2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8"/>
      <c r="N485" s="88"/>
      <c r="O485" s="8"/>
      <c r="P485" s="8"/>
      <c r="Q485" s="89"/>
      <c r="R485" s="89"/>
      <c r="S485" s="8"/>
      <c r="T485" s="8"/>
      <c r="U485" s="8"/>
      <c r="V485" s="8"/>
      <c r="W485" s="8"/>
      <c r="X485" s="8"/>
      <c r="Y485" s="8"/>
    </row>
    <row r="486" spans="1:25" ht="12.75" x14ac:dyDescent="0.2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8"/>
      <c r="N486" s="88"/>
      <c r="O486" s="8"/>
      <c r="P486" s="8"/>
      <c r="Q486" s="89"/>
      <c r="R486" s="89"/>
      <c r="S486" s="8"/>
      <c r="T486" s="8"/>
      <c r="U486" s="8"/>
      <c r="V486" s="8"/>
      <c r="W486" s="8"/>
      <c r="X486" s="8"/>
      <c r="Y486" s="8"/>
    </row>
    <row r="487" spans="1:25" ht="12.75" x14ac:dyDescent="0.2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8"/>
      <c r="N487" s="88"/>
      <c r="O487" s="8"/>
      <c r="P487" s="8"/>
      <c r="Q487" s="89"/>
      <c r="R487" s="89"/>
      <c r="S487" s="8"/>
      <c r="T487" s="8"/>
      <c r="U487" s="8"/>
      <c r="V487" s="8"/>
      <c r="W487" s="8"/>
      <c r="X487" s="8"/>
      <c r="Y487" s="8"/>
    </row>
    <row r="488" spans="1:25" ht="12.75" x14ac:dyDescent="0.2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8"/>
      <c r="N488" s="88"/>
      <c r="O488" s="8"/>
      <c r="P488" s="8"/>
      <c r="Q488" s="89"/>
      <c r="R488" s="89"/>
      <c r="S488" s="8"/>
      <c r="T488" s="8"/>
      <c r="U488" s="8"/>
      <c r="V488" s="8"/>
      <c r="W488" s="8"/>
      <c r="X488" s="8"/>
      <c r="Y488" s="8"/>
    </row>
    <row r="489" spans="1:25" ht="12.75" x14ac:dyDescent="0.2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8"/>
      <c r="N489" s="88"/>
      <c r="O489" s="8"/>
      <c r="P489" s="8"/>
      <c r="Q489" s="89"/>
      <c r="R489" s="89"/>
      <c r="S489" s="8"/>
      <c r="T489" s="8"/>
      <c r="U489" s="8"/>
      <c r="V489" s="8"/>
      <c r="W489" s="8"/>
      <c r="X489" s="8"/>
      <c r="Y489" s="8"/>
    </row>
    <row r="490" spans="1:25" ht="12.75" x14ac:dyDescent="0.2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8"/>
      <c r="N490" s="88"/>
      <c r="O490" s="8"/>
      <c r="P490" s="8"/>
      <c r="Q490" s="89"/>
      <c r="R490" s="89"/>
      <c r="S490" s="8"/>
      <c r="T490" s="8"/>
      <c r="U490" s="8"/>
      <c r="V490" s="8"/>
      <c r="W490" s="8"/>
      <c r="X490" s="8"/>
      <c r="Y490" s="8"/>
    </row>
    <row r="491" spans="1:25" ht="12.75" x14ac:dyDescent="0.2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8"/>
      <c r="N491" s="88"/>
      <c r="O491" s="8"/>
      <c r="P491" s="8"/>
      <c r="Q491" s="89"/>
      <c r="R491" s="89"/>
      <c r="S491" s="8"/>
      <c r="T491" s="8"/>
      <c r="U491" s="8"/>
      <c r="V491" s="8"/>
      <c r="W491" s="8"/>
      <c r="X491" s="8"/>
      <c r="Y491" s="8"/>
    </row>
    <row r="492" spans="1:25" ht="12.75" x14ac:dyDescent="0.2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8"/>
      <c r="N492" s="88"/>
      <c r="O492" s="8"/>
      <c r="P492" s="8"/>
      <c r="Q492" s="89"/>
      <c r="R492" s="89"/>
      <c r="S492" s="8"/>
      <c r="T492" s="8"/>
      <c r="U492" s="8"/>
      <c r="V492" s="8"/>
      <c r="W492" s="8"/>
      <c r="X492" s="8"/>
      <c r="Y492" s="8"/>
    </row>
    <row r="493" spans="1:25" ht="12.75" x14ac:dyDescent="0.2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8"/>
      <c r="N493" s="88"/>
      <c r="O493" s="8"/>
      <c r="P493" s="8"/>
      <c r="Q493" s="89"/>
      <c r="R493" s="89"/>
      <c r="S493" s="8"/>
      <c r="T493" s="8"/>
      <c r="U493" s="8"/>
      <c r="V493" s="8"/>
      <c r="W493" s="8"/>
      <c r="X493" s="8"/>
      <c r="Y493" s="8"/>
    </row>
    <row r="494" spans="1:25" ht="12.75" x14ac:dyDescent="0.2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8"/>
      <c r="N494" s="88"/>
      <c r="O494" s="8"/>
      <c r="P494" s="8"/>
      <c r="Q494" s="89"/>
      <c r="R494" s="89"/>
      <c r="S494" s="8"/>
      <c r="T494" s="8"/>
      <c r="U494" s="8"/>
      <c r="V494" s="8"/>
      <c r="W494" s="8"/>
      <c r="X494" s="8"/>
      <c r="Y494" s="8"/>
    </row>
    <row r="495" spans="1:25" ht="12.75" x14ac:dyDescent="0.2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8"/>
      <c r="N495" s="88"/>
      <c r="O495" s="8"/>
      <c r="P495" s="8"/>
      <c r="Q495" s="89"/>
      <c r="R495" s="89"/>
      <c r="S495" s="8"/>
      <c r="T495" s="8"/>
      <c r="U495" s="8"/>
      <c r="V495" s="8"/>
      <c r="W495" s="8"/>
      <c r="X495" s="8"/>
      <c r="Y495" s="8"/>
    </row>
    <row r="496" spans="1:25" ht="12.75" x14ac:dyDescent="0.2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8"/>
      <c r="N496" s="88"/>
      <c r="O496" s="8"/>
      <c r="P496" s="8"/>
      <c r="Q496" s="89"/>
      <c r="R496" s="89"/>
      <c r="S496" s="8"/>
      <c r="T496" s="8"/>
      <c r="U496" s="8"/>
      <c r="V496" s="8"/>
      <c r="W496" s="8"/>
      <c r="X496" s="8"/>
      <c r="Y496" s="8"/>
    </row>
    <row r="497" spans="1:25" ht="12.75" x14ac:dyDescent="0.2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8"/>
      <c r="N497" s="88"/>
      <c r="O497" s="8"/>
      <c r="P497" s="8"/>
      <c r="Q497" s="89"/>
      <c r="R497" s="89"/>
      <c r="S497" s="8"/>
      <c r="T497" s="8"/>
      <c r="U497" s="8"/>
      <c r="V497" s="8"/>
      <c r="W497" s="8"/>
      <c r="X497" s="8"/>
      <c r="Y497" s="8"/>
    </row>
    <row r="498" spans="1:25" ht="12.75" x14ac:dyDescent="0.2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8"/>
      <c r="N498" s="88"/>
      <c r="O498" s="8"/>
      <c r="P498" s="8"/>
      <c r="Q498" s="89"/>
      <c r="R498" s="89"/>
      <c r="S498" s="8"/>
      <c r="T498" s="8"/>
      <c r="U498" s="8"/>
      <c r="V498" s="8"/>
      <c r="W498" s="8"/>
      <c r="X498" s="8"/>
      <c r="Y498" s="8"/>
    </row>
    <row r="499" spans="1:25" ht="12.75" x14ac:dyDescent="0.2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8"/>
      <c r="N499" s="88"/>
      <c r="O499" s="8"/>
      <c r="P499" s="8"/>
      <c r="Q499" s="89"/>
      <c r="R499" s="89"/>
      <c r="S499" s="8"/>
      <c r="T499" s="8"/>
      <c r="U499" s="8"/>
      <c r="V499" s="8"/>
      <c r="W499" s="8"/>
      <c r="X499" s="8"/>
      <c r="Y499" s="8"/>
    </row>
    <row r="500" spans="1:25" ht="12.75" x14ac:dyDescent="0.2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8"/>
      <c r="N500" s="88"/>
      <c r="O500" s="8"/>
      <c r="P500" s="8"/>
      <c r="Q500" s="89"/>
      <c r="R500" s="89"/>
      <c r="S500" s="8"/>
      <c r="T500" s="8"/>
      <c r="U500" s="8"/>
      <c r="V500" s="8"/>
      <c r="W500" s="8"/>
      <c r="X500" s="8"/>
      <c r="Y500" s="8"/>
    </row>
    <row r="501" spans="1:25" ht="12.75" x14ac:dyDescent="0.2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8"/>
      <c r="N501" s="88"/>
      <c r="O501" s="8"/>
      <c r="P501" s="8"/>
      <c r="Q501" s="89"/>
      <c r="R501" s="89"/>
      <c r="S501" s="8"/>
      <c r="T501" s="8"/>
      <c r="U501" s="8"/>
      <c r="V501" s="8"/>
      <c r="W501" s="8"/>
      <c r="X501" s="8"/>
      <c r="Y501" s="8"/>
    </row>
    <row r="502" spans="1:25" ht="12.75" x14ac:dyDescent="0.2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8"/>
      <c r="N502" s="88"/>
      <c r="O502" s="8"/>
      <c r="P502" s="8"/>
      <c r="Q502" s="89"/>
      <c r="R502" s="89"/>
      <c r="S502" s="8"/>
      <c r="T502" s="8"/>
      <c r="U502" s="8"/>
      <c r="V502" s="8"/>
      <c r="W502" s="8"/>
      <c r="X502" s="8"/>
      <c r="Y502" s="8"/>
    </row>
    <row r="503" spans="1:25" ht="12.75" x14ac:dyDescent="0.2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8"/>
      <c r="N503" s="88"/>
      <c r="O503" s="8"/>
      <c r="P503" s="8"/>
      <c r="Q503" s="89"/>
      <c r="R503" s="89"/>
      <c r="S503" s="8"/>
      <c r="T503" s="8"/>
      <c r="U503" s="8"/>
      <c r="V503" s="8"/>
      <c r="W503" s="8"/>
      <c r="X503" s="8"/>
      <c r="Y503" s="8"/>
    </row>
    <row r="504" spans="1:25" ht="12.75" x14ac:dyDescent="0.2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8"/>
      <c r="N504" s="88"/>
      <c r="O504" s="8"/>
      <c r="P504" s="8"/>
      <c r="Q504" s="89"/>
      <c r="R504" s="89"/>
      <c r="S504" s="8"/>
      <c r="T504" s="8"/>
      <c r="U504" s="8"/>
      <c r="V504" s="8"/>
      <c r="W504" s="8"/>
      <c r="X504" s="8"/>
      <c r="Y504" s="8"/>
    </row>
    <row r="505" spans="1:25" ht="12.75" x14ac:dyDescent="0.2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8"/>
      <c r="N505" s="88"/>
      <c r="O505" s="8"/>
      <c r="P505" s="8"/>
      <c r="Q505" s="89"/>
      <c r="R505" s="89"/>
      <c r="S505" s="8"/>
      <c r="T505" s="8"/>
      <c r="U505" s="8"/>
      <c r="V505" s="8"/>
      <c r="W505" s="8"/>
      <c r="X505" s="8"/>
      <c r="Y505" s="8"/>
    </row>
    <row r="506" spans="1:25" ht="12.75" x14ac:dyDescent="0.2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8"/>
      <c r="N506" s="88"/>
      <c r="O506" s="8"/>
      <c r="P506" s="8"/>
      <c r="Q506" s="89"/>
      <c r="R506" s="89"/>
      <c r="S506" s="8"/>
      <c r="T506" s="8"/>
      <c r="U506" s="8"/>
      <c r="V506" s="8"/>
      <c r="W506" s="8"/>
      <c r="X506" s="8"/>
      <c r="Y506" s="8"/>
    </row>
    <row r="507" spans="1:25" ht="12.75" x14ac:dyDescent="0.2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8"/>
      <c r="N507" s="88"/>
      <c r="O507" s="8"/>
      <c r="P507" s="8"/>
      <c r="Q507" s="89"/>
      <c r="R507" s="89"/>
      <c r="S507" s="8"/>
      <c r="T507" s="8"/>
      <c r="U507" s="8"/>
      <c r="V507" s="8"/>
      <c r="W507" s="8"/>
      <c r="X507" s="8"/>
      <c r="Y507" s="8"/>
    </row>
    <row r="508" spans="1:25" ht="12.75" x14ac:dyDescent="0.2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8"/>
      <c r="N508" s="88"/>
      <c r="O508" s="8"/>
      <c r="P508" s="8"/>
      <c r="Q508" s="89"/>
      <c r="R508" s="89"/>
      <c r="S508" s="8"/>
      <c r="T508" s="8"/>
      <c r="U508" s="8"/>
      <c r="V508" s="8"/>
      <c r="W508" s="8"/>
      <c r="X508" s="8"/>
      <c r="Y508" s="8"/>
    </row>
    <row r="509" spans="1:25" ht="12.75" x14ac:dyDescent="0.2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8"/>
      <c r="N509" s="88"/>
      <c r="O509" s="8"/>
      <c r="P509" s="8"/>
      <c r="Q509" s="89"/>
      <c r="R509" s="89"/>
      <c r="S509" s="8"/>
      <c r="T509" s="8"/>
      <c r="U509" s="8"/>
      <c r="V509" s="8"/>
      <c r="W509" s="8"/>
      <c r="X509" s="8"/>
      <c r="Y509" s="8"/>
    </row>
    <row r="510" spans="1:25" ht="12.75" x14ac:dyDescent="0.2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8"/>
      <c r="N510" s="88"/>
      <c r="O510" s="8"/>
      <c r="P510" s="8"/>
      <c r="Q510" s="89"/>
      <c r="R510" s="89"/>
      <c r="S510" s="8"/>
      <c r="T510" s="8"/>
      <c r="U510" s="8"/>
      <c r="V510" s="8"/>
      <c r="W510" s="8"/>
      <c r="X510" s="8"/>
      <c r="Y510" s="8"/>
    </row>
    <row r="511" spans="1:25" ht="12.75" x14ac:dyDescent="0.2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8"/>
      <c r="N511" s="88"/>
      <c r="O511" s="8"/>
      <c r="P511" s="8"/>
      <c r="Q511" s="89"/>
      <c r="R511" s="89"/>
      <c r="S511" s="8"/>
      <c r="T511" s="8"/>
      <c r="U511" s="8"/>
      <c r="V511" s="8"/>
      <c r="W511" s="8"/>
      <c r="X511" s="8"/>
      <c r="Y511" s="8"/>
    </row>
    <row r="512" spans="1:25" ht="12.75" x14ac:dyDescent="0.2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8"/>
      <c r="N512" s="88"/>
      <c r="O512" s="8"/>
      <c r="P512" s="8"/>
      <c r="Q512" s="89"/>
      <c r="R512" s="89"/>
      <c r="S512" s="8"/>
      <c r="T512" s="8"/>
      <c r="U512" s="8"/>
      <c r="V512" s="8"/>
      <c r="W512" s="8"/>
      <c r="X512" s="8"/>
      <c r="Y512" s="8"/>
    </row>
    <row r="513" spans="1:25" ht="12.75" x14ac:dyDescent="0.2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8"/>
      <c r="N513" s="88"/>
      <c r="O513" s="8"/>
      <c r="P513" s="8"/>
      <c r="Q513" s="89"/>
      <c r="R513" s="89"/>
      <c r="S513" s="8"/>
      <c r="T513" s="8"/>
      <c r="U513" s="8"/>
      <c r="V513" s="8"/>
      <c r="W513" s="8"/>
      <c r="X513" s="8"/>
      <c r="Y513" s="8"/>
    </row>
    <row r="514" spans="1:25" ht="12.75" x14ac:dyDescent="0.2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8"/>
      <c r="N514" s="88"/>
      <c r="O514" s="8"/>
      <c r="P514" s="8"/>
      <c r="Q514" s="89"/>
      <c r="R514" s="89"/>
      <c r="S514" s="8"/>
      <c r="T514" s="8"/>
      <c r="U514" s="8"/>
      <c r="V514" s="8"/>
      <c r="W514" s="8"/>
      <c r="X514" s="8"/>
      <c r="Y514" s="8"/>
    </row>
    <row r="515" spans="1:25" ht="12.75" x14ac:dyDescent="0.2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8"/>
      <c r="N515" s="88"/>
      <c r="O515" s="8"/>
      <c r="P515" s="8"/>
      <c r="Q515" s="89"/>
      <c r="R515" s="89"/>
      <c r="S515" s="8"/>
      <c r="T515" s="8"/>
      <c r="U515" s="8"/>
      <c r="V515" s="8"/>
      <c r="W515" s="8"/>
      <c r="X515" s="8"/>
      <c r="Y515" s="8"/>
    </row>
    <row r="516" spans="1:25" ht="12.75" x14ac:dyDescent="0.2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8"/>
      <c r="N516" s="88"/>
      <c r="O516" s="8"/>
      <c r="P516" s="8"/>
      <c r="Q516" s="89"/>
      <c r="R516" s="89"/>
      <c r="S516" s="8"/>
      <c r="T516" s="8"/>
      <c r="U516" s="8"/>
      <c r="V516" s="8"/>
      <c r="W516" s="8"/>
      <c r="X516" s="8"/>
      <c r="Y516" s="8"/>
    </row>
    <row r="517" spans="1:25" ht="12.75" x14ac:dyDescent="0.2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8"/>
      <c r="N517" s="88"/>
      <c r="O517" s="8"/>
      <c r="P517" s="8"/>
      <c r="Q517" s="89"/>
      <c r="R517" s="89"/>
      <c r="S517" s="8"/>
      <c r="T517" s="8"/>
      <c r="U517" s="8"/>
      <c r="V517" s="8"/>
      <c r="W517" s="8"/>
      <c r="X517" s="8"/>
      <c r="Y517" s="8"/>
    </row>
    <row r="518" spans="1:25" ht="12.75" x14ac:dyDescent="0.2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8"/>
      <c r="N518" s="88"/>
      <c r="O518" s="8"/>
      <c r="P518" s="8"/>
      <c r="Q518" s="89"/>
      <c r="R518" s="89"/>
      <c r="S518" s="8"/>
      <c r="T518" s="8"/>
      <c r="U518" s="8"/>
      <c r="V518" s="8"/>
      <c r="W518" s="8"/>
      <c r="X518" s="8"/>
      <c r="Y518" s="8"/>
    </row>
    <row r="519" spans="1:25" ht="12.75" x14ac:dyDescent="0.2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8"/>
      <c r="N519" s="88"/>
      <c r="O519" s="8"/>
      <c r="P519" s="8"/>
      <c r="Q519" s="89"/>
      <c r="R519" s="89"/>
      <c r="S519" s="8"/>
      <c r="T519" s="8"/>
      <c r="U519" s="8"/>
      <c r="V519" s="8"/>
      <c r="W519" s="8"/>
      <c r="X519" s="8"/>
      <c r="Y519" s="8"/>
    </row>
    <row r="520" spans="1:25" ht="12.75" x14ac:dyDescent="0.2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8"/>
      <c r="N520" s="88"/>
      <c r="O520" s="8"/>
      <c r="P520" s="8"/>
      <c r="Q520" s="89"/>
      <c r="R520" s="89"/>
      <c r="S520" s="8"/>
      <c r="T520" s="8"/>
      <c r="U520" s="8"/>
      <c r="V520" s="8"/>
      <c r="W520" s="8"/>
      <c r="X520" s="8"/>
      <c r="Y520" s="8"/>
    </row>
    <row r="521" spans="1:25" ht="12.75" x14ac:dyDescent="0.2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8"/>
      <c r="N521" s="88"/>
      <c r="O521" s="8"/>
      <c r="P521" s="8"/>
      <c r="Q521" s="89"/>
      <c r="R521" s="89"/>
      <c r="S521" s="8"/>
      <c r="T521" s="8"/>
      <c r="U521" s="8"/>
      <c r="V521" s="8"/>
      <c r="W521" s="8"/>
      <c r="X521" s="8"/>
      <c r="Y521" s="8"/>
    </row>
    <row r="522" spans="1:25" ht="12.75" x14ac:dyDescent="0.2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8"/>
      <c r="N522" s="88"/>
      <c r="O522" s="8"/>
      <c r="P522" s="8"/>
      <c r="Q522" s="89"/>
      <c r="R522" s="89"/>
      <c r="S522" s="8"/>
      <c r="T522" s="8"/>
      <c r="U522" s="8"/>
      <c r="V522" s="8"/>
      <c r="W522" s="8"/>
      <c r="X522" s="8"/>
      <c r="Y522" s="8"/>
    </row>
    <row r="523" spans="1:25" ht="12.75" x14ac:dyDescent="0.2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8"/>
      <c r="N523" s="88"/>
      <c r="O523" s="8"/>
      <c r="P523" s="8"/>
      <c r="Q523" s="89"/>
      <c r="R523" s="89"/>
      <c r="S523" s="8"/>
      <c r="T523" s="8"/>
      <c r="U523" s="8"/>
      <c r="V523" s="8"/>
      <c r="W523" s="8"/>
      <c r="X523" s="8"/>
      <c r="Y523" s="8"/>
    </row>
    <row r="524" spans="1:25" ht="12.75" x14ac:dyDescent="0.2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8"/>
      <c r="N524" s="88"/>
      <c r="O524" s="8"/>
      <c r="P524" s="8"/>
      <c r="Q524" s="89"/>
      <c r="R524" s="89"/>
      <c r="S524" s="8"/>
      <c r="T524" s="8"/>
      <c r="U524" s="8"/>
      <c r="V524" s="8"/>
      <c r="W524" s="8"/>
      <c r="X524" s="8"/>
      <c r="Y524" s="8"/>
    </row>
    <row r="525" spans="1:25" ht="12.75" x14ac:dyDescent="0.2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8"/>
      <c r="N525" s="88"/>
      <c r="O525" s="8"/>
      <c r="P525" s="8"/>
      <c r="Q525" s="89"/>
      <c r="R525" s="89"/>
      <c r="S525" s="8"/>
      <c r="T525" s="8"/>
      <c r="U525" s="8"/>
      <c r="V525" s="8"/>
      <c r="W525" s="8"/>
      <c r="X525" s="8"/>
      <c r="Y525" s="8"/>
    </row>
    <row r="526" spans="1:25" ht="12.75" x14ac:dyDescent="0.2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8"/>
      <c r="N526" s="88"/>
      <c r="O526" s="8"/>
      <c r="P526" s="8"/>
      <c r="Q526" s="89"/>
      <c r="R526" s="89"/>
      <c r="S526" s="8"/>
      <c r="T526" s="8"/>
      <c r="U526" s="8"/>
      <c r="V526" s="8"/>
      <c r="W526" s="8"/>
      <c r="X526" s="8"/>
      <c r="Y526" s="8"/>
    </row>
    <row r="527" spans="1:25" ht="12.75" x14ac:dyDescent="0.2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8"/>
      <c r="N527" s="88"/>
      <c r="O527" s="8"/>
      <c r="P527" s="8"/>
      <c r="Q527" s="89"/>
      <c r="R527" s="89"/>
      <c r="S527" s="8"/>
      <c r="T527" s="8"/>
      <c r="U527" s="8"/>
      <c r="V527" s="8"/>
      <c r="W527" s="8"/>
      <c r="X527" s="8"/>
      <c r="Y527" s="8"/>
    </row>
    <row r="528" spans="1:25" ht="12.75" x14ac:dyDescent="0.2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8"/>
      <c r="N528" s="88"/>
      <c r="O528" s="8"/>
      <c r="P528" s="8"/>
      <c r="Q528" s="89"/>
      <c r="R528" s="89"/>
      <c r="S528" s="8"/>
      <c r="T528" s="8"/>
      <c r="U528" s="8"/>
      <c r="V528" s="8"/>
      <c r="W528" s="8"/>
      <c r="X528" s="8"/>
      <c r="Y528" s="8"/>
    </row>
    <row r="529" spans="1:25" ht="12.75" x14ac:dyDescent="0.2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8"/>
      <c r="N529" s="88"/>
      <c r="O529" s="8"/>
      <c r="P529" s="8"/>
      <c r="Q529" s="89"/>
      <c r="R529" s="89"/>
      <c r="S529" s="8"/>
      <c r="T529" s="8"/>
      <c r="U529" s="8"/>
      <c r="V529" s="8"/>
      <c r="W529" s="8"/>
      <c r="X529" s="8"/>
      <c r="Y529" s="8"/>
    </row>
    <row r="530" spans="1:25" ht="12.75" x14ac:dyDescent="0.2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8"/>
      <c r="N530" s="88"/>
      <c r="O530" s="8"/>
      <c r="P530" s="8"/>
      <c r="Q530" s="89"/>
      <c r="R530" s="89"/>
      <c r="S530" s="8"/>
      <c r="T530" s="8"/>
      <c r="U530" s="8"/>
      <c r="V530" s="8"/>
      <c r="W530" s="8"/>
      <c r="X530" s="8"/>
      <c r="Y530" s="8"/>
    </row>
    <row r="531" spans="1:25" ht="12.75" x14ac:dyDescent="0.2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8"/>
      <c r="N531" s="88"/>
      <c r="O531" s="8"/>
      <c r="P531" s="8"/>
      <c r="Q531" s="89"/>
      <c r="R531" s="89"/>
      <c r="S531" s="8"/>
      <c r="T531" s="8"/>
      <c r="U531" s="8"/>
      <c r="V531" s="8"/>
      <c r="W531" s="8"/>
      <c r="X531" s="8"/>
      <c r="Y531" s="8"/>
    </row>
    <row r="532" spans="1:25" ht="12.75" x14ac:dyDescent="0.2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8"/>
      <c r="N532" s="88"/>
      <c r="O532" s="8"/>
      <c r="P532" s="8"/>
      <c r="Q532" s="89"/>
      <c r="R532" s="89"/>
      <c r="S532" s="8"/>
      <c r="T532" s="8"/>
      <c r="U532" s="8"/>
      <c r="V532" s="8"/>
      <c r="W532" s="8"/>
      <c r="X532" s="8"/>
      <c r="Y532" s="8"/>
    </row>
    <row r="533" spans="1:25" ht="12.75" x14ac:dyDescent="0.2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8"/>
      <c r="N533" s="88"/>
      <c r="O533" s="8"/>
      <c r="P533" s="8"/>
      <c r="Q533" s="89"/>
      <c r="R533" s="89"/>
      <c r="S533" s="8"/>
      <c r="T533" s="8"/>
      <c r="U533" s="8"/>
      <c r="V533" s="8"/>
      <c r="W533" s="8"/>
      <c r="X533" s="8"/>
      <c r="Y533" s="8"/>
    </row>
    <row r="534" spans="1:25" ht="12.75" x14ac:dyDescent="0.2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8"/>
      <c r="N534" s="88"/>
      <c r="O534" s="8"/>
      <c r="P534" s="8"/>
      <c r="Q534" s="89"/>
      <c r="R534" s="89"/>
      <c r="S534" s="8"/>
      <c r="T534" s="8"/>
      <c r="U534" s="8"/>
      <c r="V534" s="8"/>
      <c r="W534" s="8"/>
      <c r="X534" s="8"/>
      <c r="Y534" s="8"/>
    </row>
    <row r="535" spans="1:25" ht="12.75" x14ac:dyDescent="0.2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8"/>
      <c r="N535" s="88"/>
      <c r="O535" s="8"/>
      <c r="P535" s="8"/>
      <c r="Q535" s="89"/>
      <c r="R535" s="89"/>
      <c r="S535" s="8"/>
      <c r="T535" s="8"/>
      <c r="U535" s="8"/>
      <c r="V535" s="8"/>
      <c r="W535" s="8"/>
      <c r="X535" s="8"/>
      <c r="Y535" s="8"/>
    </row>
    <row r="536" spans="1:25" ht="12.75" x14ac:dyDescent="0.2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8"/>
      <c r="N536" s="88"/>
      <c r="O536" s="8"/>
      <c r="P536" s="8"/>
      <c r="Q536" s="89"/>
      <c r="R536" s="89"/>
      <c r="S536" s="8"/>
      <c r="T536" s="8"/>
      <c r="U536" s="8"/>
      <c r="V536" s="8"/>
      <c r="W536" s="8"/>
      <c r="X536" s="8"/>
      <c r="Y536" s="8"/>
    </row>
    <row r="537" spans="1:25" ht="12.75" x14ac:dyDescent="0.2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8"/>
      <c r="N537" s="88"/>
      <c r="O537" s="8"/>
      <c r="P537" s="8"/>
      <c r="Q537" s="89"/>
      <c r="R537" s="89"/>
      <c r="S537" s="8"/>
      <c r="T537" s="8"/>
      <c r="U537" s="8"/>
      <c r="V537" s="8"/>
      <c r="W537" s="8"/>
      <c r="X537" s="8"/>
      <c r="Y537" s="8"/>
    </row>
    <row r="538" spans="1:25" ht="12.75" x14ac:dyDescent="0.2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8"/>
      <c r="N538" s="88"/>
      <c r="O538" s="8"/>
      <c r="P538" s="8"/>
      <c r="Q538" s="89"/>
      <c r="R538" s="89"/>
      <c r="S538" s="8"/>
      <c r="T538" s="8"/>
      <c r="U538" s="8"/>
      <c r="V538" s="8"/>
      <c r="W538" s="8"/>
      <c r="X538" s="8"/>
      <c r="Y538" s="8"/>
    </row>
    <row r="539" spans="1:25" ht="12.75" x14ac:dyDescent="0.2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8"/>
      <c r="N539" s="88"/>
      <c r="O539" s="8"/>
      <c r="P539" s="8"/>
      <c r="Q539" s="89"/>
      <c r="R539" s="89"/>
      <c r="S539" s="8"/>
      <c r="T539" s="8"/>
      <c r="U539" s="8"/>
      <c r="V539" s="8"/>
      <c r="W539" s="8"/>
      <c r="X539" s="8"/>
      <c r="Y539" s="8"/>
    </row>
    <row r="540" spans="1:25" ht="12.75" x14ac:dyDescent="0.2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8"/>
      <c r="N540" s="88"/>
      <c r="O540" s="8"/>
      <c r="P540" s="8"/>
      <c r="Q540" s="89"/>
      <c r="R540" s="89"/>
      <c r="S540" s="8"/>
      <c r="T540" s="8"/>
      <c r="U540" s="8"/>
      <c r="V540" s="8"/>
      <c r="W540" s="8"/>
      <c r="X540" s="8"/>
      <c r="Y540" s="8"/>
    </row>
    <row r="541" spans="1:25" ht="12.75" x14ac:dyDescent="0.2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8"/>
      <c r="N541" s="88"/>
      <c r="O541" s="8"/>
      <c r="P541" s="8"/>
      <c r="Q541" s="89"/>
      <c r="R541" s="89"/>
      <c r="S541" s="8"/>
      <c r="T541" s="8"/>
      <c r="U541" s="8"/>
      <c r="V541" s="8"/>
      <c r="W541" s="8"/>
      <c r="X541" s="8"/>
      <c r="Y541" s="8"/>
    </row>
    <row r="542" spans="1:25" ht="12.75" x14ac:dyDescent="0.2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8"/>
      <c r="N542" s="88"/>
      <c r="O542" s="8"/>
      <c r="P542" s="8"/>
      <c r="Q542" s="89"/>
      <c r="R542" s="89"/>
      <c r="S542" s="8"/>
      <c r="T542" s="8"/>
      <c r="U542" s="8"/>
      <c r="V542" s="8"/>
      <c r="W542" s="8"/>
      <c r="X542" s="8"/>
      <c r="Y542" s="8"/>
    </row>
    <row r="543" spans="1:25" ht="12.75" x14ac:dyDescent="0.2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8"/>
      <c r="N543" s="88"/>
      <c r="O543" s="8"/>
      <c r="P543" s="8"/>
      <c r="Q543" s="89"/>
      <c r="R543" s="89"/>
      <c r="S543" s="8"/>
      <c r="T543" s="8"/>
      <c r="U543" s="8"/>
      <c r="V543" s="8"/>
      <c r="W543" s="8"/>
      <c r="X543" s="8"/>
      <c r="Y543" s="8"/>
    </row>
    <row r="544" spans="1:25" ht="12.75" x14ac:dyDescent="0.2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8"/>
      <c r="N544" s="88"/>
      <c r="O544" s="8"/>
      <c r="P544" s="8"/>
      <c r="Q544" s="89"/>
      <c r="R544" s="89"/>
      <c r="S544" s="8"/>
      <c r="T544" s="8"/>
      <c r="U544" s="8"/>
      <c r="V544" s="8"/>
      <c r="W544" s="8"/>
      <c r="X544" s="8"/>
      <c r="Y544" s="8"/>
    </row>
    <row r="545" spans="1:25" ht="12.75" x14ac:dyDescent="0.2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8"/>
      <c r="N545" s="88"/>
      <c r="O545" s="8"/>
      <c r="P545" s="8"/>
      <c r="Q545" s="89"/>
      <c r="R545" s="89"/>
      <c r="S545" s="8"/>
      <c r="T545" s="8"/>
      <c r="U545" s="8"/>
      <c r="V545" s="8"/>
      <c r="W545" s="8"/>
      <c r="X545" s="8"/>
      <c r="Y545" s="8"/>
    </row>
    <row r="546" spans="1:25" ht="12.75" x14ac:dyDescent="0.2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8"/>
      <c r="N546" s="88"/>
      <c r="O546" s="8"/>
      <c r="P546" s="8"/>
      <c r="Q546" s="89"/>
      <c r="R546" s="89"/>
      <c r="S546" s="8"/>
      <c r="T546" s="8"/>
      <c r="U546" s="8"/>
      <c r="V546" s="8"/>
      <c r="W546" s="8"/>
      <c r="X546" s="8"/>
      <c r="Y546" s="8"/>
    </row>
    <row r="547" spans="1:25" ht="12.75" x14ac:dyDescent="0.2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8"/>
      <c r="N547" s="88"/>
      <c r="O547" s="8"/>
      <c r="P547" s="8"/>
      <c r="Q547" s="89"/>
      <c r="R547" s="89"/>
      <c r="S547" s="8"/>
      <c r="T547" s="8"/>
      <c r="U547" s="8"/>
      <c r="V547" s="8"/>
      <c r="W547" s="8"/>
      <c r="X547" s="8"/>
      <c r="Y547" s="8"/>
    </row>
    <row r="548" spans="1:25" ht="12.75" x14ac:dyDescent="0.2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8"/>
      <c r="N548" s="88"/>
      <c r="O548" s="8"/>
      <c r="P548" s="8"/>
      <c r="Q548" s="89"/>
      <c r="R548" s="89"/>
      <c r="S548" s="8"/>
      <c r="T548" s="8"/>
      <c r="U548" s="8"/>
      <c r="V548" s="8"/>
      <c r="W548" s="8"/>
      <c r="X548" s="8"/>
      <c r="Y548" s="8"/>
    </row>
    <row r="549" spans="1:25" ht="12.75" x14ac:dyDescent="0.2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8"/>
      <c r="N549" s="88"/>
      <c r="O549" s="8"/>
      <c r="P549" s="8"/>
      <c r="Q549" s="89"/>
      <c r="R549" s="89"/>
      <c r="S549" s="8"/>
      <c r="T549" s="8"/>
      <c r="U549" s="8"/>
      <c r="V549" s="8"/>
      <c r="W549" s="8"/>
      <c r="X549" s="8"/>
      <c r="Y549" s="8"/>
    </row>
    <row r="550" spans="1:25" ht="12.75" x14ac:dyDescent="0.2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8"/>
      <c r="N550" s="88"/>
      <c r="O550" s="8"/>
      <c r="P550" s="8"/>
      <c r="Q550" s="89"/>
      <c r="R550" s="89"/>
      <c r="S550" s="8"/>
      <c r="T550" s="8"/>
      <c r="U550" s="8"/>
      <c r="V550" s="8"/>
      <c r="W550" s="8"/>
      <c r="X550" s="8"/>
      <c r="Y550" s="8"/>
    </row>
    <row r="551" spans="1:25" ht="12.75" x14ac:dyDescent="0.2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8"/>
      <c r="N551" s="88"/>
      <c r="O551" s="8"/>
      <c r="P551" s="8"/>
      <c r="Q551" s="89"/>
      <c r="R551" s="89"/>
      <c r="S551" s="8"/>
      <c r="T551" s="8"/>
      <c r="U551" s="8"/>
      <c r="V551" s="8"/>
      <c r="W551" s="8"/>
      <c r="X551" s="8"/>
      <c r="Y551" s="8"/>
    </row>
    <row r="552" spans="1:25" ht="12.75" x14ac:dyDescent="0.2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8"/>
      <c r="N552" s="88"/>
      <c r="O552" s="8"/>
      <c r="P552" s="8"/>
      <c r="Q552" s="89"/>
      <c r="R552" s="89"/>
      <c r="S552" s="8"/>
      <c r="T552" s="8"/>
      <c r="U552" s="8"/>
      <c r="V552" s="8"/>
      <c r="W552" s="8"/>
      <c r="X552" s="8"/>
      <c r="Y552" s="8"/>
    </row>
    <row r="553" spans="1:25" ht="12.75" x14ac:dyDescent="0.2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8"/>
      <c r="N553" s="88"/>
      <c r="O553" s="8"/>
      <c r="P553" s="8"/>
      <c r="Q553" s="89"/>
      <c r="R553" s="89"/>
      <c r="S553" s="8"/>
      <c r="T553" s="8"/>
      <c r="U553" s="8"/>
      <c r="V553" s="8"/>
      <c r="W553" s="8"/>
      <c r="X553" s="8"/>
      <c r="Y553" s="8"/>
    </row>
    <row r="554" spans="1:25" ht="12.75" x14ac:dyDescent="0.2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8"/>
      <c r="N554" s="88"/>
      <c r="O554" s="8"/>
      <c r="P554" s="8"/>
      <c r="Q554" s="89"/>
      <c r="R554" s="89"/>
      <c r="S554" s="8"/>
      <c r="T554" s="8"/>
      <c r="U554" s="8"/>
      <c r="V554" s="8"/>
      <c r="W554" s="8"/>
      <c r="X554" s="8"/>
      <c r="Y554" s="8"/>
    </row>
    <row r="555" spans="1:25" ht="12.75" x14ac:dyDescent="0.2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8"/>
      <c r="N555" s="88"/>
      <c r="O555" s="8"/>
      <c r="P555" s="8"/>
      <c r="Q555" s="89"/>
      <c r="R555" s="89"/>
      <c r="S555" s="8"/>
      <c r="T555" s="8"/>
      <c r="U555" s="8"/>
      <c r="V555" s="8"/>
      <c r="W555" s="8"/>
      <c r="X555" s="8"/>
      <c r="Y555" s="8"/>
    </row>
    <row r="556" spans="1:25" ht="12.75" x14ac:dyDescent="0.2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8"/>
      <c r="N556" s="88"/>
      <c r="O556" s="8"/>
      <c r="P556" s="8"/>
      <c r="Q556" s="89"/>
      <c r="R556" s="89"/>
      <c r="S556" s="8"/>
      <c r="T556" s="8"/>
      <c r="U556" s="8"/>
      <c r="V556" s="8"/>
      <c r="W556" s="8"/>
      <c r="X556" s="8"/>
      <c r="Y556" s="8"/>
    </row>
    <row r="557" spans="1:25" ht="12.75" x14ac:dyDescent="0.2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8"/>
      <c r="N557" s="88"/>
      <c r="O557" s="8"/>
      <c r="P557" s="8"/>
      <c r="Q557" s="89"/>
      <c r="R557" s="89"/>
      <c r="S557" s="8"/>
      <c r="T557" s="8"/>
      <c r="U557" s="8"/>
      <c r="V557" s="8"/>
      <c r="W557" s="8"/>
      <c r="X557" s="8"/>
      <c r="Y557" s="8"/>
    </row>
    <row r="558" spans="1:25" ht="12.75" x14ac:dyDescent="0.2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8"/>
      <c r="N558" s="88"/>
      <c r="O558" s="8"/>
      <c r="P558" s="8"/>
      <c r="Q558" s="89"/>
      <c r="R558" s="89"/>
      <c r="S558" s="8"/>
      <c r="T558" s="8"/>
      <c r="U558" s="8"/>
      <c r="V558" s="8"/>
      <c r="W558" s="8"/>
      <c r="X558" s="8"/>
      <c r="Y558" s="8"/>
    </row>
    <row r="559" spans="1:25" ht="12.75" x14ac:dyDescent="0.2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8"/>
      <c r="N559" s="88"/>
      <c r="O559" s="8"/>
      <c r="P559" s="8"/>
      <c r="Q559" s="89"/>
      <c r="R559" s="89"/>
      <c r="S559" s="8"/>
      <c r="T559" s="8"/>
      <c r="U559" s="8"/>
      <c r="V559" s="8"/>
      <c r="W559" s="8"/>
      <c r="X559" s="8"/>
      <c r="Y559" s="8"/>
    </row>
    <row r="560" spans="1:25" ht="12.75" x14ac:dyDescent="0.2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8"/>
      <c r="N560" s="88"/>
      <c r="O560" s="8"/>
      <c r="P560" s="8"/>
      <c r="Q560" s="89"/>
      <c r="R560" s="89"/>
      <c r="S560" s="8"/>
      <c r="T560" s="8"/>
      <c r="U560" s="8"/>
      <c r="V560" s="8"/>
      <c r="W560" s="8"/>
      <c r="X560" s="8"/>
      <c r="Y560" s="8"/>
    </row>
    <row r="561" spans="1:25" ht="12.75" x14ac:dyDescent="0.2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8"/>
      <c r="N561" s="88"/>
      <c r="O561" s="8"/>
      <c r="P561" s="8"/>
      <c r="Q561" s="89"/>
      <c r="R561" s="89"/>
      <c r="S561" s="8"/>
      <c r="T561" s="8"/>
      <c r="U561" s="8"/>
      <c r="V561" s="8"/>
      <c r="W561" s="8"/>
      <c r="X561" s="8"/>
      <c r="Y561" s="8"/>
    </row>
    <row r="562" spans="1:25" ht="12.75" x14ac:dyDescent="0.2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8"/>
      <c r="N562" s="88"/>
      <c r="O562" s="8"/>
      <c r="P562" s="8"/>
      <c r="Q562" s="89"/>
      <c r="R562" s="89"/>
      <c r="S562" s="8"/>
      <c r="T562" s="8"/>
      <c r="U562" s="8"/>
      <c r="V562" s="8"/>
      <c r="W562" s="8"/>
      <c r="X562" s="8"/>
      <c r="Y562" s="8"/>
    </row>
    <row r="563" spans="1:25" ht="12.75" x14ac:dyDescent="0.2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8"/>
      <c r="N563" s="88"/>
      <c r="O563" s="8"/>
      <c r="P563" s="8"/>
      <c r="Q563" s="89"/>
      <c r="R563" s="89"/>
      <c r="S563" s="8"/>
      <c r="T563" s="8"/>
      <c r="U563" s="8"/>
      <c r="V563" s="8"/>
      <c r="W563" s="8"/>
      <c r="X563" s="8"/>
      <c r="Y563" s="8"/>
    </row>
    <row r="564" spans="1:25" ht="12.75" x14ac:dyDescent="0.2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8"/>
      <c r="N564" s="88"/>
      <c r="O564" s="8"/>
      <c r="P564" s="8"/>
      <c r="Q564" s="89"/>
      <c r="R564" s="89"/>
      <c r="S564" s="8"/>
      <c r="T564" s="8"/>
      <c r="U564" s="8"/>
      <c r="V564" s="8"/>
      <c r="W564" s="8"/>
      <c r="X564" s="8"/>
      <c r="Y564" s="8"/>
    </row>
    <row r="565" spans="1:25" ht="12.75" x14ac:dyDescent="0.2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8"/>
      <c r="N565" s="88"/>
      <c r="O565" s="8"/>
      <c r="P565" s="8"/>
      <c r="Q565" s="89"/>
      <c r="R565" s="89"/>
      <c r="S565" s="8"/>
      <c r="T565" s="8"/>
      <c r="U565" s="8"/>
      <c r="V565" s="8"/>
      <c r="W565" s="8"/>
      <c r="X565" s="8"/>
      <c r="Y565" s="8"/>
    </row>
    <row r="566" spans="1:25" ht="12.75" x14ac:dyDescent="0.2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8"/>
      <c r="N566" s="88"/>
      <c r="O566" s="8"/>
      <c r="P566" s="8"/>
      <c r="Q566" s="89"/>
      <c r="R566" s="89"/>
      <c r="S566" s="8"/>
      <c r="T566" s="8"/>
      <c r="U566" s="8"/>
      <c r="V566" s="8"/>
      <c r="W566" s="8"/>
      <c r="X566" s="8"/>
      <c r="Y566" s="8"/>
    </row>
    <row r="567" spans="1:25" ht="12.75" x14ac:dyDescent="0.2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8"/>
      <c r="N567" s="88"/>
      <c r="O567" s="8"/>
      <c r="P567" s="8"/>
      <c r="Q567" s="89"/>
      <c r="R567" s="89"/>
      <c r="S567" s="8"/>
      <c r="T567" s="8"/>
      <c r="U567" s="8"/>
      <c r="V567" s="8"/>
      <c r="W567" s="8"/>
      <c r="X567" s="8"/>
      <c r="Y567" s="8"/>
    </row>
    <row r="568" spans="1:25" ht="12.75" x14ac:dyDescent="0.2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8"/>
      <c r="N568" s="88"/>
      <c r="O568" s="8"/>
      <c r="P568" s="8"/>
      <c r="Q568" s="89"/>
      <c r="R568" s="89"/>
      <c r="S568" s="8"/>
      <c r="T568" s="8"/>
      <c r="U568" s="8"/>
      <c r="V568" s="8"/>
      <c r="W568" s="8"/>
      <c r="X568" s="8"/>
      <c r="Y568" s="8"/>
    </row>
    <row r="569" spans="1:25" ht="12.75" x14ac:dyDescent="0.2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8"/>
      <c r="N569" s="88"/>
      <c r="O569" s="8"/>
      <c r="P569" s="8"/>
      <c r="Q569" s="89"/>
      <c r="R569" s="89"/>
      <c r="S569" s="8"/>
      <c r="T569" s="8"/>
      <c r="U569" s="8"/>
      <c r="V569" s="8"/>
      <c r="W569" s="8"/>
      <c r="X569" s="8"/>
      <c r="Y569" s="8"/>
    </row>
    <row r="570" spans="1:25" ht="12.75" x14ac:dyDescent="0.2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8"/>
      <c r="N570" s="88"/>
      <c r="O570" s="8"/>
      <c r="P570" s="8"/>
      <c r="Q570" s="89"/>
      <c r="R570" s="89"/>
      <c r="S570" s="8"/>
      <c r="T570" s="8"/>
      <c r="U570" s="8"/>
      <c r="V570" s="8"/>
      <c r="W570" s="8"/>
      <c r="X570" s="8"/>
      <c r="Y570" s="8"/>
    </row>
    <row r="571" spans="1:25" ht="12.75" x14ac:dyDescent="0.2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8"/>
      <c r="N571" s="88"/>
      <c r="O571" s="8"/>
      <c r="P571" s="8"/>
      <c r="Q571" s="89"/>
      <c r="R571" s="89"/>
      <c r="S571" s="8"/>
      <c r="T571" s="8"/>
      <c r="U571" s="8"/>
      <c r="V571" s="8"/>
      <c r="W571" s="8"/>
      <c r="X571" s="8"/>
      <c r="Y571" s="8"/>
    </row>
    <row r="572" spans="1:25" ht="12.75" x14ac:dyDescent="0.2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8"/>
      <c r="N572" s="88"/>
      <c r="O572" s="8"/>
      <c r="P572" s="8"/>
      <c r="Q572" s="89"/>
      <c r="R572" s="89"/>
      <c r="S572" s="8"/>
      <c r="T572" s="8"/>
      <c r="U572" s="8"/>
      <c r="V572" s="8"/>
      <c r="W572" s="8"/>
      <c r="X572" s="8"/>
      <c r="Y572" s="8"/>
    </row>
    <row r="573" spans="1:25" ht="12.75" x14ac:dyDescent="0.2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8"/>
      <c r="N573" s="88"/>
      <c r="O573" s="8"/>
      <c r="P573" s="8"/>
      <c r="Q573" s="89"/>
      <c r="R573" s="89"/>
      <c r="S573" s="8"/>
      <c r="T573" s="8"/>
      <c r="U573" s="8"/>
      <c r="V573" s="8"/>
      <c r="W573" s="8"/>
      <c r="X573" s="8"/>
      <c r="Y573" s="8"/>
    </row>
    <row r="574" spans="1:25" ht="12.75" x14ac:dyDescent="0.2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8"/>
      <c r="N574" s="88"/>
      <c r="O574" s="8"/>
      <c r="P574" s="8"/>
      <c r="Q574" s="89"/>
      <c r="R574" s="89"/>
      <c r="S574" s="8"/>
      <c r="T574" s="8"/>
      <c r="U574" s="8"/>
      <c r="V574" s="8"/>
      <c r="W574" s="8"/>
      <c r="X574" s="8"/>
      <c r="Y574" s="8"/>
    </row>
    <row r="575" spans="1:25" ht="12.75" x14ac:dyDescent="0.2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8"/>
      <c r="N575" s="88"/>
      <c r="O575" s="8"/>
      <c r="P575" s="8"/>
      <c r="Q575" s="89"/>
      <c r="R575" s="89"/>
      <c r="S575" s="8"/>
      <c r="T575" s="8"/>
      <c r="U575" s="8"/>
      <c r="V575" s="8"/>
      <c r="W575" s="8"/>
      <c r="X575" s="8"/>
      <c r="Y575" s="8"/>
    </row>
    <row r="576" spans="1:25" ht="12.75" x14ac:dyDescent="0.2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8"/>
      <c r="N576" s="88"/>
      <c r="O576" s="8"/>
      <c r="P576" s="8"/>
      <c r="Q576" s="89"/>
      <c r="R576" s="89"/>
      <c r="S576" s="8"/>
      <c r="T576" s="8"/>
      <c r="U576" s="8"/>
      <c r="V576" s="8"/>
      <c r="W576" s="8"/>
      <c r="X576" s="8"/>
      <c r="Y576" s="8"/>
    </row>
    <row r="577" spans="1:25" ht="12.75" x14ac:dyDescent="0.2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8"/>
      <c r="N577" s="88"/>
      <c r="O577" s="8"/>
      <c r="P577" s="8"/>
      <c r="Q577" s="89"/>
      <c r="R577" s="89"/>
      <c r="S577" s="8"/>
      <c r="T577" s="8"/>
      <c r="U577" s="8"/>
      <c r="V577" s="8"/>
      <c r="W577" s="8"/>
      <c r="X577" s="8"/>
      <c r="Y577" s="8"/>
    </row>
    <row r="578" spans="1:25" ht="12.75" x14ac:dyDescent="0.2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8"/>
      <c r="N578" s="88"/>
      <c r="O578" s="8"/>
      <c r="P578" s="8"/>
      <c r="Q578" s="89"/>
      <c r="R578" s="89"/>
      <c r="S578" s="8"/>
      <c r="T578" s="8"/>
      <c r="U578" s="8"/>
      <c r="V578" s="8"/>
      <c r="W578" s="8"/>
      <c r="X578" s="8"/>
      <c r="Y578" s="8"/>
    </row>
    <row r="579" spans="1:25" ht="12.75" x14ac:dyDescent="0.2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8"/>
      <c r="N579" s="88"/>
      <c r="O579" s="8"/>
      <c r="P579" s="8"/>
      <c r="Q579" s="89"/>
      <c r="R579" s="89"/>
      <c r="S579" s="8"/>
      <c r="T579" s="8"/>
      <c r="U579" s="8"/>
      <c r="V579" s="8"/>
      <c r="W579" s="8"/>
      <c r="X579" s="8"/>
      <c r="Y579" s="8"/>
    </row>
    <row r="580" spans="1:25" ht="12.75" x14ac:dyDescent="0.2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8"/>
      <c r="N580" s="88"/>
      <c r="O580" s="8"/>
      <c r="P580" s="8"/>
      <c r="Q580" s="89"/>
      <c r="R580" s="89"/>
      <c r="S580" s="8"/>
      <c r="T580" s="8"/>
      <c r="U580" s="8"/>
      <c r="V580" s="8"/>
      <c r="W580" s="8"/>
      <c r="X580" s="8"/>
      <c r="Y580" s="8"/>
    </row>
    <row r="581" spans="1:25" ht="12.75" x14ac:dyDescent="0.2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8"/>
      <c r="N581" s="88"/>
      <c r="O581" s="8"/>
      <c r="P581" s="8"/>
      <c r="Q581" s="89"/>
      <c r="R581" s="89"/>
      <c r="S581" s="8"/>
      <c r="T581" s="8"/>
      <c r="U581" s="8"/>
      <c r="V581" s="8"/>
      <c r="W581" s="8"/>
      <c r="X581" s="8"/>
      <c r="Y581" s="8"/>
    </row>
    <row r="582" spans="1:25" ht="12.75" x14ac:dyDescent="0.2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8"/>
      <c r="N582" s="88"/>
      <c r="O582" s="8"/>
      <c r="P582" s="8"/>
      <c r="Q582" s="89"/>
      <c r="R582" s="89"/>
      <c r="S582" s="8"/>
      <c r="T582" s="8"/>
      <c r="U582" s="8"/>
      <c r="V582" s="8"/>
      <c r="W582" s="8"/>
      <c r="X582" s="8"/>
      <c r="Y582" s="8"/>
    </row>
    <row r="583" spans="1:25" ht="12.75" x14ac:dyDescent="0.2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8"/>
      <c r="N583" s="88"/>
      <c r="O583" s="8"/>
      <c r="P583" s="8"/>
      <c r="Q583" s="89"/>
      <c r="R583" s="89"/>
      <c r="S583" s="8"/>
      <c r="T583" s="8"/>
      <c r="U583" s="8"/>
      <c r="V583" s="8"/>
      <c r="W583" s="8"/>
      <c r="X583" s="8"/>
      <c r="Y583" s="8"/>
    </row>
    <row r="584" spans="1:25" ht="12.75" x14ac:dyDescent="0.2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8"/>
      <c r="N584" s="88"/>
      <c r="O584" s="8"/>
      <c r="P584" s="8"/>
      <c r="Q584" s="89"/>
      <c r="R584" s="89"/>
      <c r="S584" s="8"/>
      <c r="T584" s="8"/>
      <c r="U584" s="8"/>
      <c r="V584" s="8"/>
      <c r="W584" s="8"/>
      <c r="X584" s="8"/>
      <c r="Y584" s="8"/>
    </row>
    <row r="585" spans="1:25" ht="12.75" x14ac:dyDescent="0.2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8"/>
      <c r="N585" s="88"/>
      <c r="O585" s="8"/>
      <c r="P585" s="8"/>
      <c r="Q585" s="89"/>
      <c r="R585" s="89"/>
      <c r="S585" s="8"/>
      <c r="T585" s="8"/>
      <c r="U585" s="8"/>
      <c r="V585" s="8"/>
      <c r="W585" s="8"/>
      <c r="X585" s="8"/>
      <c r="Y585" s="8"/>
    </row>
    <row r="586" spans="1:25" ht="12.75" x14ac:dyDescent="0.2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8"/>
      <c r="N586" s="88"/>
      <c r="O586" s="8"/>
      <c r="P586" s="8"/>
      <c r="Q586" s="89"/>
      <c r="R586" s="89"/>
      <c r="S586" s="8"/>
      <c r="T586" s="8"/>
      <c r="U586" s="8"/>
      <c r="V586" s="8"/>
      <c r="W586" s="8"/>
      <c r="X586" s="8"/>
      <c r="Y586" s="8"/>
    </row>
    <row r="587" spans="1:25" ht="12.75" x14ac:dyDescent="0.2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8"/>
      <c r="N587" s="88"/>
      <c r="O587" s="8"/>
      <c r="P587" s="8"/>
      <c r="Q587" s="89"/>
      <c r="R587" s="89"/>
      <c r="S587" s="8"/>
      <c r="T587" s="8"/>
      <c r="U587" s="8"/>
      <c r="V587" s="8"/>
      <c r="W587" s="8"/>
      <c r="X587" s="8"/>
      <c r="Y587" s="8"/>
    </row>
    <row r="588" spans="1:25" ht="12.75" x14ac:dyDescent="0.2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8"/>
      <c r="N588" s="88"/>
      <c r="O588" s="8"/>
      <c r="P588" s="8"/>
      <c r="Q588" s="89"/>
      <c r="R588" s="89"/>
      <c r="S588" s="8"/>
      <c r="T588" s="8"/>
      <c r="U588" s="8"/>
      <c r="V588" s="8"/>
      <c r="W588" s="8"/>
      <c r="X588" s="8"/>
      <c r="Y588" s="8"/>
    </row>
    <row r="589" spans="1:25" ht="12.75" x14ac:dyDescent="0.2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8"/>
      <c r="N589" s="88"/>
      <c r="O589" s="8"/>
      <c r="P589" s="8"/>
      <c r="Q589" s="89"/>
      <c r="R589" s="89"/>
      <c r="S589" s="8"/>
      <c r="T589" s="8"/>
      <c r="U589" s="8"/>
      <c r="V589" s="8"/>
      <c r="W589" s="8"/>
      <c r="X589" s="8"/>
      <c r="Y589" s="8"/>
    </row>
    <row r="590" spans="1:25" ht="12.75" x14ac:dyDescent="0.2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8"/>
      <c r="N590" s="88"/>
      <c r="O590" s="8"/>
      <c r="P590" s="8"/>
      <c r="Q590" s="89"/>
      <c r="R590" s="89"/>
      <c r="S590" s="8"/>
      <c r="T590" s="8"/>
      <c r="U590" s="8"/>
      <c r="V590" s="8"/>
      <c r="W590" s="8"/>
      <c r="X590" s="8"/>
      <c r="Y590" s="8"/>
    </row>
    <row r="591" spans="1:25" ht="12.75" x14ac:dyDescent="0.2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8"/>
      <c r="N591" s="88"/>
      <c r="O591" s="8"/>
      <c r="P591" s="8"/>
      <c r="Q591" s="89"/>
      <c r="R591" s="89"/>
      <c r="S591" s="8"/>
      <c r="T591" s="8"/>
      <c r="U591" s="8"/>
      <c r="V591" s="8"/>
      <c r="W591" s="8"/>
      <c r="X591" s="8"/>
      <c r="Y591" s="8"/>
    </row>
    <row r="592" spans="1:25" ht="12.75" x14ac:dyDescent="0.2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8"/>
      <c r="N592" s="88"/>
      <c r="O592" s="8"/>
      <c r="P592" s="8"/>
      <c r="Q592" s="89"/>
      <c r="R592" s="89"/>
      <c r="S592" s="8"/>
      <c r="T592" s="8"/>
      <c r="U592" s="8"/>
      <c r="V592" s="8"/>
      <c r="W592" s="8"/>
      <c r="X592" s="8"/>
      <c r="Y592" s="8"/>
    </row>
    <row r="593" spans="1:25" ht="12.75" x14ac:dyDescent="0.2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8"/>
      <c r="N593" s="88"/>
      <c r="O593" s="8"/>
      <c r="P593" s="8"/>
      <c r="Q593" s="89"/>
      <c r="R593" s="89"/>
      <c r="S593" s="8"/>
      <c r="T593" s="8"/>
      <c r="U593" s="8"/>
      <c r="V593" s="8"/>
      <c r="W593" s="8"/>
      <c r="X593" s="8"/>
      <c r="Y593" s="8"/>
    </row>
    <row r="594" spans="1:25" ht="12.75" x14ac:dyDescent="0.2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8"/>
      <c r="N594" s="88"/>
      <c r="O594" s="8"/>
      <c r="P594" s="8"/>
      <c r="Q594" s="89"/>
      <c r="R594" s="89"/>
      <c r="S594" s="8"/>
      <c r="T594" s="8"/>
      <c r="U594" s="8"/>
      <c r="V594" s="8"/>
      <c r="W594" s="8"/>
      <c r="X594" s="8"/>
      <c r="Y594" s="8"/>
    </row>
    <row r="595" spans="1:25" ht="12.75" x14ac:dyDescent="0.2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8"/>
      <c r="N595" s="88"/>
      <c r="O595" s="8"/>
      <c r="P595" s="8"/>
      <c r="Q595" s="89"/>
      <c r="R595" s="89"/>
      <c r="S595" s="8"/>
      <c r="T595" s="8"/>
      <c r="U595" s="8"/>
      <c r="V595" s="8"/>
      <c r="W595" s="8"/>
      <c r="X595" s="8"/>
      <c r="Y595" s="8"/>
    </row>
    <row r="596" spans="1:25" ht="12.75" x14ac:dyDescent="0.2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8"/>
      <c r="N596" s="88"/>
      <c r="O596" s="8"/>
      <c r="P596" s="8"/>
      <c r="Q596" s="89"/>
      <c r="R596" s="89"/>
      <c r="S596" s="8"/>
      <c r="T596" s="8"/>
      <c r="U596" s="8"/>
      <c r="V596" s="8"/>
      <c r="W596" s="8"/>
      <c r="X596" s="8"/>
      <c r="Y596" s="8"/>
    </row>
    <row r="597" spans="1:25" ht="12.75" x14ac:dyDescent="0.2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8"/>
      <c r="N597" s="88"/>
      <c r="O597" s="8"/>
      <c r="P597" s="8"/>
      <c r="Q597" s="89"/>
      <c r="R597" s="89"/>
      <c r="S597" s="8"/>
      <c r="T597" s="8"/>
      <c r="U597" s="8"/>
      <c r="V597" s="8"/>
      <c r="W597" s="8"/>
      <c r="X597" s="8"/>
      <c r="Y597" s="8"/>
    </row>
    <row r="598" spans="1:25" ht="12.75" x14ac:dyDescent="0.2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8"/>
      <c r="N598" s="88"/>
      <c r="O598" s="8"/>
      <c r="P598" s="8"/>
      <c r="Q598" s="89"/>
      <c r="R598" s="89"/>
      <c r="S598" s="8"/>
      <c r="T598" s="8"/>
      <c r="U598" s="8"/>
      <c r="V598" s="8"/>
      <c r="W598" s="8"/>
      <c r="X598" s="8"/>
      <c r="Y598" s="8"/>
    </row>
    <row r="599" spans="1:25" ht="12.75" x14ac:dyDescent="0.2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8"/>
      <c r="N599" s="88"/>
      <c r="O599" s="8"/>
      <c r="P599" s="8"/>
      <c r="Q599" s="89"/>
      <c r="R599" s="89"/>
      <c r="S599" s="8"/>
      <c r="T599" s="8"/>
      <c r="U599" s="8"/>
      <c r="V599" s="8"/>
      <c r="W599" s="8"/>
      <c r="X599" s="8"/>
      <c r="Y599" s="8"/>
    </row>
    <row r="600" spans="1:25" ht="12.75" x14ac:dyDescent="0.2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8"/>
      <c r="N600" s="88"/>
      <c r="O600" s="8"/>
      <c r="P600" s="8"/>
      <c r="Q600" s="89"/>
      <c r="R600" s="89"/>
      <c r="S600" s="8"/>
      <c r="T600" s="8"/>
      <c r="U600" s="8"/>
      <c r="V600" s="8"/>
      <c r="W600" s="8"/>
      <c r="X600" s="8"/>
      <c r="Y600" s="8"/>
    </row>
    <row r="601" spans="1:25" ht="12.75" x14ac:dyDescent="0.2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8"/>
      <c r="N601" s="88"/>
      <c r="O601" s="8"/>
      <c r="P601" s="8"/>
      <c r="Q601" s="89"/>
      <c r="R601" s="89"/>
      <c r="S601" s="8"/>
      <c r="T601" s="8"/>
      <c r="U601" s="8"/>
      <c r="V601" s="8"/>
      <c r="W601" s="8"/>
      <c r="X601" s="8"/>
      <c r="Y601" s="8"/>
    </row>
    <row r="602" spans="1:25" ht="12.75" x14ac:dyDescent="0.2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8"/>
      <c r="N602" s="88"/>
      <c r="O602" s="8"/>
      <c r="P602" s="8"/>
      <c r="Q602" s="89"/>
      <c r="R602" s="89"/>
      <c r="S602" s="8"/>
      <c r="T602" s="8"/>
      <c r="U602" s="8"/>
      <c r="V602" s="8"/>
      <c r="W602" s="8"/>
      <c r="X602" s="8"/>
      <c r="Y602" s="8"/>
    </row>
    <row r="603" spans="1:25" ht="12.75" x14ac:dyDescent="0.2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8"/>
      <c r="N603" s="88"/>
      <c r="O603" s="8"/>
      <c r="P603" s="8"/>
      <c r="Q603" s="89"/>
      <c r="R603" s="89"/>
      <c r="S603" s="8"/>
      <c r="T603" s="8"/>
      <c r="U603" s="8"/>
      <c r="V603" s="8"/>
      <c r="W603" s="8"/>
      <c r="X603" s="8"/>
      <c r="Y603" s="8"/>
    </row>
    <row r="604" spans="1:25" ht="12.75" x14ac:dyDescent="0.2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8"/>
      <c r="N604" s="88"/>
      <c r="O604" s="8"/>
      <c r="P604" s="8"/>
      <c r="Q604" s="89"/>
      <c r="R604" s="89"/>
      <c r="S604" s="8"/>
      <c r="T604" s="8"/>
      <c r="U604" s="8"/>
      <c r="V604" s="8"/>
      <c r="W604" s="8"/>
      <c r="X604" s="8"/>
      <c r="Y604" s="8"/>
    </row>
    <row r="605" spans="1:25" ht="12.75" x14ac:dyDescent="0.2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8"/>
      <c r="N605" s="88"/>
      <c r="O605" s="8"/>
      <c r="P605" s="8"/>
      <c r="Q605" s="89"/>
      <c r="R605" s="89"/>
      <c r="S605" s="8"/>
      <c r="T605" s="8"/>
      <c r="U605" s="8"/>
      <c r="V605" s="8"/>
      <c r="W605" s="8"/>
      <c r="X605" s="8"/>
      <c r="Y605" s="8"/>
    </row>
    <row r="606" spans="1:25" ht="12.75" x14ac:dyDescent="0.2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8"/>
      <c r="N606" s="88"/>
      <c r="O606" s="8"/>
      <c r="P606" s="8"/>
      <c r="Q606" s="89"/>
      <c r="R606" s="89"/>
      <c r="S606" s="8"/>
      <c r="T606" s="8"/>
      <c r="U606" s="8"/>
      <c r="V606" s="8"/>
      <c r="W606" s="8"/>
      <c r="X606" s="8"/>
      <c r="Y606" s="8"/>
    </row>
    <row r="607" spans="1:25" ht="12.75" x14ac:dyDescent="0.2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8"/>
      <c r="N607" s="88"/>
      <c r="O607" s="8"/>
      <c r="P607" s="8"/>
      <c r="Q607" s="89"/>
      <c r="R607" s="89"/>
      <c r="S607" s="8"/>
      <c r="T607" s="8"/>
      <c r="U607" s="8"/>
      <c r="V607" s="8"/>
      <c r="W607" s="8"/>
      <c r="X607" s="8"/>
      <c r="Y607" s="8"/>
    </row>
    <row r="608" spans="1:25" ht="12.75" x14ac:dyDescent="0.2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8"/>
      <c r="N608" s="88"/>
      <c r="O608" s="8"/>
      <c r="P608" s="8"/>
      <c r="Q608" s="89"/>
      <c r="R608" s="89"/>
      <c r="S608" s="8"/>
      <c r="T608" s="8"/>
      <c r="U608" s="8"/>
      <c r="V608" s="8"/>
      <c r="W608" s="8"/>
      <c r="X608" s="8"/>
      <c r="Y608" s="8"/>
    </row>
    <row r="609" spans="1:25" ht="12.75" x14ac:dyDescent="0.2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8"/>
      <c r="N609" s="88"/>
      <c r="O609" s="8"/>
      <c r="P609" s="8"/>
      <c r="Q609" s="89"/>
      <c r="R609" s="89"/>
      <c r="S609" s="8"/>
      <c r="T609" s="8"/>
      <c r="U609" s="8"/>
      <c r="V609" s="8"/>
      <c r="W609" s="8"/>
      <c r="X609" s="8"/>
      <c r="Y609" s="8"/>
    </row>
    <row r="610" spans="1:25" ht="12.75" x14ac:dyDescent="0.2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8"/>
      <c r="N610" s="88"/>
      <c r="O610" s="8"/>
      <c r="P610" s="8"/>
      <c r="Q610" s="89"/>
      <c r="R610" s="89"/>
      <c r="S610" s="8"/>
      <c r="T610" s="8"/>
      <c r="U610" s="8"/>
      <c r="V610" s="8"/>
      <c r="W610" s="8"/>
      <c r="X610" s="8"/>
      <c r="Y610" s="8"/>
    </row>
    <row r="611" spans="1:25" ht="12.75" x14ac:dyDescent="0.2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8"/>
      <c r="N611" s="88"/>
      <c r="O611" s="8"/>
      <c r="P611" s="8"/>
      <c r="Q611" s="89"/>
      <c r="R611" s="89"/>
      <c r="S611" s="8"/>
      <c r="T611" s="8"/>
      <c r="U611" s="8"/>
      <c r="V611" s="8"/>
      <c r="W611" s="8"/>
      <c r="X611" s="8"/>
      <c r="Y611" s="8"/>
    </row>
    <row r="612" spans="1:25" ht="12.75" x14ac:dyDescent="0.2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8"/>
      <c r="N612" s="88"/>
      <c r="O612" s="8"/>
      <c r="P612" s="8"/>
      <c r="Q612" s="89"/>
      <c r="R612" s="89"/>
      <c r="S612" s="8"/>
      <c r="T612" s="8"/>
      <c r="U612" s="8"/>
      <c r="V612" s="8"/>
      <c r="W612" s="8"/>
      <c r="X612" s="8"/>
      <c r="Y612" s="8"/>
    </row>
    <row r="613" spans="1:25" ht="12.75" x14ac:dyDescent="0.2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8"/>
      <c r="N613" s="88"/>
      <c r="O613" s="8"/>
      <c r="P613" s="8"/>
      <c r="Q613" s="89"/>
      <c r="R613" s="89"/>
      <c r="S613" s="8"/>
      <c r="T613" s="8"/>
      <c r="U613" s="8"/>
      <c r="V613" s="8"/>
      <c r="W613" s="8"/>
      <c r="X613" s="8"/>
      <c r="Y613" s="8"/>
    </row>
    <row r="614" spans="1:25" ht="12.75" x14ac:dyDescent="0.2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8"/>
      <c r="N614" s="88"/>
      <c r="O614" s="8"/>
      <c r="P614" s="8"/>
      <c r="Q614" s="89"/>
      <c r="R614" s="89"/>
      <c r="S614" s="8"/>
      <c r="T614" s="8"/>
      <c r="U614" s="8"/>
      <c r="V614" s="8"/>
      <c r="W614" s="8"/>
      <c r="X614" s="8"/>
      <c r="Y614" s="8"/>
    </row>
    <row r="615" spans="1:25" ht="12.75" x14ac:dyDescent="0.2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8"/>
      <c r="N615" s="88"/>
      <c r="O615" s="8"/>
      <c r="P615" s="8"/>
      <c r="Q615" s="89"/>
      <c r="R615" s="89"/>
      <c r="S615" s="8"/>
      <c r="T615" s="8"/>
      <c r="U615" s="8"/>
      <c r="V615" s="8"/>
      <c r="W615" s="8"/>
      <c r="X615" s="8"/>
      <c r="Y615" s="8"/>
    </row>
    <row r="616" spans="1:25" ht="12.75" x14ac:dyDescent="0.2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8"/>
      <c r="N616" s="88"/>
      <c r="O616" s="8"/>
      <c r="P616" s="8"/>
      <c r="Q616" s="89"/>
      <c r="R616" s="89"/>
      <c r="S616" s="8"/>
      <c r="T616" s="8"/>
      <c r="U616" s="8"/>
      <c r="V616" s="8"/>
      <c r="W616" s="8"/>
      <c r="X616" s="8"/>
      <c r="Y616" s="8"/>
    </row>
    <row r="617" spans="1:25" ht="12.75" x14ac:dyDescent="0.2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8"/>
      <c r="N617" s="88"/>
      <c r="O617" s="8"/>
      <c r="P617" s="8"/>
      <c r="Q617" s="89"/>
      <c r="R617" s="89"/>
      <c r="S617" s="8"/>
      <c r="T617" s="8"/>
      <c r="U617" s="8"/>
      <c r="V617" s="8"/>
      <c r="W617" s="8"/>
      <c r="X617" s="8"/>
      <c r="Y617" s="8"/>
    </row>
    <row r="618" spans="1:25" ht="12.75" x14ac:dyDescent="0.2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8"/>
      <c r="N618" s="88"/>
      <c r="O618" s="8"/>
      <c r="P618" s="8"/>
      <c r="Q618" s="89"/>
      <c r="R618" s="89"/>
      <c r="S618" s="8"/>
      <c r="T618" s="8"/>
      <c r="U618" s="8"/>
      <c r="V618" s="8"/>
      <c r="W618" s="8"/>
      <c r="X618" s="8"/>
      <c r="Y618" s="8"/>
    </row>
    <row r="619" spans="1:25" ht="12.75" x14ac:dyDescent="0.2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8"/>
      <c r="N619" s="88"/>
      <c r="O619" s="8"/>
      <c r="P619" s="8"/>
      <c r="Q619" s="89"/>
      <c r="R619" s="89"/>
      <c r="S619" s="8"/>
      <c r="T619" s="8"/>
      <c r="U619" s="8"/>
      <c r="V619" s="8"/>
      <c r="W619" s="8"/>
      <c r="X619" s="8"/>
      <c r="Y619" s="8"/>
    </row>
    <row r="620" spans="1:25" ht="12.75" x14ac:dyDescent="0.2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8"/>
      <c r="N620" s="88"/>
      <c r="O620" s="8"/>
      <c r="P620" s="8"/>
      <c r="Q620" s="89"/>
      <c r="R620" s="89"/>
      <c r="S620" s="8"/>
      <c r="T620" s="8"/>
      <c r="U620" s="8"/>
      <c r="V620" s="8"/>
      <c r="W620" s="8"/>
      <c r="X620" s="8"/>
      <c r="Y620" s="8"/>
    </row>
    <row r="621" spans="1:25" ht="12.75" x14ac:dyDescent="0.2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8"/>
      <c r="N621" s="88"/>
      <c r="O621" s="8"/>
      <c r="P621" s="8"/>
      <c r="Q621" s="89"/>
      <c r="R621" s="89"/>
      <c r="S621" s="8"/>
      <c r="T621" s="8"/>
      <c r="U621" s="8"/>
      <c r="V621" s="8"/>
      <c r="W621" s="8"/>
      <c r="X621" s="8"/>
      <c r="Y621" s="8"/>
    </row>
    <row r="622" spans="1:25" ht="12.75" x14ac:dyDescent="0.2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8"/>
      <c r="N622" s="88"/>
      <c r="O622" s="8"/>
      <c r="P622" s="8"/>
      <c r="Q622" s="89"/>
      <c r="R622" s="89"/>
      <c r="S622" s="8"/>
      <c r="T622" s="8"/>
      <c r="U622" s="8"/>
      <c r="V622" s="8"/>
      <c r="W622" s="8"/>
      <c r="X622" s="8"/>
      <c r="Y622" s="8"/>
    </row>
    <row r="623" spans="1:25" ht="12.75" x14ac:dyDescent="0.2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8"/>
      <c r="N623" s="88"/>
      <c r="O623" s="8"/>
      <c r="P623" s="8"/>
      <c r="Q623" s="89"/>
      <c r="R623" s="89"/>
      <c r="S623" s="8"/>
      <c r="T623" s="8"/>
      <c r="U623" s="8"/>
      <c r="V623" s="8"/>
      <c r="W623" s="8"/>
      <c r="X623" s="8"/>
      <c r="Y623" s="8"/>
    </row>
    <row r="624" spans="1:25" ht="12.75" x14ac:dyDescent="0.2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8"/>
      <c r="N624" s="88"/>
      <c r="O624" s="8"/>
      <c r="P624" s="8"/>
      <c r="Q624" s="89"/>
      <c r="R624" s="89"/>
      <c r="S624" s="8"/>
      <c r="T624" s="8"/>
      <c r="U624" s="8"/>
      <c r="V624" s="8"/>
      <c r="W624" s="8"/>
      <c r="X624" s="8"/>
      <c r="Y624" s="8"/>
    </row>
    <row r="625" spans="1:25" ht="12.75" x14ac:dyDescent="0.2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8"/>
      <c r="N625" s="88"/>
      <c r="O625" s="8"/>
      <c r="P625" s="8"/>
      <c r="Q625" s="89"/>
      <c r="R625" s="89"/>
      <c r="S625" s="8"/>
      <c r="T625" s="8"/>
      <c r="U625" s="8"/>
      <c r="V625" s="8"/>
      <c r="W625" s="8"/>
      <c r="X625" s="8"/>
      <c r="Y625" s="8"/>
    </row>
    <row r="626" spans="1:25" ht="12.75" x14ac:dyDescent="0.2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8"/>
      <c r="N626" s="88"/>
      <c r="O626" s="8"/>
      <c r="P626" s="8"/>
      <c r="Q626" s="89"/>
      <c r="R626" s="89"/>
      <c r="S626" s="8"/>
      <c r="T626" s="8"/>
      <c r="U626" s="8"/>
      <c r="V626" s="8"/>
      <c r="W626" s="8"/>
      <c r="X626" s="8"/>
      <c r="Y626" s="8"/>
    </row>
    <row r="627" spans="1:25" ht="12.75" x14ac:dyDescent="0.2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8"/>
      <c r="N627" s="88"/>
      <c r="O627" s="8"/>
      <c r="P627" s="8"/>
      <c r="Q627" s="89"/>
      <c r="R627" s="89"/>
      <c r="S627" s="8"/>
      <c r="T627" s="8"/>
      <c r="U627" s="8"/>
      <c r="V627" s="8"/>
      <c r="W627" s="8"/>
      <c r="X627" s="8"/>
      <c r="Y627" s="8"/>
    </row>
    <row r="628" spans="1:25" ht="12.75" x14ac:dyDescent="0.2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8"/>
      <c r="N628" s="88"/>
      <c r="O628" s="8"/>
      <c r="P628" s="8"/>
      <c r="Q628" s="89"/>
      <c r="R628" s="89"/>
      <c r="S628" s="8"/>
      <c r="T628" s="8"/>
      <c r="U628" s="8"/>
      <c r="V628" s="8"/>
      <c r="W628" s="8"/>
      <c r="X628" s="8"/>
      <c r="Y628" s="8"/>
    </row>
    <row r="629" spans="1:25" ht="12.75" x14ac:dyDescent="0.2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8"/>
      <c r="N629" s="88"/>
      <c r="O629" s="8"/>
      <c r="P629" s="8"/>
      <c r="Q629" s="89"/>
      <c r="R629" s="89"/>
      <c r="S629" s="8"/>
      <c r="T629" s="8"/>
      <c r="U629" s="8"/>
      <c r="V629" s="8"/>
      <c r="W629" s="8"/>
      <c r="X629" s="8"/>
      <c r="Y629" s="8"/>
    </row>
    <row r="630" spans="1:25" ht="12.75" x14ac:dyDescent="0.2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8"/>
      <c r="N630" s="88"/>
      <c r="O630" s="8"/>
      <c r="P630" s="8"/>
      <c r="Q630" s="89"/>
      <c r="R630" s="89"/>
      <c r="S630" s="8"/>
      <c r="T630" s="8"/>
      <c r="U630" s="8"/>
      <c r="V630" s="8"/>
      <c r="W630" s="8"/>
      <c r="X630" s="8"/>
      <c r="Y630" s="8"/>
    </row>
    <row r="631" spans="1:25" ht="12.75" x14ac:dyDescent="0.2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8"/>
      <c r="N631" s="88"/>
      <c r="O631" s="8"/>
      <c r="P631" s="8"/>
      <c r="Q631" s="89"/>
      <c r="R631" s="89"/>
      <c r="S631" s="8"/>
      <c r="T631" s="8"/>
      <c r="U631" s="8"/>
      <c r="V631" s="8"/>
      <c r="W631" s="8"/>
      <c r="X631" s="8"/>
      <c r="Y631" s="8"/>
    </row>
    <row r="632" spans="1:25" ht="12.75" x14ac:dyDescent="0.2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8"/>
      <c r="N632" s="88"/>
      <c r="O632" s="8"/>
      <c r="P632" s="8"/>
      <c r="Q632" s="89"/>
      <c r="R632" s="89"/>
      <c r="S632" s="8"/>
      <c r="T632" s="8"/>
      <c r="U632" s="8"/>
      <c r="V632" s="8"/>
      <c r="W632" s="8"/>
      <c r="X632" s="8"/>
      <c r="Y632" s="8"/>
    </row>
    <row r="633" spans="1:25" ht="12.75" x14ac:dyDescent="0.2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8"/>
      <c r="N633" s="88"/>
      <c r="O633" s="8"/>
      <c r="P633" s="8"/>
      <c r="Q633" s="89"/>
      <c r="R633" s="89"/>
      <c r="S633" s="8"/>
      <c r="T633" s="8"/>
      <c r="U633" s="8"/>
      <c r="V633" s="8"/>
      <c r="W633" s="8"/>
      <c r="X633" s="8"/>
      <c r="Y633" s="8"/>
    </row>
    <row r="634" spans="1:25" ht="12.75" x14ac:dyDescent="0.2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8"/>
      <c r="N634" s="88"/>
      <c r="O634" s="8"/>
      <c r="P634" s="8"/>
      <c r="Q634" s="89"/>
      <c r="R634" s="89"/>
      <c r="S634" s="8"/>
      <c r="T634" s="8"/>
      <c r="U634" s="8"/>
      <c r="V634" s="8"/>
      <c r="W634" s="8"/>
      <c r="X634" s="8"/>
      <c r="Y634" s="8"/>
    </row>
    <row r="635" spans="1:25" ht="12.75" x14ac:dyDescent="0.2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8"/>
      <c r="N635" s="88"/>
      <c r="O635" s="8"/>
      <c r="P635" s="8"/>
      <c r="Q635" s="89"/>
      <c r="R635" s="89"/>
      <c r="S635" s="8"/>
      <c r="T635" s="8"/>
      <c r="U635" s="8"/>
      <c r="V635" s="8"/>
      <c r="W635" s="8"/>
      <c r="X635" s="8"/>
      <c r="Y635" s="8"/>
    </row>
    <row r="636" spans="1:25" ht="12.75" x14ac:dyDescent="0.2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8"/>
      <c r="N636" s="88"/>
      <c r="O636" s="8"/>
      <c r="P636" s="8"/>
      <c r="Q636" s="89"/>
      <c r="R636" s="89"/>
      <c r="S636" s="8"/>
      <c r="T636" s="8"/>
      <c r="U636" s="8"/>
      <c r="V636" s="8"/>
      <c r="W636" s="8"/>
      <c r="X636" s="8"/>
      <c r="Y636" s="8"/>
    </row>
    <row r="637" spans="1:25" ht="12.75" x14ac:dyDescent="0.2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8"/>
      <c r="N637" s="88"/>
      <c r="O637" s="8"/>
      <c r="P637" s="8"/>
      <c r="Q637" s="89"/>
      <c r="R637" s="89"/>
      <c r="S637" s="8"/>
      <c r="T637" s="8"/>
      <c r="U637" s="8"/>
      <c r="V637" s="8"/>
      <c r="W637" s="8"/>
      <c r="X637" s="8"/>
      <c r="Y637" s="8"/>
    </row>
    <row r="638" spans="1:25" ht="12.75" x14ac:dyDescent="0.2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8"/>
      <c r="N638" s="88"/>
      <c r="O638" s="8"/>
      <c r="P638" s="8"/>
      <c r="Q638" s="89"/>
      <c r="R638" s="89"/>
      <c r="S638" s="8"/>
      <c r="T638" s="8"/>
      <c r="U638" s="8"/>
      <c r="V638" s="8"/>
      <c r="W638" s="8"/>
      <c r="X638" s="8"/>
      <c r="Y638" s="8"/>
    </row>
    <row r="639" spans="1:25" ht="12.75" x14ac:dyDescent="0.2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8"/>
      <c r="N639" s="88"/>
      <c r="O639" s="8"/>
      <c r="P639" s="8"/>
      <c r="Q639" s="89"/>
      <c r="R639" s="89"/>
      <c r="S639" s="8"/>
      <c r="T639" s="8"/>
      <c r="U639" s="8"/>
      <c r="V639" s="8"/>
      <c r="W639" s="8"/>
      <c r="X639" s="8"/>
      <c r="Y639" s="8"/>
    </row>
    <row r="640" spans="1:25" ht="12.75" x14ac:dyDescent="0.2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8"/>
      <c r="N640" s="88"/>
      <c r="O640" s="8"/>
      <c r="P640" s="8"/>
      <c r="Q640" s="89"/>
      <c r="R640" s="89"/>
      <c r="S640" s="8"/>
      <c r="T640" s="8"/>
      <c r="U640" s="8"/>
      <c r="V640" s="8"/>
      <c r="W640" s="8"/>
      <c r="X640" s="8"/>
      <c r="Y640" s="8"/>
    </row>
    <row r="641" spans="1:25" ht="12.75" x14ac:dyDescent="0.2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8"/>
      <c r="N641" s="88"/>
      <c r="O641" s="8"/>
      <c r="P641" s="8"/>
      <c r="Q641" s="89"/>
      <c r="R641" s="89"/>
      <c r="S641" s="8"/>
      <c r="T641" s="8"/>
      <c r="U641" s="8"/>
      <c r="V641" s="8"/>
      <c r="W641" s="8"/>
      <c r="X641" s="8"/>
      <c r="Y641" s="8"/>
    </row>
    <row r="642" spans="1:25" ht="12.75" x14ac:dyDescent="0.2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8"/>
      <c r="N642" s="88"/>
      <c r="O642" s="8"/>
      <c r="P642" s="8"/>
      <c r="Q642" s="89"/>
      <c r="R642" s="89"/>
      <c r="S642" s="8"/>
      <c r="T642" s="8"/>
      <c r="U642" s="8"/>
      <c r="V642" s="8"/>
      <c r="W642" s="8"/>
      <c r="X642" s="8"/>
      <c r="Y642" s="8"/>
    </row>
    <row r="643" spans="1:25" ht="12.75" x14ac:dyDescent="0.2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8"/>
      <c r="N643" s="88"/>
      <c r="O643" s="8"/>
      <c r="P643" s="8"/>
      <c r="Q643" s="89"/>
      <c r="R643" s="89"/>
      <c r="S643" s="8"/>
      <c r="T643" s="8"/>
      <c r="U643" s="8"/>
      <c r="V643" s="8"/>
      <c r="W643" s="8"/>
      <c r="X643" s="8"/>
      <c r="Y643" s="8"/>
    </row>
    <row r="644" spans="1:25" ht="12.75" x14ac:dyDescent="0.2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8"/>
      <c r="N644" s="88"/>
      <c r="O644" s="8"/>
      <c r="P644" s="8"/>
      <c r="Q644" s="89"/>
      <c r="R644" s="89"/>
      <c r="S644" s="8"/>
      <c r="T644" s="8"/>
      <c r="U644" s="8"/>
      <c r="V644" s="8"/>
      <c r="W644" s="8"/>
      <c r="X644" s="8"/>
      <c r="Y644" s="8"/>
    </row>
    <row r="645" spans="1:25" ht="12.75" x14ac:dyDescent="0.2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8"/>
      <c r="N645" s="88"/>
      <c r="O645" s="8"/>
      <c r="P645" s="8"/>
      <c r="Q645" s="89"/>
      <c r="R645" s="89"/>
      <c r="S645" s="8"/>
      <c r="T645" s="8"/>
      <c r="U645" s="8"/>
      <c r="V645" s="8"/>
      <c r="W645" s="8"/>
      <c r="X645" s="8"/>
      <c r="Y645" s="8"/>
    </row>
    <row r="646" spans="1:25" ht="12.75" x14ac:dyDescent="0.2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8"/>
      <c r="N646" s="88"/>
      <c r="O646" s="8"/>
      <c r="P646" s="8"/>
      <c r="Q646" s="89"/>
      <c r="R646" s="89"/>
      <c r="S646" s="8"/>
      <c r="T646" s="8"/>
      <c r="U646" s="8"/>
      <c r="V646" s="8"/>
      <c r="W646" s="8"/>
      <c r="X646" s="8"/>
      <c r="Y646" s="8"/>
    </row>
    <row r="647" spans="1:25" ht="12.75" x14ac:dyDescent="0.2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8"/>
      <c r="N647" s="88"/>
      <c r="O647" s="8"/>
      <c r="P647" s="8"/>
      <c r="Q647" s="89"/>
      <c r="R647" s="89"/>
      <c r="S647" s="8"/>
      <c r="T647" s="8"/>
      <c r="U647" s="8"/>
      <c r="V647" s="8"/>
      <c r="W647" s="8"/>
      <c r="X647" s="8"/>
      <c r="Y647" s="8"/>
    </row>
    <row r="648" spans="1:25" ht="12.75" x14ac:dyDescent="0.2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8"/>
      <c r="N648" s="88"/>
      <c r="O648" s="8"/>
      <c r="P648" s="8"/>
      <c r="Q648" s="89"/>
      <c r="R648" s="89"/>
      <c r="S648" s="8"/>
      <c r="T648" s="8"/>
      <c r="U648" s="8"/>
      <c r="V648" s="8"/>
      <c r="W648" s="8"/>
      <c r="X648" s="8"/>
      <c r="Y648" s="8"/>
    </row>
    <row r="649" spans="1:25" ht="12.75" x14ac:dyDescent="0.2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8"/>
      <c r="N649" s="88"/>
      <c r="O649" s="8"/>
      <c r="P649" s="8"/>
      <c r="Q649" s="89"/>
      <c r="R649" s="89"/>
      <c r="S649" s="8"/>
      <c r="T649" s="8"/>
      <c r="U649" s="8"/>
      <c r="V649" s="8"/>
      <c r="W649" s="8"/>
      <c r="X649" s="8"/>
      <c r="Y649" s="8"/>
    </row>
    <row r="650" spans="1:25" ht="12.75" x14ac:dyDescent="0.2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8"/>
      <c r="N650" s="88"/>
      <c r="O650" s="8"/>
      <c r="P650" s="8"/>
      <c r="Q650" s="89"/>
      <c r="R650" s="89"/>
      <c r="S650" s="8"/>
      <c r="T650" s="8"/>
      <c r="U650" s="8"/>
      <c r="V650" s="8"/>
      <c r="W650" s="8"/>
      <c r="X650" s="8"/>
      <c r="Y650" s="8"/>
    </row>
    <row r="651" spans="1:25" ht="12.75" x14ac:dyDescent="0.2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8"/>
      <c r="N651" s="88"/>
      <c r="O651" s="8"/>
      <c r="P651" s="8"/>
      <c r="Q651" s="89"/>
      <c r="R651" s="89"/>
      <c r="S651" s="8"/>
      <c r="T651" s="8"/>
      <c r="U651" s="8"/>
      <c r="V651" s="8"/>
      <c r="W651" s="8"/>
      <c r="X651" s="8"/>
      <c r="Y651" s="8"/>
    </row>
    <row r="652" spans="1:25" ht="12.75" x14ac:dyDescent="0.2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8"/>
      <c r="N652" s="88"/>
      <c r="O652" s="8"/>
      <c r="P652" s="8"/>
      <c r="Q652" s="89"/>
      <c r="R652" s="89"/>
      <c r="S652" s="8"/>
      <c r="T652" s="8"/>
      <c r="U652" s="8"/>
      <c r="V652" s="8"/>
      <c r="W652" s="8"/>
      <c r="X652" s="8"/>
      <c r="Y652" s="8"/>
    </row>
    <row r="653" spans="1:25" ht="12.75" x14ac:dyDescent="0.2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8"/>
      <c r="N653" s="88"/>
      <c r="O653" s="8"/>
      <c r="P653" s="8"/>
      <c r="Q653" s="89"/>
      <c r="R653" s="89"/>
      <c r="S653" s="8"/>
      <c r="T653" s="8"/>
      <c r="U653" s="8"/>
      <c r="V653" s="8"/>
      <c r="W653" s="8"/>
      <c r="X653" s="8"/>
      <c r="Y653" s="8"/>
    </row>
    <row r="654" spans="1:25" ht="12.75" x14ac:dyDescent="0.2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8"/>
      <c r="N654" s="88"/>
      <c r="O654" s="8"/>
      <c r="P654" s="8"/>
      <c r="Q654" s="89"/>
      <c r="R654" s="89"/>
      <c r="S654" s="8"/>
      <c r="T654" s="8"/>
      <c r="U654" s="8"/>
      <c r="V654" s="8"/>
      <c r="W654" s="8"/>
      <c r="X654" s="8"/>
      <c r="Y654" s="8"/>
    </row>
    <row r="655" spans="1:25" ht="12.75" x14ac:dyDescent="0.2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8"/>
      <c r="N655" s="88"/>
      <c r="O655" s="8"/>
      <c r="P655" s="8"/>
      <c r="Q655" s="89"/>
      <c r="R655" s="89"/>
      <c r="S655" s="8"/>
      <c r="T655" s="8"/>
      <c r="U655" s="8"/>
      <c r="V655" s="8"/>
      <c r="W655" s="8"/>
      <c r="X655" s="8"/>
      <c r="Y655" s="8"/>
    </row>
    <row r="656" spans="1:25" ht="12.75" x14ac:dyDescent="0.2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8"/>
      <c r="N656" s="88"/>
      <c r="O656" s="8"/>
      <c r="P656" s="8"/>
      <c r="Q656" s="89"/>
      <c r="R656" s="89"/>
      <c r="S656" s="8"/>
      <c r="T656" s="8"/>
      <c r="U656" s="8"/>
      <c r="V656" s="8"/>
      <c r="W656" s="8"/>
      <c r="X656" s="8"/>
      <c r="Y656" s="8"/>
    </row>
    <row r="657" spans="1:25" ht="12.75" x14ac:dyDescent="0.2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8"/>
      <c r="N657" s="88"/>
      <c r="O657" s="8"/>
      <c r="P657" s="8"/>
      <c r="Q657" s="89"/>
      <c r="R657" s="89"/>
      <c r="S657" s="8"/>
      <c r="T657" s="8"/>
      <c r="U657" s="8"/>
      <c r="V657" s="8"/>
      <c r="W657" s="8"/>
      <c r="X657" s="8"/>
      <c r="Y657" s="8"/>
    </row>
    <row r="658" spans="1:25" ht="12.75" x14ac:dyDescent="0.2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8"/>
      <c r="N658" s="88"/>
      <c r="O658" s="8"/>
      <c r="P658" s="8"/>
      <c r="Q658" s="89"/>
      <c r="R658" s="89"/>
      <c r="S658" s="8"/>
      <c r="T658" s="8"/>
      <c r="U658" s="8"/>
      <c r="V658" s="8"/>
      <c r="W658" s="8"/>
      <c r="X658" s="8"/>
      <c r="Y658" s="8"/>
    </row>
    <row r="659" spans="1:25" ht="12.75" x14ac:dyDescent="0.2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8"/>
      <c r="N659" s="88"/>
      <c r="O659" s="8"/>
      <c r="P659" s="8"/>
      <c r="Q659" s="89"/>
      <c r="R659" s="89"/>
      <c r="S659" s="8"/>
      <c r="T659" s="8"/>
      <c r="U659" s="8"/>
      <c r="V659" s="8"/>
      <c r="W659" s="8"/>
      <c r="X659" s="8"/>
      <c r="Y659" s="8"/>
    </row>
    <row r="660" spans="1:25" ht="12.75" x14ac:dyDescent="0.2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8"/>
      <c r="N660" s="88"/>
      <c r="O660" s="8"/>
      <c r="P660" s="8"/>
      <c r="Q660" s="89"/>
      <c r="R660" s="89"/>
      <c r="S660" s="8"/>
      <c r="T660" s="8"/>
      <c r="U660" s="8"/>
      <c r="V660" s="8"/>
      <c r="W660" s="8"/>
      <c r="X660" s="8"/>
      <c r="Y660" s="8"/>
    </row>
    <row r="661" spans="1:25" ht="12.75" x14ac:dyDescent="0.2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8"/>
      <c r="N661" s="88"/>
      <c r="O661" s="8"/>
      <c r="P661" s="8"/>
      <c r="Q661" s="89"/>
      <c r="R661" s="89"/>
      <c r="S661" s="8"/>
      <c r="T661" s="8"/>
      <c r="U661" s="8"/>
      <c r="V661" s="8"/>
      <c r="W661" s="8"/>
      <c r="X661" s="8"/>
      <c r="Y661" s="8"/>
    </row>
    <row r="662" spans="1:25" ht="12.75" x14ac:dyDescent="0.2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8"/>
      <c r="N662" s="88"/>
      <c r="O662" s="8"/>
      <c r="P662" s="8"/>
      <c r="Q662" s="89"/>
      <c r="R662" s="89"/>
      <c r="S662" s="8"/>
      <c r="T662" s="8"/>
      <c r="U662" s="8"/>
      <c r="V662" s="8"/>
      <c r="W662" s="8"/>
      <c r="X662" s="8"/>
      <c r="Y662" s="8"/>
    </row>
    <row r="663" spans="1:25" ht="12.75" x14ac:dyDescent="0.2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8"/>
      <c r="N663" s="88"/>
      <c r="O663" s="8"/>
      <c r="P663" s="8"/>
      <c r="Q663" s="89"/>
      <c r="R663" s="89"/>
      <c r="S663" s="8"/>
      <c r="T663" s="8"/>
      <c r="U663" s="8"/>
      <c r="V663" s="8"/>
      <c r="W663" s="8"/>
      <c r="X663" s="8"/>
      <c r="Y663" s="8"/>
    </row>
    <row r="664" spans="1:25" ht="12.75" x14ac:dyDescent="0.2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8"/>
      <c r="N664" s="88"/>
      <c r="O664" s="8"/>
      <c r="P664" s="8"/>
      <c r="Q664" s="89"/>
      <c r="R664" s="89"/>
      <c r="S664" s="8"/>
      <c r="T664" s="8"/>
      <c r="U664" s="8"/>
      <c r="V664" s="8"/>
      <c r="W664" s="8"/>
      <c r="X664" s="8"/>
      <c r="Y664" s="8"/>
    </row>
    <row r="665" spans="1:25" ht="12.75" x14ac:dyDescent="0.2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8"/>
      <c r="N665" s="88"/>
      <c r="O665" s="8"/>
      <c r="P665" s="8"/>
      <c r="Q665" s="89"/>
      <c r="R665" s="89"/>
      <c r="S665" s="8"/>
      <c r="T665" s="8"/>
      <c r="U665" s="8"/>
      <c r="V665" s="8"/>
      <c r="W665" s="8"/>
      <c r="X665" s="8"/>
      <c r="Y665" s="8"/>
    </row>
    <row r="666" spans="1:25" ht="12.75" x14ac:dyDescent="0.2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8"/>
      <c r="N666" s="88"/>
      <c r="O666" s="8"/>
      <c r="P666" s="8"/>
      <c r="Q666" s="89"/>
      <c r="R666" s="89"/>
      <c r="S666" s="8"/>
      <c r="T666" s="8"/>
      <c r="U666" s="8"/>
      <c r="V666" s="8"/>
      <c r="W666" s="8"/>
      <c r="X666" s="8"/>
      <c r="Y666" s="8"/>
    </row>
    <row r="667" spans="1:25" ht="12.75" x14ac:dyDescent="0.2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8"/>
      <c r="N667" s="88"/>
      <c r="O667" s="8"/>
      <c r="P667" s="8"/>
      <c r="Q667" s="89"/>
      <c r="R667" s="89"/>
      <c r="S667" s="8"/>
      <c r="T667" s="8"/>
      <c r="U667" s="8"/>
      <c r="V667" s="8"/>
      <c r="W667" s="8"/>
      <c r="X667" s="8"/>
      <c r="Y667" s="8"/>
    </row>
    <row r="668" spans="1:25" ht="12.75" x14ac:dyDescent="0.2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8"/>
      <c r="N668" s="88"/>
      <c r="O668" s="8"/>
      <c r="P668" s="8"/>
      <c r="Q668" s="89"/>
      <c r="R668" s="89"/>
      <c r="S668" s="8"/>
      <c r="T668" s="8"/>
      <c r="U668" s="8"/>
      <c r="V668" s="8"/>
      <c r="W668" s="8"/>
      <c r="X668" s="8"/>
      <c r="Y668" s="8"/>
    </row>
    <row r="669" spans="1:25" ht="12.75" x14ac:dyDescent="0.2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8"/>
      <c r="N669" s="88"/>
      <c r="O669" s="8"/>
      <c r="P669" s="8"/>
      <c r="Q669" s="89"/>
      <c r="R669" s="89"/>
      <c r="S669" s="8"/>
      <c r="T669" s="8"/>
      <c r="U669" s="8"/>
      <c r="V669" s="8"/>
      <c r="W669" s="8"/>
      <c r="X669" s="8"/>
      <c r="Y669" s="8"/>
    </row>
    <row r="670" spans="1:25" ht="12.75" x14ac:dyDescent="0.2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8"/>
      <c r="N670" s="88"/>
      <c r="O670" s="8"/>
      <c r="P670" s="8"/>
      <c r="Q670" s="89"/>
      <c r="R670" s="89"/>
      <c r="S670" s="8"/>
      <c r="T670" s="8"/>
      <c r="U670" s="8"/>
      <c r="V670" s="8"/>
      <c r="W670" s="8"/>
      <c r="X670" s="8"/>
      <c r="Y670" s="8"/>
    </row>
    <row r="671" spans="1:25" ht="12.75" x14ac:dyDescent="0.2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8"/>
      <c r="N671" s="88"/>
      <c r="O671" s="8"/>
      <c r="P671" s="8"/>
      <c r="Q671" s="89"/>
      <c r="R671" s="89"/>
      <c r="S671" s="8"/>
      <c r="T671" s="8"/>
      <c r="U671" s="8"/>
      <c r="V671" s="8"/>
      <c r="W671" s="8"/>
      <c r="X671" s="8"/>
      <c r="Y671" s="8"/>
    </row>
    <row r="672" spans="1:25" ht="12.75" x14ac:dyDescent="0.2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8"/>
      <c r="N672" s="88"/>
      <c r="O672" s="8"/>
      <c r="P672" s="8"/>
      <c r="Q672" s="89"/>
      <c r="R672" s="89"/>
      <c r="S672" s="8"/>
      <c r="T672" s="8"/>
      <c r="U672" s="8"/>
      <c r="V672" s="8"/>
      <c r="W672" s="8"/>
      <c r="X672" s="8"/>
      <c r="Y672" s="8"/>
    </row>
    <row r="673" spans="1:25" ht="12.75" x14ac:dyDescent="0.2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8"/>
      <c r="N673" s="88"/>
      <c r="O673" s="8"/>
      <c r="P673" s="8"/>
      <c r="Q673" s="89"/>
      <c r="R673" s="89"/>
      <c r="S673" s="8"/>
      <c r="T673" s="8"/>
      <c r="U673" s="8"/>
      <c r="V673" s="8"/>
      <c r="W673" s="8"/>
      <c r="X673" s="8"/>
      <c r="Y673" s="8"/>
    </row>
    <row r="674" spans="1:25" ht="12.75" x14ac:dyDescent="0.2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8"/>
      <c r="N674" s="88"/>
      <c r="O674" s="8"/>
      <c r="P674" s="8"/>
      <c r="Q674" s="89"/>
      <c r="R674" s="89"/>
      <c r="S674" s="8"/>
      <c r="T674" s="8"/>
      <c r="U674" s="8"/>
      <c r="V674" s="8"/>
      <c r="W674" s="8"/>
      <c r="X674" s="8"/>
      <c r="Y674" s="8"/>
    </row>
    <row r="675" spans="1:25" ht="12.75" x14ac:dyDescent="0.2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8"/>
      <c r="N675" s="88"/>
      <c r="O675" s="8"/>
      <c r="P675" s="8"/>
      <c r="Q675" s="89"/>
      <c r="R675" s="89"/>
      <c r="S675" s="8"/>
      <c r="T675" s="8"/>
      <c r="U675" s="8"/>
      <c r="V675" s="8"/>
      <c r="W675" s="8"/>
      <c r="X675" s="8"/>
      <c r="Y675" s="8"/>
    </row>
    <row r="676" spans="1:25" ht="12.75" x14ac:dyDescent="0.2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8"/>
      <c r="N676" s="88"/>
      <c r="O676" s="8"/>
      <c r="P676" s="8"/>
      <c r="Q676" s="89"/>
      <c r="R676" s="89"/>
      <c r="S676" s="8"/>
      <c r="T676" s="8"/>
      <c r="U676" s="8"/>
      <c r="V676" s="8"/>
      <c r="W676" s="8"/>
      <c r="X676" s="8"/>
      <c r="Y676" s="8"/>
    </row>
    <row r="677" spans="1:25" ht="12.75" x14ac:dyDescent="0.2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8"/>
      <c r="N677" s="88"/>
      <c r="O677" s="8"/>
      <c r="P677" s="8"/>
      <c r="Q677" s="89"/>
      <c r="R677" s="89"/>
      <c r="S677" s="8"/>
      <c r="T677" s="8"/>
      <c r="U677" s="8"/>
      <c r="V677" s="8"/>
      <c r="W677" s="8"/>
      <c r="X677" s="8"/>
      <c r="Y677" s="8"/>
    </row>
    <row r="678" spans="1:25" ht="12.75" x14ac:dyDescent="0.2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8"/>
      <c r="N678" s="88"/>
      <c r="O678" s="8"/>
      <c r="P678" s="8"/>
      <c r="Q678" s="89"/>
      <c r="R678" s="89"/>
      <c r="S678" s="8"/>
      <c r="T678" s="8"/>
      <c r="U678" s="8"/>
      <c r="V678" s="8"/>
      <c r="W678" s="8"/>
      <c r="X678" s="8"/>
      <c r="Y678" s="8"/>
    </row>
    <row r="679" spans="1:25" ht="12.75" x14ac:dyDescent="0.2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8"/>
      <c r="N679" s="88"/>
      <c r="O679" s="8"/>
      <c r="P679" s="8"/>
      <c r="Q679" s="89"/>
      <c r="R679" s="89"/>
      <c r="S679" s="8"/>
      <c r="T679" s="8"/>
      <c r="U679" s="8"/>
      <c r="V679" s="8"/>
      <c r="W679" s="8"/>
      <c r="X679" s="8"/>
      <c r="Y679" s="8"/>
    </row>
    <row r="680" spans="1:25" ht="12.75" x14ac:dyDescent="0.2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8"/>
      <c r="N680" s="88"/>
      <c r="O680" s="8"/>
      <c r="P680" s="8"/>
      <c r="Q680" s="89"/>
      <c r="R680" s="89"/>
      <c r="S680" s="8"/>
      <c r="T680" s="8"/>
      <c r="U680" s="8"/>
      <c r="V680" s="8"/>
      <c r="W680" s="8"/>
      <c r="X680" s="8"/>
      <c r="Y680" s="8"/>
    </row>
    <row r="681" spans="1:25" ht="12.75" x14ac:dyDescent="0.2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8"/>
      <c r="N681" s="88"/>
      <c r="O681" s="8"/>
      <c r="P681" s="8"/>
      <c r="Q681" s="89"/>
      <c r="R681" s="89"/>
      <c r="S681" s="8"/>
      <c r="T681" s="8"/>
      <c r="U681" s="8"/>
      <c r="V681" s="8"/>
      <c r="W681" s="8"/>
      <c r="X681" s="8"/>
      <c r="Y681" s="8"/>
    </row>
    <row r="682" spans="1:25" ht="12.75" x14ac:dyDescent="0.2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8"/>
      <c r="N682" s="88"/>
      <c r="O682" s="8"/>
      <c r="P682" s="8"/>
      <c r="Q682" s="89"/>
      <c r="R682" s="89"/>
      <c r="S682" s="8"/>
      <c r="T682" s="8"/>
      <c r="U682" s="8"/>
      <c r="V682" s="8"/>
      <c r="W682" s="8"/>
      <c r="X682" s="8"/>
      <c r="Y682" s="8"/>
    </row>
    <row r="683" spans="1:25" ht="12.75" x14ac:dyDescent="0.2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8"/>
      <c r="N683" s="88"/>
      <c r="O683" s="8"/>
      <c r="P683" s="8"/>
      <c r="Q683" s="89"/>
      <c r="R683" s="89"/>
      <c r="S683" s="8"/>
      <c r="T683" s="8"/>
      <c r="U683" s="8"/>
      <c r="V683" s="8"/>
      <c r="W683" s="8"/>
      <c r="X683" s="8"/>
      <c r="Y683" s="8"/>
    </row>
    <row r="684" spans="1:25" ht="12.75" x14ac:dyDescent="0.2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8"/>
      <c r="N684" s="88"/>
      <c r="O684" s="8"/>
      <c r="P684" s="8"/>
      <c r="Q684" s="89"/>
      <c r="R684" s="89"/>
      <c r="S684" s="8"/>
      <c r="T684" s="8"/>
      <c r="U684" s="8"/>
      <c r="V684" s="8"/>
      <c r="W684" s="8"/>
      <c r="X684" s="8"/>
      <c r="Y684" s="8"/>
    </row>
    <row r="685" spans="1:25" ht="12.75" x14ac:dyDescent="0.2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8"/>
      <c r="N685" s="88"/>
      <c r="O685" s="8"/>
      <c r="P685" s="8"/>
      <c r="Q685" s="89"/>
      <c r="R685" s="89"/>
      <c r="S685" s="8"/>
      <c r="T685" s="8"/>
      <c r="U685" s="8"/>
      <c r="V685" s="8"/>
      <c r="W685" s="8"/>
      <c r="X685" s="8"/>
      <c r="Y685" s="8"/>
    </row>
    <row r="686" spans="1:25" ht="12.75" x14ac:dyDescent="0.2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8"/>
      <c r="N686" s="88"/>
      <c r="O686" s="8"/>
      <c r="P686" s="8"/>
      <c r="Q686" s="89"/>
      <c r="R686" s="89"/>
      <c r="S686" s="8"/>
      <c r="T686" s="8"/>
      <c r="U686" s="8"/>
      <c r="V686" s="8"/>
      <c r="W686" s="8"/>
      <c r="X686" s="8"/>
      <c r="Y686" s="8"/>
    </row>
    <row r="687" spans="1:25" ht="12.75" x14ac:dyDescent="0.2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8"/>
      <c r="N687" s="88"/>
      <c r="O687" s="8"/>
      <c r="P687" s="8"/>
      <c r="Q687" s="89"/>
      <c r="R687" s="89"/>
      <c r="S687" s="8"/>
      <c r="T687" s="8"/>
      <c r="U687" s="8"/>
      <c r="V687" s="8"/>
      <c r="W687" s="8"/>
      <c r="X687" s="8"/>
      <c r="Y687" s="8"/>
    </row>
    <row r="688" spans="1:25" ht="12.75" x14ac:dyDescent="0.2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8"/>
      <c r="N688" s="88"/>
      <c r="O688" s="8"/>
      <c r="P688" s="8"/>
      <c r="Q688" s="89"/>
      <c r="R688" s="89"/>
      <c r="S688" s="8"/>
      <c r="T688" s="8"/>
      <c r="U688" s="8"/>
      <c r="V688" s="8"/>
      <c r="W688" s="8"/>
      <c r="X688" s="8"/>
      <c r="Y688" s="8"/>
    </row>
    <row r="689" spans="1:25" ht="12.75" x14ac:dyDescent="0.2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8"/>
      <c r="N689" s="88"/>
      <c r="O689" s="8"/>
      <c r="P689" s="8"/>
      <c r="Q689" s="89"/>
      <c r="R689" s="89"/>
      <c r="S689" s="8"/>
      <c r="T689" s="8"/>
      <c r="U689" s="8"/>
      <c r="V689" s="8"/>
      <c r="W689" s="8"/>
      <c r="X689" s="8"/>
      <c r="Y689" s="8"/>
    </row>
    <row r="690" spans="1:25" ht="12.75" x14ac:dyDescent="0.2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8"/>
      <c r="N690" s="88"/>
      <c r="O690" s="8"/>
      <c r="P690" s="8"/>
      <c r="Q690" s="89"/>
      <c r="R690" s="89"/>
      <c r="S690" s="8"/>
      <c r="T690" s="8"/>
      <c r="U690" s="8"/>
      <c r="V690" s="8"/>
      <c r="W690" s="8"/>
      <c r="X690" s="8"/>
      <c r="Y690" s="8"/>
    </row>
    <row r="691" spans="1:25" ht="12.75" x14ac:dyDescent="0.2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8"/>
      <c r="N691" s="88"/>
      <c r="O691" s="8"/>
      <c r="P691" s="8"/>
      <c r="Q691" s="89"/>
      <c r="R691" s="89"/>
      <c r="S691" s="8"/>
      <c r="T691" s="8"/>
      <c r="U691" s="8"/>
      <c r="V691" s="8"/>
      <c r="W691" s="8"/>
      <c r="X691" s="8"/>
      <c r="Y691" s="8"/>
    </row>
    <row r="692" spans="1:25" ht="12.75" x14ac:dyDescent="0.2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8"/>
      <c r="N692" s="88"/>
      <c r="O692" s="8"/>
      <c r="P692" s="8"/>
      <c r="Q692" s="89"/>
      <c r="R692" s="89"/>
      <c r="S692" s="8"/>
      <c r="T692" s="8"/>
      <c r="U692" s="8"/>
      <c r="V692" s="8"/>
      <c r="W692" s="8"/>
      <c r="X692" s="8"/>
      <c r="Y692" s="8"/>
    </row>
    <row r="693" spans="1:25" ht="12.75" x14ac:dyDescent="0.2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8"/>
      <c r="N693" s="88"/>
      <c r="O693" s="8"/>
      <c r="P693" s="8"/>
      <c r="Q693" s="89"/>
      <c r="R693" s="89"/>
      <c r="S693" s="8"/>
      <c r="T693" s="8"/>
      <c r="U693" s="8"/>
      <c r="V693" s="8"/>
      <c r="W693" s="8"/>
      <c r="X693" s="8"/>
      <c r="Y693" s="8"/>
    </row>
    <row r="694" spans="1:25" ht="12.75" x14ac:dyDescent="0.2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8"/>
      <c r="N694" s="88"/>
      <c r="O694" s="8"/>
      <c r="P694" s="8"/>
      <c r="Q694" s="89"/>
      <c r="R694" s="89"/>
      <c r="S694" s="8"/>
      <c r="T694" s="8"/>
      <c r="U694" s="8"/>
      <c r="V694" s="8"/>
      <c r="W694" s="8"/>
      <c r="X694" s="8"/>
      <c r="Y694" s="8"/>
    </row>
    <row r="695" spans="1:25" ht="12.75" x14ac:dyDescent="0.2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8"/>
      <c r="N695" s="88"/>
      <c r="O695" s="8"/>
      <c r="P695" s="8"/>
      <c r="Q695" s="89"/>
      <c r="R695" s="89"/>
      <c r="S695" s="8"/>
      <c r="T695" s="8"/>
      <c r="U695" s="8"/>
      <c r="V695" s="8"/>
      <c r="W695" s="8"/>
      <c r="X695" s="8"/>
      <c r="Y695" s="8"/>
    </row>
    <row r="696" spans="1:25" ht="12.75" x14ac:dyDescent="0.2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8"/>
      <c r="N696" s="88"/>
      <c r="O696" s="8"/>
      <c r="P696" s="8"/>
      <c r="Q696" s="89"/>
      <c r="R696" s="89"/>
      <c r="S696" s="8"/>
      <c r="T696" s="8"/>
      <c r="U696" s="8"/>
      <c r="V696" s="8"/>
      <c r="W696" s="8"/>
      <c r="X696" s="8"/>
      <c r="Y696" s="8"/>
    </row>
    <row r="697" spans="1:25" ht="12.75" x14ac:dyDescent="0.2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8"/>
      <c r="N697" s="88"/>
      <c r="O697" s="8"/>
      <c r="P697" s="8"/>
      <c r="Q697" s="89"/>
      <c r="R697" s="89"/>
      <c r="S697" s="8"/>
      <c r="T697" s="8"/>
      <c r="U697" s="8"/>
      <c r="V697" s="8"/>
      <c r="W697" s="8"/>
      <c r="X697" s="8"/>
      <c r="Y697" s="8"/>
    </row>
    <row r="698" spans="1:25" ht="12.75" x14ac:dyDescent="0.2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8"/>
      <c r="N698" s="88"/>
      <c r="O698" s="8"/>
      <c r="P698" s="8"/>
      <c r="Q698" s="89"/>
      <c r="R698" s="89"/>
      <c r="S698" s="8"/>
      <c r="T698" s="8"/>
      <c r="U698" s="8"/>
      <c r="V698" s="8"/>
      <c r="W698" s="8"/>
      <c r="X698" s="8"/>
      <c r="Y698" s="8"/>
    </row>
    <row r="699" spans="1:25" ht="12.75" x14ac:dyDescent="0.2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8"/>
      <c r="N699" s="88"/>
      <c r="O699" s="8"/>
      <c r="P699" s="8"/>
      <c r="Q699" s="89"/>
      <c r="R699" s="89"/>
      <c r="S699" s="8"/>
      <c r="T699" s="8"/>
      <c r="U699" s="8"/>
      <c r="V699" s="8"/>
      <c r="W699" s="8"/>
      <c r="X699" s="8"/>
      <c r="Y699" s="8"/>
    </row>
    <row r="700" spans="1:25" ht="12.75" x14ac:dyDescent="0.2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8"/>
      <c r="N700" s="88"/>
      <c r="O700" s="8"/>
      <c r="P700" s="8"/>
      <c r="Q700" s="89"/>
      <c r="R700" s="89"/>
      <c r="S700" s="8"/>
      <c r="T700" s="8"/>
      <c r="U700" s="8"/>
      <c r="V700" s="8"/>
      <c r="W700" s="8"/>
      <c r="X700" s="8"/>
      <c r="Y700" s="8"/>
    </row>
    <row r="701" spans="1:25" ht="12.75" x14ac:dyDescent="0.2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8"/>
      <c r="N701" s="88"/>
      <c r="O701" s="8"/>
      <c r="P701" s="8"/>
      <c r="Q701" s="89"/>
      <c r="R701" s="89"/>
      <c r="S701" s="8"/>
      <c r="T701" s="8"/>
      <c r="U701" s="8"/>
      <c r="V701" s="8"/>
      <c r="W701" s="8"/>
      <c r="X701" s="8"/>
      <c r="Y701" s="8"/>
    </row>
    <row r="702" spans="1:25" ht="12.75" x14ac:dyDescent="0.2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8"/>
      <c r="N702" s="88"/>
      <c r="O702" s="8"/>
      <c r="P702" s="8"/>
      <c r="Q702" s="89"/>
      <c r="R702" s="89"/>
      <c r="S702" s="8"/>
      <c r="T702" s="8"/>
      <c r="U702" s="8"/>
      <c r="V702" s="8"/>
      <c r="W702" s="8"/>
      <c r="X702" s="8"/>
      <c r="Y702" s="8"/>
    </row>
    <row r="703" spans="1:25" ht="12.75" x14ac:dyDescent="0.2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8"/>
      <c r="N703" s="88"/>
      <c r="O703" s="8"/>
      <c r="P703" s="8"/>
      <c r="Q703" s="89"/>
      <c r="R703" s="89"/>
      <c r="S703" s="8"/>
      <c r="T703" s="8"/>
      <c r="U703" s="8"/>
      <c r="V703" s="8"/>
      <c r="W703" s="8"/>
      <c r="X703" s="8"/>
      <c r="Y703" s="8"/>
    </row>
    <row r="704" spans="1:25" ht="12.75" x14ac:dyDescent="0.2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8"/>
      <c r="N704" s="88"/>
      <c r="O704" s="8"/>
      <c r="P704" s="8"/>
      <c r="Q704" s="89"/>
      <c r="R704" s="89"/>
      <c r="S704" s="8"/>
      <c r="T704" s="8"/>
      <c r="U704" s="8"/>
      <c r="V704" s="8"/>
      <c r="W704" s="8"/>
      <c r="X704" s="8"/>
      <c r="Y704" s="8"/>
    </row>
    <row r="705" spans="1:25" ht="12.75" x14ac:dyDescent="0.2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8"/>
      <c r="N705" s="88"/>
      <c r="O705" s="8"/>
      <c r="P705" s="8"/>
      <c r="Q705" s="89"/>
      <c r="R705" s="89"/>
      <c r="S705" s="8"/>
      <c r="T705" s="8"/>
      <c r="U705" s="8"/>
      <c r="V705" s="8"/>
      <c r="W705" s="8"/>
      <c r="X705" s="8"/>
      <c r="Y705" s="8"/>
    </row>
    <row r="706" spans="1:25" ht="12.75" x14ac:dyDescent="0.2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8"/>
      <c r="N706" s="88"/>
      <c r="O706" s="8"/>
      <c r="P706" s="8"/>
      <c r="Q706" s="89"/>
      <c r="R706" s="89"/>
      <c r="S706" s="8"/>
      <c r="T706" s="8"/>
      <c r="U706" s="8"/>
      <c r="V706" s="8"/>
      <c r="W706" s="8"/>
      <c r="X706" s="8"/>
      <c r="Y706" s="8"/>
    </row>
    <row r="707" spans="1:25" ht="12.75" x14ac:dyDescent="0.2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8"/>
      <c r="N707" s="88"/>
      <c r="O707" s="8"/>
      <c r="P707" s="8"/>
      <c r="Q707" s="89"/>
      <c r="R707" s="89"/>
      <c r="S707" s="8"/>
      <c r="T707" s="8"/>
      <c r="U707" s="8"/>
      <c r="V707" s="8"/>
      <c r="W707" s="8"/>
      <c r="X707" s="8"/>
      <c r="Y707" s="8"/>
    </row>
    <row r="708" spans="1:25" ht="12.75" x14ac:dyDescent="0.2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8"/>
      <c r="N708" s="88"/>
      <c r="O708" s="8"/>
      <c r="P708" s="8"/>
      <c r="Q708" s="89"/>
      <c r="R708" s="89"/>
      <c r="S708" s="8"/>
      <c r="T708" s="8"/>
      <c r="U708" s="8"/>
      <c r="V708" s="8"/>
      <c r="W708" s="8"/>
      <c r="X708" s="8"/>
      <c r="Y708" s="8"/>
    </row>
    <row r="709" spans="1:25" ht="12.75" x14ac:dyDescent="0.2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8"/>
      <c r="N709" s="88"/>
      <c r="O709" s="8"/>
      <c r="P709" s="8"/>
      <c r="Q709" s="89"/>
      <c r="R709" s="89"/>
      <c r="S709" s="8"/>
      <c r="T709" s="8"/>
      <c r="U709" s="8"/>
      <c r="V709" s="8"/>
      <c r="W709" s="8"/>
      <c r="X709" s="8"/>
      <c r="Y709" s="8"/>
    </row>
    <row r="710" spans="1:25" ht="12.75" x14ac:dyDescent="0.2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8"/>
      <c r="N710" s="88"/>
      <c r="O710" s="8"/>
      <c r="P710" s="8"/>
      <c r="Q710" s="89"/>
      <c r="R710" s="89"/>
      <c r="S710" s="8"/>
      <c r="T710" s="8"/>
      <c r="U710" s="8"/>
      <c r="V710" s="8"/>
      <c r="W710" s="8"/>
      <c r="X710" s="8"/>
      <c r="Y710" s="8"/>
    </row>
    <row r="711" spans="1:25" ht="12.75" x14ac:dyDescent="0.2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8"/>
      <c r="N711" s="88"/>
      <c r="O711" s="8"/>
      <c r="P711" s="8"/>
      <c r="Q711" s="89"/>
      <c r="R711" s="89"/>
      <c r="S711" s="8"/>
      <c r="T711" s="8"/>
      <c r="U711" s="8"/>
      <c r="V711" s="8"/>
      <c r="W711" s="8"/>
      <c r="X711" s="8"/>
      <c r="Y711" s="8"/>
    </row>
    <row r="712" spans="1:25" ht="12.75" x14ac:dyDescent="0.2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8"/>
      <c r="N712" s="88"/>
      <c r="O712" s="8"/>
      <c r="P712" s="8"/>
      <c r="Q712" s="89"/>
      <c r="R712" s="89"/>
      <c r="S712" s="8"/>
      <c r="T712" s="8"/>
      <c r="U712" s="8"/>
      <c r="V712" s="8"/>
      <c r="W712" s="8"/>
      <c r="X712" s="8"/>
      <c r="Y712" s="8"/>
    </row>
    <row r="713" spans="1:25" ht="12.75" x14ac:dyDescent="0.2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8"/>
      <c r="N713" s="88"/>
      <c r="O713" s="8"/>
      <c r="P713" s="8"/>
      <c r="Q713" s="89"/>
      <c r="R713" s="89"/>
      <c r="S713" s="8"/>
      <c r="T713" s="8"/>
      <c r="U713" s="8"/>
      <c r="V713" s="8"/>
      <c r="W713" s="8"/>
      <c r="X713" s="8"/>
      <c r="Y713" s="8"/>
    </row>
    <row r="714" spans="1:25" ht="12.75" x14ac:dyDescent="0.2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8"/>
      <c r="N714" s="88"/>
      <c r="O714" s="8"/>
      <c r="P714" s="8"/>
      <c r="Q714" s="89"/>
      <c r="R714" s="89"/>
      <c r="S714" s="8"/>
      <c r="T714" s="8"/>
      <c r="U714" s="8"/>
      <c r="V714" s="8"/>
      <c r="W714" s="8"/>
      <c r="X714" s="8"/>
      <c r="Y714" s="8"/>
    </row>
    <row r="715" spans="1:25" ht="12.75" x14ac:dyDescent="0.2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8"/>
      <c r="N715" s="88"/>
      <c r="O715" s="8"/>
      <c r="P715" s="8"/>
      <c r="Q715" s="89"/>
      <c r="R715" s="89"/>
      <c r="S715" s="8"/>
      <c r="T715" s="8"/>
      <c r="U715" s="8"/>
      <c r="V715" s="8"/>
      <c r="W715" s="8"/>
      <c r="X715" s="8"/>
      <c r="Y715" s="8"/>
    </row>
    <row r="716" spans="1:25" ht="12.75" x14ac:dyDescent="0.2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8"/>
      <c r="N716" s="88"/>
      <c r="O716" s="8"/>
      <c r="P716" s="8"/>
      <c r="Q716" s="89"/>
      <c r="R716" s="89"/>
      <c r="S716" s="8"/>
      <c r="T716" s="8"/>
      <c r="U716" s="8"/>
      <c r="V716" s="8"/>
      <c r="W716" s="8"/>
      <c r="X716" s="8"/>
      <c r="Y716" s="8"/>
    </row>
    <row r="717" spans="1:25" ht="12.75" x14ac:dyDescent="0.2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8"/>
      <c r="N717" s="88"/>
      <c r="O717" s="8"/>
      <c r="P717" s="8"/>
      <c r="Q717" s="89"/>
      <c r="R717" s="89"/>
      <c r="S717" s="8"/>
      <c r="T717" s="8"/>
      <c r="U717" s="8"/>
      <c r="V717" s="8"/>
      <c r="W717" s="8"/>
      <c r="X717" s="8"/>
      <c r="Y717" s="8"/>
    </row>
    <row r="718" spans="1:25" ht="12.75" x14ac:dyDescent="0.2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8"/>
      <c r="N718" s="88"/>
      <c r="O718" s="8"/>
      <c r="P718" s="8"/>
      <c r="Q718" s="89"/>
      <c r="R718" s="89"/>
      <c r="S718" s="8"/>
      <c r="T718" s="8"/>
      <c r="U718" s="8"/>
      <c r="V718" s="8"/>
      <c r="W718" s="8"/>
      <c r="X718" s="8"/>
      <c r="Y718" s="8"/>
    </row>
    <row r="719" spans="1:25" ht="12.75" x14ac:dyDescent="0.2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8"/>
      <c r="N719" s="88"/>
      <c r="O719" s="8"/>
      <c r="P719" s="8"/>
      <c r="Q719" s="89"/>
      <c r="R719" s="89"/>
      <c r="S719" s="8"/>
      <c r="T719" s="8"/>
      <c r="U719" s="8"/>
      <c r="V719" s="8"/>
      <c r="W719" s="8"/>
      <c r="X719" s="8"/>
      <c r="Y719" s="8"/>
    </row>
    <row r="720" spans="1:25" ht="12.75" x14ac:dyDescent="0.2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8"/>
      <c r="N720" s="88"/>
      <c r="O720" s="8"/>
      <c r="P720" s="8"/>
      <c r="Q720" s="89"/>
      <c r="R720" s="89"/>
      <c r="S720" s="8"/>
      <c r="T720" s="8"/>
      <c r="U720" s="8"/>
      <c r="V720" s="8"/>
      <c r="W720" s="8"/>
      <c r="X720" s="8"/>
      <c r="Y720" s="8"/>
    </row>
    <row r="721" spans="1:25" ht="12.75" x14ac:dyDescent="0.2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8"/>
      <c r="N721" s="88"/>
      <c r="O721" s="8"/>
      <c r="P721" s="8"/>
      <c r="Q721" s="89"/>
      <c r="R721" s="89"/>
      <c r="S721" s="8"/>
      <c r="T721" s="8"/>
      <c r="U721" s="8"/>
      <c r="V721" s="8"/>
      <c r="W721" s="8"/>
      <c r="X721" s="8"/>
      <c r="Y721" s="8"/>
    </row>
    <row r="722" spans="1:25" ht="12.75" x14ac:dyDescent="0.2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8"/>
      <c r="N722" s="88"/>
      <c r="O722" s="8"/>
      <c r="P722" s="8"/>
      <c r="Q722" s="89"/>
      <c r="R722" s="89"/>
      <c r="S722" s="8"/>
      <c r="T722" s="8"/>
      <c r="U722" s="8"/>
      <c r="V722" s="8"/>
      <c r="W722" s="8"/>
      <c r="X722" s="8"/>
      <c r="Y722" s="8"/>
    </row>
    <row r="723" spans="1:25" ht="12.75" x14ac:dyDescent="0.2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8"/>
      <c r="N723" s="88"/>
      <c r="O723" s="8"/>
      <c r="P723" s="8"/>
      <c r="Q723" s="89"/>
      <c r="R723" s="89"/>
      <c r="S723" s="8"/>
      <c r="T723" s="8"/>
      <c r="U723" s="8"/>
      <c r="V723" s="8"/>
      <c r="W723" s="8"/>
      <c r="X723" s="8"/>
      <c r="Y723" s="8"/>
    </row>
    <row r="724" spans="1:25" ht="12.75" x14ac:dyDescent="0.2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8"/>
      <c r="N724" s="88"/>
      <c r="O724" s="8"/>
      <c r="P724" s="8"/>
      <c r="Q724" s="89"/>
      <c r="R724" s="89"/>
      <c r="S724" s="8"/>
      <c r="T724" s="8"/>
      <c r="U724" s="8"/>
      <c r="V724" s="8"/>
      <c r="W724" s="8"/>
      <c r="X724" s="8"/>
      <c r="Y724" s="8"/>
    </row>
    <row r="725" spans="1:25" ht="12.75" x14ac:dyDescent="0.2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8"/>
      <c r="N725" s="88"/>
      <c r="O725" s="8"/>
      <c r="P725" s="8"/>
      <c r="Q725" s="89"/>
      <c r="R725" s="89"/>
      <c r="S725" s="8"/>
      <c r="T725" s="8"/>
      <c r="U725" s="8"/>
      <c r="V725" s="8"/>
      <c r="W725" s="8"/>
      <c r="X725" s="8"/>
      <c r="Y725" s="8"/>
    </row>
    <row r="726" spans="1:25" ht="12.75" x14ac:dyDescent="0.2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8"/>
      <c r="N726" s="88"/>
      <c r="O726" s="8"/>
      <c r="P726" s="8"/>
      <c r="Q726" s="89"/>
      <c r="R726" s="89"/>
      <c r="S726" s="8"/>
      <c r="T726" s="8"/>
      <c r="U726" s="8"/>
      <c r="V726" s="8"/>
      <c r="W726" s="8"/>
      <c r="X726" s="8"/>
      <c r="Y726" s="8"/>
    </row>
    <row r="727" spans="1:25" ht="12.75" x14ac:dyDescent="0.2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8"/>
      <c r="N727" s="88"/>
      <c r="O727" s="8"/>
      <c r="P727" s="8"/>
      <c r="Q727" s="89"/>
      <c r="R727" s="89"/>
      <c r="S727" s="8"/>
      <c r="T727" s="8"/>
      <c r="U727" s="8"/>
      <c r="V727" s="8"/>
      <c r="W727" s="8"/>
      <c r="X727" s="8"/>
      <c r="Y727" s="8"/>
    </row>
    <row r="728" spans="1:25" ht="12.75" x14ac:dyDescent="0.2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8"/>
      <c r="N728" s="88"/>
      <c r="O728" s="8"/>
      <c r="P728" s="8"/>
      <c r="Q728" s="89"/>
      <c r="R728" s="89"/>
      <c r="S728" s="8"/>
      <c r="T728" s="8"/>
      <c r="U728" s="8"/>
      <c r="V728" s="8"/>
      <c r="W728" s="8"/>
      <c r="X728" s="8"/>
      <c r="Y728" s="8"/>
    </row>
    <row r="729" spans="1:25" ht="12.75" x14ac:dyDescent="0.2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8"/>
      <c r="N729" s="88"/>
      <c r="O729" s="8"/>
      <c r="P729" s="8"/>
      <c r="Q729" s="89"/>
      <c r="R729" s="89"/>
      <c r="S729" s="8"/>
      <c r="T729" s="8"/>
      <c r="U729" s="8"/>
      <c r="V729" s="8"/>
      <c r="W729" s="8"/>
      <c r="X729" s="8"/>
      <c r="Y729" s="8"/>
    </row>
    <row r="730" spans="1:25" ht="12.75" x14ac:dyDescent="0.2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8"/>
      <c r="N730" s="88"/>
      <c r="O730" s="8"/>
      <c r="P730" s="8"/>
      <c r="Q730" s="89"/>
      <c r="R730" s="89"/>
      <c r="S730" s="8"/>
      <c r="T730" s="8"/>
      <c r="U730" s="8"/>
      <c r="V730" s="8"/>
      <c r="W730" s="8"/>
      <c r="X730" s="8"/>
      <c r="Y730" s="8"/>
    </row>
    <row r="731" spans="1:25" ht="12.75" x14ac:dyDescent="0.2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8"/>
      <c r="N731" s="88"/>
      <c r="O731" s="8"/>
      <c r="P731" s="8"/>
      <c r="Q731" s="89"/>
      <c r="R731" s="89"/>
      <c r="S731" s="8"/>
      <c r="T731" s="8"/>
      <c r="U731" s="8"/>
      <c r="V731" s="8"/>
      <c r="W731" s="8"/>
      <c r="X731" s="8"/>
      <c r="Y731" s="8"/>
    </row>
    <row r="732" spans="1:25" ht="12.75" x14ac:dyDescent="0.2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8"/>
      <c r="N732" s="88"/>
      <c r="O732" s="8"/>
      <c r="P732" s="8"/>
      <c r="Q732" s="89"/>
      <c r="R732" s="89"/>
      <c r="S732" s="8"/>
      <c r="T732" s="8"/>
      <c r="U732" s="8"/>
      <c r="V732" s="8"/>
      <c r="W732" s="8"/>
      <c r="X732" s="8"/>
      <c r="Y732" s="8"/>
    </row>
    <row r="733" spans="1:25" ht="12.75" x14ac:dyDescent="0.2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8"/>
      <c r="N733" s="88"/>
      <c r="O733" s="8"/>
      <c r="P733" s="8"/>
      <c r="Q733" s="89"/>
      <c r="R733" s="89"/>
      <c r="S733" s="8"/>
      <c r="T733" s="8"/>
      <c r="U733" s="8"/>
      <c r="V733" s="8"/>
      <c r="W733" s="8"/>
      <c r="X733" s="8"/>
      <c r="Y733" s="8"/>
    </row>
    <row r="734" spans="1:25" ht="12.75" x14ac:dyDescent="0.2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8"/>
      <c r="N734" s="88"/>
      <c r="O734" s="8"/>
      <c r="P734" s="8"/>
      <c r="Q734" s="89"/>
      <c r="R734" s="89"/>
      <c r="S734" s="8"/>
      <c r="T734" s="8"/>
      <c r="U734" s="8"/>
      <c r="V734" s="8"/>
      <c r="W734" s="8"/>
      <c r="X734" s="8"/>
      <c r="Y734" s="8"/>
    </row>
    <row r="735" spans="1:25" ht="12.75" x14ac:dyDescent="0.2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8"/>
      <c r="N735" s="88"/>
      <c r="O735" s="8"/>
      <c r="P735" s="8"/>
      <c r="Q735" s="89"/>
      <c r="R735" s="89"/>
      <c r="S735" s="8"/>
      <c r="T735" s="8"/>
      <c r="U735" s="8"/>
      <c r="V735" s="8"/>
      <c r="W735" s="8"/>
      <c r="X735" s="8"/>
      <c r="Y735" s="8"/>
    </row>
    <row r="736" spans="1:25" ht="12.75" x14ac:dyDescent="0.2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8"/>
      <c r="N736" s="88"/>
      <c r="O736" s="8"/>
      <c r="P736" s="8"/>
      <c r="Q736" s="89"/>
      <c r="R736" s="89"/>
      <c r="S736" s="8"/>
      <c r="T736" s="8"/>
      <c r="U736" s="8"/>
      <c r="V736" s="8"/>
      <c r="W736" s="8"/>
      <c r="X736" s="8"/>
      <c r="Y736" s="8"/>
    </row>
    <row r="737" spans="1:25" ht="12.75" x14ac:dyDescent="0.2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8"/>
      <c r="N737" s="88"/>
      <c r="O737" s="8"/>
      <c r="P737" s="8"/>
      <c r="Q737" s="89"/>
      <c r="R737" s="89"/>
      <c r="S737" s="8"/>
      <c r="T737" s="8"/>
      <c r="U737" s="8"/>
      <c r="V737" s="8"/>
      <c r="W737" s="8"/>
      <c r="X737" s="8"/>
      <c r="Y737" s="8"/>
    </row>
    <row r="738" spans="1:25" ht="12.75" x14ac:dyDescent="0.2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8"/>
      <c r="N738" s="88"/>
      <c r="O738" s="8"/>
      <c r="P738" s="8"/>
      <c r="Q738" s="89"/>
      <c r="R738" s="89"/>
      <c r="S738" s="8"/>
      <c r="T738" s="8"/>
      <c r="U738" s="8"/>
      <c r="V738" s="8"/>
      <c r="W738" s="8"/>
      <c r="X738" s="8"/>
      <c r="Y738" s="8"/>
    </row>
    <row r="739" spans="1:25" ht="12.75" x14ac:dyDescent="0.2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8"/>
      <c r="N739" s="88"/>
      <c r="O739" s="8"/>
      <c r="P739" s="8"/>
      <c r="Q739" s="89"/>
      <c r="R739" s="89"/>
      <c r="S739" s="8"/>
      <c r="T739" s="8"/>
      <c r="U739" s="8"/>
      <c r="V739" s="8"/>
      <c r="W739" s="8"/>
      <c r="X739" s="8"/>
      <c r="Y739" s="8"/>
    </row>
    <row r="740" spans="1:25" ht="12.75" x14ac:dyDescent="0.2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8"/>
      <c r="N740" s="88"/>
      <c r="O740" s="8"/>
      <c r="P740" s="8"/>
      <c r="Q740" s="89"/>
      <c r="R740" s="89"/>
      <c r="S740" s="8"/>
      <c r="T740" s="8"/>
      <c r="U740" s="8"/>
      <c r="V740" s="8"/>
      <c r="W740" s="8"/>
      <c r="X740" s="8"/>
      <c r="Y740" s="8"/>
    </row>
    <row r="741" spans="1:25" ht="12.75" x14ac:dyDescent="0.2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8"/>
      <c r="N741" s="88"/>
      <c r="O741" s="8"/>
      <c r="P741" s="8"/>
      <c r="Q741" s="89"/>
      <c r="R741" s="89"/>
      <c r="S741" s="8"/>
      <c r="T741" s="8"/>
      <c r="U741" s="8"/>
      <c r="V741" s="8"/>
      <c r="W741" s="8"/>
      <c r="X741" s="8"/>
      <c r="Y741" s="8"/>
    </row>
    <row r="742" spans="1:25" ht="12.75" x14ac:dyDescent="0.2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8"/>
      <c r="N742" s="88"/>
      <c r="O742" s="8"/>
      <c r="P742" s="8"/>
      <c r="Q742" s="89"/>
      <c r="R742" s="89"/>
      <c r="S742" s="8"/>
      <c r="T742" s="8"/>
      <c r="U742" s="8"/>
      <c r="V742" s="8"/>
      <c r="W742" s="8"/>
      <c r="X742" s="8"/>
      <c r="Y742" s="8"/>
    </row>
    <row r="743" spans="1:25" ht="12.75" x14ac:dyDescent="0.2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8"/>
      <c r="N743" s="88"/>
      <c r="O743" s="8"/>
      <c r="P743" s="8"/>
      <c r="Q743" s="89"/>
      <c r="R743" s="89"/>
      <c r="S743" s="8"/>
      <c r="T743" s="8"/>
      <c r="U743" s="8"/>
      <c r="V743" s="8"/>
      <c r="W743" s="8"/>
      <c r="X743" s="8"/>
      <c r="Y743" s="8"/>
    </row>
    <row r="744" spans="1:25" ht="12.75" x14ac:dyDescent="0.2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8"/>
      <c r="N744" s="88"/>
      <c r="O744" s="8"/>
      <c r="P744" s="8"/>
      <c r="Q744" s="89"/>
      <c r="R744" s="89"/>
      <c r="S744" s="8"/>
      <c r="T744" s="8"/>
      <c r="U744" s="8"/>
      <c r="V744" s="8"/>
      <c r="W744" s="8"/>
      <c r="X744" s="8"/>
      <c r="Y744" s="8"/>
    </row>
    <row r="745" spans="1:25" ht="12.75" x14ac:dyDescent="0.2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8"/>
      <c r="N745" s="88"/>
      <c r="O745" s="8"/>
      <c r="P745" s="8"/>
      <c r="Q745" s="89"/>
      <c r="R745" s="89"/>
      <c r="S745" s="8"/>
      <c r="T745" s="8"/>
      <c r="U745" s="8"/>
      <c r="V745" s="8"/>
      <c r="W745" s="8"/>
      <c r="X745" s="8"/>
      <c r="Y745" s="8"/>
    </row>
    <row r="746" spans="1:25" ht="12.75" x14ac:dyDescent="0.2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8"/>
      <c r="N746" s="88"/>
      <c r="O746" s="8"/>
      <c r="P746" s="8"/>
      <c r="Q746" s="89"/>
      <c r="R746" s="89"/>
      <c r="S746" s="8"/>
      <c r="T746" s="8"/>
      <c r="U746" s="8"/>
      <c r="V746" s="8"/>
      <c r="W746" s="8"/>
      <c r="X746" s="8"/>
      <c r="Y746" s="8"/>
    </row>
    <row r="747" spans="1:25" ht="12.75" x14ac:dyDescent="0.2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8"/>
      <c r="N747" s="88"/>
      <c r="O747" s="8"/>
      <c r="P747" s="8"/>
      <c r="Q747" s="89"/>
      <c r="R747" s="89"/>
      <c r="S747" s="8"/>
      <c r="T747" s="8"/>
      <c r="U747" s="8"/>
      <c r="V747" s="8"/>
      <c r="W747" s="8"/>
      <c r="X747" s="8"/>
      <c r="Y747" s="8"/>
    </row>
    <row r="748" spans="1:25" ht="12.75" x14ac:dyDescent="0.2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8"/>
      <c r="N748" s="88"/>
      <c r="O748" s="8"/>
      <c r="P748" s="8"/>
      <c r="Q748" s="89"/>
      <c r="R748" s="89"/>
      <c r="S748" s="8"/>
      <c r="T748" s="8"/>
      <c r="U748" s="8"/>
      <c r="V748" s="8"/>
      <c r="W748" s="8"/>
      <c r="X748" s="8"/>
      <c r="Y748" s="8"/>
    </row>
    <row r="749" spans="1:25" ht="12.75" x14ac:dyDescent="0.2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8"/>
      <c r="N749" s="88"/>
      <c r="O749" s="8"/>
      <c r="P749" s="8"/>
      <c r="Q749" s="89"/>
      <c r="R749" s="89"/>
      <c r="S749" s="8"/>
      <c r="T749" s="8"/>
      <c r="U749" s="8"/>
      <c r="V749" s="8"/>
      <c r="W749" s="8"/>
      <c r="X749" s="8"/>
      <c r="Y749" s="8"/>
    </row>
    <row r="750" spans="1:25" ht="12.75" x14ac:dyDescent="0.2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8"/>
      <c r="N750" s="88"/>
      <c r="O750" s="8"/>
      <c r="P750" s="8"/>
      <c r="Q750" s="89"/>
      <c r="R750" s="89"/>
      <c r="S750" s="8"/>
      <c r="T750" s="8"/>
      <c r="U750" s="8"/>
      <c r="V750" s="8"/>
      <c r="W750" s="8"/>
      <c r="X750" s="8"/>
      <c r="Y750" s="8"/>
    </row>
    <row r="751" spans="1:25" ht="12.75" x14ac:dyDescent="0.2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8"/>
      <c r="N751" s="88"/>
      <c r="O751" s="8"/>
      <c r="P751" s="8"/>
      <c r="Q751" s="89"/>
      <c r="R751" s="89"/>
      <c r="S751" s="8"/>
      <c r="T751" s="8"/>
      <c r="U751" s="8"/>
      <c r="V751" s="8"/>
      <c r="W751" s="8"/>
      <c r="X751" s="8"/>
      <c r="Y751" s="8"/>
    </row>
    <row r="752" spans="1:25" ht="12.75" x14ac:dyDescent="0.2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8"/>
      <c r="N752" s="88"/>
      <c r="O752" s="8"/>
      <c r="P752" s="8"/>
      <c r="Q752" s="89"/>
      <c r="R752" s="89"/>
      <c r="S752" s="8"/>
      <c r="T752" s="8"/>
      <c r="U752" s="8"/>
      <c r="V752" s="8"/>
      <c r="W752" s="8"/>
      <c r="X752" s="8"/>
      <c r="Y752" s="8"/>
    </row>
    <row r="753" spans="1:25" ht="12.75" x14ac:dyDescent="0.2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8"/>
      <c r="N753" s="88"/>
      <c r="O753" s="8"/>
      <c r="P753" s="8"/>
      <c r="Q753" s="89"/>
      <c r="R753" s="89"/>
      <c r="S753" s="8"/>
      <c r="T753" s="8"/>
      <c r="U753" s="8"/>
      <c r="V753" s="8"/>
      <c r="W753" s="8"/>
      <c r="X753" s="8"/>
      <c r="Y753" s="8"/>
    </row>
    <row r="754" spans="1:25" ht="12.75" x14ac:dyDescent="0.2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8"/>
      <c r="N754" s="88"/>
      <c r="O754" s="8"/>
      <c r="P754" s="8"/>
      <c r="Q754" s="89"/>
      <c r="R754" s="89"/>
      <c r="S754" s="8"/>
      <c r="T754" s="8"/>
      <c r="U754" s="8"/>
      <c r="V754" s="8"/>
      <c r="W754" s="8"/>
      <c r="X754" s="8"/>
      <c r="Y754" s="8"/>
    </row>
    <row r="755" spans="1:25" ht="12.75" x14ac:dyDescent="0.2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8"/>
      <c r="N755" s="88"/>
      <c r="O755" s="8"/>
      <c r="P755" s="8"/>
      <c r="Q755" s="89"/>
      <c r="R755" s="89"/>
      <c r="S755" s="8"/>
      <c r="T755" s="8"/>
      <c r="U755" s="8"/>
      <c r="V755" s="8"/>
      <c r="W755" s="8"/>
      <c r="X755" s="8"/>
      <c r="Y755" s="8"/>
    </row>
    <row r="756" spans="1:25" ht="12.75" x14ac:dyDescent="0.2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8"/>
      <c r="N756" s="88"/>
      <c r="O756" s="8"/>
      <c r="P756" s="8"/>
      <c r="Q756" s="89"/>
      <c r="R756" s="89"/>
      <c r="S756" s="8"/>
      <c r="T756" s="8"/>
      <c r="U756" s="8"/>
      <c r="V756" s="8"/>
      <c r="W756" s="8"/>
      <c r="X756" s="8"/>
      <c r="Y756" s="8"/>
    </row>
    <row r="757" spans="1:25" ht="12.75" x14ac:dyDescent="0.2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8"/>
      <c r="N757" s="88"/>
      <c r="O757" s="8"/>
      <c r="P757" s="8"/>
      <c r="Q757" s="89"/>
      <c r="R757" s="89"/>
      <c r="S757" s="8"/>
      <c r="T757" s="8"/>
      <c r="U757" s="8"/>
      <c r="V757" s="8"/>
      <c r="W757" s="8"/>
      <c r="X757" s="8"/>
      <c r="Y757" s="8"/>
    </row>
    <row r="758" spans="1:25" ht="12.75" x14ac:dyDescent="0.2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8"/>
      <c r="N758" s="88"/>
      <c r="O758" s="8"/>
      <c r="P758" s="8"/>
      <c r="Q758" s="89"/>
      <c r="R758" s="89"/>
      <c r="S758" s="8"/>
      <c r="T758" s="8"/>
      <c r="U758" s="8"/>
      <c r="V758" s="8"/>
      <c r="W758" s="8"/>
      <c r="X758" s="8"/>
      <c r="Y758" s="8"/>
    </row>
    <row r="759" spans="1:25" ht="12.75" x14ac:dyDescent="0.2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8"/>
      <c r="N759" s="88"/>
      <c r="O759" s="8"/>
      <c r="P759" s="8"/>
      <c r="Q759" s="89"/>
      <c r="R759" s="89"/>
      <c r="S759" s="8"/>
      <c r="T759" s="8"/>
      <c r="U759" s="8"/>
      <c r="V759" s="8"/>
      <c r="W759" s="8"/>
      <c r="X759" s="8"/>
      <c r="Y759" s="8"/>
    </row>
    <row r="760" spans="1:25" ht="12.75" x14ac:dyDescent="0.2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8"/>
      <c r="N760" s="88"/>
      <c r="O760" s="8"/>
      <c r="P760" s="8"/>
      <c r="Q760" s="89"/>
      <c r="R760" s="89"/>
      <c r="S760" s="8"/>
      <c r="T760" s="8"/>
      <c r="U760" s="8"/>
      <c r="V760" s="8"/>
      <c r="W760" s="8"/>
      <c r="X760" s="8"/>
      <c r="Y760" s="8"/>
    </row>
    <row r="761" spans="1:25" ht="12.75" x14ac:dyDescent="0.2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8"/>
      <c r="N761" s="88"/>
      <c r="O761" s="8"/>
      <c r="P761" s="8"/>
      <c r="Q761" s="89"/>
      <c r="R761" s="89"/>
      <c r="S761" s="8"/>
      <c r="T761" s="8"/>
      <c r="U761" s="8"/>
      <c r="V761" s="8"/>
      <c r="W761" s="8"/>
      <c r="X761" s="8"/>
      <c r="Y761" s="8"/>
    </row>
    <row r="762" spans="1:25" ht="12.75" x14ac:dyDescent="0.2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8"/>
      <c r="N762" s="88"/>
      <c r="O762" s="8"/>
      <c r="P762" s="8"/>
      <c r="Q762" s="89"/>
      <c r="R762" s="89"/>
      <c r="S762" s="8"/>
      <c r="T762" s="8"/>
      <c r="U762" s="8"/>
      <c r="V762" s="8"/>
      <c r="W762" s="8"/>
      <c r="X762" s="8"/>
      <c r="Y762" s="8"/>
    </row>
    <row r="763" spans="1:25" ht="12.75" x14ac:dyDescent="0.2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8"/>
      <c r="N763" s="88"/>
      <c r="O763" s="8"/>
      <c r="P763" s="8"/>
      <c r="Q763" s="89"/>
      <c r="R763" s="89"/>
      <c r="S763" s="8"/>
      <c r="T763" s="8"/>
      <c r="U763" s="8"/>
      <c r="V763" s="8"/>
      <c r="W763" s="8"/>
      <c r="X763" s="8"/>
      <c r="Y763" s="8"/>
    </row>
    <row r="764" spans="1:25" ht="12.75" x14ac:dyDescent="0.2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8"/>
      <c r="N764" s="88"/>
      <c r="O764" s="8"/>
      <c r="P764" s="8"/>
      <c r="Q764" s="89"/>
      <c r="R764" s="89"/>
      <c r="S764" s="8"/>
      <c r="T764" s="8"/>
      <c r="U764" s="8"/>
      <c r="V764" s="8"/>
      <c r="W764" s="8"/>
      <c r="X764" s="8"/>
      <c r="Y764" s="8"/>
    </row>
    <row r="765" spans="1:25" ht="12.75" x14ac:dyDescent="0.2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8"/>
      <c r="N765" s="88"/>
      <c r="O765" s="8"/>
      <c r="P765" s="8"/>
      <c r="Q765" s="89"/>
      <c r="R765" s="89"/>
      <c r="S765" s="8"/>
      <c r="T765" s="8"/>
      <c r="U765" s="8"/>
      <c r="V765" s="8"/>
      <c r="W765" s="8"/>
      <c r="X765" s="8"/>
      <c r="Y765" s="8"/>
    </row>
    <row r="766" spans="1:25" ht="12.75" x14ac:dyDescent="0.2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8"/>
      <c r="N766" s="88"/>
      <c r="O766" s="8"/>
      <c r="P766" s="8"/>
      <c r="Q766" s="89"/>
      <c r="R766" s="89"/>
      <c r="S766" s="8"/>
      <c r="T766" s="8"/>
      <c r="U766" s="8"/>
      <c r="V766" s="8"/>
      <c r="W766" s="8"/>
      <c r="X766" s="8"/>
      <c r="Y766" s="8"/>
    </row>
    <row r="767" spans="1:25" ht="12.75" x14ac:dyDescent="0.2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8"/>
      <c r="N767" s="88"/>
      <c r="O767" s="8"/>
      <c r="P767" s="8"/>
      <c r="Q767" s="89"/>
      <c r="R767" s="89"/>
      <c r="S767" s="8"/>
      <c r="T767" s="8"/>
      <c r="U767" s="8"/>
      <c r="V767" s="8"/>
      <c r="W767" s="8"/>
      <c r="X767" s="8"/>
      <c r="Y767" s="8"/>
    </row>
    <row r="768" spans="1:25" ht="12.75" x14ac:dyDescent="0.2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8"/>
      <c r="N768" s="88"/>
      <c r="O768" s="8"/>
      <c r="P768" s="8"/>
      <c r="Q768" s="89"/>
      <c r="R768" s="89"/>
      <c r="S768" s="8"/>
      <c r="T768" s="8"/>
      <c r="U768" s="8"/>
      <c r="V768" s="8"/>
      <c r="W768" s="8"/>
      <c r="X768" s="8"/>
      <c r="Y768" s="8"/>
    </row>
    <row r="769" spans="1:25" ht="12.75" x14ac:dyDescent="0.2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8"/>
      <c r="N769" s="88"/>
      <c r="O769" s="8"/>
      <c r="P769" s="8"/>
      <c r="Q769" s="89"/>
      <c r="R769" s="89"/>
      <c r="S769" s="8"/>
      <c r="T769" s="8"/>
      <c r="U769" s="8"/>
      <c r="V769" s="8"/>
      <c r="W769" s="8"/>
      <c r="X769" s="8"/>
      <c r="Y769" s="8"/>
    </row>
    <row r="770" spans="1:25" ht="12.75" x14ac:dyDescent="0.2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8"/>
      <c r="N770" s="88"/>
      <c r="O770" s="8"/>
      <c r="P770" s="8"/>
      <c r="Q770" s="89"/>
      <c r="R770" s="89"/>
      <c r="S770" s="8"/>
      <c r="T770" s="8"/>
      <c r="U770" s="8"/>
      <c r="V770" s="8"/>
      <c r="W770" s="8"/>
      <c r="X770" s="8"/>
      <c r="Y770" s="8"/>
    </row>
    <row r="771" spans="1:25" ht="12.75" x14ac:dyDescent="0.2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8"/>
      <c r="N771" s="88"/>
      <c r="O771" s="8"/>
      <c r="P771" s="8"/>
      <c r="Q771" s="89"/>
      <c r="R771" s="89"/>
      <c r="S771" s="8"/>
      <c r="T771" s="8"/>
      <c r="U771" s="8"/>
      <c r="V771" s="8"/>
      <c r="W771" s="8"/>
      <c r="X771" s="8"/>
      <c r="Y771" s="8"/>
    </row>
    <row r="772" spans="1:25" ht="12.75" x14ac:dyDescent="0.2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8"/>
      <c r="N772" s="88"/>
      <c r="O772" s="8"/>
      <c r="P772" s="8"/>
      <c r="Q772" s="89"/>
      <c r="R772" s="89"/>
      <c r="S772" s="8"/>
      <c r="T772" s="8"/>
      <c r="U772" s="8"/>
      <c r="V772" s="8"/>
      <c r="W772" s="8"/>
      <c r="X772" s="8"/>
      <c r="Y772" s="8"/>
    </row>
    <row r="773" spans="1:25" ht="12.75" x14ac:dyDescent="0.2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8"/>
      <c r="N773" s="88"/>
      <c r="O773" s="8"/>
      <c r="P773" s="8"/>
      <c r="Q773" s="89"/>
      <c r="R773" s="89"/>
      <c r="S773" s="8"/>
      <c r="T773" s="8"/>
      <c r="U773" s="8"/>
      <c r="V773" s="8"/>
      <c r="W773" s="8"/>
      <c r="X773" s="8"/>
      <c r="Y773" s="8"/>
    </row>
    <row r="774" spans="1:25" ht="12.75" x14ac:dyDescent="0.2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8"/>
      <c r="N774" s="88"/>
      <c r="O774" s="8"/>
      <c r="P774" s="8"/>
      <c r="Q774" s="89"/>
      <c r="R774" s="89"/>
      <c r="S774" s="8"/>
      <c r="T774" s="8"/>
      <c r="U774" s="8"/>
      <c r="V774" s="8"/>
      <c r="W774" s="8"/>
      <c r="X774" s="8"/>
      <c r="Y774" s="8"/>
    </row>
    <row r="775" spans="1:25" ht="12.75" x14ac:dyDescent="0.2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8"/>
      <c r="N775" s="88"/>
      <c r="O775" s="8"/>
      <c r="P775" s="8"/>
      <c r="Q775" s="89"/>
      <c r="R775" s="89"/>
      <c r="S775" s="8"/>
      <c r="T775" s="8"/>
      <c r="U775" s="8"/>
      <c r="V775" s="8"/>
      <c r="W775" s="8"/>
      <c r="X775" s="8"/>
      <c r="Y775" s="8"/>
    </row>
    <row r="776" spans="1:25" ht="12.75" x14ac:dyDescent="0.2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8"/>
      <c r="N776" s="88"/>
      <c r="O776" s="8"/>
      <c r="P776" s="8"/>
      <c r="Q776" s="89"/>
      <c r="R776" s="89"/>
      <c r="S776" s="8"/>
      <c r="T776" s="8"/>
      <c r="U776" s="8"/>
      <c r="V776" s="8"/>
      <c r="W776" s="8"/>
      <c r="X776" s="8"/>
      <c r="Y776" s="8"/>
    </row>
    <row r="777" spans="1:25" ht="12.75" x14ac:dyDescent="0.2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8"/>
      <c r="N777" s="88"/>
      <c r="O777" s="8"/>
      <c r="P777" s="8"/>
      <c r="Q777" s="89"/>
      <c r="R777" s="89"/>
      <c r="S777" s="8"/>
      <c r="T777" s="8"/>
      <c r="U777" s="8"/>
      <c r="V777" s="8"/>
      <c r="W777" s="8"/>
      <c r="X777" s="8"/>
      <c r="Y777" s="8"/>
    </row>
    <row r="778" spans="1:25" ht="12.75" x14ac:dyDescent="0.2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8"/>
      <c r="N778" s="88"/>
      <c r="O778" s="8"/>
      <c r="P778" s="8"/>
      <c r="Q778" s="89"/>
      <c r="R778" s="89"/>
      <c r="S778" s="8"/>
      <c r="T778" s="8"/>
      <c r="U778" s="8"/>
      <c r="V778" s="8"/>
      <c r="W778" s="8"/>
      <c r="X778" s="8"/>
      <c r="Y778" s="8"/>
    </row>
    <row r="779" spans="1:25" ht="12.75" x14ac:dyDescent="0.2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8"/>
      <c r="N779" s="88"/>
      <c r="O779" s="8"/>
      <c r="P779" s="8"/>
      <c r="Q779" s="89"/>
      <c r="R779" s="89"/>
      <c r="S779" s="8"/>
      <c r="T779" s="8"/>
      <c r="U779" s="8"/>
      <c r="V779" s="8"/>
      <c r="W779" s="8"/>
      <c r="X779" s="8"/>
      <c r="Y779" s="8"/>
    </row>
    <row r="780" spans="1:25" ht="12.75" x14ac:dyDescent="0.2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8"/>
      <c r="N780" s="88"/>
      <c r="O780" s="8"/>
      <c r="P780" s="8"/>
      <c r="Q780" s="89"/>
      <c r="R780" s="89"/>
      <c r="S780" s="8"/>
      <c r="T780" s="8"/>
      <c r="U780" s="8"/>
      <c r="V780" s="8"/>
      <c r="W780" s="8"/>
      <c r="X780" s="8"/>
      <c r="Y780" s="8"/>
    </row>
    <row r="781" spans="1:25" ht="12.75" x14ac:dyDescent="0.2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8"/>
      <c r="N781" s="88"/>
      <c r="O781" s="8"/>
      <c r="P781" s="8"/>
      <c r="Q781" s="89"/>
      <c r="R781" s="89"/>
      <c r="S781" s="8"/>
      <c r="T781" s="8"/>
      <c r="U781" s="8"/>
      <c r="V781" s="8"/>
      <c r="W781" s="8"/>
      <c r="X781" s="8"/>
      <c r="Y781" s="8"/>
    </row>
    <row r="782" spans="1:25" ht="12.75" x14ac:dyDescent="0.2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8"/>
      <c r="N782" s="88"/>
      <c r="O782" s="8"/>
      <c r="P782" s="8"/>
      <c r="Q782" s="89"/>
      <c r="R782" s="89"/>
      <c r="S782" s="8"/>
      <c r="T782" s="8"/>
      <c r="U782" s="8"/>
      <c r="V782" s="8"/>
      <c r="W782" s="8"/>
      <c r="X782" s="8"/>
      <c r="Y782" s="8"/>
    </row>
    <row r="783" spans="1:25" ht="12.75" x14ac:dyDescent="0.2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8"/>
      <c r="N783" s="88"/>
      <c r="O783" s="8"/>
      <c r="P783" s="8"/>
      <c r="Q783" s="89"/>
      <c r="R783" s="89"/>
      <c r="S783" s="8"/>
      <c r="T783" s="8"/>
      <c r="U783" s="8"/>
      <c r="V783" s="8"/>
      <c r="W783" s="8"/>
      <c r="X783" s="8"/>
      <c r="Y783" s="8"/>
    </row>
    <row r="784" spans="1:25" ht="12.75" x14ac:dyDescent="0.2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8"/>
      <c r="N784" s="88"/>
      <c r="O784" s="8"/>
      <c r="P784" s="8"/>
      <c r="Q784" s="89"/>
      <c r="R784" s="89"/>
      <c r="S784" s="8"/>
      <c r="T784" s="8"/>
      <c r="U784" s="8"/>
      <c r="V784" s="8"/>
      <c r="W784" s="8"/>
      <c r="X784" s="8"/>
      <c r="Y784" s="8"/>
    </row>
    <row r="785" spans="1:25" ht="12.75" x14ac:dyDescent="0.2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8"/>
      <c r="N785" s="88"/>
      <c r="O785" s="8"/>
      <c r="P785" s="8"/>
      <c r="Q785" s="89"/>
      <c r="R785" s="89"/>
      <c r="S785" s="8"/>
      <c r="T785" s="8"/>
      <c r="U785" s="8"/>
      <c r="V785" s="8"/>
      <c r="W785" s="8"/>
      <c r="X785" s="8"/>
      <c r="Y785" s="8"/>
    </row>
    <row r="786" spans="1:25" ht="12.75" x14ac:dyDescent="0.2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8"/>
      <c r="N786" s="88"/>
      <c r="O786" s="8"/>
      <c r="P786" s="8"/>
      <c r="Q786" s="89"/>
      <c r="R786" s="89"/>
      <c r="S786" s="8"/>
      <c r="T786" s="8"/>
      <c r="U786" s="8"/>
      <c r="V786" s="8"/>
      <c r="W786" s="8"/>
      <c r="X786" s="8"/>
      <c r="Y786" s="8"/>
    </row>
    <row r="787" spans="1:25" ht="12.75" x14ac:dyDescent="0.2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8"/>
      <c r="N787" s="88"/>
      <c r="O787" s="8"/>
      <c r="P787" s="8"/>
      <c r="Q787" s="89"/>
      <c r="R787" s="89"/>
      <c r="S787" s="8"/>
      <c r="T787" s="8"/>
      <c r="U787" s="8"/>
      <c r="V787" s="8"/>
      <c r="W787" s="8"/>
      <c r="X787" s="8"/>
      <c r="Y787" s="8"/>
    </row>
    <row r="788" spans="1:25" ht="12.75" x14ac:dyDescent="0.2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8"/>
      <c r="N788" s="88"/>
      <c r="O788" s="8"/>
      <c r="P788" s="8"/>
      <c r="Q788" s="89"/>
      <c r="R788" s="89"/>
      <c r="S788" s="8"/>
      <c r="T788" s="8"/>
      <c r="U788" s="8"/>
      <c r="V788" s="8"/>
      <c r="W788" s="8"/>
      <c r="X788" s="8"/>
      <c r="Y788" s="8"/>
    </row>
    <row r="789" spans="1:25" ht="12.75" x14ac:dyDescent="0.2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8"/>
      <c r="N789" s="88"/>
      <c r="O789" s="8"/>
      <c r="P789" s="8"/>
      <c r="Q789" s="89"/>
      <c r="R789" s="89"/>
      <c r="S789" s="8"/>
      <c r="T789" s="8"/>
      <c r="U789" s="8"/>
      <c r="V789" s="8"/>
      <c r="W789" s="8"/>
      <c r="X789" s="8"/>
      <c r="Y789" s="8"/>
    </row>
    <row r="790" spans="1:25" ht="12.75" x14ac:dyDescent="0.2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8"/>
      <c r="N790" s="88"/>
      <c r="O790" s="8"/>
      <c r="P790" s="8"/>
      <c r="Q790" s="89"/>
      <c r="R790" s="89"/>
      <c r="S790" s="8"/>
      <c r="T790" s="8"/>
      <c r="U790" s="8"/>
      <c r="V790" s="8"/>
      <c r="W790" s="8"/>
      <c r="X790" s="8"/>
      <c r="Y790" s="8"/>
    </row>
    <row r="791" spans="1:25" ht="12.75" x14ac:dyDescent="0.2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8"/>
      <c r="N791" s="88"/>
      <c r="O791" s="8"/>
      <c r="P791" s="8"/>
      <c r="Q791" s="89"/>
      <c r="R791" s="89"/>
      <c r="S791" s="8"/>
      <c r="T791" s="8"/>
      <c r="U791" s="8"/>
      <c r="V791" s="8"/>
      <c r="W791" s="8"/>
      <c r="X791" s="8"/>
      <c r="Y791" s="8"/>
    </row>
    <row r="792" spans="1:25" ht="12.75" x14ac:dyDescent="0.2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8"/>
      <c r="N792" s="88"/>
      <c r="O792" s="8"/>
      <c r="P792" s="8"/>
      <c r="Q792" s="89"/>
      <c r="R792" s="89"/>
      <c r="S792" s="8"/>
      <c r="T792" s="8"/>
      <c r="U792" s="8"/>
      <c r="V792" s="8"/>
      <c r="W792" s="8"/>
      <c r="X792" s="8"/>
      <c r="Y792" s="8"/>
    </row>
    <row r="793" spans="1:25" ht="12.75" x14ac:dyDescent="0.2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8"/>
      <c r="N793" s="88"/>
      <c r="O793" s="8"/>
      <c r="P793" s="8"/>
      <c r="Q793" s="89"/>
      <c r="R793" s="89"/>
      <c r="S793" s="8"/>
      <c r="T793" s="8"/>
      <c r="U793" s="8"/>
      <c r="V793" s="8"/>
      <c r="W793" s="8"/>
      <c r="X793" s="8"/>
      <c r="Y793" s="8"/>
    </row>
    <row r="794" spans="1:25" ht="12.75" x14ac:dyDescent="0.2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8"/>
      <c r="N794" s="88"/>
      <c r="O794" s="8"/>
      <c r="P794" s="8"/>
      <c r="Q794" s="89"/>
      <c r="R794" s="89"/>
      <c r="S794" s="8"/>
      <c r="T794" s="8"/>
      <c r="U794" s="8"/>
      <c r="V794" s="8"/>
      <c r="W794" s="8"/>
      <c r="X794" s="8"/>
      <c r="Y794" s="8"/>
    </row>
    <row r="795" spans="1:25" ht="12.75" x14ac:dyDescent="0.2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8"/>
      <c r="N795" s="88"/>
      <c r="O795" s="8"/>
      <c r="P795" s="8"/>
      <c r="Q795" s="89"/>
      <c r="R795" s="89"/>
      <c r="S795" s="8"/>
      <c r="T795" s="8"/>
      <c r="U795" s="8"/>
      <c r="V795" s="8"/>
      <c r="W795" s="8"/>
      <c r="X795" s="8"/>
      <c r="Y795" s="8"/>
    </row>
    <row r="796" spans="1:25" ht="12.75" x14ac:dyDescent="0.2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8"/>
      <c r="N796" s="88"/>
      <c r="O796" s="8"/>
      <c r="P796" s="8"/>
      <c r="Q796" s="89"/>
      <c r="R796" s="89"/>
      <c r="S796" s="8"/>
      <c r="T796" s="8"/>
      <c r="U796" s="8"/>
      <c r="V796" s="8"/>
      <c r="W796" s="8"/>
      <c r="X796" s="8"/>
      <c r="Y796" s="8"/>
    </row>
    <row r="797" spans="1:25" ht="12.75" x14ac:dyDescent="0.2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8"/>
      <c r="N797" s="88"/>
      <c r="O797" s="8"/>
      <c r="P797" s="8"/>
      <c r="Q797" s="89"/>
      <c r="R797" s="89"/>
      <c r="S797" s="8"/>
      <c r="T797" s="8"/>
      <c r="U797" s="8"/>
      <c r="V797" s="8"/>
      <c r="W797" s="8"/>
      <c r="X797" s="8"/>
      <c r="Y797" s="8"/>
    </row>
    <row r="798" spans="1:25" ht="12.75" x14ac:dyDescent="0.2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8"/>
      <c r="N798" s="88"/>
      <c r="O798" s="8"/>
      <c r="P798" s="8"/>
      <c r="Q798" s="89"/>
      <c r="R798" s="89"/>
      <c r="S798" s="8"/>
      <c r="T798" s="8"/>
      <c r="U798" s="8"/>
      <c r="V798" s="8"/>
      <c r="W798" s="8"/>
      <c r="X798" s="8"/>
      <c r="Y798" s="8"/>
    </row>
    <row r="799" spans="1:25" ht="12.75" x14ac:dyDescent="0.2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8"/>
      <c r="N799" s="88"/>
      <c r="O799" s="8"/>
      <c r="P799" s="8"/>
      <c r="Q799" s="89"/>
      <c r="R799" s="89"/>
      <c r="S799" s="8"/>
      <c r="T799" s="8"/>
      <c r="U799" s="8"/>
      <c r="V799" s="8"/>
      <c r="W799" s="8"/>
      <c r="X799" s="8"/>
      <c r="Y799" s="8"/>
    </row>
    <row r="800" spans="1:25" ht="12.75" x14ac:dyDescent="0.2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8"/>
      <c r="N800" s="88"/>
      <c r="O800" s="8"/>
      <c r="P800" s="8"/>
      <c r="Q800" s="89"/>
      <c r="R800" s="89"/>
      <c r="S800" s="8"/>
      <c r="T800" s="8"/>
      <c r="U800" s="8"/>
      <c r="V800" s="8"/>
      <c r="W800" s="8"/>
      <c r="X800" s="8"/>
      <c r="Y800" s="8"/>
    </row>
    <row r="801" spans="1:25" ht="12.75" x14ac:dyDescent="0.2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8"/>
      <c r="N801" s="88"/>
      <c r="O801" s="8"/>
      <c r="P801" s="8"/>
      <c r="Q801" s="89"/>
      <c r="R801" s="89"/>
      <c r="S801" s="8"/>
      <c r="T801" s="8"/>
      <c r="U801" s="8"/>
      <c r="V801" s="8"/>
      <c r="W801" s="8"/>
      <c r="X801" s="8"/>
      <c r="Y801" s="8"/>
    </row>
    <row r="802" spans="1:25" ht="12.75" x14ac:dyDescent="0.2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8"/>
      <c r="N802" s="88"/>
      <c r="O802" s="8"/>
      <c r="P802" s="8"/>
      <c r="Q802" s="89"/>
      <c r="R802" s="89"/>
      <c r="S802" s="8"/>
      <c r="T802" s="8"/>
      <c r="U802" s="8"/>
      <c r="V802" s="8"/>
      <c r="W802" s="8"/>
      <c r="X802" s="8"/>
      <c r="Y802" s="8"/>
    </row>
    <row r="803" spans="1:25" ht="12.75" x14ac:dyDescent="0.2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8"/>
      <c r="N803" s="88"/>
      <c r="O803" s="8"/>
      <c r="P803" s="8"/>
      <c r="Q803" s="89"/>
      <c r="R803" s="89"/>
      <c r="S803" s="8"/>
      <c r="T803" s="8"/>
      <c r="U803" s="8"/>
      <c r="V803" s="8"/>
      <c r="W803" s="8"/>
      <c r="X803" s="8"/>
      <c r="Y803" s="8"/>
    </row>
    <row r="804" spans="1:25" ht="12.75" x14ac:dyDescent="0.2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8"/>
      <c r="N804" s="88"/>
      <c r="O804" s="8"/>
      <c r="P804" s="8"/>
      <c r="Q804" s="89"/>
      <c r="R804" s="89"/>
      <c r="S804" s="8"/>
      <c r="T804" s="8"/>
      <c r="U804" s="8"/>
      <c r="V804" s="8"/>
      <c r="W804" s="8"/>
      <c r="X804" s="8"/>
      <c r="Y804" s="8"/>
    </row>
    <row r="805" spans="1:25" ht="12.75" x14ac:dyDescent="0.2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8"/>
      <c r="N805" s="88"/>
      <c r="O805" s="8"/>
      <c r="P805" s="8"/>
      <c r="Q805" s="89"/>
      <c r="R805" s="89"/>
      <c r="S805" s="8"/>
      <c r="T805" s="8"/>
      <c r="U805" s="8"/>
      <c r="V805" s="8"/>
      <c r="W805" s="8"/>
      <c r="X805" s="8"/>
      <c r="Y805" s="8"/>
    </row>
    <row r="806" spans="1:25" ht="12.75" x14ac:dyDescent="0.2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8"/>
      <c r="N806" s="88"/>
      <c r="O806" s="8"/>
      <c r="P806" s="8"/>
      <c r="Q806" s="89"/>
      <c r="R806" s="89"/>
      <c r="S806" s="8"/>
      <c r="T806" s="8"/>
      <c r="U806" s="8"/>
      <c r="V806" s="8"/>
      <c r="W806" s="8"/>
      <c r="X806" s="8"/>
      <c r="Y806" s="8"/>
    </row>
    <row r="807" spans="1:25" ht="12.75" x14ac:dyDescent="0.2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8"/>
      <c r="N807" s="88"/>
      <c r="O807" s="8"/>
      <c r="P807" s="8"/>
      <c r="Q807" s="89"/>
      <c r="R807" s="89"/>
      <c r="S807" s="8"/>
      <c r="T807" s="8"/>
      <c r="U807" s="8"/>
      <c r="V807" s="8"/>
      <c r="W807" s="8"/>
      <c r="X807" s="8"/>
      <c r="Y807" s="8"/>
    </row>
    <row r="808" spans="1:25" ht="12.75" x14ac:dyDescent="0.2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8"/>
      <c r="N808" s="88"/>
      <c r="O808" s="8"/>
      <c r="P808" s="8"/>
      <c r="Q808" s="89"/>
      <c r="R808" s="89"/>
      <c r="S808" s="8"/>
      <c r="T808" s="8"/>
      <c r="U808" s="8"/>
      <c r="V808" s="8"/>
      <c r="W808" s="8"/>
      <c r="X808" s="8"/>
      <c r="Y808" s="8"/>
    </row>
    <row r="809" spans="1:25" ht="12.75" x14ac:dyDescent="0.2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8"/>
      <c r="N809" s="88"/>
      <c r="O809" s="8"/>
      <c r="P809" s="8"/>
      <c r="Q809" s="89"/>
      <c r="R809" s="89"/>
      <c r="S809" s="8"/>
      <c r="T809" s="8"/>
      <c r="U809" s="8"/>
      <c r="V809" s="8"/>
      <c r="W809" s="8"/>
      <c r="X809" s="8"/>
      <c r="Y809" s="8"/>
    </row>
    <row r="810" spans="1:25" ht="12.75" x14ac:dyDescent="0.2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8"/>
      <c r="N810" s="88"/>
      <c r="O810" s="8"/>
      <c r="P810" s="8"/>
      <c r="Q810" s="89"/>
      <c r="R810" s="89"/>
      <c r="S810" s="8"/>
      <c r="T810" s="8"/>
      <c r="U810" s="8"/>
      <c r="V810" s="8"/>
      <c r="W810" s="8"/>
      <c r="X810" s="8"/>
      <c r="Y810" s="8"/>
    </row>
    <row r="811" spans="1:25" ht="12.75" x14ac:dyDescent="0.2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8"/>
      <c r="N811" s="88"/>
      <c r="O811" s="8"/>
      <c r="P811" s="8"/>
      <c r="Q811" s="89"/>
      <c r="R811" s="89"/>
      <c r="S811" s="8"/>
      <c r="T811" s="8"/>
      <c r="U811" s="8"/>
      <c r="V811" s="8"/>
      <c r="W811" s="8"/>
      <c r="X811" s="8"/>
      <c r="Y811" s="8"/>
    </row>
    <row r="812" spans="1:25" ht="12.75" x14ac:dyDescent="0.2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8"/>
      <c r="N812" s="88"/>
      <c r="O812" s="8"/>
      <c r="P812" s="8"/>
      <c r="Q812" s="89"/>
      <c r="R812" s="89"/>
      <c r="S812" s="8"/>
      <c r="T812" s="8"/>
      <c r="U812" s="8"/>
      <c r="V812" s="8"/>
      <c r="W812" s="8"/>
      <c r="X812" s="8"/>
      <c r="Y812" s="8"/>
    </row>
    <row r="813" spans="1:25" ht="12.75" x14ac:dyDescent="0.2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8"/>
      <c r="N813" s="88"/>
      <c r="O813" s="8"/>
      <c r="P813" s="8"/>
      <c r="Q813" s="89"/>
      <c r="R813" s="89"/>
      <c r="S813" s="8"/>
      <c r="T813" s="8"/>
      <c r="U813" s="8"/>
      <c r="V813" s="8"/>
      <c r="W813" s="8"/>
      <c r="X813" s="8"/>
      <c r="Y813" s="8"/>
    </row>
    <row r="814" spans="1:25" ht="12.75" x14ac:dyDescent="0.2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8"/>
      <c r="N814" s="88"/>
      <c r="O814" s="8"/>
      <c r="P814" s="8"/>
      <c r="Q814" s="89"/>
      <c r="R814" s="89"/>
      <c r="S814" s="8"/>
      <c r="T814" s="8"/>
      <c r="U814" s="8"/>
      <c r="V814" s="8"/>
      <c r="W814" s="8"/>
      <c r="X814" s="8"/>
      <c r="Y814" s="8"/>
    </row>
    <row r="815" spans="1:25" ht="12.75" x14ac:dyDescent="0.2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8"/>
      <c r="N815" s="88"/>
      <c r="O815" s="8"/>
      <c r="P815" s="8"/>
      <c r="Q815" s="89"/>
      <c r="R815" s="89"/>
      <c r="S815" s="8"/>
      <c r="T815" s="8"/>
      <c r="U815" s="8"/>
      <c r="V815" s="8"/>
      <c r="W815" s="8"/>
      <c r="X815" s="8"/>
      <c r="Y815" s="8"/>
    </row>
    <row r="816" spans="1:25" ht="12.75" x14ac:dyDescent="0.2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8"/>
      <c r="N816" s="88"/>
      <c r="O816" s="8"/>
      <c r="P816" s="8"/>
      <c r="Q816" s="89"/>
      <c r="R816" s="89"/>
      <c r="S816" s="8"/>
      <c r="T816" s="8"/>
      <c r="U816" s="8"/>
      <c r="V816" s="8"/>
      <c r="W816" s="8"/>
      <c r="X816" s="8"/>
      <c r="Y816" s="8"/>
    </row>
    <row r="817" spans="1:25" ht="12.75" x14ac:dyDescent="0.2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8"/>
      <c r="N817" s="88"/>
      <c r="O817" s="8"/>
      <c r="P817" s="8"/>
      <c r="Q817" s="89"/>
      <c r="R817" s="89"/>
      <c r="S817" s="8"/>
      <c r="T817" s="8"/>
      <c r="U817" s="8"/>
      <c r="V817" s="8"/>
      <c r="W817" s="8"/>
      <c r="X817" s="8"/>
      <c r="Y817" s="8"/>
    </row>
    <row r="818" spans="1:25" ht="12.75" x14ac:dyDescent="0.2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8"/>
      <c r="N818" s="88"/>
      <c r="O818" s="8"/>
      <c r="P818" s="8"/>
      <c r="Q818" s="89"/>
      <c r="R818" s="89"/>
      <c r="S818" s="8"/>
      <c r="T818" s="8"/>
      <c r="U818" s="8"/>
      <c r="V818" s="8"/>
      <c r="W818" s="8"/>
      <c r="X818" s="8"/>
      <c r="Y818" s="8"/>
    </row>
    <row r="819" spans="1:25" ht="12.75" x14ac:dyDescent="0.2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8"/>
      <c r="N819" s="88"/>
      <c r="O819" s="8"/>
      <c r="P819" s="8"/>
      <c r="Q819" s="89"/>
      <c r="R819" s="89"/>
      <c r="S819" s="8"/>
      <c r="T819" s="8"/>
      <c r="U819" s="8"/>
      <c r="V819" s="8"/>
      <c r="W819" s="8"/>
      <c r="X819" s="8"/>
      <c r="Y819" s="8"/>
    </row>
    <row r="820" spans="1:25" ht="12.75" x14ac:dyDescent="0.2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8"/>
      <c r="N820" s="88"/>
      <c r="O820" s="8"/>
      <c r="P820" s="8"/>
      <c r="Q820" s="89"/>
      <c r="R820" s="89"/>
      <c r="S820" s="8"/>
      <c r="T820" s="8"/>
      <c r="U820" s="8"/>
      <c r="V820" s="8"/>
      <c r="W820" s="8"/>
      <c r="X820" s="8"/>
      <c r="Y820" s="8"/>
    </row>
    <row r="821" spans="1:25" ht="12.75" x14ac:dyDescent="0.2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8"/>
      <c r="N821" s="88"/>
      <c r="O821" s="8"/>
      <c r="P821" s="8"/>
      <c r="Q821" s="89"/>
      <c r="R821" s="89"/>
      <c r="S821" s="8"/>
      <c r="T821" s="8"/>
      <c r="U821" s="8"/>
      <c r="V821" s="8"/>
      <c r="W821" s="8"/>
      <c r="X821" s="8"/>
      <c r="Y821" s="8"/>
    </row>
    <row r="822" spans="1:25" ht="12.75" x14ac:dyDescent="0.2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8"/>
      <c r="N822" s="88"/>
      <c r="O822" s="8"/>
      <c r="P822" s="8"/>
      <c r="Q822" s="89"/>
      <c r="R822" s="89"/>
      <c r="S822" s="8"/>
      <c r="T822" s="8"/>
      <c r="U822" s="8"/>
      <c r="V822" s="8"/>
      <c r="W822" s="8"/>
      <c r="X822" s="8"/>
      <c r="Y822" s="8"/>
    </row>
    <row r="823" spans="1:25" ht="12.75" x14ac:dyDescent="0.2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8"/>
      <c r="N823" s="88"/>
      <c r="O823" s="8"/>
      <c r="P823" s="8"/>
      <c r="Q823" s="89"/>
      <c r="R823" s="89"/>
      <c r="S823" s="8"/>
      <c r="T823" s="8"/>
      <c r="U823" s="8"/>
      <c r="V823" s="8"/>
      <c r="W823" s="8"/>
      <c r="X823" s="8"/>
      <c r="Y823" s="8"/>
    </row>
    <row r="824" spans="1:25" ht="12.75" x14ac:dyDescent="0.2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8"/>
      <c r="N824" s="88"/>
      <c r="O824" s="8"/>
      <c r="P824" s="8"/>
      <c r="Q824" s="89"/>
      <c r="R824" s="89"/>
      <c r="S824" s="8"/>
      <c r="T824" s="8"/>
      <c r="U824" s="8"/>
      <c r="V824" s="8"/>
      <c r="W824" s="8"/>
      <c r="X824" s="8"/>
      <c r="Y824" s="8"/>
    </row>
    <row r="825" spans="1:25" ht="12.75" x14ac:dyDescent="0.2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8"/>
      <c r="N825" s="88"/>
      <c r="O825" s="8"/>
      <c r="P825" s="8"/>
      <c r="Q825" s="89"/>
      <c r="R825" s="89"/>
      <c r="S825" s="8"/>
      <c r="T825" s="8"/>
      <c r="U825" s="8"/>
      <c r="V825" s="8"/>
      <c r="W825" s="8"/>
      <c r="X825" s="8"/>
      <c r="Y825" s="8"/>
    </row>
    <row r="826" spans="1:25" ht="12.75" x14ac:dyDescent="0.2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8"/>
      <c r="N826" s="88"/>
      <c r="O826" s="8"/>
      <c r="P826" s="8"/>
      <c r="Q826" s="89"/>
      <c r="R826" s="89"/>
      <c r="S826" s="8"/>
      <c r="T826" s="8"/>
      <c r="U826" s="8"/>
      <c r="V826" s="8"/>
      <c r="W826" s="8"/>
      <c r="X826" s="8"/>
      <c r="Y826" s="8"/>
    </row>
    <row r="827" spans="1:25" ht="12.75" x14ac:dyDescent="0.2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8"/>
      <c r="N827" s="88"/>
      <c r="O827" s="8"/>
      <c r="P827" s="8"/>
      <c r="Q827" s="89"/>
      <c r="R827" s="89"/>
      <c r="S827" s="8"/>
      <c r="T827" s="8"/>
      <c r="U827" s="8"/>
      <c r="V827" s="8"/>
      <c r="W827" s="8"/>
      <c r="X827" s="8"/>
      <c r="Y827" s="8"/>
    </row>
    <row r="828" spans="1:25" ht="12.75" x14ac:dyDescent="0.2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8"/>
      <c r="N828" s="88"/>
      <c r="O828" s="8"/>
      <c r="P828" s="8"/>
      <c r="Q828" s="89"/>
      <c r="R828" s="89"/>
      <c r="S828" s="8"/>
      <c r="T828" s="8"/>
      <c r="U828" s="8"/>
      <c r="V828" s="8"/>
      <c r="W828" s="8"/>
      <c r="X828" s="8"/>
      <c r="Y828" s="8"/>
    </row>
    <row r="829" spans="1:25" ht="12.75" x14ac:dyDescent="0.2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8"/>
      <c r="N829" s="88"/>
      <c r="O829" s="8"/>
      <c r="P829" s="8"/>
      <c r="Q829" s="89"/>
      <c r="R829" s="89"/>
      <c r="S829" s="8"/>
      <c r="T829" s="8"/>
      <c r="U829" s="8"/>
      <c r="V829" s="8"/>
      <c r="W829" s="8"/>
      <c r="X829" s="8"/>
      <c r="Y829" s="8"/>
    </row>
    <row r="830" spans="1:25" ht="12.75" x14ac:dyDescent="0.2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8"/>
      <c r="N830" s="88"/>
      <c r="O830" s="8"/>
      <c r="P830" s="8"/>
      <c r="Q830" s="89"/>
      <c r="R830" s="89"/>
      <c r="S830" s="8"/>
      <c r="T830" s="8"/>
      <c r="U830" s="8"/>
      <c r="V830" s="8"/>
      <c r="W830" s="8"/>
      <c r="X830" s="8"/>
      <c r="Y830" s="8"/>
    </row>
    <row r="831" spans="1:25" ht="12.75" x14ac:dyDescent="0.2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8"/>
      <c r="N831" s="88"/>
      <c r="O831" s="8"/>
      <c r="P831" s="8"/>
      <c r="Q831" s="89"/>
      <c r="R831" s="89"/>
      <c r="S831" s="8"/>
      <c r="T831" s="8"/>
      <c r="U831" s="8"/>
      <c r="V831" s="8"/>
      <c r="W831" s="8"/>
      <c r="X831" s="8"/>
      <c r="Y831" s="8"/>
    </row>
    <row r="832" spans="1:25" ht="12.75" x14ac:dyDescent="0.2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8"/>
      <c r="N832" s="88"/>
      <c r="O832" s="8"/>
      <c r="P832" s="8"/>
      <c r="Q832" s="89"/>
      <c r="R832" s="89"/>
      <c r="S832" s="8"/>
      <c r="T832" s="8"/>
      <c r="U832" s="8"/>
      <c r="V832" s="8"/>
      <c r="W832" s="8"/>
      <c r="X832" s="8"/>
      <c r="Y832" s="8"/>
    </row>
    <row r="833" spans="1:25" ht="12.75" x14ac:dyDescent="0.2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8"/>
      <c r="N833" s="88"/>
      <c r="O833" s="8"/>
      <c r="P833" s="8"/>
      <c r="Q833" s="89"/>
      <c r="R833" s="89"/>
      <c r="S833" s="8"/>
      <c r="T833" s="8"/>
      <c r="U833" s="8"/>
      <c r="V833" s="8"/>
      <c r="W833" s="8"/>
      <c r="X833" s="8"/>
      <c r="Y833" s="8"/>
    </row>
    <row r="834" spans="1:25" ht="12.75" x14ac:dyDescent="0.2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8"/>
      <c r="N834" s="88"/>
      <c r="O834" s="8"/>
      <c r="P834" s="8"/>
      <c r="Q834" s="89"/>
      <c r="R834" s="89"/>
      <c r="S834" s="8"/>
      <c r="T834" s="8"/>
      <c r="U834" s="8"/>
      <c r="V834" s="8"/>
      <c r="W834" s="8"/>
      <c r="X834" s="8"/>
      <c r="Y834" s="8"/>
    </row>
    <row r="835" spans="1:25" ht="12.75" x14ac:dyDescent="0.2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8"/>
      <c r="N835" s="88"/>
      <c r="O835" s="8"/>
      <c r="P835" s="8"/>
      <c r="Q835" s="89"/>
      <c r="R835" s="89"/>
      <c r="S835" s="8"/>
      <c r="T835" s="8"/>
      <c r="U835" s="8"/>
      <c r="V835" s="8"/>
      <c r="W835" s="8"/>
      <c r="X835" s="8"/>
      <c r="Y835" s="8"/>
    </row>
    <row r="836" spans="1:25" ht="12.75" x14ac:dyDescent="0.2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8"/>
      <c r="N836" s="88"/>
      <c r="O836" s="8"/>
      <c r="P836" s="8"/>
      <c r="Q836" s="89"/>
      <c r="R836" s="89"/>
      <c r="S836" s="8"/>
      <c r="T836" s="8"/>
      <c r="U836" s="8"/>
      <c r="V836" s="8"/>
      <c r="W836" s="8"/>
      <c r="X836" s="8"/>
      <c r="Y836" s="8"/>
    </row>
    <row r="837" spans="1:25" ht="12.75" x14ac:dyDescent="0.2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8"/>
      <c r="N837" s="88"/>
      <c r="O837" s="8"/>
      <c r="P837" s="8"/>
      <c r="Q837" s="89"/>
      <c r="R837" s="89"/>
      <c r="S837" s="8"/>
      <c r="T837" s="8"/>
      <c r="U837" s="8"/>
      <c r="V837" s="8"/>
      <c r="W837" s="8"/>
      <c r="X837" s="8"/>
      <c r="Y837" s="8"/>
    </row>
    <row r="838" spans="1:25" ht="12.75" x14ac:dyDescent="0.2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8"/>
      <c r="N838" s="88"/>
      <c r="O838" s="8"/>
      <c r="P838" s="8"/>
      <c r="Q838" s="89"/>
      <c r="R838" s="89"/>
      <c r="S838" s="8"/>
      <c r="T838" s="8"/>
      <c r="U838" s="8"/>
      <c r="V838" s="8"/>
      <c r="W838" s="8"/>
      <c r="X838" s="8"/>
      <c r="Y838" s="8"/>
    </row>
    <row r="839" spans="1:25" ht="12.75" x14ac:dyDescent="0.2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8"/>
      <c r="N839" s="88"/>
      <c r="O839" s="8"/>
      <c r="P839" s="8"/>
      <c r="Q839" s="89"/>
      <c r="R839" s="89"/>
      <c r="S839" s="8"/>
      <c r="T839" s="8"/>
      <c r="U839" s="8"/>
      <c r="V839" s="8"/>
      <c r="W839" s="8"/>
      <c r="X839" s="8"/>
      <c r="Y839" s="8"/>
    </row>
    <row r="840" spans="1:25" ht="12.75" x14ac:dyDescent="0.2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8"/>
      <c r="N840" s="88"/>
      <c r="O840" s="8"/>
      <c r="P840" s="8"/>
      <c r="Q840" s="89"/>
      <c r="R840" s="89"/>
      <c r="S840" s="8"/>
      <c r="T840" s="8"/>
      <c r="U840" s="8"/>
      <c r="V840" s="8"/>
      <c r="W840" s="8"/>
      <c r="X840" s="8"/>
      <c r="Y840" s="8"/>
    </row>
    <row r="841" spans="1:25" ht="12.75" x14ac:dyDescent="0.2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8"/>
      <c r="N841" s="88"/>
      <c r="O841" s="8"/>
      <c r="P841" s="8"/>
      <c r="Q841" s="89"/>
      <c r="R841" s="89"/>
      <c r="S841" s="8"/>
      <c r="T841" s="8"/>
      <c r="U841" s="8"/>
      <c r="V841" s="8"/>
      <c r="W841" s="8"/>
      <c r="X841" s="8"/>
      <c r="Y841" s="8"/>
    </row>
    <row r="842" spans="1:25" ht="12.75" x14ac:dyDescent="0.2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8"/>
      <c r="N842" s="88"/>
      <c r="O842" s="8"/>
      <c r="P842" s="8"/>
      <c r="Q842" s="89"/>
      <c r="R842" s="89"/>
      <c r="S842" s="8"/>
      <c r="T842" s="8"/>
      <c r="U842" s="8"/>
      <c r="V842" s="8"/>
      <c r="W842" s="8"/>
      <c r="X842" s="8"/>
      <c r="Y842" s="8"/>
    </row>
    <row r="843" spans="1:25" ht="12.75" x14ac:dyDescent="0.2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8"/>
      <c r="N843" s="88"/>
      <c r="O843" s="8"/>
      <c r="P843" s="8"/>
      <c r="Q843" s="89"/>
      <c r="R843" s="89"/>
      <c r="S843" s="8"/>
      <c r="T843" s="8"/>
      <c r="U843" s="8"/>
      <c r="V843" s="8"/>
      <c r="W843" s="8"/>
      <c r="X843" s="8"/>
      <c r="Y843" s="8"/>
    </row>
    <row r="844" spans="1:25" ht="12.75" x14ac:dyDescent="0.2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8"/>
      <c r="N844" s="88"/>
      <c r="O844" s="8"/>
      <c r="P844" s="8"/>
      <c r="Q844" s="89"/>
      <c r="R844" s="89"/>
      <c r="S844" s="8"/>
      <c r="T844" s="8"/>
      <c r="U844" s="8"/>
      <c r="V844" s="8"/>
      <c r="W844" s="8"/>
      <c r="X844" s="8"/>
      <c r="Y844" s="8"/>
    </row>
    <row r="845" spans="1:25" ht="12.75" x14ac:dyDescent="0.2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8"/>
      <c r="N845" s="88"/>
      <c r="O845" s="8"/>
      <c r="P845" s="8"/>
      <c r="Q845" s="89"/>
      <c r="R845" s="89"/>
      <c r="S845" s="8"/>
      <c r="T845" s="8"/>
      <c r="U845" s="8"/>
      <c r="V845" s="8"/>
      <c r="W845" s="8"/>
      <c r="X845" s="8"/>
      <c r="Y845" s="8"/>
    </row>
    <row r="846" spans="1:25" ht="12.75" x14ac:dyDescent="0.2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8"/>
      <c r="N846" s="88"/>
      <c r="O846" s="8"/>
      <c r="P846" s="8"/>
      <c r="Q846" s="89"/>
      <c r="R846" s="89"/>
      <c r="S846" s="8"/>
      <c r="T846" s="8"/>
      <c r="U846" s="8"/>
      <c r="V846" s="8"/>
      <c r="W846" s="8"/>
      <c r="X846" s="8"/>
      <c r="Y846" s="8"/>
    </row>
    <row r="847" spans="1:25" ht="12.75" x14ac:dyDescent="0.2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8"/>
      <c r="N847" s="88"/>
      <c r="O847" s="8"/>
      <c r="P847" s="8"/>
      <c r="Q847" s="89"/>
      <c r="R847" s="89"/>
      <c r="S847" s="8"/>
      <c r="T847" s="8"/>
      <c r="U847" s="8"/>
      <c r="V847" s="8"/>
      <c r="W847" s="8"/>
      <c r="X847" s="8"/>
      <c r="Y847" s="8"/>
    </row>
    <row r="848" spans="1:25" ht="12.75" x14ac:dyDescent="0.2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8"/>
      <c r="N848" s="88"/>
      <c r="O848" s="8"/>
      <c r="P848" s="8"/>
      <c r="Q848" s="89"/>
      <c r="R848" s="89"/>
      <c r="S848" s="8"/>
      <c r="T848" s="8"/>
      <c r="U848" s="8"/>
      <c r="V848" s="8"/>
      <c r="W848" s="8"/>
      <c r="X848" s="8"/>
      <c r="Y848" s="8"/>
    </row>
    <row r="849" spans="1:25" ht="12.75" x14ac:dyDescent="0.2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8"/>
      <c r="N849" s="88"/>
      <c r="O849" s="8"/>
      <c r="P849" s="8"/>
      <c r="Q849" s="89"/>
      <c r="R849" s="89"/>
      <c r="S849" s="8"/>
      <c r="T849" s="8"/>
      <c r="U849" s="8"/>
      <c r="V849" s="8"/>
      <c r="W849" s="8"/>
      <c r="X849" s="8"/>
      <c r="Y849" s="8"/>
    </row>
    <row r="850" spans="1:25" ht="12.75" x14ac:dyDescent="0.2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8"/>
      <c r="N850" s="88"/>
      <c r="O850" s="8"/>
      <c r="P850" s="8"/>
      <c r="Q850" s="89"/>
      <c r="R850" s="89"/>
      <c r="S850" s="8"/>
      <c r="T850" s="8"/>
      <c r="U850" s="8"/>
      <c r="V850" s="8"/>
      <c r="W850" s="8"/>
      <c r="X850" s="8"/>
      <c r="Y850" s="8"/>
    </row>
    <row r="851" spans="1:25" ht="12.75" x14ac:dyDescent="0.2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8"/>
      <c r="N851" s="88"/>
      <c r="O851" s="8"/>
      <c r="P851" s="8"/>
      <c r="Q851" s="89"/>
      <c r="R851" s="89"/>
      <c r="S851" s="8"/>
      <c r="T851" s="8"/>
      <c r="U851" s="8"/>
      <c r="V851" s="8"/>
      <c r="W851" s="8"/>
      <c r="X851" s="8"/>
      <c r="Y851" s="8"/>
    </row>
    <row r="852" spans="1:25" ht="12.75" x14ac:dyDescent="0.2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8"/>
      <c r="N852" s="88"/>
      <c r="O852" s="8"/>
      <c r="P852" s="8"/>
      <c r="Q852" s="89"/>
      <c r="R852" s="89"/>
      <c r="S852" s="8"/>
      <c r="T852" s="8"/>
      <c r="U852" s="8"/>
      <c r="V852" s="8"/>
      <c r="W852" s="8"/>
      <c r="X852" s="8"/>
      <c r="Y852" s="8"/>
    </row>
    <row r="853" spans="1:25" ht="12.75" x14ac:dyDescent="0.2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8"/>
      <c r="N853" s="88"/>
      <c r="O853" s="8"/>
      <c r="P853" s="8"/>
      <c r="Q853" s="89"/>
      <c r="R853" s="89"/>
      <c r="S853" s="8"/>
      <c r="T853" s="8"/>
      <c r="U853" s="8"/>
      <c r="V853" s="8"/>
      <c r="W853" s="8"/>
      <c r="X853" s="8"/>
      <c r="Y853" s="8"/>
    </row>
    <row r="854" spans="1:25" ht="12.75" x14ac:dyDescent="0.2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8"/>
      <c r="N854" s="88"/>
      <c r="O854" s="8"/>
      <c r="P854" s="8"/>
      <c r="Q854" s="89"/>
      <c r="R854" s="89"/>
      <c r="S854" s="8"/>
      <c r="T854" s="8"/>
      <c r="U854" s="8"/>
      <c r="V854" s="8"/>
      <c r="W854" s="8"/>
      <c r="X854" s="8"/>
      <c r="Y854" s="8"/>
    </row>
    <row r="855" spans="1:25" ht="12.75" x14ac:dyDescent="0.2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8"/>
      <c r="N855" s="88"/>
      <c r="O855" s="8"/>
      <c r="P855" s="8"/>
      <c r="Q855" s="89"/>
      <c r="R855" s="89"/>
      <c r="S855" s="8"/>
      <c r="T855" s="8"/>
      <c r="U855" s="8"/>
      <c r="V855" s="8"/>
      <c r="W855" s="8"/>
      <c r="X855" s="8"/>
      <c r="Y855" s="8"/>
    </row>
    <row r="856" spans="1:25" ht="12.75" x14ac:dyDescent="0.2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8"/>
      <c r="N856" s="88"/>
      <c r="O856" s="8"/>
      <c r="P856" s="8"/>
      <c r="Q856" s="89"/>
      <c r="R856" s="89"/>
      <c r="S856" s="8"/>
      <c r="T856" s="8"/>
      <c r="U856" s="8"/>
      <c r="V856" s="8"/>
      <c r="W856" s="8"/>
      <c r="X856" s="8"/>
      <c r="Y856" s="8"/>
    </row>
    <row r="857" spans="1:25" ht="12.75" x14ac:dyDescent="0.2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8"/>
      <c r="N857" s="88"/>
      <c r="O857" s="8"/>
      <c r="P857" s="8"/>
      <c r="Q857" s="89"/>
      <c r="R857" s="89"/>
      <c r="S857" s="8"/>
      <c r="T857" s="8"/>
      <c r="U857" s="8"/>
      <c r="V857" s="8"/>
      <c r="W857" s="8"/>
      <c r="X857" s="8"/>
      <c r="Y857" s="8"/>
    </row>
    <row r="858" spans="1:25" ht="12.75" x14ac:dyDescent="0.2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8"/>
      <c r="N858" s="88"/>
      <c r="O858" s="8"/>
      <c r="P858" s="8"/>
      <c r="Q858" s="89"/>
      <c r="R858" s="89"/>
      <c r="S858" s="8"/>
      <c r="T858" s="8"/>
      <c r="U858" s="8"/>
      <c r="V858" s="8"/>
      <c r="W858" s="8"/>
      <c r="X858" s="8"/>
      <c r="Y858" s="8"/>
    </row>
    <row r="859" spans="1:25" ht="12.75" x14ac:dyDescent="0.2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8"/>
      <c r="N859" s="88"/>
      <c r="O859" s="8"/>
      <c r="P859" s="8"/>
      <c r="Q859" s="89"/>
      <c r="R859" s="89"/>
      <c r="S859" s="8"/>
      <c r="T859" s="8"/>
      <c r="U859" s="8"/>
      <c r="V859" s="8"/>
      <c r="W859" s="8"/>
      <c r="X859" s="8"/>
      <c r="Y859" s="8"/>
    </row>
    <row r="860" spans="1:25" ht="12.75" x14ac:dyDescent="0.2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8"/>
      <c r="N860" s="88"/>
      <c r="O860" s="8"/>
      <c r="P860" s="8"/>
      <c r="Q860" s="89"/>
      <c r="R860" s="89"/>
      <c r="S860" s="8"/>
      <c r="T860" s="8"/>
      <c r="U860" s="8"/>
      <c r="V860" s="8"/>
      <c r="W860" s="8"/>
      <c r="X860" s="8"/>
      <c r="Y860" s="8"/>
    </row>
    <row r="861" spans="1:25" ht="12.75" x14ac:dyDescent="0.2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8"/>
      <c r="N861" s="88"/>
      <c r="O861" s="8"/>
      <c r="P861" s="8"/>
      <c r="Q861" s="89"/>
      <c r="R861" s="89"/>
      <c r="S861" s="8"/>
      <c r="T861" s="8"/>
      <c r="U861" s="8"/>
      <c r="V861" s="8"/>
      <c r="W861" s="8"/>
      <c r="X861" s="8"/>
      <c r="Y861" s="8"/>
    </row>
    <row r="862" spans="1:25" ht="12.75" x14ac:dyDescent="0.2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8"/>
      <c r="N862" s="88"/>
      <c r="O862" s="8"/>
      <c r="P862" s="8"/>
      <c r="Q862" s="89"/>
      <c r="R862" s="89"/>
      <c r="S862" s="8"/>
      <c r="T862" s="8"/>
      <c r="U862" s="8"/>
      <c r="V862" s="8"/>
      <c r="W862" s="8"/>
      <c r="X862" s="8"/>
      <c r="Y862" s="8"/>
    </row>
    <row r="863" spans="1:25" ht="12.75" x14ac:dyDescent="0.2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8"/>
      <c r="N863" s="88"/>
      <c r="O863" s="8"/>
      <c r="P863" s="8"/>
      <c r="Q863" s="89"/>
      <c r="R863" s="89"/>
      <c r="S863" s="8"/>
      <c r="T863" s="8"/>
      <c r="U863" s="8"/>
      <c r="V863" s="8"/>
      <c r="W863" s="8"/>
      <c r="X863" s="8"/>
      <c r="Y863" s="8"/>
    </row>
    <row r="864" spans="1:25" ht="12.75" x14ac:dyDescent="0.2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8"/>
      <c r="N864" s="88"/>
      <c r="O864" s="8"/>
      <c r="P864" s="8"/>
      <c r="Q864" s="89"/>
      <c r="R864" s="89"/>
      <c r="S864" s="8"/>
      <c r="T864" s="8"/>
      <c r="U864" s="8"/>
      <c r="V864" s="8"/>
      <c r="W864" s="8"/>
      <c r="X864" s="8"/>
      <c r="Y864" s="8"/>
    </row>
    <row r="865" spans="1:25" ht="12.75" x14ac:dyDescent="0.2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8"/>
      <c r="N865" s="88"/>
      <c r="O865" s="8"/>
      <c r="P865" s="8"/>
      <c r="Q865" s="89"/>
      <c r="R865" s="89"/>
      <c r="S865" s="8"/>
      <c r="T865" s="8"/>
      <c r="U865" s="8"/>
      <c r="V865" s="8"/>
      <c r="W865" s="8"/>
      <c r="X865" s="8"/>
      <c r="Y865" s="8"/>
    </row>
    <row r="866" spans="1:25" ht="12.75" x14ac:dyDescent="0.2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8"/>
      <c r="N866" s="88"/>
      <c r="O866" s="8"/>
      <c r="P866" s="8"/>
      <c r="Q866" s="89"/>
      <c r="R866" s="89"/>
      <c r="S866" s="8"/>
      <c r="T866" s="8"/>
      <c r="U866" s="8"/>
      <c r="V866" s="8"/>
      <c r="W866" s="8"/>
      <c r="X866" s="8"/>
      <c r="Y866" s="8"/>
    </row>
    <row r="867" spans="1:25" ht="12.75" x14ac:dyDescent="0.2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8"/>
      <c r="N867" s="88"/>
      <c r="O867" s="8"/>
      <c r="P867" s="8"/>
      <c r="Q867" s="89"/>
      <c r="R867" s="89"/>
      <c r="S867" s="8"/>
      <c r="T867" s="8"/>
      <c r="U867" s="8"/>
      <c r="V867" s="8"/>
      <c r="W867" s="8"/>
      <c r="X867" s="8"/>
      <c r="Y867" s="8"/>
    </row>
    <row r="868" spans="1:25" ht="12.75" x14ac:dyDescent="0.2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8"/>
      <c r="N868" s="88"/>
      <c r="O868" s="8"/>
      <c r="P868" s="8"/>
      <c r="Q868" s="89"/>
      <c r="R868" s="89"/>
      <c r="S868" s="8"/>
      <c r="T868" s="8"/>
      <c r="U868" s="8"/>
      <c r="V868" s="8"/>
      <c r="W868" s="8"/>
      <c r="X868" s="8"/>
      <c r="Y868" s="8"/>
    </row>
    <row r="869" spans="1:25" ht="12.75" x14ac:dyDescent="0.2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8"/>
      <c r="N869" s="88"/>
      <c r="O869" s="8"/>
      <c r="P869" s="8"/>
      <c r="Q869" s="89"/>
      <c r="R869" s="89"/>
      <c r="S869" s="8"/>
      <c r="T869" s="8"/>
      <c r="U869" s="8"/>
      <c r="V869" s="8"/>
      <c r="W869" s="8"/>
      <c r="X869" s="8"/>
      <c r="Y869" s="8"/>
    </row>
    <row r="870" spans="1:25" ht="12.75" x14ac:dyDescent="0.2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8"/>
      <c r="N870" s="88"/>
      <c r="O870" s="8"/>
      <c r="P870" s="8"/>
      <c r="Q870" s="89"/>
      <c r="R870" s="89"/>
      <c r="S870" s="8"/>
      <c r="T870" s="8"/>
      <c r="U870" s="8"/>
      <c r="V870" s="8"/>
      <c r="W870" s="8"/>
      <c r="X870" s="8"/>
      <c r="Y870" s="8"/>
    </row>
    <row r="871" spans="1:25" ht="12.75" x14ac:dyDescent="0.2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8"/>
      <c r="N871" s="88"/>
      <c r="O871" s="8"/>
      <c r="P871" s="8"/>
      <c r="Q871" s="89"/>
      <c r="R871" s="89"/>
      <c r="S871" s="8"/>
      <c r="T871" s="8"/>
      <c r="U871" s="8"/>
      <c r="V871" s="8"/>
      <c r="W871" s="8"/>
      <c r="X871" s="8"/>
      <c r="Y871" s="8"/>
    </row>
    <row r="872" spans="1:25" ht="12.75" x14ac:dyDescent="0.2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8"/>
      <c r="N872" s="88"/>
      <c r="O872" s="8"/>
      <c r="P872" s="8"/>
      <c r="Q872" s="89"/>
      <c r="R872" s="89"/>
      <c r="S872" s="8"/>
      <c r="T872" s="8"/>
      <c r="U872" s="8"/>
      <c r="V872" s="8"/>
      <c r="W872" s="8"/>
      <c r="X872" s="8"/>
      <c r="Y872" s="8"/>
    </row>
    <row r="873" spans="1:25" ht="12.75" x14ac:dyDescent="0.2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8"/>
      <c r="N873" s="88"/>
      <c r="O873" s="8"/>
      <c r="P873" s="8"/>
      <c r="Q873" s="89"/>
      <c r="R873" s="89"/>
      <c r="S873" s="8"/>
      <c r="T873" s="8"/>
      <c r="U873" s="8"/>
      <c r="V873" s="8"/>
      <c r="W873" s="8"/>
      <c r="X873" s="8"/>
      <c r="Y873" s="8"/>
    </row>
    <row r="874" spans="1:25" ht="12.75" x14ac:dyDescent="0.2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8"/>
      <c r="N874" s="88"/>
      <c r="O874" s="8"/>
      <c r="P874" s="8"/>
      <c r="Q874" s="89"/>
      <c r="R874" s="89"/>
      <c r="S874" s="8"/>
      <c r="T874" s="8"/>
      <c r="U874" s="8"/>
      <c r="V874" s="8"/>
      <c r="W874" s="8"/>
      <c r="X874" s="8"/>
      <c r="Y874" s="8"/>
    </row>
    <row r="875" spans="1:25" ht="12.75" x14ac:dyDescent="0.2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8"/>
      <c r="N875" s="88"/>
      <c r="O875" s="8"/>
      <c r="P875" s="8"/>
      <c r="Q875" s="89"/>
      <c r="R875" s="89"/>
      <c r="S875" s="8"/>
      <c r="T875" s="8"/>
      <c r="U875" s="8"/>
      <c r="V875" s="8"/>
      <c r="W875" s="8"/>
      <c r="X875" s="8"/>
      <c r="Y875" s="8"/>
    </row>
    <row r="876" spans="1:25" ht="12.75" x14ac:dyDescent="0.2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8"/>
      <c r="N876" s="88"/>
      <c r="O876" s="8"/>
      <c r="P876" s="8"/>
      <c r="Q876" s="89"/>
      <c r="R876" s="89"/>
      <c r="S876" s="8"/>
      <c r="T876" s="8"/>
      <c r="U876" s="8"/>
      <c r="V876" s="8"/>
      <c r="W876" s="8"/>
      <c r="X876" s="8"/>
      <c r="Y876" s="8"/>
    </row>
    <row r="877" spans="1:25" ht="12.75" x14ac:dyDescent="0.2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8"/>
      <c r="N877" s="88"/>
      <c r="O877" s="8"/>
      <c r="P877" s="8"/>
      <c r="Q877" s="89"/>
      <c r="R877" s="89"/>
      <c r="S877" s="8"/>
      <c r="T877" s="8"/>
      <c r="U877" s="8"/>
      <c r="V877" s="8"/>
      <c r="W877" s="8"/>
      <c r="X877" s="8"/>
      <c r="Y877" s="8"/>
    </row>
    <row r="878" spans="1:25" ht="12.75" x14ac:dyDescent="0.2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8"/>
      <c r="N878" s="88"/>
      <c r="O878" s="8"/>
      <c r="P878" s="8"/>
      <c r="Q878" s="89"/>
      <c r="R878" s="89"/>
      <c r="S878" s="8"/>
      <c r="T878" s="8"/>
      <c r="U878" s="8"/>
      <c r="V878" s="8"/>
      <c r="W878" s="8"/>
      <c r="X878" s="8"/>
      <c r="Y878" s="8"/>
    </row>
    <row r="879" spans="1:25" ht="12.75" x14ac:dyDescent="0.2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8"/>
      <c r="N879" s="88"/>
      <c r="O879" s="8"/>
      <c r="P879" s="8"/>
      <c r="Q879" s="89"/>
      <c r="R879" s="89"/>
      <c r="S879" s="8"/>
      <c r="T879" s="8"/>
      <c r="U879" s="8"/>
      <c r="V879" s="8"/>
      <c r="W879" s="8"/>
      <c r="X879" s="8"/>
      <c r="Y879" s="8"/>
    </row>
    <row r="880" spans="1:25" ht="12.75" x14ac:dyDescent="0.2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8"/>
      <c r="N880" s="88"/>
      <c r="O880" s="8"/>
      <c r="P880" s="8"/>
      <c r="Q880" s="89"/>
      <c r="R880" s="89"/>
      <c r="S880" s="8"/>
      <c r="T880" s="8"/>
      <c r="U880" s="8"/>
      <c r="V880" s="8"/>
      <c r="W880" s="8"/>
      <c r="X880" s="8"/>
      <c r="Y880" s="8"/>
    </row>
    <row r="881" spans="1:25" ht="12.75" x14ac:dyDescent="0.2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8"/>
      <c r="N881" s="88"/>
      <c r="O881" s="8"/>
      <c r="P881" s="8"/>
      <c r="Q881" s="89"/>
      <c r="R881" s="89"/>
      <c r="S881" s="8"/>
      <c r="T881" s="8"/>
      <c r="U881" s="8"/>
      <c r="V881" s="8"/>
      <c r="W881" s="8"/>
      <c r="X881" s="8"/>
      <c r="Y881" s="8"/>
    </row>
    <row r="882" spans="1:25" ht="12.75" x14ac:dyDescent="0.2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8"/>
      <c r="N882" s="88"/>
      <c r="O882" s="8"/>
      <c r="P882" s="8"/>
      <c r="Q882" s="89"/>
      <c r="R882" s="89"/>
      <c r="S882" s="8"/>
      <c r="T882" s="8"/>
      <c r="U882" s="8"/>
      <c r="V882" s="8"/>
      <c r="W882" s="8"/>
      <c r="X882" s="8"/>
      <c r="Y882" s="8"/>
    </row>
    <row r="883" spans="1:25" ht="12.75" x14ac:dyDescent="0.2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8"/>
      <c r="N883" s="88"/>
      <c r="O883" s="8"/>
      <c r="P883" s="8"/>
      <c r="Q883" s="89"/>
      <c r="R883" s="89"/>
      <c r="S883" s="8"/>
      <c r="T883" s="8"/>
      <c r="U883" s="8"/>
      <c r="V883" s="8"/>
      <c r="W883" s="8"/>
      <c r="X883" s="8"/>
      <c r="Y883" s="8"/>
    </row>
    <row r="884" spans="1:25" ht="12.75" x14ac:dyDescent="0.2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8"/>
      <c r="N884" s="88"/>
      <c r="O884" s="8"/>
      <c r="P884" s="8"/>
      <c r="Q884" s="89"/>
      <c r="R884" s="89"/>
      <c r="S884" s="8"/>
      <c r="T884" s="8"/>
      <c r="U884" s="8"/>
      <c r="V884" s="8"/>
      <c r="W884" s="8"/>
      <c r="X884" s="8"/>
      <c r="Y884" s="8"/>
    </row>
    <row r="885" spans="1:25" ht="12.75" x14ac:dyDescent="0.2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8"/>
      <c r="N885" s="88"/>
      <c r="O885" s="8"/>
      <c r="P885" s="8"/>
      <c r="Q885" s="89"/>
      <c r="R885" s="89"/>
      <c r="S885" s="8"/>
      <c r="T885" s="8"/>
      <c r="U885" s="8"/>
      <c r="V885" s="8"/>
      <c r="W885" s="8"/>
      <c r="X885" s="8"/>
      <c r="Y885" s="8"/>
    </row>
    <row r="886" spans="1:25" ht="12.75" x14ac:dyDescent="0.2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8"/>
      <c r="N886" s="88"/>
      <c r="O886" s="8"/>
      <c r="P886" s="8"/>
      <c r="Q886" s="89"/>
      <c r="R886" s="89"/>
      <c r="S886" s="8"/>
      <c r="T886" s="8"/>
      <c r="U886" s="8"/>
      <c r="V886" s="8"/>
      <c r="W886" s="8"/>
      <c r="X886" s="8"/>
      <c r="Y886" s="8"/>
    </row>
    <row r="887" spans="1:25" ht="12.75" x14ac:dyDescent="0.2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8"/>
      <c r="N887" s="88"/>
      <c r="O887" s="8"/>
      <c r="P887" s="8"/>
      <c r="Q887" s="89"/>
      <c r="R887" s="89"/>
      <c r="S887" s="8"/>
      <c r="T887" s="8"/>
      <c r="U887" s="8"/>
      <c r="V887" s="8"/>
      <c r="W887" s="8"/>
      <c r="X887" s="8"/>
      <c r="Y887" s="8"/>
    </row>
    <row r="888" spans="1:25" ht="12.75" x14ac:dyDescent="0.2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8"/>
      <c r="N888" s="88"/>
      <c r="O888" s="8"/>
      <c r="P888" s="8"/>
      <c r="Q888" s="89"/>
      <c r="R888" s="89"/>
      <c r="S888" s="8"/>
      <c r="T888" s="8"/>
      <c r="U888" s="8"/>
      <c r="V888" s="8"/>
      <c r="W888" s="8"/>
      <c r="X888" s="8"/>
      <c r="Y888" s="8"/>
    </row>
    <row r="889" spans="1:25" ht="12.75" x14ac:dyDescent="0.2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8"/>
      <c r="N889" s="88"/>
      <c r="O889" s="8"/>
      <c r="P889" s="8"/>
      <c r="Q889" s="89"/>
      <c r="R889" s="89"/>
      <c r="S889" s="8"/>
      <c r="T889" s="8"/>
      <c r="U889" s="8"/>
      <c r="V889" s="8"/>
      <c r="W889" s="8"/>
      <c r="X889" s="8"/>
      <c r="Y889" s="8"/>
    </row>
    <row r="890" spans="1:25" ht="12.75" x14ac:dyDescent="0.2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8"/>
      <c r="N890" s="88"/>
      <c r="O890" s="8"/>
      <c r="P890" s="8"/>
      <c r="Q890" s="89"/>
      <c r="R890" s="89"/>
      <c r="S890" s="8"/>
      <c r="T890" s="8"/>
      <c r="U890" s="8"/>
      <c r="V890" s="8"/>
      <c r="W890" s="8"/>
      <c r="X890" s="8"/>
      <c r="Y890" s="8"/>
    </row>
    <row r="891" spans="1:25" ht="12.75" x14ac:dyDescent="0.2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8"/>
      <c r="N891" s="88"/>
      <c r="O891" s="8"/>
      <c r="P891" s="8"/>
      <c r="Q891" s="89"/>
      <c r="R891" s="89"/>
      <c r="S891" s="8"/>
      <c r="T891" s="8"/>
      <c r="U891" s="8"/>
      <c r="V891" s="8"/>
      <c r="W891" s="8"/>
      <c r="X891" s="8"/>
      <c r="Y891" s="8"/>
    </row>
    <row r="892" spans="1:25" ht="12.75" x14ac:dyDescent="0.2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8"/>
      <c r="N892" s="88"/>
      <c r="O892" s="8"/>
      <c r="P892" s="8"/>
      <c r="Q892" s="89"/>
      <c r="R892" s="89"/>
      <c r="S892" s="8"/>
      <c r="T892" s="8"/>
      <c r="U892" s="8"/>
      <c r="V892" s="8"/>
      <c r="W892" s="8"/>
      <c r="X892" s="8"/>
      <c r="Y892" s="8"/>
    </row>
    <row r="893" spans="1:25" ht="12.75" x14ac:dyDescent="0.2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8"/>
      <c r="N893" s="88"/>
      <c r="O893" s="8"/>
      <c r="P893" s="8"/>
      <c r="Q893" s="89"/>
      <c r="R893" s="89"/>
      <c r="S893" s="8"/>
      <c r="T893" s="8"/>
      <c r="U893" s="8"/>
      <c r="V893" s="8"/>
      <c r="W893" s="8"/>
      <c r="X893" s="8"/>
      <c r="Y893" s="8"/>
    </row>
    <row r="894" spans="1:25" ht="12.75" x14ac:dyDescent="0.2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8"/>
      <c r="N894" s="88"/>
      <c r="O894" s="8"/>
      <c r="P894" s="8"/>
      <c r="Q894" s="89"/>
      <c r="R894" s="89"/>
      <c r="S894" s="8"/>
      <c r="T894" s="8"/>
      <c r="U894" s="8"/>
      <c r="V894" s="8"/>
      <c r="W894" s="8"/>
      <c r="X894" s="8"/>
      <c r="Y894" s="8"/>
    </row>
    <row r="895" spans="1:25" ht="12.75" x14ac:dyDescent="0.2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8"/>
      <c r="N895" s="88"/>
      <c r="O895" s="8"/>
      <c r="P895" s="8"/>
      <c r="Q895" s="89"/>
      <c r="R895" s="89"/>
      <c r="S895" s="8"/>
      <c r="T895" s="8"/>
      <c r="U895" s="8"/>
      <c r="V895" s="8"/>
      <c r="W895" s="8"/>
      <c r="X895" s="8"/>
      <c r="Y895" s="8"/>
    </row>
    <row r="896" spans="1:25" ht="12.75" x14ac:dyDescent="0.2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8"/>
      <c r="N896" s="88"/>
      <c r="O896" s="8"/>
      <c r="P896" s="8"/>
      <c r="Q896" s="89"/>
      <c r="R896" s="89"/>
      <c r="S896" s="8"/>
      <c r="T896" s="8"/>
      <c r="U896" s="8"/>
      <c r="V896" s="8"/>
      <c r="W896" s="8"/>
      <c r="X896" s="8"/>
      <c r="Y896" s="8"/>
    </row>
    <row r="897" spans="1:25" ht="12.75" x14ac:dyDescent="0.2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8"/>
      <c r="N897" s="88"/>
      <c r="O897" s="8"/>
      <c r="P897" s="8"/>
      <c r="Q897" s="89"/>
      <c r="R897" s="89"/>
      <c r="S897" s="8"/>
      <c r="T897" s="8"/>
      <c r="U897" s="8"/>
      <c r="V897" s="8"/>
      <c r="W897" s="8"/>
      <c r="X897" s="8"/>
      <c r="Y897" s="8"/>
    </row>
    <row r="898" spans="1:25" ht="12.75" x14ac:dyDescent="0.2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8"/>
      <c r="N898" s="88"/>
      <c r="O898" s="8"/>
      <c r="P898" s="8"/>
      <c r="Q898" s="89"/>
      <c r="R898" s="89"/>
      <c r="S898" s="8"/>
      <c r="T898" s="8"/>
      <c r="U898" s="8"/>
      <c r="V898" s="8"/>
      <c r="W898" s="8"/>
      <c r="X898" s="8"/>
      <c r="Y898" s="8"/>
    </row>
    <row r="899" spans="1:25" ht="12.75" x14ac:dyDescent="0.2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8"/>
      <c r="N899" s="88"/>
      <c r="O899" s="8"/>
      <c r="P899" s="8"/>
      <c r="Q899" s="89"/>
      <c r="R899" s="89"/>
      <c r="S899" s="8"/>
      <c r="T899" s="8"/>
      <c r="U899" s="8"/>
      <c r="V899" s="8"/>
      <c r="W899" s="8"/>
      <c r="X899" s="8"/>
      <c r="Y899" s="8"/>
    </row>
    <row r="900" spans="1:25" ht="12.75" x14ac:dyDescent="0.2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8"/>
      <c r="N900" s="88"/>
      <c r="O900" s="8"/>
      <c r="P900" s="8"/>
      <c r="Q900" s="89"/>
      <c r="R900" s="89"/>
      <c r="S900" s="8"/>
      <c r="T900" s="8"/>
      <c r="U900" s="8"/>
      <c r="V900" s="8"/>
      <c r="W900" s="8"/>
      <c r="X900" s="8"/>
      <c r="Y900" s="8"/>
    </row>
    <row r="901" spans="1:25" ht="12.75" x14ac:dyDescent="0.2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8"/>
      <c r="N901" s="88"/>
      <c r="O901" s="8"/>
      <c r="P901" s="8"/>
      <c r="Q901" s="89"/>
      <c r="R901" s="89"/>
      <c r="S901" s="8"/>
      <c r="T901" s="8"/>
      <c r="U901" s="8"/>
      <c r="V901" s="8"/>
      <c r="W901" s="8"/>
      <c r="X901" s="8"/>
      <c r="Y901" s="8"/>
    </row>
    <row r="902" spans="1:25" ht="12.75" x14ac:dyDescent="0.2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8"/>
      <c r="N902" s="88"/>
      <c r="O902" s="8"/>
      <c r="P902" s="8"/>
      <c r="Q902" s="89"/>
      <c r="R902" s="89"/>
      <c r="S902" s="8"/>
      <c r="T902" s="8"/>
      <c r="U902" s="8"/>
      <c r="V902" s="8"/>
      <c r="W902" s="8"/>
      <c r="X902" s="8"/>
      <c r="Y902" s="8"/>
    </row>
    <row r="903" spans="1:25" ht="12.75" x14ac:dyDescent="0.2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8"/>
      <c r="N903" s="88"/>
      <c r="O903" s="8"/>
      <c r="P903" s="8"/>
      <c r="Q903" s="89"/>
      <c r="R903" s="89"/>
      <c r="S903" s="8"/>
      <c r="T903" s="8"/>
      <c r="U903" s="8"/>
      <c r="V903" s="8"/>
      <c r="W903" s="8"/>
      <c r="X903" s="8"/>
      <c r="Y903" s="8"/>
    </row>
    <row r="904" spans="1:25" ht="12.75" x14ac:dyDescent="0.2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8"/>
      <c r="N904" s="88"/>
      <c r="O904" s="8"/>
      <c r="P904" s="8"/>
      <c r="Q904" s="89"/>
      <c r="R904" s="89"/>
      <c r="S904" s="8"/>
      <c r="T904" s="8"/>
      <c r="U904" s="8"/>
      <c r="V904" s="8"/>
      <c r="W904" s="8"/>
      <c r="X904" s="8"/>
      <c r="Y904" s="8"/>
    </row>
    <row r="905" spans="1:25" ht="12.75" x14ac:dyDescent="0.2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8"/>
      <c r="N905" s="88"/>
      <c r="O905" s="8"/>
      <c r="P905" s="8"/>
      <c r="Q905" s="89"/>
      <c r="R905" s="89"/>
      <c r="S905" s="8"/>
      <c r="T905" s="8"/>
      <c r="U905" s="8"/>
      <c r="V905" s="8"/>
      <c r="W905" s="8"/>
      <c r="X905" s="8"/>
      <c r="Y905" s="8"/>
    </row>
    <row r="906" spans="1:25" ht="12.75" x14ac:dyDescent="0.2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8"/>
      <c r="N906" s="88"/>
      <c r="O906" s="8"/>
      <c r="P906" s="8"/>
      <c r="Q906" s="89"/>
      <c r="R906" s="89"/>
      <c r="S906" s="8"/>
      <c r="T906" s="8"/>
      <c r="U906" s="8"/>
      <c r="V906" s="8"/>
      <c r="W906" s="8"/>
      <c r="X906" s="8"/>
      <c r="Y906" s="8"/>
    </row>
    <row r="907" spans="1:25" ht="12.75" x14ac:dyDescent="0.2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8"/>
      <c r="N907" s="88"/>
      <c r="O907" s="8"/>
      <c r="P907" s="8"/>
      <c r="Q907" s="89"/>
      <c r="R907" s="89"/>
      <c r="S907" s="8"/>
      <c r="T907" s="8"/>
      <c r="U907" s="8"/>
      <c r="V907" s="8"/>
      <c r="W907" s="8"/>
      <c r="X907" s="8"/>
      <c r="Y907" s="8"/>
    </row>
    <row r="908" spans="1:25" ht="12.75" x14ac:dyDescent="0.2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8"/>
      <c r="N908" s="88"/>
      <c r="O908" s="8"/>
      <c r="P908" s="8"/>
      <c r="Q908" s="89"/>
      <c r="R908" s="89"/>
      <c r="S908" s="8"/>
      <c r="T908" s="8"/>
      <c r="U908" s="8"/>
      <c r="V908" s="8"/>
      <c r="W908" s="8"/>
      <c r="X908" s="8"/>
      <c r="Y908" s="8"/>
    </row>
    <row r="909" spans="1:25" ht="12.75" x14ac:dyDescent="0.2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8"/>
      <c r="N909" s="88"/>
      <c r="O909" s="8"/>
      <c r="P909" s="8"/>
      <c r="Q909" s="89"/>
      <c r="R909" s="89"/>
      <c r="S909" s="8"/>
      <c r="T909" s="8"/>
      <c r="U909" s="8"/>
      <c r="V909" s="8"/>
      <c r="W909" s="8"/>
      <c r="X909" s="8"/>
      <c r="Y909" s="8"/>
    </row>
    <row r="910" spans="1:25" ht="12.75" x14ac:dyDescent="0.2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8"/>
      <c r="N910" s="88"/>
      <c r="O910" s="8"/>
      <c r="P910" s="8"/>
      <c r="Q910" s="89"/>
      <c r="R910" s="89"/>
      <c r="S910" s="8"/>
      <c r="T910" s="8"/>
      <c r="U910" s="8"/>
      <c r="V910" s="8"/>
      <c r="W910" s="8"/>
      <c r="X910" s="8"/>
      <c r="Y910" s="8"/>
    </row>
    <row r="911" spans="1:25" ht="12.75" x14ac:dyDescent="0.2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8"/>
      <c r="N911" s="88"/>
      <c r="O911" s="8"/>
      <c r="P911" s="8"/>
      <c r="Q911" s="89"/>
      <c r="R911" s="89"/>
      <c r="S911" s="8"/>
      <c r="T911" s="8"/>
      <c r="U911" s="8"/>
      <c r="V911" s="8"/>
      <c r="W911" s="8"/>
      <c r="X911" s="8"/>
      <c r="Y911" s="8"/>
    </row>
    <row r="912" spans="1:25" ht="12.75" x14ac:dyDescent="0.2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8"/>
      <c r="N912" s="88"/>
      <c r="O912" s="8"/>
      <c r="P912" s="8"/>
      <c r="Q912" s="89"/>
      <c r="R912" s="89"/>
      <c r="S912" s="8"/>
      <c r="T912" s="8"/>
      <c r="U912" s="8"/>
      <c r="V912" s="8"/>
      <c r="W912" s="8"/>
      <c r="X912" s="8"/>
      <c r="Y912" s="8"/>
    </row>
    <row r="913" spans="1:25" ht="12.75" x14ac:dyDescent="0.2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8"/>
      <c r="N913" s="88"/>
      <c r="O913" s="8"/>
      <c r="P913" s="8"/>
      <c r="Q913" s="89"/>
      <c r="R913" s="89"/>
      <c r="S913" s="8"/>
      <c r="T913" s="8"/>
      <c r="U913" s="8"/>
      <c r="V913" s="8"/>
      <c r="W913" s="8"/>
      <c r="X913" s="8"/>
      <c r="Y913" s="8"/>
    </row>
    <row r="914" spans="1:25" ht="12.75" x14ac:dyDescent="0.2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8"/>
      <c r="N914" s="88"/>
      <c r="O914" s="8"/>
      <c r="P914" s="8"/>
      <c r="Q914" s="89"/>
      <c r="R914" s="89"/>
      <c r="S914" s="8"/>
      <c r="T914" s="8"/>
      <c r="U914" s="8"/>
      <c r="V914" s="8"/>
      <c r="W914" s="8"/>
      <c r="X914" s="8"/>
      <c r="Y914" s="8"/>
    </row>
    <row r="915" spans="1:25" ht="12.75" x14ac:dyDescent="0.2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8"/>
      <c r="N915" s="88"/>
      <c r="O915" s="8"/>
      <c r="P915" s="8"/>
      <c r="Q915" s="89"/>
      <c r="R915" s="89"/>
      <c r="S915" s="8"/>
      <c r="T915" s="8"/>
      <c r="U915" s="8"/>
      <c r="V915" s="8"/>
      <c r="W915" s="8"/>
      <c r="X915" s="8"/>
      <c r="Y915" s="8"/>
    </row>
    <row r="916" spans="1:25" ht="12.75" x14ac:dyDescent="0.2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8"/>
      <c r="N916" s="88"/>
      <c r="O916" s="8"/>
      <c r="P916" s="8"/>
      <c r="Q916" s="89"/>
      <c r="R916" s="89"/>
      <c r="S916" s="8"/>
      <c r="T916" s="8"/>
      <c r="U916" s="8"/>
      <c r="V916" s="8"/>
      <c r="W916" s="8"/>
      <c r="X916" s="8"/>
      <c r="Y916" s="8"/>
    </row>
    <row r="917" spans="1:25" ht="12.75" x14ac:dyDescent="0.2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8"/>
      <c r="N917" s="88"/>
      <c r="O917" s="8"/>
      <c r="P917" s="8"/>
      <c r="Q917" s="89"/>
      <c r="R917" s="89"/>
      <c r="S917" s="8"/>
      <c r="T917" s="8"/>
      <c r="U917" s="8"/>
      <c r="V917" s="8"/>
      <c r="W917" s="8"/>
      <c r="X917" s="8"/>
      <c r="Y917" s="8"/>
    </row>
    <row r="918" spans="1:25" ht="12.75" x14ac:dyDescent="0.2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8"/>
      <c r="N918" s="88"/>
      <c r="O918" s="8"/>
      <c r="P918" s="8"/>
      <c r="Q918" s="89"/>
      <c r="R918" s="89"/>
      <c r="S918" s="8"/>
      <c r="T918" s="8"/>
      <c r="U918" s="8"/>
      <c r="V918" s="8"/>
      <c r="W918" s="8"/>
      <c r="X918" s="8"/>
      <c r="Y918" s="8"/>
    </row>
    <row r="919" spans="1:25" ht="12.75" x14ac:dyDescent="0.2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8"/>
      <c r="N919" s="88"/>
      <c r="O919" s="8"/>
      <c r="P919" s="8"/>
      <c r="Q919" s="89"/>
      <c r="R919" s="89"/>
      <c r="S919" s="8"/>
      <c r="T919" s="8"/>
      <c r="U919" s="8"/>
      <c r="V919" s="8"/>
      <c r="W919" s="8"/>
      <c r="X919" s="8"/>
      <c r="Y919" s="8"/>
    </row>
    <row r="920" spans="1:25" ht="12.75" x14ac:dyDescent="0.2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8"/>
      <c r="N920" s="88"/>
      <c r="O920" s="8"/>
      <c r="P920" s="8"/>
      <c r="Q920" s="89"/>
      <c r="R920" s="89"/>
      <c r="S920" s="8"/>
      <c r="T920" s="8"/>
      <c r="U920" s="8"/>
      <c r="V920" s="8"/>
      <c r="W920" s="8"/>
      <c r="X920" s="8"/>
      <c r="Y920" s="8"/>
    </row>
    <row r="921" spans="1:25" ht="12.75" x14ac:dyDescent="0.2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8"/>
      <c r="N921" s="88"/>
      <c r="O921" s="8"/>
      <c r="P921" s="8"/>
      <c r="Q921" s="89"/>
      <c r="R921" s="89"/>
      <c r="S921" s="8"/>
      <c r="T921" s="8"/>
      <c r="U921" s="8"/>
      <c r="V921" s="8"/>
      <c r="W921" s="8"/>
      <c r="X921" s="8"/>
      <c r="Y921" s="8"/>
    </row>
    <row r="922" spans="1:25" ht="12.75" x14ac:dyDescent="0.2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8"/>
      <c r="N922" s="88"/>
      <c r="O922" s="8"/>
      <c r="P922" s="8"/>
      <c r="Q922" s="89"/>
      <c r="R922" s="89"/>
      <c r="S922" s="8"/>
      <c r="T922" s="8"/>
      <c r="U922" s="8"/>
      <c r="V922" s="8"/>
      <c r="W922" s="8"/>
      <c r="X922" s="8"/>
      <c r="Y922" s="8"/>
    </row>
    <row r="923" spans="1:25" ht="12.75" x14ac:dyDescent="0.2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8"/>
      <c r="N923" s="88"/>
      <c r="O923" s="8"/>
      <c r="P923" s="8"/>
      <c r="Q923" s="89"/>
      <c r="R923" s="89"/>
      <c r="S923" s="8"/>
      <c r="T923" s="8"/>
      <c r="U923" s="8"/>
      <c r="V923" s="8"/>
      <c r="W923" s="8"/>
      <c r="X923" s="8"/>
      <c r="Y923" s="8"/>
    </row>
    <row r="924" spans="1:25" ht="12.75" x14ac:dyDescent="0.2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8"/>
      <c r="N924" s="88"/>
      <c r="O924" s="8"/>
      <c r="P924" s="8"/>
      <c r="Q924" s="89"/>
      <c r="R924" s="89"/>
      <c r="S924" s="8"/>
      <c r="T924" s="8"/>
      <c r="U924" s="8"/>
      <c r="V924" s="8"/>
      <c r="W924" s="8"/>
      <c r="X924" s="8"/>
      <c r="Y924" s="8"/>
    </row>
    <row r="925" spans="1:25" ht="12.75" x14ac:dyDescent="0.2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8"/>
      <c r="N925" s="88"/>
      <c r="O925" s="8"/>
      <c r="P925" s="8"/>
      <c r="Q925" s="89"/>
      <c r="R925" s="89"/>
      <c r="S925" s="8"/>
      <c r="T925" s="8"/>
      <c r="U925" s="8"/>
      <c r="V925" s="8"/>
      <c r="W925" s="8"/>
      <c r="X925" s="8"/>
      <c r="Y925" s="8"/>
    </row>
    <row r="926" spans="1:25" ht="12.75" x14ac:dyDescent="0.2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8"/>
      <c r="N926" s="88"/>
      <c r="O926" s="8"/>
      <c r="P926" s="8"/>
      <c r="Q926" s="89"/>
      <c r="R926" s="89"/>
      <c r="S926" s="8"/>
      <c r="T926" s="8"/>
      <c r="U926" s="8"/>
      <c r="V926" s="8"/>
      <c r="W926" s="8"/>
      <c r="X926" s="8"/>
      <c r="Y926" s="8"/>
    </row>
    <row r="927" spans="1:25" ht="12.75" x14ac:dyDescent="0.2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8"/>
      <c r="N927" s="88"/>
      <c r="O927" s="8"/>
      <c r="P927" s="8"/>
      <c r="Q927" s="89"/>
      <c r="R927" s="89"/>
      <c r="S927" s="8"/>
      <c r="T927" s="8"/>
      <c r="U927" s="8"/>
      <c r="V927" s="8"/>
      <c r="W927" s="8"/>
      <c r="X927" s="8"/>
      <c r="Y927" s="8"/>
    </row>
    <row r="928" spans="1:25" ht="12.75" x14ac:dyDescent="0.2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8"/>
      <c r="N928" s="88"/>
      <c r="O928" s="8"/>
      <c r="P928" s="8"/>
      <c r="Q928" s="89"/>
      <c r="R928" s="89"/>
      <c r="S928" s="8"/>
      <c r="T928" s="8"/>
      <c r="U928" s="8"/>
      <c r="V928" s="8"/>
      <c r="W928" s="8"/>
      <c r="X928" s="8"/>
      <c r="Y928" s="8"/>
    </row>
    <row r="929" spans="1:25" ht="12.75" x14ac:dyDescent="0.2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8"/>
      <c r="N929" s="88"/>
      <c r="O929" s="8"/>
      <c r="P929" s="8"/>
      <c r="Q929" s="89"/>
      <c r="R929" s="89"/>
      <c r="S929" s="8"/>
      <c r="T929" s="8"/>
      <c r="U929" s="8"/>
      <c r="V929" s="8"/>
      <c r="W929" s="8"/>
      <c r="X929" s="8"/>
      <c r="Y929" s="8"/>
    </row>
    <row r="930" spans="1:25" ht="12.75" x14ac:dyDescent="0.2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8"/>
      <c r="N930" s="88"/>
      <c r="O930" s="8"/>
      <c r="P930" s="8"/>
      <c r="Q930" s="89"/>
      <c r="R930" s="89"/>
      <c r="S930" s="8"/>
      <c r="T930" s="8"/>
      <c r="U930" s="8"/>
      <c r="V930" s="8"/>
      <c r="W930" s="8"/>
      <c r="X930" s="8"/>
      <c r="Y930" s="8"/>
    </row>
    <row r="931" spans="1:25" ht="12.75" x14ac:dyDescent="0.2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8"/>
      <c r="N931" s="88"/>
      <c r="O931" s="8"/>
      <c r="P931" s="8"/>
      <c r="Q931" s="89"/>
      <c r="R931" s="89"/>
      <c r="S931" s="8"/>
      <c r="T931" s="8"/>
      <c r="U931" s="8"/>
      <c r="V931" s="8"/>
      <c r="W931" s="8"/>
      <c r="X931" s="8"/>
      <c r="Y931" s="8"/>
    </row>
    <row r="932" spans="1:25" ht="12.75" x14ac:dyDescent="0.2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8"/>
      <c r="N932" s="88"/>
      <c r="O932" s="8"/>
      <c r="P932" s="8"/>
      <c r="Q932" s="89"/>
      <c r="R932" s="89"/>
      <c r="S932" s="8"/>
      <c r="T932" s="8"/>
      <c r="U932" s="8"/>
      <c r="V932" s="8"/>
      <c r="W932" s="8"/>
      <c r="X932" s="8"/>
      <c r="Y932" s="8"/>
    </row>
    <row r="933" spans="1:25" ht="12.75" x14ac:dyDescent="0.2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8"/>
      <c r="N933" s="88"/>
      <c r="O933" s="8"/>
      <c r="P933" s="8"/>
      <c r="Q933" s="89"/>
      <c r="R933" s="89"/>
      <c r="S933" s="8"/>
      <c r="T933" s="8"/>
      <c r="U933" s="8"/>
      <c r="V933" s="8"/>
      <c r="W933" s="8"/>
      <c r="X933" s="8"/>
      <c r="Y933" s="8"/>
    </row>
    <row r="934" spans="1:25" ht="12.75" x14ac:dyDescent="0.2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8"/>
      <c r="N934" s="88"/>
      <c r="O934" s="8"/>
      <c r="P934" s="8"/>
      <c r="Q934" s="89"/>
      <c r="R934" s="89"/>
      <c r="S934" s="8"/>
      <c r="T934" s="8"/>
      <c r="U934" s="8"/>
      <c r="V934" s="8"/>
      <c r="W934" s="8"/>
      <c r="X934" s="8"/>
      <c r="Y934" s="8"/>
    </row>
    <row r="935" spans="1:25" ht="12.75" x14ac:dyDescent="0.2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8"/>
      <c r="N935" s="88"/>
      <c r="O935" s="8"/>
      <c r="P935" s="8"/>
      <c r="Q935" s="89"/>
      <c r="R935" s="89"/>
      <c r="S935" s="8"/>
      <c r="T935" s="8"/>
      <c r="U935" s="8"/>
      <c r="V935" s="8"/>
      <c r="W935" s="8"/>
      <c r="X935" s="8"/>
      <c r="Y935" s="8"/>
    </row>
    <row r="936" spans="1:25" ht="12.75" x14ac:dyDescent="0.2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8"/>
      <c r="N936" s="88"/>
      <c r="O936" s="8"/>
      <c r="P936" s="8"/>
      <c r="Q936" s="89"/>
      <c r="R936" s="89"/>
      <c r="S936" s="8"/>
      <c r="T936" s="8"/>
      <c r="U936" s="8"/>
      <c r="V936" s="8"/>
      <c r="W936" s="8"/>
      <c r="X936" s="8"/>
      <c r="Y936" s="8"/>
    </row>
    <row r="937" spans="1:25" ht="12.75" x14ac:dyDescent="0.2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8"/>
      <c r="N937" s="88"/>
      <c r="O937" s="8"/>
      <c r="P937" s="8"/>
      <c r="Q937" s="89"/>
      <c r="R937" s="89"/>
      <c r="S937" s="8"/>
      <c r="T937" s="8"/>
      <c r="U937" s="8"/>
      <c r="V937" s="8"/>
      <c r="W937" s="8"/>
      <c r="X937" s="8"/>
      <c r="Y937" s="8"/>
    </row>
    <row r="938" spans="1:25" ht="12.75" x14ac:dyDescent="0.2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8"/>
      <c r="N938" s="88"/>
      <c r="O938" s="8"/>
      <c r="P938" s="8"/>
      <c r="Q938" s="89"/>
      <c r="R938" s="89"/>
      <c r="S938" s="8"/>
      <c r="T938" s="8"/>
      <c r="U938" s="8"/>
      <c r="V938" s="8"/>
      <c r="W938" s="8"/>
      <c r="X938" s="8"/>
      <c r="Y938" s="8"/>
    </row>
    <row r="939" spans="1:25" ht="12.75" x14ac:dyDescent="0.2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8"/>
      <c r="N939" s="88"/>
      <c r="O939" s="8"/>
      <c r="P939" s="8"/>
      <c r="Q939" s="89"/>
      <c r="R939" s="89"/>
      <c r="S939" s="8"/>
      <c r="T939" s="8"/>
      <c r="U939" s="8"/>
      <c r="V939" s="8"/>
      <c r="W939" s="8"/>
      <c r="X939" s="8"/>
      <c r="Y939" s="8"/>
    </row>
    <row r="940" spans="1:25" ht="12.75" x14ac:dyDescent="0.2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8"/>
      <c r="N940" s="88"/>
      <c r="O940" s="8"/>
      <c r="P940" s="8"/>
      <c r="Q940" s="89"/>
      <c r="R940" s="89"/>
      <c r="S940" s="8"/>
      <c r="T940" s="8"/>
      <c r="U940" s="8"/>
      <c r="V940" s="8"/>
      <c r="W940" s="8"/>
      <c r="X940" s="8"/>
      <c r="Y940" s="8"/>
    </row>
    <row r="941" spans="1:25" ht="12.75" x14ac:dyDescent="0.2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8"/>
      <c r="N941" s="88"/>
      <c r="O941" s="8"/>
      <c r="P941" s="8"/>
      <c r="Q941" s="89"/>
      <c r="R941" s="89"/>
      <c r="S941" s="8"/>
      <c r="T941" s="8"/>
      <c r="U941" s="8"/>
      <c r="V941" s="8"/>
      <c r="W941" s="8"/>
      <c r="X941" s="8"/>
      <c r="Y941" s="8"/>
    </row>
    <row r="942" spans="1:25" ht="12.75" x14ac:dyDescent="0.2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8"/>
      <c r="N942" s="88"/>
      <c r="O942" s="8"/>
      <c r="P942" s="8"/>
      <c r="Q942" s="89"/>
      <c r="R942" s="89"/>
      <c r="S942" s="8"/>
      <c r="T942" s="8"/>
      <c r="U942" s="8"/>
      <c r="V942" s="8"/>
      <c r="W942" s="8"/>
      <c r="X942" s="8"/>
      <c r="Y942" s="8"/>
    </row>
    <row r="943" spans="1:25" ht="12.75" x14ac:dyDescent="0.2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8"/>
      <c r="N943" s="88"/>
      <c r="O943" s="8"/>
      <c r="P943" s="8"/>
      <c r="Q943" s="89"/>
      <c r="R943" s="89"/>
      <c r="S943" s="8"/>
      <c r="T943" s="8"/>
      <c r="U943" s="8"/>
      <c r="V943" s="8"/>
      <c r="W943" s="8"/>
      <c r="X943" s="8"/>
      <c r="Y943" s="8"/>
    </row>
    <row r="944" spans="1:25" ht="12.75" x14ac:dyDescent="0.2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8"/>
      <c r="N944" s="88"/>
      <c r="O944" s="8"/>
      <c r="P944" s="8"/>
      <c r="Q944" s="89"/>
      <c r="R944" s="89"/>
      <c r="S944" s="8"/>
      <c r="T944" s="8"/>
      <c r="U944" s="8"/>
      <c r="V944" s="8"/>
      <c r="W944" s="8"/>
      <c r="X944" s="8"/>
      <c r="Y944" s="8"/>
    </row>
    <row r="945" spans="1:25" ht="12.75" x14ac:dyDescent="0.2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8"/>
      <c r="N945" s="88"/>
      <c r="O945" s="8"/>
      <c r="P945" s="8"/>
      <c r="Q945" s="89"/>
      <c r="R945" s="89"/>
      <c r="S945" s="8"/>
      <c r="T945" s="8"/>
      <c r="U945" s="8"/>
      <c r="V945" s="8"/>
      <c r="W945" s="8"/>
      <c r="X945" s="8"/>
      <c r="Y945" s="8"/>
    </row>
    <row r="946" spans="1:25" ht="12.75" x14ac:dyDescent="0.2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8"/>
      <c r="N946" s="88"/>
      <c r="O946" s="8"/>
      <c r="P946" s="8"/>
      <c r="Q946" s="89"/>
      <c r="R946" s="89"/>
      <c r="S946" s="8"/>
      <c r="T946" s="8"/>
      <c r="U946" s="8"/>
      <c r="V946" s="8"/>
      <c r="W946" s="8"/>
      <c r="X946" s="8"/>
      <c r="Y946" s="8"/>
    </row>
    <row r="947" spans="1:25" ht="12.75" x14ac:dyDescent="0.2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8"/>
      <c r="N947" s="88"/>
      <c r="O947" s="8"/>
      <c r="P947" s="8"/>
      <c r="Q947" s="89"/>
      <c r="R947" s="89"/>
      <c r="S947" s="8"/>
      <c r="T947" s="8"/>
      <c r="U947" s="8"/>
      <c r="V947" s="8"/>
      <c r="W947" s="8"/>
      <c r="X947" s="8"/>
      <c r="Y947" s="8"/>
    </row>
    <row r="948" spans="1:25" ht="12.75" x14ac:dyDescent="0.2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8"/>
      <c r="N948" s="88"/>
      <c r="O948" s="8"/>
      <c r="P948" s="8"/>
      <c r="Q948" s="89"/>
      <c r="R948" s="89"/>
      <c r="S948" s="8"/>
      <c r="T948" s="8"/>
      <c r="U948" s="8"/>
      <c r="V948" s="8"/>
      <c r="W948" s="8"/>
      <c r="X948" s="8"/>
      <c r="Y948" s="8"/>
    </row>
    <row r="949" spans="1:25" ht="12.75" x14ac:dyDescent="0.2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8"/>
      <c r="N949" s="88"/>
      <c r="O949" s="8"/>
      <c r="P949" s="8"/>
      <c r="Q949" s="89"/>
      <c r="R949" s="89"/>
      <c r="S949" s="8"/>
      <c r="T949" s="8"/>
      <c r="U949" s="8"/>
      <c r="V949" s="8"/>
      <c r="W949" s="8"/>
      <c r="X949" s="8"/>
      <c r="Y949" s="8"/>
    </row>
    <row r="950" spans="1:25" ht="12.75" x14ac:dyDescent="0.2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8"/>
      <c r="N950" s="88"/>
      <c r="O950" s="8"/>
      <c r="P950" s="8"/>
      <c r="Q950" s="89"/>
      <c r="R950" s="89"/>
      <c r="S950" s="8"/>
      <c r="T950" s="8"/>
      <c r="U950" s="8"/>
      <c r="V950" s="8"/>
      <c r="W950" s="8"/>
      <c r="X950" s="8"/>
      <c r="Y950" s="8"/>
    </row>
    <row r="951" spans="1:25" ht="12.75" x14ac:dyDescent="0.2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8"/>
      <c r="N951" s="88"/>
      <c r="O951" s="8"/>
      <c r="P951" s="8"/>
      <c r="Q951" s="89"/>
      <c r="R951" s="89"/>
      <c r="S951" s="8"/>
      <c r="T951" s="8"/>
      <c r="U951" s="8"/>
      <c r="V951" s="8"/>
      <c r="W951" s="8"/>
      <c r="X951" s="8"/>
      <c r="Y951" s="8"/>
    </row>
    <row r="952" spans="1:25" ht="12.75" x14ac:dyDescent="0.2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8"/>
      <c r="N952" s="88"/>
      <c r="O952" s="8"/>
      <c r="P952" s="8"/>
      <c r="Q952" s="89"/>
      <c r="R952" s="89"/>
      <c r="S952" s="8"/>
      <c r="T952" s="8"/>
      <c r="U952" s="8"/>
      <c r="V952" s="8"/>
      <c r="W952" s="8"/>
      <c r="X952" s="8"/>
      <c r="Y952" s="8"/>
    </row>
    <row r="953" spans="1:25" ht="12.75" x14ac:dyDescent="0.2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8"/>
      <c r="N953" s="88"/>
      <c r="O953" s="8"/>
      <c r="P953" s="8"/>
      <c r="Q953" s="89"/>
      <c r="R953" s="89"/>
      <c r="S953" s="8"/>
      <c r="T953" s="8"/>
      <c r="U953" s="8"/>
      <c r="V953" s="8"/>
      <c r="W953" s="8"/>
      <c r="X953" s="8"/>
      <c r="Y953" s="8"/>
    </row>
    <row r="954" spans="1:25" ht="12.75" x14ac:dyDescent="0.2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8"/>
      <c r="N954" s="88"/>
      <c r="O954" s="8"/>
      <c r="P954" s="8"/>
      <c r="Q954" s="89"/>
      <c r="R954" s="89"/>
      <c r="S954" s="8"/>
      <c r="T954" s="8"/>
      <c r="U954" s="8"/>
      <c r="V954" s="8"/>
      <c r="W954" s="8"/>
      <c r="X954" s="8"/>
      <c r="Y954" s="8"/>
    </row>
    <row r="955" spans="1:25" ht="12.75" x14ac:dyDescent="0.2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8"/>
      <c r="N955" s="88"/>
      <c r="O955" s="8"/>
      <c r="P955" s="8"/>
      <c r="Q955" s="89"/>
      <c r="R955" s="89"/>
      <c r="S955" s="8"/>
      <c r="T955" s="8"/>
      <c r="U955" s="8"/>
      <c r="V955" s="8"/>
      <c r="W955" s="8"/>
      <c r="X955" s="8"/>
      <c r="Y955" s="8"/>
    </row>
    <row r="956" spans="1:25" ht="12.75" x14ac:dyDescent="0.2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8"/>
      <c r="N956" s="88"/>
      <c r="O956" s="8"/>
      <c r="P956" s="8"/>
      <c r="Q956" s="89"/>
      <c r="R956" s="89"/>
      <c r="S956" s="8"/>
      <c r="T956" s="8"/>
      <c r="U956" s="8"/>
      <c r="V956" s="8"/>
      <c r="W956" s="8"/>
      <c r="X956" s="8"/>
      <c r="Y956" s="8"/>
    </row>
    <row r="957" spans="1:25" ht="12.75" x14ac:dyDescent="0.2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8"/>
      <c r="N957" s="88"/>
      <c r="O957" s="8"/>
      <c r="P957" s="8"/>
      <c r="Q957" s="89"/>
      <c r="R957" s="89"/>
      <c r="S957" s="8"/>
      <c r="T957" s="8"/>
      <c r="U957" s="8"/>
      <c r="V957" s="8"/>
      <c r="W957" s="8"/>
      <c r="X957" s="8"/>
      <c r="Y957" s="8"/>
    </row>
    <row r="958" spans="1:25" ht="12.75" x14ac:dyDescent="0.2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8"/>
      <c r="N958" s="88"/>
      <c r="O958" s="8"/>
      <c r="P958" s="8"/>
      <c r="Q958" s="89"/>
      <c r="R958" s="89"/>
      <c r="S958" s="8"/>
      <c r="T958" s="8"/>
      <c r="U958" s="8"/>
      <c r="V958" s="8"/>
      <c r="W958" s="8"/>
      <c r="X958" s="8"/>
      <c r="Y958" s="8"/>
    </row>
    <row r="959" spans="1:25" ht="12.75" x14ac:dyDescent="0.2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8"/>
      <c r="N959" s="88"/>
      <c r="O959" s="8"/>
      <c r="P959" s="8"/>
      <c r="Q959" s="89"/>
      <c r="R959" s="89"/>
      <c r="S959" s="8"/>
      <c r="T959" s="8"/>
      <c r="U959" s="8"/>
      <c r="V959" s="8"/>
      <c r="W959" s="8"/>
      <c r="X959" s="8"/>
      <c r="Y959" s="8"/>
    </row>
    <row r="960" spans="1:25" ht="12.75" x14ac:dyDescent="0.2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8"/>
      <c r="N960" s="88"/>
      <c r="O960" s="8"/>
      <c r="P960" s="8"/>
      <c r="Q960" s="89"/>
      <c r="R960" s="89"/>
      <c r="S960" s="8"/>
      <c r="T960" s="8"/>
      <c r="U960" s="8"/>
      <c r="V960" s="8"/>
      <c r="W960" s="8"/>
      <c r="X960" s="8"/>
      <c r="Y960" s="8"/>
    </row>
    <row r="961" spans="1:25" ht="12.75" x14ac:dyDescent="0.2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8"/>
      <c r="N961" s="88"/>
      <c r="O961" s="8"/>
      <c r="P961" s="8"/>
      <c r="Q961" s="89"/>
      <c r="R961" s="89"/>
      <c r="S961" s="8"/>
      <c r="T961" s="8"/>
      <c r="U961" s="8"/>
      <c r="V961" s="8"/>
      <c r="W961" s="8"/>
      <c r="X961" s="8"/>
      <c r="Y961" s="8"/>
    </row>
    <row r="962" spans="1:25" ht="12.75" x14ac:dyDescent="0.2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8"/>
      <c r="N962" s="88"/>
      <c r="O962" s="8"/>
      <c r="P962" s="8"/>
      <c r="Q962" s="89"/>
      <c r="R962" s="89"/>
      <c r="S962" s="8"/>
      <c r="T962" s="8"/>
      <c r="U962" s="8"/>
      <c r="V962" s="8"/>
      <c r="W962" s="8"/>
      <c r="X962" s="8"/>
      <c r="Y962" s="8"/>
    </row>
    <row r="963" spans="1:25" ht="12.75" x14ac:dyDescent="0.2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8"/>
      <c r="N963" s="88"/>
      <c r="O963" s="8"/>
      <c r="P963" s="8"/>
      <c r="Q963" s="89"/>
      <c r="R963" s="89"/>
      <c r="S963" s="8"/>
      <c r="T963" s="8"/>
      <c r="U963" s="8"/>
      <c r="V963" s="8"/>
      <c r="W963" s="8"/>
      <c r="X963" s="8"/>
      <c r="Y963" s="8"/>
    </row>
    <row r="964" spans="1:25" ht="12.75" x14ac:dyDescent="0.2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8"/>
      <c r="N964" s="88"/>
      <c r="O964" s="8"/>
      <c r="P964" s="8"/>
      <c r="Q964" s="89"/>
      <c r="R964" s="89"/>
      <c r="S964" s="8"/>
      <c r="T964" s="8"/>
      <c r="U964" s="8"/>
      <c r="V964" s="8"/>
      <c r="W964" s="8"/>
      <c r="X964" s="8"/>
      <c r="Y964" s="8"/>
    </row>
    <row r="965" spans="1:25" ht="12.75" x14ac:dyDescent="0.2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8"/>
      <c r="N965" s="88"/>
      <c r="O965" s="8"/>
      <c r="P965" s="8"/>
      <c r="Q965" s="89"/>
      <c r="R965" s="89"/>
      <c r="S965" s="8"/>
      <c r="T965" s="8"/>
      <c r="U965" s="8"/>
      <c r="V965" s="8"/>
      <c r="W965" s="8"/>
      <c r="X965" s="8"/>
      <c r="Y965" s="8"/>
    </row>
    <row r="966" spans="1:25" ht="12.75" x14ac:dyDescent="0.2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8"/>
      <c r="N966" s="88"/>
      <c r="O966" s="8"/>
      <c r="P966" s="8"/>
      <c r="Q966" s="89"/>
      <c r="R966" s="89"/>
      <c r="S966" s="8"/>
      <c r="T966" s="8"/>
      <c r="U966" s="8"/>
      <c r="V966" s="8"/>
      <c r="W966" s="8"/>
      <c r="X966" s="8"/>
      <c r="Y966" s="8"/>
    </row>
    <row r="967" spans="1:25" ht="12.75" x14ac:dyDescent="0.2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8"/>
      <c r="N967" s="88"/>
      <c r="O967" s="8"/>
      <c r="P967" s="8"/>
      <c r="Q967" s="89"/>
      <c r="R967" s="89"/>
      <c r="S967" s="8"/>
      <c r="T967" s="8"/>
      <c r="U967" s="8"/>
      <c r="V967" s="8"/>
      <c r="W967" s="8"/>
      <c r="X967" s="8"/>
      <c r="Y967" s="8"/>
    </row>
    <row r="968" spans="1:25" ht="12.75" x14ac:dyDescent="0.2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8"/>
      <c r="N968" s="88"/>
      <c r="O968" s="8"/>
      <c r="P968" s="8"/>
      <c r="Q968" s="89"/>
      <c r="R968" s="89"/>
      <c r="S968" s="8"/>
      <c r="T968" s="8"/>
      <c r="U968" s="8"/>
      <c r="V968" s="8"/>
      <c r="W968" s="8"/>
      <c r="X968" s="8"/>
      <c r="Y968" s="8"/>
    </row>
    <row r="969" spans="1:25" ht="12.75" x14ac:dyDescent="0.2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8"/>
      <c r="N969" s="88"/>
      <c r="O969" s="8"/>
      <c r="P969" s="8"/>
      <c r="Q969" s="89"/>
      <c r="R969" s="89"/>
      <c r="S969" s="8"/>
      <c r="T969" s="8"/>
      <c r="U969" s="8"/>
      <c r="V969" s="8"/>
      <c r="W969" s="8"/>
      <c r="X969" s="8"/>
      <c r="Y969" s="8"/>
    </row>
    <row r="970" spans="1:25" ht="12.75" x14ac:dyDescent="0.2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8"/>
      <c r="N970" s="88"/>
      <c r="O970" s="8"/>
      <c r="P970" s="8"/>
      <c r="Q970" s="89"/>
      <c r="R970" s="89"/>
      <c r="S970" s="8"/>
      <c r="T970" s="8"/>
      <c r="U970" s="8"/>
      <c r="V970" s="8"/>
      <c r="W970" s="8"/>
      <c r="X970" s="8"/>
      <c r="Y970" s="8"/>
    </row>
    <row r="971" spans="1:25" ht="12.75" x14ac:dyDescent="0.2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8"/>
      <c r="N971" s="88"/>
      <c r="O971" s="8"/>
      <c r="P971" s="8"/>
      <c r="Q971" s="89"/>
      <c r="R971" s="89"/>
      <c r="S971" s="8"/>
      <c r="T971" s="8"/>
      <c r="U971" s="8"/>
      <c r="V971" s="8"/>
      <c r="W971" s="8"/>
      <c r="X971" s="8"/>
      <c r="Y971" s="8"/>
    </row>
    <row r="972" spans="1:25" ht="12.75" x14ac:dyDescent="0.2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8"/>
      <c r="N972" s="88"/>
      <c r="O972" s="8"/>
      <c r="P972" s="8"/>
      <c r="Q972" s="89"/>
      <c r="R972" s="89"/>
      <c r="S972" s="8"/>
      <c r="T972" s="8"/>
      <c r="U972" s="8"/>
      <c r="V972" s="8"/>
      <c r="W972" s="8"/>
      <c r="X972" s="8"/>
      <c r="Y972" s="8"/>
    </row>
    <row r="973" spans="1:25" ht="12.75" x14ac:dyDescent="0.2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8"/>
      <c r="N973" s="88"/>
      <c r="O973" s="8"/>
      <c r="P973" s="8"/>
      <c r="Q973" s="89"/>
      <c r="R973" s="89"/>
      <c r="S973" s="8"/>
      <c r="T973" s="8"/>
      <c r="U973" s="8"/>
      <c r="V973" s="8"/>
      <c r="W973" s="8"/>
      <c r="X973" s="8"/>
      <c r="Y973" s="8"/>
    </row>
    <row r="974" spans="1:25" ht="12.75" x14ac:dyDescent="0.2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8"/>
      <c r="N974" s="88"/>
      <c r="O974" s="8"/>
      <c r="P974" s="8"/>
      <c r="Q974" s="89"/>
      <c r="R974" s="89"/>
      <c r="S974" s="8"/>
      <c r="T974" s="8"/>
      <c r="U974" s="8"/>
      <c r="V974" s="8"/>
      <c r="W974" s="8"/>
      <c r="X974" s="8"/>
      <c r="Y974" s="8"/>
    </row>
    <row r="975" spans="1:25" ht="12.75" x14ac:dyDescent="0.2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8"/>
      <c r="N975" s="88"/>
      <c r="O975" s="8"/>
      <c r="P975" s="8"/>
      <c r="Q975" s="89"/>
      <c r="R975" s="89"/>
      <c r="S975" s="8"/>
      <c r="T975" s="8"/>
      <c r="U975" s="8"/>
      <c r="V975" s="8"/>
      <c r="W975" s="8"/>
      <c r="X975" s="8"/>
      <c r="Y975" s="8"/>
    </row>
    <row r="976" spans="1:25" ht="12.75" x14ac:dyDescent="0.2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8"/>
      <c r="N976" s="88"/>
      <c r="O976" s="8"/>
      <c r="P976" s="8"/>
      <c r="Q976" s="89"/>
      <c r="R976" s="89"/>
      <c r="S976" s="8"/>
      <c r="T976" s="8"/>
      <c r="U976" s="8"/>
      <c r="V976" s="8"/>
      <c r="W976" s="8"/>
      <c r="X976" s="8"/>
      <c r="Y976" s="8"/>
    </row>
    <row r="977" spans="1:25" ht="12.75" x14ac:dyDescent="0.2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8"/>
      <c r="N977" s="88"/>
      <c r="O977" s="8"/>
      <c r="P977" s="8"/>
      <c r="Q977" s="89"/>
      <c r="R977" s="89"/>
      <c r="S977" s="8"/>
      <c r="T977" s="8"/>
      <c r="U977" s="8"/>
      <c r="V977" s="8"/>
      <c r="W977" s="8"/>
      <c r="X977" s="8"/>
      <c r="Y977" s="8"/>
    </row>
    <row r="978" spans="1:25" ht="12.75" x14ac:dyDescent="0.2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8"/>
      <c r="N978" s="88"/>
      <c r="O978" s="8"/>
      <c r="P978" s="8"/>
      <c r="Q978" s="89"/>
      <c r="R978" s="89"/>
      <c r="S978" s="8"/>
      <c r="T978" s="8"/>
      <c r="U978" s="8"/>
      <c r="V978" s="8"/>
      <c r="W978" s="8"/>
      <c r="X978" s="8"/>
      <c r="Y978" s="8"/>
    </row>
    <row r="979" spans="1:25" ht="12.75" x14ac:dyDescent="0.2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8"/>
      <c r="N979" s="88"/>
      <c r="O979" s="8"/>
      <c r="P979" s="8"/>
      <c r="Q979" s="89"/>
      <c r="R979" s="89"/>
      <c r="S979" s="8"/>
      <c r="T979" s="8"/>
      <c r="U979" s="8"/>
      <c r="V979" s="8"/>
      <c r="W979" s="8"/>
      <c r="X979" s="8"/>
      <c r="Y979" s="8"/>
    </row>
    <row r="980" spans="1:25" ht="12.75" x14ac:dyDescent="0.2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8"/>
      <c r="N980" s="88"/>
      <c r="O980" s="8"/>
      <c r="P980" s="8"/>
      <c r="Q980" s="89"/>
      <c r="R980" s="89"/>
      <c r="S980" s="8"/>
      <c r="T980" s="8"/>
      <c r="U980" s="8"/>
      <c r="V980" s="8"/>
      <c r="W980" s="8"/>
      <c r="X980" s="8"/>
      <c r="Y980" s="8"/>
    </row>
    <row r="981" spans="1:25" ht="12.75" x14ac:dyDescent="0.2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8"/>
      <c r="N981" s="88"/>
      <c r="O981" s="8"/>
      <c r="P981" s="8"/>
      <c r="Q981" s="89"/>
      <c r="R981" s="89"/>
      <c r="S981" s="8"/>
      <c r="T981" s="8"/>
      <c r="U981" s="8"/>
      <c r="V981" s="8"/>
      <c r="W981" s="8"/>
      <c r="X981" s="8"/>
      <c r="Y981" s="8"/>
    </row>
    <row r="982" spans="1:25" ht="12.75" x14ac:dyDescent="0.2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8"/>
      <c r="N982" s="88"/>
      <c r="O982" s="8"/>
      <c r="P982" s="8"/>
      <c r="Q982" s="89"/>
      <c r="R982" s="89"/>
      <c r="S982" s="8"/>
      <c r="T982" s="8"/>
      <c r="U982" s="8"/>
      <c r="V982" s="8"/>
      <c r="W982" s="8"/>
      <c r="X982" s="8"/>
      <c r="Y982" s="8"/>
    </row>
    <row r="983" spans="1:25" ht="12.75" x14ac:dyDescent="0.2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8"/>
      <c r="N983" s="88"/>
      <c r="O983" s="8"/>
      <c r="P983" s="8"/>
      <c r="Q983" s="89"/>
      <c r="R983" s="89"/>
      <c r="S983" s="8"/>
      <c r="T983" s="8"/>
      <c r="U983" s="8"/>
      <c r="V983" s="8"/>
      <c r="W983" s="8"/>
      <c r="X983" s="8"/>
      <c r="Y983" s="8"/>
    </row>
    <row r="984" spans="1:25" ht="12.75" x14ac:dyDescent="0.2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8"/>
      <c r="N984" s="88"/>
      <c r="O984" s="8"/>
      <c r="P984" s="8"/>
      <c r="Q984" s="89"/>
      <c r="R984" s="89"/>
      <c r="S984" s="8"/>
      <c r="T984" s="8"/>
      <c r="U984" s="8"/>
      <c r="V984" s="8"/>
      <c r="W984" s="8"/>
      <c r="X984" s="8"/>
      <c r="Y984" s="8"/>
    </row>
    <row r="985" spans="1:25" ht="12.75" x14ac:dyDescent="0.2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8"/>
      <c r="N985" s="88"/>
      <c r="O985" s="8"/>
      <c r="P985" s="8"/>
      <c r="Q985" s="89"/>
      <c r="R985" s="89"/>
      <c r="S985" s="8"/>
      <c r="T985" s="8"/>
      <c r="U985" s="8"/>
      <c r="V985" s="8"/>
      <c r="W985" s="8"/>
      <c r="X985" s="8"/>
      <c r="Y985" s="8"/>
    </row>
    <row r="986" spans="1:25" ht="12.75" x14ac:dyDescent="0.2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8"/>
      <c r="N986" s="88"/>
      <c r="O986" s="8"/>
      <c r="P986" s="8"/>
      <c r="Q986" s="89"/>
      <c r="R986" s="89"/>
      <c r="S986" s="8"/>
      <c r="T986" s="8"/>
      <c r="U986" s="8"/>
      <c r="V986" s="8"/>
      <c r="W986" s="8"/>
      <c r="X986" s="8"/>
      <c r="Y986" s="8"/>
    </row>
    <row r="987" spans="1:25" ht="12.75" x14ac:dyDescent="0.2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8"/>
      <c r="N987" s="88"/>
      <c r="O987" s="8"/>
      <c r="P987" s="8"/>
      <c r="Q987" s="89"/>
      <c r="R987" s="89"/>
      <c r="S987" s="8"/>
      <c r="T987" s="8"/>
      <c r="U987" s="8"/>
      <c r="V987" s="8"/>
      <c r="W987" s="8"/>
      <c r="X987" s="8"/>
      <c r="Y987" s="8"/>
    </row>
    <row r="988" spans="1:25" ht="12.75" x14ac:dyDescent="0.2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8"/>
      <c r="N988" s="88"/>
      <c r="O988" s="8"/>
      <c r="P988" s="8"/>
      <c r="Q988" s="89"/>
      <c r="R988" s="89"/>
      <c r="S988" s="8"/>
      <c r="T988" s="8"/>
      <c r="U988" s="8"/>
      <c r="V988" s="8"/>
      <c r="W988" s="8"/>
      <c r="X988" s="8"/>
      <c r="Y988" s="8"/>
    </row>
    <row r="989" spans="1:25" ht="12.75" x14ac:dyDescent="0.2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8"/>
      <c r="N989" s="88"/>
      <c r="O989" s="8"/>
      <c r="P989" s="8"/>
      <c r="Q989" s="89"/>
      <c r="R989" s="89"/>
      <c r="S989" s="8"/>
      <c r="T989" s="8"/>
      <c r="U989" s="8"/>
      <c r="V989" s="8"/>
      <c r="W989" s="8"/>
      <c r="X989" s="8"/>
      <c r="Y989" s="8"/>
    </row>
    <row r="990" spans="1:25" ht="12.75" x14ac:dyDescent="0.2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8"/>
      <c r="N990" s="88"/>
      <c r="O990" s="8"/>
      <c r="P990" s="8"/>
      <c r="Q990" s="89"/>
      <c r="R990" s="89"/>
      <c r="S990" s="8"/>
      <c r="T990" s="8"/>
      <c r="U990" s="8"/>
      <c r="V990" s="8"/>
      <c r="W990" s="8"/>
      <c r="X990" s="8"/>
      <c r="Y990" s="8"/>
    </row>
    <row r="991" spans="1:25" ht="12.75" x14ac:dyDescent="0.2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8"/>
      <c r="N991" s="88"/>
      <c r="O991" s="8"/>
      <c r="P991" s="8"/>
      <c r="Q991" s="89"/>
      <c r="R991" s="89"/>
      <c r="S991" s="8"/>
      <c r="T991" s="8"/>
      <c r="U991" s="8"/>
      <c r="V991" s="8"/>
      <c r="W991" s="8"/>
      <c r="X991" s="8"/>
      <c r="Y991" s="8"/>
    </row>
    <row r="992" spans="1:25" ht="12.75" x14ac:dyDescent="0.2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8"/>
      <c r="N992" s="88"/>
      <c r="O992" s="8"/>
      <c r="P992" s="8"/>
      <c r="Q992" s="89"/>
      <c r="R992" s="89"/>
      <c r="S992" s="8"/>
      <c r="T992" s="8"/>
      <c r="U992" s="8"/>
      <c r="V992" s="8"/>
      <c r="W992" s="8"/>
      <c r="X992" s="8"/>
      <c r="Y992" s="8"/>
    </row>
    <row r="993" spans="1:25" ht="12.75" x14ac:dyDescent="0.2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8"/>
      <c r="N993" s="88"/>
      <c r="O993" s="8"/>
      <c r="P993" s="8"/>
      <c r="Q993" s="89"/>
      <c r="R993" s="89"/>
      <c r="S993" s="8"/>
      <c r="T993" s="8"/>
      <c r="U993" s="8"/>
      <c r="V993" s="8"/>
      <c r="W993" s="8"/>
      <c r="X993" s="8"/>
      <c r="Y993" s="8"/>
    </row>
    <row r="994" spans="1:25" ht="12.75" x14ac:dyDescent="0.2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8"/>
      <c r="N994" s="88"/>
      <c r="O994" s="8"/>
      <c r="P994" s="8"/>
      <c r="Q994" s="89"/>
      <c r="R994" s="89"/>
      <c r="S994" s="8"/>
      <c r="T994" s="8"/>
      <c r="U994" s="8"/>
      <c r="V994" s="8"/>
      <c r="W994" s="8"/>
      <c r="X994" s="8"/>
      <c r="Y994" s="8"/>
    </row>
    <row r="995" spans="1:25" ht="12.75" x14ac:dyDescent="0.2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8"/>
      <c r="N995" s="88"/>
      <c r="O995" s="8"/>
      <c r="P995" s="8"/>
      <c r="Q995" s="89"/>
      <c r="R995" s="89"/>
      <c r="S995" s="8"/>
      <c r="T995" s="8"/>
      <c r="U995" s="8"/>
      <c r="V995" s="8"/>
      <c r="W995" s="8"/>
      <c r="X995" s="8"/>
      <c r="Y995" s="8"/>
    </row>
    <row r="996" spans="1:25" ht="12.75" x14ac:dyDescent="0.2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8"/>
      <c r="N996" s="88"/>
      <c r="O996" s="8"/>
      <c r="P996" s="8"/>
      <c r="Q996" s="89"/>
      <c r="R996" s="89"/>
      <c r="S996" s="8"/>
      <c r="T996" s="8"/>
      <c r="U996" s="8"/>
      <c r="V996" s="8"/>
      <c r="W996" s="8"/>
      <c r="X996" s="8"/>
      <c r="Y996" s="8"/>
    </row>
    <row r="997" spans="1:25" ht="12.75" x14ac:dyDescent="0.2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8"/>
      <c r="N997" s="88"/>
      <c r="O997" s="8"/>
      <c r="P997" s="8"/>
      <c r="Q997" s="89"/>
      <c r="R997" s="89"/>
      <c r="S997" s="8"/>
      <c r="T997" s="8"/>
      <c r="U997" s="8"/>
      <c r="V997" s="8"/>
      <c r="W997" s="8"/>
      <c r="X997" s="8"/>
      <c r="Y997" s="8"/>
    </row>
    <row r="998" spans="1:25" ht="12.75" x14ac:dyDescent="0.2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8"/>
      <c r="N998" s="88"/>
      <c r="O998" s="8"/>
      <c r="P998" s="8"/>
      <c r="Q998" s="89"/>
      <c r="R998" s="89"/>
      <c r="S998" s="8"/>
      <c r="T998" s="8"/>
      <c r="U998" s="8"/>
      <c r="V998" s="8"/>
      <c r="W998" s="8"/>
      <c r="X998" s="8"/>
      <c r="Y998" s="8"/>
    </row>
    <row r="999" spans="1:25" ht="12.75" x14ac:dyDescent="0.2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8"/>
      <c r="N999" s="88"/>
      <c r="O999" s="8"/>
      <c r="P999" s="8"/>
      <c r="Q999" s="89"/>
      <c r="R999" s="89"/>
      <c r="S999" s="8"/>
      <c r="T999" s="8"/>
      <c r="U999" s="8"/>
      <c r="V999" s="8"/>
      <c r="W999" s="8"/>
      <c r="X999" s="8"/>
      <c r="Y999" s="8"/>
    </row>
    <row r="1000" spans="1:25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</row>
  </sheetData>
  <mergeCells count="26">
    <mergeCell ref="X5:Y5"/>
    <mergeCell ref="C2:Y2"/>
    <mergeCell ref="C3:R3"/>
    <mergeCell ref="S3:Y3"/>
    <mergeCell ref="C4:E4"/>
    <mergeCell ref="F4:G4"/>
    <mergeCell ref="H4:R4"/>
    <mergeCell ref="X4:Y4"/>
    <mergeCell ref="H5:I5"/>
    <mergeCell ref="J5:L5"/>
    <mergeCell ref="S4:U4"/>
    <mergeCell ref="V4:W4"/>
    <mergeCell ref="Q5:R5"/>
    <mergeCell ref="T5:U5"/>
    <mergeCell ref="V5:W5"/>
    <mergeCell ref="A104:B104"/>
    <mergeCell ref="A2:B6"/>
    <mergeCell ref="C5:C6"/>
    <mergeCell ref="D5:D6"/>
    <mergeCell ref="E5:E6"/>
    <mergeCell ref="A7:B7"/>
    <mergeCell ref="A13:B13"/>
    <mergeCell ref="A31:B31"/>
    <mergeCell ref="A52:B52"/>
    <mergeCell ref="A74:B74"/>
    <mergeCell ref="A89:B89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9</vt:i4>
      </vt:variant>
    </vt:vector>
  </HeadingPairs>
  <TitlesOfParts>
    <vt:vector size="18" baseType="lpstr">
      <vt:lpstr>พัฒนาธุรกิจชุมชน</vt:lpstr>
      <vt:lpstr>เกษตรอินทรีย์</vt:lpstr>
      <vt:lpstr>วนเกษตร</vt:lpstr>
      <vt:lpstr>ยกระดับรายได้</vt:lpstr>
      <vt:lpstr>ตรวจสอบที่ดิน</vt:lpstr>
      <vt:lpstr>จัดที่ดินชุมชน</vt:lpstr>
      <vt:lpstr>จัดหาที่ดินเอกชน</vt:lpstr>
      <vt:lpstr>จัดที่ดินเอกชน 7 กิจกรรม</vt:lpstr>
      <vt:lpstr>RTK</vt:lpstr>
      <vt:lpstr>RTK!Print_Titles</vt:lpstr>
      <vt:lpstr>เกษตรอินทรีย์!Print_Titles</vt:lpstr>
      <vt:lpstr>จัดที่ดินชุมชน!Print_Titles</vt:lpstr>
      <vt:lpstr>'จัดที่ดินเอกชน 7 กิจกรรม'!Print_Titles</vt:lpstr>
      <vt:lpstr>จัดหาที่ดินเอกชน!Print_Titles</vt:lpstr>
      <vt:lpstr>ตรวจสอบที่ดิน!Print_Titles</vt:lpstr>
      <vt:lpstr>พัฒนาธุรกิจชุมชน!Print_Titles</vt:lpstr>
      <vt:lpstr>ยกระดับรายได้!Print_Titles</vt:lpstr>
      <vt:lpstr>วนเกษตร!Print_Titles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cp:lastPrinted>2023-05-02T09:34:03Z</cp:lastPrinted>
  <dcterms:modified xsi:type="dcterms:W3CDTF">2023-05-02T09:35:22Z</dcterms:modified>
</cp:coreProperties>
</file>